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1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4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5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6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CRO revenue overview" sheetId="1" r:id="rId1"/>
    <sheet name="VP Sales teams and forecast" sheetId="2" r:id="rId2"/>
    <sheet name="Sales ops plan, quotas and comm" sheetId="3" r:id="rId3"/>
    <sheet name="Rep scorecard Hugo Lindqvist" sheetId="4" r:id="rId4"/>
    <sheet name="SDR and BDR pipeline generation" sheetId="5" r:id="rId5"/>
    <sheet name="Marketing funnel and pipeline" sheetId="6" r:id="rId6"/>
    <sheet name="Plan parameters" sheetId="7" r:id="rId7"/>
    <sheet name="Commission plan" sheetId="8" r:id="rId8"/>
    <sheet name="Quota plan" sheetId="9" r:id="rId9"/>
    <sheet name="Marketing funnel by channel and" sheetId="10" r:id="rId10"/>
    <sheet name="Marketing funnel by channel" sheetId="11" r:id="rId11"/>
    <sheet name="SDR and BDR scorecard" sheetId="12" r:id="rId12"/>
    <sheet name="Rep monthly" sheetId="13" r:id="rId13"/>
    <sheet name="Rep quarterly" sheetId="14" r:id="rId14"/>
    <sheet name="Commission by tranche" sheetId="15" r:id="rId15"/>
    <sheet name="Variable pay" sheetId="16" r:id="rId16"/>
    <sheet name="Team quarterly (region × segmen" sheetId="17" r:id="rId17"/>
    <sheet name="Region quarterly" sheetId="18" r:id="rId18"/>
    <sheet name="Segment quarterly" sheetId="19" r:id="rId19"/>
    <sheet name="Company quarterly" sheetId="20" r:id="rId20"/>
    <sheet name="Company monthly and ARR bridge" sheetId="21" r:id="rId21"/>
    <sheet name="Periods" sheetId="22" r:id="rId22"/>
    <sheet name="Quarters" sheetId="23" r:id="rId23"/>
    <sheet name="Regions" sheetId="24" r:id="rId24"/>
    <sheet name="Segments" sheetId="25" r:id="rId25"/>
    <sheet name="Sales leadership" sheetId="26" r:id="rId26"/>
    <sheet name="Account executives" sheetId="27" r:id="rId27"/>
    <sheet name="SDRs and BDRs" sheetId="28" r:id="rId28"/>
    <sheet name="Channels" sheetId="29" r:id="rId29"/>
    <sheet name="Industries" sheetId="30" r:id="rId30"/>
    <sheet name="Stages" sheetId="31" r:id="rId31"/>
    <sheet name="Commission tranches" sheetId="32" r:id="rId32"/>
    <sheet name="Accounts" sheetId="33" r:id="rId33"/>
    <sheet name="Opportunities" sheetId="34" r:id="rId34"/>
    <sheet name="Marketing spend and leads" sheetId="35" r:id="rId35"/>
    <sheet name="SDR activity" sheetId="36" r:id="rId36"/>
    <sheet name="Churn events" sheetId="37" r:id="rId37"/>
    <sheet name="Plan parameters lines" sheetId="38" r:id="rId38"/>
    <sheet name="Commission plan lines" sheetId="39" r:id="rId39"/>
    <sheet name="Quota plan lines" sheetId="40" r:id="rId40"/>
    <sheet name="Marketing funnel by channel (2)" sheetId="41" r:id="rId41"/>
    <sheet name="Marketing funnel by channel lin" sheetId="42" r:id="rId42"/>
    <sheet name="SDR and BDR scorecard lines" sheetId="43" r:id="rId43"/>
    <sheet name="Rep monthly lines" sheetId="44" r:id="rId44"/>
    <sheet name="Rep quarterly lines" sheetId="45" r:id="rId45"/>
    <sheet name="Commission by tranche lines" sheetId="46" r:id="rId46"/>
    <sheet name="Variable pay lines" sheetId="47" r:id="rId47"/>
    <sheet name="Team quarterly (region × se (2)" sheetId="48" r:id="rId48"/>
    <sheet name="Region quarterly lines" sheetId="49" r:id="rId49"/>
    <sheet name="Segment quarterly lines" sheetId="50" r:id="rId50"/>
    <sheet name="Company quarterly lines" sheetId="51" r:id="rId51"/>
    <sheet name="Company monthly and ARR bridge " sheetId="52" r:id="rId52"/>
    <sheet name="Rules" sheetId="53" r:id="rId53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Bookings, forecast and quota by quarter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'CRO revenue overview'!$A$19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'CRO revenue overview'!$B$18:$E$18</c:f>
            </c:strRef>
          </c:cat>
          <c:val>
            <c:numRef>
              <c:f>'CRO revenue overview'!$B$19:$E$19</c:f>
            </c:numRef>
          </c:val>
        </c:ser>
        <c:ser>
          <c:idx val="1"/>
          <c:order val="1"/>
          <c:tx>
            <c:strRef>
              <c:f>'CRO revenue overview'!$A$20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'CRO revenue overview'!$B$18:$E$18</c:f>
            </c:strRef>
          </c:cat>
          <c:val>
            <c:numRef>
              <c:f>'CRO revenue overview'!$B$20:$E$20</c:f>
            </c:numRef>
          </c:val>
        </c:ser>
        <c:ser>
          <c:idx val="2"/>
          <c:order val="2"/>
          <c:tx>
            <c:strRef>
              <c:f>'CRO revenue overview'!$A$21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'CRO revenue overview'!$B$18:$E$18</c:f>
            </c:strRef>
          </c:cat>
          <c:val>
            <c:numRef>
              <c:f>'CRO revenue overview'!$B$21:$E$21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Attainment and forecast attainment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'CRO revenue overview'!$A$42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'CRO revenue overview'!$B$41:$E$41</c:f>
            </c:strRef>
          </c:cat>
          <c:val>
            <c:numRef>
              <c:f>'CRO revenue overview'!$B$42:$E$42</c:f>
            </c:numRef>
          </c:val>
          <c:smooth val="0"/>
        </c:ser>
        <c:ser>
          <c:idx val="1"/>
          <c:order val="1"/>
          <c:tx>
            <c:strRef>
              <c:f>'CRO revenue overview'!$A$43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'CRO revenue overview'!$B$41:$E$41</c:f>
            </c:strRef>
          </c:cat>
          <c:val>
            <c:numRef>
              <c:f>'CRO revenue overview'!$B$43:$E$43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ARR bridge by month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'CRO revenue overview'!$A$64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'CRO revenue overview'!$B$63:$I$63</c:f>
            </c:strRef>
          </c:cat>
          <c:val>
            <c:numRef>
              <c:f>'CRO revenue overview'!$B$64:$I$64</c:f>
            </c:numRef>
          </c:val>
        </c:ser>
        <c:ser>
          <c:idx val="1"/>
          <c:order val="1"/>
          <c:tx>
            <c:strRef>
              <c:f>'CRO revenue overview'!$A$65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'CRO revenue overview'!$B$63:$I$63</c:f>
            </c:strRef>
          </c:cat>
          <c:val>
            <c:numRef>
              <c:f>'CRO revenue overview'!$B$65:$I$65</c:f>
            </c:numRef>
          </c:val>
        </c:ser>
        <c:ser>
          <c:idx val="2"/>
          <c:order val="2"/>
          <c:tx>
            <c:strRef>
              <c:f>'CRO revenue overview'!$A$66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'CRO revenue overview'!$B$63:$I$63</c:f>
            </c:strRef>
          </c:cat>
          <c:val>
            <c:numRef>
              <c:f>'CRO revenue overview'!$B$66:$I$66</c:f>
            </c:numRef>
          </c:val>
        </c:ser>
        <c:gapWidth val="60"/>
        <c:overlap val="10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Ending ARR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'CRO revenue overview'!$A$87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'CRO revenue overview'!$B$86:$I$86</c:f>
            </c:strRef>
          </c:cat>
          <c:val>
            <c:numRef>
              <c:f>'CRO revenue overview'!$B$87:$I$87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Bookings by region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'CRO revenue overview'!$A$108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'CRO revenue overview'!$B$107:$E$107</c:f>
            </c:strRef>
          </c:cat>
          <c:val>
            <c:numRef>
              <c:f>'CRO revenue overview'!$B$108:$E$108</c:f>
            </c:numRef>
          </c:val>
        </c:ser>
        <c:ser>
          <c:idx val="1"/>
          <c:order val="1"/>
          <c:tx>
            <c:strRef>
              <c:f>'CRO revenue overview'!$A$109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'CRO revenue overview'!$B$107:$E$107</c:f>
            </c:strRef>
          </c:cat>
          <c:val>
            <c:numRef>
              <c:f>'CRO revenue overview'!$B$109:$E$109</c:f>
            </c:numRef>
          </c:val>
        </c:ser>
        <c:ser>
          <c:idx val="2"/>
          <c:order val="2"/>
          <c:tx>
            <c:strRef>
              <c:f>'CRO revenue overview'!$A$110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'CRO revenue overview'!$B$107:$E$107</c:f>
            </c:strRef>
          </c:cat>
          <c:val>
            <c:numRef>
              <c:f>'CRO revenue overview'!$B$110:$E$110</c:f>
            </c:numRef>
          </c:val>
        </c:ser>
        <c:ser>
          <c:idx val="3"/>
          <c:order val="3"/>
          <c:tx>
            <c:strRef>
              <c:f>'CRO revenue overview'!$A$111</c:f>
            </c:strRef>
          </c:tx>
          <c:spPr>
            <a:solidFill>
              <a:srgbClr val="F59F00"/>
            </a:solidFill>
          </c:spPr>
          <c:invertIfNegative val="0"/>
          <c:cat>
            <c:strRef>
              <c:f>'CRO revenue overview'!$B$107:$E$107</c:f>
            </c:strRef>
          </c:cat>
          <c:val>
            <c:numRef>
              <c:f>'CRO revenue overview'!$B$111:$E$111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Win rate by segment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'CRO revenue overview'!$A$132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'CRO revenue overview'!$B$131:$E$131</c:f>
            </c:strRef>
          </c:cat>
          <c:val>
            <c:numRef>
              <c:f>'CRO revenue overview'!$B$132:$E$132</c:f>
            </c:numRef>
          </c:val>
          <c:smooth val="0"/>
        </c:ser>
        <c:ser>
          <c:idx val="1"/>
          <c:order val="1"/>
          <c:tx>
            <c:strRef>
              <c:f>'CRO revenue overview'!$A$133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'CRO revenue overview'!$B$131:$E$131</c:f>
            </c:strRef>
          </c:cat>
          <c:val>
            <c:numRef>
              <c:f>'CRO revenue overview'!$B$133:$E$133</c:f>
            </c:numRef>
          </c:val>
          <c:smooth val="0"/>
        </c:ser>
        <c:ser>
          <c:idx val="2"/>
          <c:order val="2"/>
          <c:tx>
            <c:strRef>
              <c:f>'CRO revenue overview'!$A$134</c:f>
            </c:strRef>
          </c:tx>
          <c:spPr>
            <a:ln w="28575" cap="rnd">
              <a:solidFill>
                <a:srgbClr val="12B886"/>
              </a:solidFill>
              <a:round/>
            </a:ln>
          </c:spPr>
          <c:marker>
            <c:symbol val="circle"/>
            <c:size val="5"/>
          </c:marker>
          <c:cat>
            <c:strRef>
              <c:f>'CRO revenue overview'!$B$131:$E$131</c:f>
            </c:strRef>
          </c:cat>
          <c:val>
            <c:numRef>
              <c:f>'CRO revenue overview'!$B$134:$E$134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Forecast attainment by region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'VP Sales teams and forecast'!$A$34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'VP Sales teams and forecast'!$B$33:$E$33</c:f>
            </c:strRef>
          </c:cat>
          <c:val>
            <c:numRef>
              <c:f>'VP Sales teams and forecast'!$B$34:$E$34</c:f>
            </c:numRef>
          </c:val>
          <c:smooth val="0"/>
        </c:ser>
        <c:ser>
          <c:idx val="1"/>
          <c:order val="1"/>
          <c:tx>
            <c:strRef>
              <c:f>'VP Sales teams and forecast'!$A$35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'VP Sales teams and forecast'!$B$33:$E$33</c:f>
            </c:strRef>
          </c:cat>
          <c:val>
            <c:numRef>
              <c:f>'VP Sales teams and forecast'!$B$35:$E$35</c:f>
            </c:numRef>
          </c:val>
          <c:smooth val="0"/>
        </c:ser>
        <c:ser>
          <c:idx val="2"/>
          <c:order val="2"/>
          <c:tx>
            <c:strRef>
              <c:f>'VP Sales teams and forecast'!$A$36</c:f>
            </c:strRef>
          </c:tx>
          <c:spPr>
            <a:ln w="28575" cap="rnd">
              <a:solidFill>
                <a:srgbClr val="12B886"/>
              </a:solidFill>
              <a:round/>
            </a:ln>
          </c:spPr>
          <c:marker>
            <c:symbol val="circle"/>
            <c:size val="5"/>
          </c:marker>
          <c:cat>
            <c:strRef>
              <c:f>'VP Sales teams and forecast'!$B$33:$E$33</c:f>
            </c:strRef>
          </c:cat>
          <c:val>
            <c:numRef>
              <c:f>'VP Sales teams and forecast'!$B$36:$E$36</c:f>
            </c:numRef>
          </c:val>
          <c:smooth val="0"/>
        </c:ser>
        <c:ser>
          <c:idx val="3"/>
          <c:order val="3"/>
          <c:tx>
            <c:strRef>
              <c:f>'VP Sales teams and forecast'!$A$37</c:f>
            </c:strRef>
          </c:tx>
          <c:spPr>
            <a:ln w="28575" cap="rnd">
              <a:solidFill>
                <a:srgbClr val="F59F00"/>
              </a:solidFill>
              <a:round/>
            </a:ln>
          </c:spPr>
          <c:marker>
            <c:symbol val="circle"/>
            <c:size val="5"/>
          </c:marker>
          <c:cat>
            <c:strRef>
              <c:f>'VP Sales teams and forecast'!$B$33:$E$33</c:f>
            </c:strRef>
          </c:cat>
          <c:val>
            <c:numRef>
              <c:f>'VP Sales teams and forecast'!$B$37:$E$37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Q3 forecast build: booked, commit, best case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'VP Sales teams and forecast'!$A$58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'VP Sales teams and forecast'!$B$57:$E$57</c:f>
            </c:strRef>
          </c:cat>
          <c:val>
            <c:numRef>
              <c:f>'VP Sales teams and forecast'!$B$58:$E$58</c:f>
            </c:numRef>
          </c:val>
        </c:ser>
        <c:ser>
          <c:idx val="1"/>
          <c:order val="1"/>
          <c:tx>
            <c:strRef>
              <c:f>'VP Sales teams and forecast'!$A$59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'VP Sales teams and forecast'!$B$57:$E$57</c:f>
            </c:strRef>
          </c:cat>
          <c:val>
            <c:numRef>
              <c:f>'VP Sales teams and forecast'!$B$59:$E$59</c:f>
            </c:numRef>
          </c:val>
        </c:ser>
        <c:ser>
          <c:idx val="2"/>
          <c:order val="2"/>
          <c:tx>
            <c:strRef>
              <c:f>'VP Sales teams and forecast'!$A$60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'VP Sales teams and forecast'!$B$57:$E$57</c:f>
            </c:strRef>
          </c:cat>
          <c:val>
            <c:numRef>
              <c:f>'VP Sales teams and forecast'!$B$60:$E$60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Average deal by segment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'VP Sales teams and forecast'!$A$108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'VP Sales teams and forecast'!$B$107:$E$107</c:f>
            </c:strRef>
          </c:cat>
          <c:val>
            <c:numRef>
              <c:f>'VP Sales teams and forecast'!$B$108:$E$108</c:f>
            </c:numRef>
          </c:val>
        </c:ser>
        <c:ser>
          <c:idx val="1"/>
          <c:order val="1"/>
          <c:tx>
            <c:strRef>
              <c:f>'VP Sales teams and forecast'!$A$109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'VP Sales teams and forecast'!$B$107:$E$107</c:f>
            </c:strRef>
          </c:cat>
          <c:val>
            <c:numRef>
              <c:f>'VP Sales teams and forecast'!$B$109:$E$109</c:f>
            </c:numRef>
          </c:val>
        </c:ser>
        <c:ser>
          <c:idx val="2"/>
          <c:order val="2"/>
          <c:tx>
            <c:strRef>
              <c:f>'VP Sales teams and forecast'!$A$110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'VP Sales teams and forecast'!$B$107:$E$107</c:f>
            </c:strRef>
          </c:cat>
          <c:val>
            <c:numRef>
              <c:f>'VP Sales teams and forecast'!$B$110:$E$110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Sales cycle by segment (days)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'VP Sales teams and forecast'!$A$131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'VP Sales teams and forecast'!$B$130:$E$130</c:f>
            </c:strRef>
          </c:cat>
          <c:val>
            <c:numRef>
              <c:f>'VP Sales teams and forecast'!$B$131:$E$131</c:f>
            </c:numRef>
          </c:val>
        </c:ser>
        <c:ser>
          <c:idx val="1"/>
          <c:order val="1"/>
          <c:tx>
            <c:strRef>
              <c:f>'VP Sales teams and forecast'!$A$132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'VP Sales teams and forecast'!$B$130:$E$130</c:f>
            </c:strRef>
          </c:cat>
          <c:val>
            <c:numRef>
              <c:f>'VP Sales teams and forecast'!$B$132:$E$132</c:f>
            </c:numRef>
          </c:val>
        </c:ser>
        <c:ser>
          <c:idx val="2"/>
          <c:order val="2"/>
          <c:tx>
            <c:strRef>
              <c:f>'VP Sales teams and forecast'!$A$133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'VP Sales teams and forecast'!$B$130:$E$130</c:f>
            </c:strRef>
          </c:cat>
          <c:val>
            <c:numRef>
              <c:f>'VP Sales teams and forecast'!$B$133:$E$133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Sales variable pay by quarter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'Sales ops plan, quotas and comm'!$A$76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'Sales ops plan, quotas and comm'!$B$75:$E$75</c:f>
            </c:strRef>
          </c:cat>
          <c:val>
            <c:numRef>
              <c:f>'Sales ops plan, quotas and comm'!$B$76:$E$76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Variable pay as % of bookings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'Sales ops plan, quotas and comm'!$A$97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'Sales ops plan, quotas and comm'!$B$96:$E$96</c:f>
            </c:strRef>
          </c:cat>
          <c:val>
            <c:numRef>
              <c:f>'Sales ops plan, quotas and comm'!$B$97:$E$97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Bookings and pipeline by month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 scorecard Hugo Lindqvist'!$A$19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'Rep scorecard Hugo Lindqvist'!$B$18:$M$18</c:f>
            </c:strRef>
          </c:cat>
          <c:val>
            <c:numRef>
              <c:f>'Rep scorecard Hugo Lindqvist'!$B$19:$M$19</c:f>
            </c:numRef>
          </c:val>
        </c:ser>
        <c:ser>
          <c:idx val="1"/>
          <c:order val="1"/>
          <c:tx>
            <c:strRef>
              <c:f>'Rep scorecard Hugo Lindqvist'!$A$20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'Rep scorecard Hugo Lindqvist'!$B$18:$M$18</c:f>
            </c:strRef>
          </c:cat>
          <c:val>
            <c:numRef>
              <c:f>'Rep scorecard Hugo Lindqvist'!$B$20:$M$20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Attainment by quarter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'Rep scorecard Hugo Lindqvist'!$A$41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'Rep scorecard Hugo Lindqvist'!$B$40:$E$40</c:f>
            </c:strRef>
          </c:cat>
          <c:val>
            <c:numRef>
              <c:f>'Rep scorecard Hugo Lindqvist'!$B$41:$E$41</c:f>
            </c:numRef>
          </c:val>
          <c:smooth val="0"/>
        </c:ser>
        <c:ser>
          <c:idx val="1"/>
          <c:order val="1"/>
          <c:tx>
            <c:strRef>
              <c:f>'Rep scorecard Hugo Lindqvist'!$A$42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'Rep scorecard Hugo Lindqvist'!$B$40:$E$40</c:f>
            </c:strRef>
          </c:cat>
          <c:val>
            <c:numRef>
              <c:f>'Rep scorecard Hugo Lindqvist'!$B$42:$E$42</c:f>
            </c:numRef>
          </c:val>
          <c:smooth val="0"/>
        </c:ser>
        <c:ser>
          <c:idx val="2"/>
          <c:order val="2"/>
          <c:tx>
            <c:strRef>
              <c:f>'Rep scorecard Hugo Lindqvist'!$A$43</c:f>
            </c:strRef>
          </c:tx>
          <c:spPr>
            <a:ln w="28575" cap="rnd">
              <a:solidFill>
                <a:srgbClr val="12B886"/>
              </a:solidFill>
              <a:round/>
            </a:ln>
          </c:spPr>
          <c:marker>
            <c:symbol val="circle"/>
            <c:size val="5"/>
          </c:marker>
          <c:cat>
            <c:strRef>
              <c:f>'Rep scorecard Hugo Lindqvist'!$B$40:$E$40</c:f>
            </c:strRef>
          </c:cat>
          <c:val>
            <c:numRef>
              <c:f>'Rep scorecard Hugo Lindqvist'!$B$43:$E$43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SQLs by month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'SDR and BDR pipeline generation'!$A$14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'SDR and BDR pipeline generation'!$B$13:$I$13</c:f>
            </c:strRef>
          </c:cat>
          <c:val>
            <c:numRef>
              <c:f>'SDR and BDR pipeline generation'!$B$14:$I$14</c:f>
            </c:numRef>
          </c:val>
        </c:ser>
        <c:ser>
          <c:idx val="1"/>
          <c:order val="1"/>
          <c:tx>
            <c:strRef>
              <c:f>'SDR and BDR pipeline generation'!$A$15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'SDR and BDR pipeline generation'!$B$13:$I$13</c:f>
            </c:strRef>
          </c:cat>
          <c:val>
            <c:numRef>
              <c:f>'SDR and BDR pipeline generation'!$B$15:$I$15</c:f>
            </c:numRef>
          </c:val>
        </c:ser>
        <c:ser>
          <c:idx val="2"/>
          <c:order val="2"/>
          <c:tx>
            <c:strRef>
              <c:f>'SDR and BDR pipeline generation'!$A$16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'SDR and BDR pipeline generation'!$B$13:$I$13</c:f>
            </c:strRef>
          </c:cat>
          <c:val>
            <c:numRef>
              <c:f>'SDR and BDR pipeline generation'!$B$16:$I$16</c:f>
            </c:numRef>
          </c:val>
        </c:ser>
        <c:ser>
          <c:idx val="3"/>
          <c:order val="3"/>
          <c:tx>
            <c:strRef>
              <c:f>'SDR and BDR pipeline generation'!$A$17</c:f>
            </c:strRef>
          </c:tx>
          <c:spPr>
            <a:solidFill>
              <a:srgbClr val="F59F00"/>
            </a:solidFill>
          </c:spPr>
          <c:invertIfNegative val="0"/>
          <c:cat>
            <c:strRef>
              <c:f>'SDR and BDR pipeline generation'!$B$13:$I$13</c:f>
            </c:strRef>
          </c:cat>
          <c:val>
            <c:numRef>
              <c:f>'SDR and BDR pipeline generation'!$B$17:$I$17</c:f>
            </c:numRef>
          </c:val>
        </c:ser>
        <c:ser>
          <c:idx val="4"/>
          <c:order val="4"/>
          <c:tx>
            <c:strRef>
              <c:f>'SDR and BDR pipeline generation'!$A$18</c:f>
            </c:strRef>
          </c:tx>
          <c:spPr>
            <a:solidFill>
              <a:srgbClr val="7048E8"/>
            </a:solidFill>
          </c:spPr>
          <c:invertIfNegative val="0"/>
          <c:cat>
            <c:strRef>
              <c:f>'SDR and BDR pipeline generation'!$B$13:$I$13</c:f>
            </c:strRef>
          </c:cat>
          <c:val>
            <c:numRef>
              <c:f>'SDR and BDR pipeline generation'!$B$18:$I$18</c:f>
            </c:numRef>
          </c:val>
        </c:ser>
        <c:ser>
          <c:idx val="5"/>
          <c:order val="5"/>
          <c:tx>
            <c:strRef>
              <c:f>'SDR and BDR pipeline generation'!$A$19</c:f>
            </c:strRef>
          </c:tx>
          <c:spPr>
            <a:solidFill>
              <a:srgbClr val="E64980"/>
            </a:solidFill>
          </c:spPr>
          <c:invertIfNegative val="0"/>
          <c:cat>
            <c:strRef>
              <c:f>'SDR and BDR pipeline generation'!$B$13:$I$13</c:f>
            </c:strRef>
          </c:cat>
          <c:val>
            <c:numRef>
              <c:f>'SDR and BDR pipeline generation'!$B$19:$I$19</c:f>
            </c:numRef>
          </c:val>
        </c:ser>
        <c:ser>
          <c:idx val="6"/>
          <c:order val="6"/>
          <c:tx>
            <c:strRef>
              <c:f>'SDR and BDR pipeline generation'!$A$20</c:f>
            </c:strRef>
          </c:tx>
          <c:spPr>
            <a:solidFill>
              <a:srgbClr val="0CA678"/>
            </a:solidFill>
          </c:spPr>
          <c:invertIfNegative val="0"/>
          <c:cat>
            <c:strRef>
              <c:f>'SDR and BDR pipeline generation'!$B$13:$I$13</c:f>
            </c:strRef>
          </c:cat>
          <c:val>
            <c:numRef>
              <c:f>'SDR and BDR pipeline generation'!$B$20:$I$20</c:f>
            </c:numRef>
          </c:val>
        </c:ser>
        <c:ser>
          <c:idx val="7"/>
          <c:order val="7"/>
          <c:tx>
            <c:strRef>
              <c:f>'SDR and BDR pipeline generation'!$A$21</c:f>
            </c:strRef>
          </c:tx>
          <c:spPr>
            <a:solidFill>
              <a:srgbClr val="868E96"/>
            </a:solidFill>
          </c:spPr>
          <c:invertIfNegative val="0"/>
          <c:cat>
            <c:strRef>
              <c:f>'SDR and BDR pipeline generation'!$B$13:$I$13</c:f>
            </c:strRef>
          </c:cat>
          <c:val>
            <c:numRef>
              <c:f>'SDR and BDR pipeline generation'!$B$21:$I$21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SQL attainment by month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'SDR and BDR pipeline generation'!$A$42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'SDR and BDR pipeline generation'!$B$41:$I$41</c:f>
            </c:strRef>
          </c:cat>
          <c:val>
            <c:numRef>
              <c:f>'SDR and BDR pipeline generation'!$B$42:$I$42</c:f>
            </c:numRef>
          </c:val>
          <c:smooth val="0"/>
        </c:ser>
        <c:ser>
          <c:idx val="1"/>
          <c:order val="1"/>
          <c:tx>
            <c:strRef>
              <c:f>'SDR and BDR pipeline generation'!$A$43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'SDR and BDR pipeline generation'!$B$41:$I$41</c:f>
            </c:strRef>
          </c:cat>
          <c:val>
            <c:numRef>
              <c:f>'SDR and BDR pipeline generation'!$B$43:$I$43</c:f>
            </c:numRef>
          </c:val>
          <c:smooth val="0"/>
        </c:ser>
        <c:ser>
          <c:idx val="2"/>
          <c:order val="2"/>
          <c:tx>
            <c:strRef>
              <c:f>'SDR and BDR pipeline generation'!$A$44</c:f>
            </c:strRef>
          </c:tx>
          <c:spPr>
            <a:ln w="28575" cap="rnd">
              <a:solidFill>
                <a:srgbClr val="12B886"/>
              </a:solidFill>
              <a:round/>
            </a:ln>
          </c:spPr>
          <c:marker>
            <c:symbol val="circle"/>
            <c:size val="5"/>
          </c:marker>
          <c:cat>
            <c:strRef>
              <c:f>'SDR and BDR pipeline generation'!$B$41:$I$41</c:f>
            </c:strRef>
          </c:cat>
          <c:val>
            <c:numRef>
              <c:f>'SDR and BDR pipeline generation'!$B$44:$I$44</c:f>
            </c:numRef>
          </c:val>
          <c:smooth val="0"/>
        </c:ser>
        <c:ser>
          <c:idx val="3"/>
          <c:order val="3"/>
          <c:tx>
            <c:strRef>
              <c:f>'SDR and BDR pipeline generation'!$A$45</c:f>
            </c:strRef>
          </c:tx>
          <c:spPr>
            <a:ln w="28575" cap="rnd">
              <a:solidFill>
                <a:srgbClr val="F59F00"/>
              </a:solidFill>
              <a:round/>
            </a:ln>
          </c:spPr>
          <c:marker>
            <c:symbol val="circle"/>
            <c:size val="5"/>
          </c:marker>
          <c:cat>
            <c:strRef>
              <c:f>'SDR and BDR pipeline generation'!$B$41:$I$41</c:f>
            </c:strRef>
          </c:cat>
          <c:val>
            <c:numRef>
              <c:f>'SDR and BDR pipeline generation'!$B$45:$I$45</c:f>
            </c:numRef>
          </c:val>
          <c:smooth val="0"/>
        </c:ser>
        <c:ser>
          <c:idx val="4"/>
          <c:order val="4"/>
          <c:tx>
            <c:strRef>
              <c:f>'SDR and BDR pipeline generation'!$A$46</c:f>
            </c:strRef>
          </c:tx>
          <c:spPr>
            <a:ln w="28575" cap="rnd">
              <a:solidFill>
                <a:srgbClr val="7048E8"/>
              </a:solidFill>
              <a:round/>
            </a:ln>
          </c:spPr>
          <c:marker>
            <c:symbol val="circle"/>
            <c:size val="5"/>
          </c:marker>
          <c:cat>
            <c:strRef>
              <c:f>'SDR and BDR pipeline generation'!$B$41:$I$41</c:f>
            </c:strRef>
          </c:cat>
          <c:val>
            <c:numRef>
              <c:f>'SDR and BDR pipeline generation'!$B$46:$I$46</c:f>
            </c:numRef>
          </c:val>
          <c:smooth val="0"/>
        </c:ser>
        <c:ser>
          <c:idx val="5"/>
          <c:order val="5"/>
          <c:tx>
            <c:strRef>
              <c:f>'SDR and BDR pipeline generation'!$A$47</c:f>
            </c:strRef>
          </c:tx>
          <c:spPr>
            <a:ln w="28575" cap="rnd">
              <a:solidFill>
                <a:srgbClr val="E64980"/>
              </a:solidFill>
              <a:round/>
            </a:ln>
          </c:spPr>
          <c:marker>
            <c:symbol val="circle"/>
            <c:size val="5"/>
          </c:marker>
          <c:cat>
            <c:strRef>
              <c:f>'SDR and BDR pipeline generation'!$B$41:$I$41</c:f>
            </c:strRef>
          </c:cat>
          <c:val>
            <c:numRef>
              <c:f>'SDR and BDR pipeline generation'!$B$47:$I$47</c:f>
            </c:numRef>
          </c:val>
          <c:smooth val="0"/>
        </c:ser>
        <c:ser>
          <c:idx val="6"/>
          <c:order val="6"/>
          <c:tx>
            <c:strRef>
              <c:f>'SDR and BDR pipeline generation'!$A$48</c:f>
            </c:strRef>
          </c:tx>
          <c:spPr>
            <a:ln w="28575" cap="rnd">
              <a:solidFill>
                <a:srgbClr val="0CA678"/>
              </a:solidFill>
              <a:round/>
            </a:ln>
          </c:spPr>
          <c:marker>
            <c:symbol val="circle"/>
            <c:size val="5"/>
          </c:marker>
          <c:cat>
            <c:strRef>
              <c:f>'SDR and BDR pipeline generation'!$B$41:$I$41</c:f>
            </c:strRef>
          </c:cat>
          <c:val>
            <c:numRef>
              <c:f>'SDR and BDR pipeline generation'!$B$48:$I$48</c:f>
            </c:numRef>
          </c:val>
          <c:smooth val="0"/>
        </c:ser>
        <c:ser>
          <c:idx val="7"/>
          <c:order val="7"/>
          <c:tx>
            <c:strRef>
              <c:f>'SDR and BDR pipeline generation'!$A$49</c:f>
            </c:strRef>
          </c:tx>
          <c:spPr>
            <a:ln w="28575" cap="rnd">
              <a:solidFill>
                <a:srgbClr val="868E96"/>
              </a:solidFill>
              <a:round/>
            </a:ln>
          </c:spPr>
          <c:marker>
            <c:symbol val="circle"/>
            <c:size val="5"/>
          </c:marker>
          <c:cat>
            <c:strRef>
              <c:f>'SDR and BDR pipeline generation'!$B$41:$I$41</c:f>
            </c:strRef>
          </c:cat>
          <c:val>
            <c:numRef>
              <c:f>'SDR and BDR pipeline generation'!$B$49:$I$49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Pipeline sourced by month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'SDR and BDR pipeline generation'!$A$70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'SDR and BDR pipeline generation'!$B$69:$I$69</c:f>
            </c:strRef>
          </c:cat>
          <c:val>
            <c:numRef>
              <c:f>'SDR and BDR pipeline generation'!$B$70:$I$70</c:f>
            </c:numRef>
          </c:val>
        </c:ser>
        <c:ser>
          <c:idx val="1"/>
          <c:order val="1"/>
          <c:tx>
            <c:strRef>
              <c:f>'SDR and BDR pipeline generation'!$A$71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'SDR and BDR pipeline generation'!$B$69:$I$69</c:f>
            </c:strRef>
          </c:cat>
          <c:val>
            <c:numRef>
              <c:f>'SDR and BDR pipeline generation'!$B$71:$I$71</c:f>
            </c:numRef>
          </c:val>
        </c:ser>
        <c:ser>
          <c:idx val="2"/>
          <c:order val="2"/>
          <c:tx>
            <c:strRef>
              <c:f>'SDR and BDR pipeline generation'!$A$72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'SDR and BDR pipeline generation'!$B$69:$I$69</c:f>
            </c:strRef>
          </c:cat>
          <c:val>
            <c:numRef>
              <c:f>'SDR and BDR pipeline generation'!$B$72:$I$72</c:f>
            </c:numRef>
          </c:val>
        </c:ser>
        <c:ser>
          <c:idx val="3"/>
          <c:order val="3"/>
          <c:tx>
            <c:strRef>
              <c:f>'SDR and BDR pipeline generation'!$A$73</c:f>
            </c:strRef>
          </c:tx>
          <c:spPr>
            <a:solidFill>
              <a:srgbClr val="F59F00"/>
            </a:solidFill>
          </c:spPr>
          <c:invertIfNegative val="0"/>
          <c:cat>
            <c:strRef>
              <c:f>'SDR and BDR pipeline generation'!$B$69:$I$69</c:f>
            </c:strRef>
          </c:cat>
          <c:val>
            <c:numRef>
              <c:f>'SDR and BDR pipeline generation'!$B$73:$I$73</c:f>
            </c:numRef>
          </c:val>
        </c:ser>
        <c:ser>
          <c:idx val="4"/>
          <c:order val="4"/>
          <c:tx>
            <c:strRef>
              <c:f>'SDR and BDR pipeline generation'!$A$74</c:f>
            </c:strRef>
          </c:tx>
          <c:spPr>
            <a:solidFill>
              <a:srgbClr val="7048E8"/>
            </a:solidFill>
          </c:spPr>
          <c:invertIfNegative val="0"/>
          <c:cat>
            <c:strRef>
              <c:f>'SDR and BDR pipeline generation'!$B$69:$I$69</c:f>
            </c:strRef>
          </c:cat>
          <c:val>
            <c:numRef>
              <c:f>'SDR and BDR pipeline generation'!$B$74:$I$74</c:f>
            </c:numRef>
          </c:val>
        </c:ser>
        <c:ser>
          <c:idx val="5"/>
          <c:order val="5"/>
          <c:tx>
            <c:strRef>
              <c:f>'SDR and BDR pipeline generation'!$A$75</c:f>
            </c:strRef>
          </c:tx>
          <c:spPr>
            <a:solidFill>
              <a:srgbClr val="E64980"/>
            </a:solidFill>
          </c:spPr>
          <c:invertIfNegative val="0"/>
          <c:cat>
            <c:strRef>
              <c:f>'SDR and BDR pipeline generation'!$B$69:$I$69</c:f>
            </c:strRef>
          </c:cat>
          <c:val>
            <c:numRef>
              <c:f>'SDR and BDR pipeline generation'!$B$75:$I$75</c:f>
            </c:numRef>
          </c:val>
        </c:ser>
        <c:ser>
          <c:idx val="6"/>
          <c:order val="6"/>
          <c:tx>
            <c:strRef>
              <c:f>'SDR and BDR pipeline generation'!$A$76</c:f>
            </c:strRef>
          </c:tx>
          <c:spPr>
            <a:solidFill>
              <a:srgbClr val="0CA678"/>
            </a:solidFill>
          </c:spPr>
          <c:invertIfNegative val="0"/>
          <c:cat>
            <c:strRef>
              <c:f>'SDR and BDR pipeline generation'!$B$69:$I$69</c:f>
            </c:strRef>
          </c:cat>
          <c:val>
            <c:numRef>
              <c:f>'SDR and BDR pipeline generation'!$B$76:$I$76</c:f>
            </c:numRef>
          </c:val>
        </c:ser>
        <c:ser>
          <c:idx val="7"/>
          <c:order val="7"/>
          <c:tx>
            <c:strRef>
              <c:f>'SDR and BDR pipeline generation'!$A$77</c:f>
            </c:strRef>
          </c:tx>
          <c:spPr>
            <a:solidFill>
              <a:srgbClr val="868E96"/>
            </a:solidFill>
          </c:spPr>
          <c:invertIfNegative val="0"/>
          <c:cat>
            <c:strRef>
              <c:f>'SDR and BDR pipeline generation'!$B$69:$I$69</c:f>
            </c:strRef>
          </c:cat>
          <c:val>
            <c:numRef>
              <c:f>'SDR and BDR pipeline generation'!$B$77:$I$77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Connect rate by month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'SDR and BDR pipeline generation'!$A$98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'SDR and BDR pipeline generation'!$B$97:$I$97</c:f>
            </c:strRef>
          </c:cat>
          <c:val>
            <c:numRef>
              <c:f>'SDR and BDR pipeline generation'!$B$98:$I$98</c:f>
            </c:numRef>
          </c:val>
          <c:smooth val="0"/>
        </c:ser>
        <c:ser>
          <c:idx val="1"/>
          <c:order val="1"/>
          <c:tx>
            <c:strRef>
              <c:f>'SDR and BDR pipeline generation'!$A$99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'SDR and BDR pipeline generation'!$B$97:$I$97</c:f>
            </c:strRef>
          </c:cat>
          <c:val>
            <c:numRef>
              <c:f>'SDR and BDR pipeline generation'!$B$99:$I$99</c:f>
            </c:numRef>
          </c:val>
          <c:smooth val="0"/>
        </c:ser>
        <c:ser>
          <c:idx val="2"/>
          <c:order val="2"/>
          <c:tx>
            <c:strRef>
              <c:f>'SDR and BDR pipeline generation'!$A$100</c:f>
            </c:strRef>
          </c:tx>
          <c:spPr>
            <a:ln w="28575" cap="rnd">
              <a:solidFill>
                <a:srgbClr val="12B886"/>
              </a:solidFill>
              <a:round/>
            </a:ln>
          </c:spPr>
          <c:marker>
            <c:symbol val="circle"/>
            <c:size val="5"/>
          </c:marker>
          <c:cat>
            <c:strRef>
              <c:f>'SDR and BDR pipeline generation'!$B$97:$I$97</c:f>
            </c:strRef>
          </c:cat>
          <c:val>
            <c:numRef>
              <c:f>'SDR and BDR pipeline generation'!$B$100:$I$100</c:f>
            </c:numRef>
          </c:val>
          <c:smooth val="0"/>
        </c:ser>
        <c:ser>
          <c:idx val="3"/>
          <c:order val="3"/>
          <c:tx>
            <c:strRef>
              <c:f>'SDR and BDR pipeline generation'!$A$101</c:f>
            </c:strRef>
          </c:tx>
          <c:spPr>
            <a:ln w="28575" cap="rnd">
              <a:solidFill>
                <a:srgbClr val="F59F00"/>
              </a:solidFill>
              <a:round/>
            </a:ln>
          </c:spPr>
          <c:marker>
            <c:symbol val="circle"/>
            <c:size val="5"/>
          </c:marker>
          <c:cat>
            <c:strRef>
              <c:f>'SDR and BDR pipeline generation'!$B$97:$I$97</c:f>
            </c:strRef>
          </c:cat>
          <c:val>
            <c:numRef>
              <c:f>'SDR and BDR pipeline generation'!$B$101:$I$101</c:f>
            </c:numRef>
          </c:val>
          <c:smooth val="0"/>
        </c:ser>
        <c:ser>
          <c:idx val="4"/>
          <c:order val="4"/>
          <c:tx>
            <c:strRef>
              <c:f>'SDR and BDR pipeline generation'!$A$102</c:f>
            </c:strRef>
          </c:tx>
          <c:spPr>
            <a:ln w="28575" cap="rnd">
              <a:solidFill>
                <a:srgbClr val="7048E8"/>
              </a:solidFill>
              <a:round/>
            </a:ln>
          </c:spPr>
          <c:marker>
            <c:symbol val="circle"/>
            <c:size val="5"/>
          </c:marker>
          <c:cat>
            <c:strRef>
              <c:f>'SDR and BDR pipeline generation'!$B$97:$I$97</c:f>
            </c:strRef>
          </c:cat>
          <c:val>
            <c:numRef>
              <c:f>'SDR and BDR pipeline generation'!$B$102:$I$102</c:f>
            </c:numRef>
          </c:val>
          <c:smooth val="0"/>
        </c:ser>
        <c:ser>
          <c:idx val="5"/>
          <c:order val="5"/>
          <c:tx>
            <c:strRef>
              <c:f>'SDR and BDR pipeline generation'!$A$103</c:f>
            </c:strRef>
          </c:tx>
          <c:spPr>
            <a:ln w="28575" cap="rnd">
              <a:solidFill>
                <a:srgbClr val="E64980"/>
              </a:solidFill>
              <a:round/>
            </a:ln>
          </c:spPr>
          <c:marker>
            <c:symbol val="circle"/>
            <c:size val="5"/>
          </c:marker>
          <c:cat>
            <c:strRef>
              <c:f>'SDR and BDR pipeline generation'!$B$97:$I$97</c:f>
            </c:strRef>
          </c:cat>
          <c:val>
            <c:numRef>
              <c:f>'SDR and BDR pipeline generation'!$B$103:$I$103</c:f>
            </c:numRef>
          </c:val>
          <c:smooth val="0"/>
        </c:ser>
        <c:ser>
          <c:idx val="6"/>
          <c:order val="6"/>
          <c:tx>
            <c:strRef>
              <c:f>'SDR and BDR pipeline generation'!$A$104</c:f>
            </c:strRef>
          </c:tx>
          <c:spPr>
            <a:ln w="28575" cap="rnd">
              <a:solidFill>
                <a:srgbClr val="0CA678"/>
              </a:solidFill>
              <a:round/>
            </a:ln>
          </c:spPr>
          <c:marker>
            <c:symbol val="circle"/>
            <c:size val="5"/>
          </c:marker>
          <c:cat>
            <c:strRef>
              <c:f>'SDR and BDR pipeline generation'!$B$97:$I$97</c:f>
            </c:strRef>
          </c:cat>
          <c:val>
            <c:numRef>
              <c:f>'SDR and BDR pipeline generation'!$B$104:$I$104</c:f>
            </c:numRef>
          </c:val>
          <c:smooth val="0"/>
        </c:ser>
        <c:ser>
          <c:idx val="7"/>
          <c:order val="7"/>
          <c:tx>
            <c:strRef>
              <c:f>'SDR and BDR pipeline generation'!$A$105</c:f>
            </c:strRef>
          </c:tx>
          <c:spPr>
            <a:ln w="28575" cap="rnd">
              <a:solidFill>
                <a:srgbClr val="868E96"/>
              </a:solidFill>
              <a:round/>
            </a:ln>
          </c:spPr>
          <c:marker>
            <c:symbol val="circle"/>
            <c:size val="5"/>
          </c:marker>
          <c:cat>
            <c:strRef>
              <c:f>'SDR and BDR pipeline generation'!$B$97:$I$97</c:f>
            </c:strRef>
          </c:cat>
          <c:val>
            <c:numRef>
              <c:f>'SDR and BDR pipeline generation'!$B$105:$I$105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Spend by channel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'Marketing funnel and pipeline'!$A$12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'Marketing funnel and pipeline'!$B$11:$I$11</c:f>
            </c:strRef>
          </c:cat>
          <c:val>
            <c:numRef>
              <c:f>'Marketing funnel and pipeline'!$B$12:$I$12</c:f>
            </c:numRef>
          </c:val>
        </c:ser>
        <c:ser>
          <c:idx val="1"/>
          <c:order val="1"/>
          <c:tx>
            <c:strRef>
              <c:f>'Marketing funnel and pipeline'!$A$13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'Marketing funnel and pipeline'!$B$11:$I$11</c:f>
            </c:strRef>
          </c:cat>
          <c:val>
            <c:numRef>
              <c:f>'Marketing funnel and pipeline'!$B$13:$I$13</c:f>
            </c:numRef>
          </c:val>
        </c:ser>
        <c:ser>
          <c:idx val="2"/>
          <c:order val="2"/>
          <c:tx>
            <c:strRef>
              <c:f>'Marketing funnel and pipeline'!$A$14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'Marketing funnel and pipeline'!$B$11:$I$11</c:f>
            </c:strRef>
          </c:cat>
          <c:val>
            <c:numRef>
              <c:f>'Marketing funnel and pipeline'!$B$14:$I$14</c:f>
            </c:numRef>
          </c:val>
        </c:ser>
        <c:ser>
          <c:idx val="3"/>
          <c:order val="3"/>
          <c:tx>
            <c:strRef>
              <c:f>'Marketing funnel and pipeline'!$A$15</c:f>
            </c:strRef>
          </c:tx>
          <c:spPr>
            <a:solidFill>
              <a:srgbClr val="F59F00"/>
            </a:solidFill>
          </c:spPr>
          <c:invertIfNegative val="0"/>
          <c:cat>
            <c:strRef>
              <c:f>'Marketing funnel and pipeline'!$B$11:$I$11</c:f>
            </c:strRef>
          </c:cat>
          <c:val>
            <c:numRef>
              <c:f>'Marketing funnel and pipeline'!$B$15:$I$15</c:f>
            </c:numRef>
          </c:val>
        </c:ser>
        <c:gapWidth val="60"/>
        <c:overlap val="10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Pipeline created by channel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'Marketing funnel and pipeline'!$A$36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'Marketing funnel and pipeline'!$B$35:$I$35</c:f>
            </c:strRef>
          </c:cat>
          <c:val>
            <c:numRef>
              <c:f>'Marketing funnel and pipeline'!$B$36:$I$36</c:f>
            </c:numRef>
          </c:val>
        </c:ser>
        <c:ser>
          <c:idx val="1"/>
          <c:order val="1"/>
          <c:tx>
            <c:strRef>
              <c:f>'Marketing funnel and pipeline'!$A$37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'Marketing funnel and pipeline'!$B$35:$I$35</c:f>
            </c:strRef>
          </c:cat>
          <c:val>
            <c:numRef>
              <c:f>'Marketing funnel and pipeline'!$B$37:$I$37</c:f>
            </c:numRef>
          </c:val>
        </c:ser>
        <c:ser>
          <c:idx val="2"/>
          <c:order val="2"/>
          <c:tx>
            <c:strRef>
              <c:f>'Marketing funnel and pipeline'!$A$38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'Marketing funnel and pipeline'!$B$35:$I$35</c:f>
            </c:strRef>
          </c:cat>
          <c:val>
            <c:numRef>
              <c:f>'Marketing funnel and pipeline'!$B$38:$I$38</c:f>
            </c:numRef>
          </c:val>
        </c:ser>
        <c:ser>
          <c:idx val="3"/>
          <c:order val="3"/>
          <c:tx>
            <c:strRef>
              <c:f>'Marketing funnel and pipeline'!$A$39</c:f>
            </c:strRef>
          </c:tx>
          <c:spPr>
            <a:solidFill>
              <a:srgbClr val="F59F00"/>
            </a:solidFill>
          </c:spPr>
          <c:invertIfNegative val="0"/>
          <c:cat>
            <c:strRef>
              <c:f>'Marketing funnel and pipeline'!$B$35:$I$35</c:f>
            </c:strRef>
          </c:cat>
          <c:val>
            <c:numRef>
              <c:f>'Marketing funnel and pipeline'!$B$39:$I$39</c:f>
            </c:numRef>
          </c:val>
        </c:ser>
        <c:ser>
          <c:idx val="4"/>
          <c:order val="4"/>
          <c:tx>
            <c:strRef>
              <c:f>'Marketing funnel and pipeline'!$A$40</c:f>
            </c:strRef>
          </c:tx>
          <c:spPr>
            <a:solidFill>
              <a:srgbClr val="7048E8"/>
            </a:solidFill>
          </c:spPr>
          <c:invertIfNegative val="0"/>
          <c:cat>
            <c:strRef>
              <c:f>'Marketing funnel and pipeline'!$B$35:$I$35</c:f>
            </c:strRef>
          </c:cat>
          <c:val>
            <c:numRef>
              <c:f>'Marketing funnel and pipeline'!$B$40:$I$40</c:f>
            </c:numRef>
          </c:val>
        </c:ser>
        <c:ser>
          <c:idx val="5"/>
          <c:order val="5"/>
          <c:tx>
            <c:strRef>
              <c:f>'Marketing funnel and pipeline'!$A$41</c:f>
            </c:strRef>
          </c:tx>
          <c:spPr>
            <a:solidFill>
              <a:srgbClr val="E64980"/>
            </a:solidFill>
          </c:spPr>
          <c:invertIfNegative val="0"/>
          <c:cat>
            <c:strRef>
              <c:f>'Marketing funnel and pipeline'!$B$35:$I$35</c:f>
            </c:strRef>
          </c:cat>
          <c:val>
            <c:numRef>
              <c:f>'Marketing funnel and pipeline'!$B$41:$I$41</c:f>
            </c:numRef>
          </c:val>
        </c:ser>
        <c:gapWidth val="60"/>
        <c:overlap val="10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Lead to MQL by channel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'Marketing funnel and pipeline'!$A$62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'Marketing funnel and pipeline'!$B$61:$I$61</c:f>
            </c:strRef>
          </c:cat>
          <c:val>
            <c:numRef>
              <c:f>'Marketing funnel and pipeline'!$B$62:$I$62</c:f>
            </c:numRef>
          </c:val>
          <c:smooth val="0"/>
        </c:ser>
        <c:ser>
          <c:idx val="1"/>
          <c:order val="1"/>
          <c:tx>
            <c:strRef>
              <c:f>'Marketing funnel and pipeline'!$A$63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'Marketing funnel and pipeline'!$B$61:$I$61</c:f>
            </c:strRef>
          </c:cat>
          <c:val>
            <c:numRef>
              <c:f>'Marketing funnel and pipeline'!$B$63:$I$63</c:f>
            </c:numRef>
          </c:val>
          <c:smooth val="0"/>
        </c:ser>
        <c:ser>
          <c:idx val="2"/>
          <c:order val="2"/>
          <c:tx>
            <c:strRef>
              <c:f>'Marketing funnel and pipeline'!$A$64</c:f>
            </c:strRef>
          </c:tx>
          <c:spPr>
            <a:ln w="28575" cap="rnd">
              <a:solidFill>
                <a:srgbClr val="12B886"/>
              </a:solidFill>
              <a:round/>
            </a:ln>
          </c:spPr>
          <c:marker>
            <c:symbol val="circle"/>
            <c:size val="5"/>
          </c:marker>
          <c:cat>
            <c:strRef>
              <c:f>'Marketing funnel and pipeline'!$B$61:$I$61</c:f>
            </c:strRef>
          </c:cat>
          <c:val>
            <c:numRef>
              <c:f>'Marketing funnel and pipeline'!$B$64:$I$64</c:f>
            </c:numRef>
          </c:val>
          <c:smooth val="0"/>
        </c:ser>
        <c:ser>
          <c:idx val="3"/>
          <c:order val="3"/>
          <c:tx>
            <c:strRef>
              <c:f>'Marketing funnel and pipeline'!$A$65</c:f>
            </c:strRef>
          </c:tx>
          <c:spPr>
            <a:ln w="28575" cap="rnd">
              <a:solidFill>
                <a:srgbClr val="F59F00"/>
              </a:solidFill>
              <a:round/>
            </a:ln>
          </c:spPr>
          <c:marker>
            <c:symbol val="circle"/>
            <c:size val="5"/>
          </c:marker>
          <c:cat>
            <c:strRef>
              <c:f>'Marketing funnel and pipeline'!$B$61:$I$61</c:f>
            </c:strRef>
          </c:cat>
          <c:val>
            <c:numRef>
              <c:f>'Marketing funnel and pipeline'!$B$65:$I$65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Cost per opportunity by channel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'Marketing funnel and pipeline'!$A$86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'Marketing funnel and pipeline'!$B$85:$I$85</c:f>
            </c:strRef>
          </c:cat>
          <c:val>
            <c:numRef>
              <c:f>'Marketing funnel and pipeline'!$B$86:$I$86</c:f>
            </c:numRef>
          </c:val>
        </c:ser>
        <c:ser>
          <c:idx val="1"/>
          <c:order val="1"/>
          <c:tx>
            <c:strRef>
              <c:f>'Marketing funnel and pipeline'!$A$87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'Marketing funnel and pipeline'!$B$85:$I$85</c:f>
            </c:strRef>
          </c:cat>
          <c:val>
            <c:numRef>
              <c:f>'Marketing funnel and pipeline'!$B$87:$I$87</c:f>
            </c:numRef>
          </c:val>
        </c:ser>
        <c:ser>
          <c:idx val="2"/>
          <c:order val="2"/>
          <c:tx>
            <c:strRef>
              <c:f>'Marketing funnel and pipeline'!$A$88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'Marketing funnel and pipeline'!$B$85:$I$85</c:f>
            </c:strRef>
          </c:cat>
          <c:val>
            <c:numRef>
              <c:f>'Marketing funnel and pipeline'!$B$88:$I$88</c:f>
            </c:numRef>
          </c:val>
        </c:ser>
        <c:ser>
          <c:idx val="3"/>
          <c:order val="3"/>
          <c:tx>
            <c:strRef>
              <c:f>'Marketing funnel and pipeline'!$A$89</c:f>
            </c:strRef>
          </c:tx>
          <c:spPr>
            <a:solidFill>
              <a:srgbClr val="F59F00"/>
            </a:solidFill>
          </c:spPr>
          <c:invertIfNegative val="0"/>
          <c:cat>
            <c:strRef>
              <c:f>'Marketing funnel and pipeline'!$B$85:$I$85</c:f>
            </c:strRef>
          </c:cat>
          <c:val>
            <c:numRef>
              <c:f>'Marketing funnel and pipeline'!$B$89:$I$89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Opportunities created by month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'Marketing funnel and pipeline'!$A$117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'Marketing funnel and pipeline'!$B$116:$J$116</c:f>
            </c:strRef>
          </c:cat>
          <c:val>
            <c:numRef>
              <c:f>'Marketing funnel and pipeline'!$B$117:$J$117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Pipeline created by month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'Marketing funnel and pipeline'!$A$138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'Marketing funnel and pipeline'!$B$137:$J$137</c:f>
            </c:strRef>
          </c:cat>
          <c:val>
            <c:numRef>
              <c:f>'Marketing funnel and pipeline'!$B$138:$J$138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Relationship Id="rId3" Type="http://schemas.openxmlformats.org/officeDocument/2006/relationships/chart" Target="../charts/chart9.xml"/><Relationship Id="rId4" Type="http://schemas.openxmlformats.org/officeDocument/2006/relationships/chart" Target="../charts/chart10.xml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chart" Target="../charts/chart16.xml"/><Relationship Id="rId3" Type="http://schemas.openxmlformats.org/officeDocument/2006/relationships/chart" Target="../charts/chart17.xml"/><Relationship Id="rId4" Type="http://schemas.openxmlformats.org/officeDocument/2006/relationships/chart" Target="../charts/chart18.xml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chart" Target="../charts/chart19.xml"/><Relationship Id="rId2" Type="http://schemas.openxmlformats.org/officeDocument/2006/relationships/chart" Target="../charts/chart20.xml"/><Relationship Id="rId3" Type="http://schemas.openxmlformats.org/officeDocument/2006/relationships/chart" Target="../charts/chart21.xml"/><Relationship Id="rId4" Type="http://schemas.openxmlformats.org/officeDocument/2006/relationships/chart" Target="../charts/chart22.xml"/><Relationship Id="rId5" Type="http://schemas.openxmlformats.org/officeDocument/2006/relationships/chart" Target="../charts/chart23.xml"/><Relationship Id="rId6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22</xdr:row>
      <xdr:rowOff>0</xdr:rowOff>
    </xdr:from>
    <xdr:to>
      <xdr:col>9</xdr:col>
      <xdr:colOff>0</xdr:colOff>
      <xdr:row>38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44</xdr:row>
      <xdr:rowOff>0</xdr:rowOff>
    </xdr:from>
    <xdr:to>
      <xdr:col>9</xdr:col>
      <xdr:colOff>0</xdr:colOff>
      <xdr:row>60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67</xdr:row>
      <xdr:rowOff>0</xdr:rowOff>
    </xdr:from>
    <xdr:to>
      <xdr:col>10</xdr:col>
      <xdr:colOff>0</xdr:colOff>
      <xdr:row>83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0</xdr:col>
      <xdr:colOff>0</xdr:colOff>
      <xdr:row>88</xdr:row>
      <xdr:rowOff>0</xdr:rowOff>
    </xdr:from>
    <xdr:to>
      <xdr:col>10</xdr:col>
      <xdr:colOff>0</xdr:colOff>
      <xdr:row>104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  <xdr:twoCellAnchor editAs="oneCell">
    <xdr:from>
      <xdr:col>0</xdr:col>
      <xdr:colOff>0</xdr:colOff>
      <xdr:row>112</xdr:row>
      <xdr:rowOff>0</xdr:rowOff>
    </xdr:from>
    <xdr:to>
      <xdr:col>9</xdr:col>
      <xdr:colOff>0</xdr:colOff>
      <xdr:row>128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5"/>
        </a:graphicData>
      </a:graphic>
    </xdr:graphicFrame>
    <xdr:clientData/>
  </xdr:twoCellAnchor>
  <xdr:twoCellAnchor editAs="oneCell">
    <xdr:from>
      <xdr:col>0</xdr:col>
      <xdr:colOff>0</xdr:colOff>
      <xdr:row>135</xdr:row>
      <xdr:rowOff>0</xdr:rowOff>
    </xdr:from>
    <xdr:to>
      <xdr:col>9</xdr:col>
      <xdr:colOff>0</xdr:colOff>
      <xdr:row>151</xdr:row>
      <xdr:rowOff>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38</xdr:row>
      <xdr:rowOff>0</xdr:rowOff>
    </xdr:from>
    <xdr:to>
      <xdr:col>9</xdr:col>
      <xdr:colOff>0</xdr:colOff>
      <xdr:row>54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61</xdr:row>
      <xdr:rowOff>0</xdr:rowOff>
    </xdr:from>
    <xdr:to>
      <xdr:col>9</xdr:col>
      <xdr:colOff>0</xdr:colOff>
      <xdr:row>77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111</xdr:row>
      <xdr:rowOff>0</xdr:rowOff>
    </xdr:from>
    <xdr:to>
      <xdr:col>9</xdr:col>
      <xdr:colOff>0</xdr:colOff>
      <xdr:row>127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0</xdr:col>
      <xdr:colOff>0</xdr:colOff>
      <xdr:row>134</xdr:row>
      <xdr:rowOff>0</xdr:rowOff>
    </xdr:from>
    <xdr:to>
      <xdr:col>9</xdr:col>
      <xdr:colOff>0</xdr:colOff>
      <xdr:row>150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77</xdr:row>
      <xdr:rowOff>0</xdr:rowOff>
    </xdr:from>
    <xdr:to>
      <xdr:col>9</xdr:col>
      <xdr:colOff>0</xdr:colOff>
      <xdr:row>93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98</xdr:row>
      <xdr:rowOff>0</xdr:rowOff>
    </xdr:from>
    <xdr:to>
      <xdr:col>9</xdr:col>
      <xdr:colOff>0</xdr:colOff>
      <xdr:row>114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0</xdr:rowOff>
    </xdr:from>
    <xdr:to>
      <xdr:col>14</xdr:col>
      <xdr:colOff>0</xdr:colOff>
      <xdr:row>37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44</xdr:row>
      <xdr:rowOff>0</xdr:rowOff>
    </xdr:from>
    <xdr:to>
      <xdr:col>9</xdr:col>
      <xdr:colOff>0</xdr:colOff>
      <xdr:row>60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22</xdr:row>
      <xdr:rowOff>0</xdr:rowOff>
    </xdr:from>
    <xdr:to>
      <xdr:col>10</xdr:col>
      <xdr:colOff>0</xdr:colOff>
      <xdr:row>38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50</xdr:row>
      <xdr:rowOff>0</xdr:rowOff>
    </xdr:from>
    <xdr:to>
      <xdr:col>10</xdr:col>
      <xdr:colOff>0</xdr:colOff>
      <xdr:row>66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78</xdr:row>
      <xdr:rowOff>0</xdr:rowOff>
    </xdr:from>
    <xdr:to>
      <xdr:col>10</xdr:col>
      <xdr:colOff>0</xdr:colOff>
      <xdr:row>94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0</xdr:col>
      <xdr:colOff>0</xdr:colOff>
      <xdr:row>106</xdr:row>
      <xdr:rowOff>0</xdr:rowOff>
    </xdr:from>
    <xdr:to>
      <xdr:col>10</xdr:col>
      <xdr:colOff>0</xdr:colOff>
      <xdr:row>122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16</xdr:row>
      <xdr:rowOff>0</xdr:rowOff>
    </xdr:from>
    <xdr:to>
      <xdr:col>10</xdr:col>
      <xdr:colOff>0</xdr:colOff>
      <xdr:row>32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42</xdr:row>
      <xdr:rowOff>0</xdr:rowOff>
    </xdr:from>
    <xdr:to>
      <xdr:col>10</xdr:col>
      <xdr:colOff>0</xdr:colOff>
      <xdr:row>58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66</xdr:row>
      <xdr:rowOff>0</xdr:rowOff>
    </xdr:from>
    <xdr:to>
      <xdr:col>10</xdr:col>
      <xdr:colOff>0</xdr:colOff>
      <xdr:row>82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0</xdr:col>
      <xdr:colOff>0</xdr:colOff>
      <xdr:row>90</xdr:row>
      <xdr:rowOff>0</xdr:rowOff>
    </xdr:from>
    <xdr:to>
      <xdr:col>10</xdr:col>
      <xdr:colOff>0</xdr:colOff>
      <xdr:row>106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  <xdr:twoCellAnchor editAs="oneCell">
    <xdr:from>
      <xdr:col>0</xdr:col>
      <xdr:colOff>0</xdr:colOff>
      <xdr:row>118</xdr:row>
      <xdr:rowOff>0</xdr:rowOff>
    </xdr:from>
    <xdr:to>
      <xdr:col>11</xdr:col>
      <xdr:colOff>0</xdr:colOff>
      <xdr:row>134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5"/>
        </a:graphicData>
      </a:graphic>
    </xdr:graphicFrame>
    <xdr:clientData/>
  </xdr:twoCellAnchor>
  <xdr:twoCellAnchor editAs="oneCell">
    <xdr:from>
      <xdr:col>0</xdr:col>
      <xdr:colOff>0</xdr:colOff>
      <xdr:row>139</xdr:row>
      <xdr:rowOff>0</xdr:rowOff>
    </xdr:from>
    <xdr:to>
      <xdr:col>11</xdr:col>
      <xdr:colOff>0</xdr:colOff>
      <xdr:row>155</xdr:row>
      <xdr:rowOff>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6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</cols>
  <sheetData>
    <row r="1">
      <c r="A1" s="1" t="inlineStr">
        <is>
          <t xml:space="preserve">Bookings, Q3 to date</t>
        </is>
      </c>
    </row>
    <row r="2">
      <c r="A2" s="1" t="inlineStr">
        <is>
          <t xml:space="preserve">line</t>
        </is>
      </c>
      <c r="B2" s="1" t="inlineStr">
        <is>
          <t xml:space="preserve">Q3 2026</t>
        </is>
      </c>
    </row>
    <row r="3">
      <c r="A3" s="0" t="inlineStr">
        <is>
          <t xml:space="preserve">Bookings</t>
        </is>
      </c>
      <c r="B3" s="4">
        <f>'Company quarterly'!G3</f>
        <v>4103800</v>
      </c>
    </row>
    <row r="5">
      <c r="A5" s="1" t="inlineStr">
        <is>
          <t xml:space="preserve">Attainment, Q3 to date</t>
        </is>
      </c>
    </row>
    <row r="6">
      <c r="A6" s="1" t="inlineStr">
        <is>
          <t xml:space="preserve">line</t>
        </is>
      </c>
      <c r="B6" s="1" t="inlineStr">
        <is>
          <t xml:space="preserve">Q3 2026</t>
        </is>
      </c>
    </row>
    <row r="7">
      <c r="A7" s="0" t="inlineStr">
        <is>
          <t xml:space="preserve">Attainment</t>
        </is>
      </c>
      <c r="B7" s="12">
        <f>'Company quarterly'!G4</f>
        <v>0.9071175950486295</v>
      </c>
    </row>
    <row r="9">
      <c r="A9" s="1" t="inlineStr">
        <is>
          <t xml:space="preserve">Forecast attainment, Q3</t>
        </is>
      </c>
    </row>
    <row r="10">
      <c r="A10" s="1" t="inlineStr">
        <is>
          <t xml:space="preserve">line</t>
        </is>
      </c>
      <c r="B10" s="1" t="inlineStr">
        <is>
          <t xml:space="preserve">Q3 2026</t>
        </is>
      </c>
    </row>
    <row r="11">
      <c r="A11" s="0" t="inlineStr">
        <is>
          <t xml:space="preserve">Forecast attainment</t>
        </is>
      </c>
      <c r="B11" s="12">
        <f>'Company quarterly'!G6</f>
        <v>1.1575419982316535</v>
      </c>
    </row>
    <row r="13">
      <c r="A13" s="1" t="inlineStr">
        <is>
          <t xml:space="preserve">Pipeline coverage of Q3 gap</t>
        </is>
      </c>
    </row>
    <row r="14">
      <c r="A14" s="1" t="inlineStr">
        <is>
          <t xml:space="preserve">line</t>
        </is>
      </c>
      <c r="B14" s="1" t="inlineStr">
        <is>
          <t xml:space="preserve">Q3 2026</t>
        </is>
      </c>
    </row>
    <row r="15">
      <c r="A15" s="0" t="inlineStr">
        <is>
          <t xml:space="preserve">Coverage of gap (x)</t>
        </is>
      </c>
      <c r="B15" s="8">
        <f>'Company quarterly'!G11</f>
        <v>6.4959543074726325</v>
      </c>
    </row>
    <row r="17">
      <c r="A17" s="1" t="inlineStr">
        <is>
          <t xml:space="preserve">Bookings, forecast and quota by quarter</t>
        </is>
      </c>
    </row>
    <row r="18">
      <c r="A18" s="1" t="inlineStr">
        <is>
          <t xml:space="preserve">line</t>
        </is>
      </c>
      <c r="B18" s="1" t="inlineStr">
        <is>
          <t xml:space="preserve">Q1 2026</t>
        </is>
      </c>
      <c r="C18" s="1" t="inlineStr">
        <is>
          <t xml:space="preserve">Q2 2026</t>
        </is>
      </c>
      <c r="D18" s="1" t="inlineStr">
        <is>
          <t xml:space="preserve">Q3 2026</t>
        </is>
      </c>
      <c r="E18" s="1" t="inlineStr">
        <is>
          <t xml:space="preserve">Q4 2026</t>
        </is>
      </c>
    </row>
    <row r="19">
      <c r="A19" s="0" t="inlineStr">
        <is>
          <t xml:space="preserve">Bookings</t>
        </is>
      </c>
      <c r="B19" s="4">
        <f>'Company quarterly'!E3</f>
        <v>4462000</v>
      </c>
      <c r="C19" s="4">
        <f>'Company quarterly'!F3</f>
        <v>3855000</v>
      </c>
      <c r="D19" s="4">
        <f>'Company quarterly'!G3</f>
        <v>4103800</v>
      </c>
      <c r="E19" s="4">
        <f>'Company quarterly'!H3</f>
        <v>0</v>
      </c>
    </row>
    <row r="20">
      <c r="A20" s="0" t="inlineStr">
        <is>
          <t xml:space="preserve">Forecast (booked + weighted pipeline)</t>
        </is>
      </c>
      <c r="B20" s="4">
        <f>'Company quarterly'!E5</f>
        <v>4462000</v>
      </c>
      <c r="C20" s="4">
        <f>'Company quarterly'!F5</f>
        <v>3855000</v>
      </c>
      <c r="D20" s="4">
        <f>'Company quarterly'!G5</f>
        <v>5236720</v>
      </c>
      <c r="E20" s="4">
        <f>'Company quarterly'!H5</f>
        <v>3226760</v>
      </c>
    </row>
    <row r="21">
      <c r="A21" s="0" t="inlineStr">
        <is>
          <t xml:space="preserve">Quota</t>
        </is>
      </c>
      <c r="B21" s="4">
        <f>'Company quarterly'!E2</f>
        <v>4062000</v>
      </c>
      <c r="C21" s="4">
        <f>'Company quarterly'!F2</f>
        <v>4273000</v>
      </c>
      <c r="D21" s="4">
        <f>'Company quarterly'!G2</f>
        <v>4524000</v>
      </c>
      <c r="E21" s="4">
        <f>'Company quarterly'!H2</f>
        <v>4776000</v>
      </c>
    </row>
    <row r="40">
      <c r="A40" s="1" t="inlineStr">
        <is>
          <t xml:space="preserve">Attainment and forecast attainment</t>
        </is>
      </c>
    </row>
    <row r="41">
      <c r="A41" s="1" t="inlineStr">
        <is>
          <t xml:space="preserve">line</t>
        </is>
      </c>
      <c r="B41" s="1" t="inlineStr">
        <is>
          <t xml:space="preserve">Q1 2026</t>
        </is>
      </c>
      <c r="C41" s="1" t="inlineStr">
        <is>
          <t xml:space="preserve">Q2 2026</t>
        </is>
      </c>
      <c r="D41" s="1" t="inlineStr">
        <is>
          <t xml:space="preserve">Q3 2026</t>
        </is>
      </c>
      <c r="E41" s="1" t="inlineStr">
        <is>
          <t xml:space="preserve">Q4 2026</t>
        </is>
      </c>
    </row>
    <row r="42">
      <c r="A42" s="0" t="inlineStr">
        <is>
          <t xml:space="preserve">Attainment</t>
        </is>
      </c>
      <c r="B42" s="12">
        <f>'Company quarterly'!E4</f>
        <v>1.0984736582964056</v>
      </c>
      <c r="C42" s="12">
        <f>'Company quarterly'!F4</f>
        <v>0.902176456821905</v>
      </c>
      <c r="D42" s="12">
        <f>'Company quarterly'!G4</f>
        <v>0.9071175950486295</v>
      </c>
      <c r="E42" s="12">
        <f>'Company quarterly'!H4</f>
      </c>
    </row>
    <row r="43">
      <c r="A43" s="0" t="inlineStr">
        <is>
          <t xml:space="preserve">Forecast attainment</t>
        </is>
      </c>
      <c r="B43" s="12">
        <f>'Company quarterly'!E6</f>
        <v>1.0984736582964056</v>
      </c>
      <c r="C43" s="12">
        <f>'Company quarterly'!F6</f>
        <v>0.902176456821905</v>
      </c>
      <c r="D43" s="12">
        <f>'Company quarterly'!G6</f>
        <v>1.1575419982316535</v>
      </c>
      <c r="E43" s="12">
        <f>'Company quarterly'!H6</f>
        <v>0.6756197654941374</v>
      </c>
    </row>
    <row r="62">
      <c r="A62" s="1" t="inlineStr">
        <is>
          <t xml:space="preserve">ARR bridge by month</t>
        </is>
      </c>
    </row>
    <row r="63">
      <c r="A63" s="1" t="inlineStr">
        <is>
          <t xml:space="preserve">line</t>
        </is>
      </c>
      <c r="B63" s="1" t="inlineStr">
        <is>
          <t xml:space="preserve">Jan-26</t>
        </is>
      </c>
      <c r="C63" s="1" t="inlineStr">
        <is>
          <t xml:space="preserve">Feb-26</t>
        </is>
      </c>
      <c r="D63" s="1" t="inlineStr">
        <is>
          <t xml:space="preserve">Mar-26</t>
        </is>
      </c>
      <c r="E63" s="1" t="inlineStr">
        <is>
          <t xml:space="preserve">Apr-26</t>
        </is>
      </c>
      <c r="F63" s="1" t="inlineStr">
        <is>
          <t xml:space="preserve">May-26</t>
        </is>
      </c>
      <c r="G63" s="1" t="inlineStr">
        <is>
          <t xml:space="preserve">Jun-26</t>
        </is>
      </c>
      <c r="H63" s="1" t="inlineStr">
        <is>
          <t xml:space="preserve">Jul-26</t>
        </is>
      </c>
      <c r="I63" s="1" t="inlineStr">
        <is>
          <t xml:space="preserve">Aug-26</t>
        </is>
      </c>
    </row>
    <row r="64">
      <c r="A64" s="0" t="inlineStr">
        <is>
          <t xml:space="preserve">New-logo ARR</t>
        </is>
      </c>
      <c r="B64" s="4">
        <f>'Company monthly and ARR bridge'!K13</f>
        <v>903400</v>
      </c>
      <c r="C64" s="4">
        <f>'Company monthly and ARR bridge'!L13</f>
        <v>1003100</v>
      </c>
      <c r="D64" s="4">
        <f>'Company monthly and ARR bridge'!M13</f>
        <v>1870000</v>
      </c>
      <c r="E64" s="4">
        <f>'Company monthly and ARR bridge'!N13</f>
        <v>855600</v>
      </c>
      <c r="F64" s="4">
        <f>'Company monthly and ARR bridge'!O13</f>
        <v>409700</v>
      </c>
      <c r="G64" s="4">
        <f>'Company monthly and ARR bridge'!P13</f>
        <v>1594200</v>
      </c>
      <c r="H64" s="4">
        <f>'Company monthly and ARR bridge'!Q13</f>
        <v>895700</v>
      </c>
      <c r="I64" s="4">
        <f>'Company monthly and ARR bridge'!R13</f>
        <v>881500</v>
      </c>
    </row>
    <row r="65">
      <c r="A65" s="0" t="inlineStr">
        <is>
          <t xml:space="preserve">Expansion ARR</t>
        </is>
      </c>
      <c r="B65" s="4">
        <f>'Company monthly and ARR bridge'!K14</f>
        <v>210100</v>
      </c>
      <c r="C65" s="4">
        <f>'Company monthly and ARR bridge'!L14</f>
        <v>229900</v>
      </c>
      <c r="D65" s="4">
        <f>'Company monthly and ARR bridge'!M14</f>
        <v>245500</v>
      </c>
      <c r="E65" s="4">
        <f>'Company monthly and ARR bridge'!N14</f>
        <v>34900</v>
      </c>
      <c r="F65" s="4">
        <f>'Company monthly and ARR bridge'!O14</f>
        <v>416300</v>
      </c>
      <c r="G65" s="4">
        <f>'Company monthly and ARR bridge'!P14</f>
        <v>544300</v>
      </c>
      <c r="H65" s="4">
        <f>'Company monthly and ARR bridge'!Q14</f>
        <v>471100</v>
      </c>
      <c r="I65" s="4">
        <f>'Company monthly and ARR bridge'!R14</f>
        <v>72200</v>
      </c>
    </row>
    <row r="66">
      <c r="A66" s="0" t="inlineStr">
        <is>
          <t xml:space="preserve">Churned ARR</t>
        </is>
      </c>
      <c r="B66" s="4">
        <f>'Company monthly and ARR bridge'!K15</f>
        <v>-57000</v>
      </c>
      <c r="C66" s="4">
        <f>'Company monthly and ARR bridge'!L15</f>
        <v>-193200</v>
      </c>
      <c r="D66" s="4">
        <f>'Company monthly and ARR bridge'!M15</f>
        <v>-348900</v>
      </c>
      <c r="E66" s="4">
        <f>'Company monthly and ARR bridge'!N15</f>
        <v>-217000</v>
      </c>
      <c r="F66" s="4">
        <f>'Company monthly and ARR bridge'!O15</f>
        <v>-610100</v>
      </c>
      <c r="G66" s="4">
        <f>'Company monthly and ARR bridge'!P15</f>
        <v>-143200</v>
      </c>
      <c r="H66" s="4">
        <f>'Company monthly and ARR bridge'!Q15</f>
        <v>-190100</v>
      </c>
      <c r="I66" s="4">
        <f>'Company monthly and ARR bridge'!R15</f>
        <v>-186800</v>
      </c>
    </row>
    <row r="85">
      <c r="A85" s="1" t="inlineStr">
        <is>
          <t xml:space="preserve">Ending ARR</t>
        </is>
      </c>
    </row>
    <row r="86">
      <c r="A86" s="1" t="inlineStr">
        <is>
          <t xml:space="preserve">line</t>
        </is>
      </c>
      <c r="B86" s="1" t="inlineStr">
        <is>
          <t xml:space="preserve">Jan-26</t>
        </is>
      </c>
      <c r="C86" s="1" t="inlineStr">
        <is>
          <t xml:space="preserve">Feb-26</t>
        </is>
      </c>
      <c r="D86" s="1" t="inlineStr">
        <is>
          <t xml:space="preserve">Mar-26</t>
        </is>
      </c>
      <c r="E86" s="1" t="inlineStr">
        <is>
          <t xml:space="preserve">Apr-26</t>
        </is>
      </c>
      <c r="F86" s="1" t="inlineStr">
        <is>
          <t xml:space="preserve">May-26</t>
        </is>
      </c>
      <c r="G86" s="1" t="inlineStr">
        <is>
          <t xml:space="preserve">Jun-26</t>
        </is>
      </c>
      <c r="H86" s="1" t="inlineStr">
        <is>
          <t xml:space="preserve">Jul-26</t>
        </is>
      </c>
      <c r="I86" s="1" t="inlineStr">
        <is>
          <t xml:space="preserve">Aug-26</t>
        </is>
      </c>
    </row>
    <row r="87">
      <c r="A87" s="0" t="inlineStr">
        <is>
          <t xml:space="preserve">Ending ARR</t>
        </is>
      </c>
      <c r="B87" s="4">
        <f>'Company monthly and ARR bridge'!K16</f>
        <v>58645200</v>
      </c>
      <c r="C87" s="4">
        <f>'Company monthly and ARR bridge'!L16</f>
        <v>59685000</v>
      </c>
      <c r="D87" s="4">
        <f>'Company monthly and ARR bridge'!M16</f>
        <v>61451600</v>
      </c>
      <c r="E87" s="4">
        <f>'Company monthly and ARR bridge'!N16</f>
        <v>62125100</v>
      </c>
      <c r="F87" s="4">
        <f>'Company monthly and ARR bridge'!O16</f>
        <v>62341000</v>
      </c>
      <c r="G87" s="4">
        <f>'Company monthly and ARR bridge'!P16</f>
        <v>64336300</v>
      </c>
      <c r="H87" s="4">
        <f>'Company monthly and ARR bridge'!Q16</f>
        <v>65513000</v>
      </c>
      <c r="I87" s="4">
        <f>'Company monthly and ARR bridge'!R16</f>
        <v>66279900</v>
      </c>
    </row>
    <row r="106">
      <c r="A106" s="1" t="inlineStr">
        <is>
          <t xml:space="preserve">Bookings by region</t>
        </is>
      </c>
    </row>
    <row r="107">
      <c r="A107" s="1" t="inlineStr">
        <is>
          <t xml:space="preserve">region</t>
        </is>
      </c>
      <c r="B107" s="1" t="inlineStr">
        <is>
          <t xml:space="preserve">Q1 2026</t>
        </is>
      </c>
      <c r="C107" s="1" t="inlineStr">
        <is>
          <t xml:space="preserve">Q2 2026</t>
        </is>
      </c>
      <c r="D107" s="1" t="inlineStr">
        <is>
          <t xml:space="preserve">Q3 2026</t>
        </is>
      </c>
      <c r="E107" s="1" t="inlineStr">
        <is>
          <t xml:space="preserve">Q4 2026</t>
        </is>
      </c>
    </row>
    <row r="108">
      <c r="A108" s="0" t="inlineStr">
        <is>
          <t xml:space="preserve">AMER East</t>
        </is>
      </c>
      <c r="B108" s="4">
        <f>'Region quarterly'!F6</f>
        <v>1075500</v>
      </c>
      <c r="C108" s="4">
        <f>'Region quarterly'!G6</f>
        <v>868900</v>
      </c>
      <c r="D108" s="4">
        <f>'Region quarterly'!H6</f>
        <v>506600</v>
      </c>
      <c r="E108" s="4">
        <f>'Region quarterly'!I6</f>
        <v>0</v>
      </c>
    </row>
    <row r="109">
      <c r="A109" s="0" t="inlineStr">
        <is>
          <t xml:space="preserve">AMER West</t>
        </is>
      </c>
      <c r="B109" s="4">
        <f>'Region quarterly'!F7</f>
        <v>1953600</v>
      </c>
      <c r="C109" s="4">
        <f>'Region quarterly'!G7</f>
        <v>1332500</v>
      </c>
      <c r="D109" s="4">
        <f>'Region quarterly'!H7</f>
        <v>1948900</v>
      </c>
      <c r="E109" s="4">
        <f>'Region quarterly'!I7</f>
        <v>0</v>
      </c>
    </row>
    <row r="110">
      <c r="A110" s="0" t="inlineStr">
        <is>
          <t xml:space="preserve">EMEA</t>
        </is>
      </c>
      <c r="B110" s="4">
        <f>'Region quarterly'!F8</f>
        <v>1175000</v>
      </c>
      <c r="C110" s="4">
        <f>'Region quarterly'!G8</f>
        <v>955700</v>
      </c>
      <c r="D110" s="4">
        <f>'Region quarterly'!H8</f>
        <v>887800</v>
      </c>
      <c r="E110" s="4">
        <f>'Region quarterly'!I8</f>
        <v>0</v>
      </c>
    </row>
    <row r="111">
      <c r="A111" s="0" t="inlineStr">
        <is>
          <t xml:space="preserve">APAC</t>
        </is>
      </c>
      <c r="B111" s="4">
        <f>'Region quarterly'!F9</f>
        <v>257900</v>
      </c>
      <c r="C111" s="4">
        <f>'Region quarterly'!G9</f>
        <v>697900</v>
      </c>
      <c r="D111" s="4">
        <f>'Region quarterly'!H9</f>
        <v>760500</v>
      </c>
      <c r="E111" s="4">
        <f>'Region quarterly'!I9</f>
        <v>0</v>
      </c>
    </row>
    <row r="130">
      <c r="A130" s="1" t="inlineStr">
        <is>
          <t xml:space="preserve">Win rate by segment</t>
        </is>
      </c>
    </row>
    <row r="131">
      <c r="A131" s="1" t="inlineStr">
        <is>
          <t xml:space="preserve">segment</t>
        </is>
      </c>
      <c r="B131" s="1" t="inlineStr">
        <is>
          <t xml:space="preserve">Q1 2026</t>
        </is>
      </c>
      <c r="C131" s="1" t="inlineStr">
        <is>
          <t xml:space="preserve">Q2 2026</t>
        </is>
      </c>
      <c r="D131" s="1" t="inlineStr">
        <is>
          <t xml:space="preserve">Q3 2026</t>
        </is>
      </c>
      <c r="E131" s="1" t="inlineStr">
        <is>
          <t xml:space="preserve">Q4 2026</t>
        </is>
      </c>
    </row>
    <row r="132">
      <c r="A132" s="0" t="inlineStr">
        <is>
          <t xml:space="preserve">Enterprise</t>
        </is>
      </c>
      <c r="B132" s="12">
        <f>'Segment quarterly'!F29</f>
        <v>0.2777777777777778</v>
      </c>
      <c r="C132" s="12">
        <f>'Segment quarterly'!G29</f>
        <v>0.32608695652173914</v>
      </c>
      <c r="D132" s="12">
        <f>'Segment quarterly'!H29</f>
        <v>0.3181818181818182</v>
      </c>
      <c r="E132" s="12">
        <f>'Segment quarterly'!I29</f>
      </c>
    </row>
    <row r="133">
      <c r="A133" s="0" t="inlineStr">
        <is>
          <t xml:space="preserve">Mid-Market</t>
        </is>
      </c>
      <c r="B133" s="12">
        <f>'Segment quarterly'!F30</f>
        <v>0.30612244897959184</v>
      </c>
      <c r="C133" s="12">
        <f>'Segment quarterly'!G30</f>
        <v>0.36363636363636365</v>
      </c>
      <c r="D133" s="12">
        <f>'Segment quarterly'!H30</f>
        <v>0.3877551020408163</v>
      </c>
      <c r="E133" s="12">
        <f>'Segment quarterly'!I30</f>
      </c>
    </row>
    <row r="134">
      <c r="A134" s="0" t="inlineStr">
        <is>
          <t xml:space="preserve">SMB</t>
        </is>
      </c>
      <c r="B134" s="12">
        <f>'Segment quarterly'!F31</f>
        <v>0.41935483870967744</v>
      </c>
      <c r="C134" s="12">
        <f>'Segment quarterly'!G31</f>
        <v>0.3333333333333333</v>
      </c>
      <c r="D134" s="12">
        <f>'Segment quarterly'!H31</f>
        <v>0.39344262295081966</v>
      </c>
      <c r="E134" s="12">
        <f>'Segment quarterly'!I31</f>
      </c>
    </row>
    <row r="153">
      <c r="A153" s="1" t="inlineStr">
        <is>
          <t xml:space="preserve">Company scorecard by quarter</t>
        </is>
      </c>
    </row>
    <row r="154">
      <c r="A154" s="1" t="inlineStr">
        <is>
          <t xml:space="preserve">line</t>
        </is>
      </c>
      <c r="B154" s="1" t="inlineStr">
        <is>
          <t xml:space="preserve">Q4 2025</t>
        </is>
      </c>
      <c r="C154" s="1" t="inlineStr">
        <is>
          <t xml:space="preserve">Q1 2026</t>
        </is>
      </c>
      <c r="D154" s="1" t="inlineStr">
        <is>
          <t xml:space="preserve">Q2 2026</t>
        </is>
      </c>
      <c r="E154" s="1" t="inlineStr">
        <is>
          <t xml:space="preserve">Q3 2026</t>
        </is>
      </c>
      <c r="F154" s="1" t="inlineStr">
        <is>
          <t xml:space="preserve">Q4 2026</t>
        </is>
      </c>
    </row>
    <row r="155">
      <c r="A155" s="0" t="inlineStr">
        <is>
          <t xml:space="preserve">Quota</t>
        </is>
      </c>
      <c r="B155" s="4">
        <f>'Company quarterly'!D2</f>
        <v>3872000</v>
      </c>
      <c r="C155" s="4">
        <f>'Company quarterly'!E2</f>
        <v>4062000</v>
      </c>
      <c r="D155" s="4">
        <f>'Company quarterly'!F2</f>
        <v>4273000</v>
      </c>
      <c r="E155" s="4">
        <f>'Company quarterly'!G2</f>
        <v>4524000</v>
      </c>
      <c r="F155" s="4">
        <f>'Company quarterly'!H2</f>
        <v>4776000</v>
      </c>
    </row>
    <row r="156">
      <c r="A156" s="0" t="inlineStr">
        <is>
          <t xml:space="preserve">Bookings</t>
        </is>
      </c>
      <c r="B156" s="4">
        <f>'Company quarterly'!D3</f>
        <v>2786300</v>
      </c>
      <c r="C156" s="4">
        <f>'Company quarterly'!E3</f>
        <v>4462000</v>
      </c>
      <c r="D156" s="4">
        <f>'Company quarterly'!F3</f>
        <v>3855000</v>
      </c>
      <c r="E156" s="4">
        <f>'Company quarterly'!G3</f>
        <v>4103800</v>
      </c>
      <c r="F156" s="4">
        <f>'Company quarterly'!H3</f>
        <v>0</v>
      </c>
    </row>
    <row r="157">
      <c r="A157" s="0" t="inlineStr">
        <is>
          <t xml:space="preserve">Attainment</t>
        </is>
      </c>
      <c r="B157" s="12">
        <f>'Company quarterly'!D4</f>
        <v>0.7196022727272727</v>
      </c>
      <c r="C157" s="12">
        <f>'Company quarterly'!E4</f>
        <v>1.0984736582964056</v>
      </c>
      <c r="D157" s="12">
        <f>'Company quarterly'!F4</f>
        <v>0.902176456821905</v>
      </c>
      <c r="E157" s="12">
        <f>'Company quarterly'!G4</f>
        <v>0.9071175950486295</v>
      </c>
      <c r="F157" s="12">
        <f>'Company quarterly'!H4</f>
      </c>
    </row>
    <row r="158">
      <c r="A158" s="0" t="inlineStr">
        <is>
          <t xml:space="preserve">Forecast (booked + weighted pipeline)</t>
        </is>
      </c>
      <c r="B158" s="4">
        <f>'Company quarterly'!D5</f>
        <v>2786300</v>
      </c>
      <c r="C158" s="4">
        <f>'Company quarterly'!E5</f>
        <v>4462000</v>
      </c>
      <c r="D158" s="4">
        <f>'Company quarterly'!F5</f>
        <v>3855000</v>
      </c>
      <c r="E158" s="4">
        <f>'Company quarterly'!G5</f>
        <v>5236720</v>
      </c>
      <c r="F158" s="4">
        <f>'Company quarterly'!H5</f>
        <v>3226760</v>
      </c>
    </row>
    <row r="159">
      <c r="A159" s="0" t="inlineStr">
        <is>
          <t xml:space="preserve">Forecast attainment</t>
        </is>
      </c>
      <c r="B159" s="12">
        <f>'Company quarterly'!D6</f>
        <v>0.7196022727272727</v>
      </c>
      <c r="C159" s="12">
        <f>'Company quarterly'!E6</f>
        <v>1.0984736582964056</v>
      </c>
      <c r="D159" s="12">
        <f>'Company quarterly'!F6</f>
        <v>0.902176456821905</v>
      </c>
      <c r="E159" s="12">
        <f>'Company quarterly'!G6</f>
        <v>1.1575419982316535</v>
      </c>
      <c r="F159" s="12">
        <f>'Company quarterly'!H6</f>
        <v>0.6756197654941374</v>
      </c>
    </row>
    <row r="160">
      <c r="A160" s="0" t="inlineStr">
        <is>
          <t xml:space="preserve">Open pipeline</t>
        </is>
      </c>
      <c r="B160" s="4">
        <f>'Company quarterly'!D8</f>
        <v>0</v>
      </c>
      <c r="C160" s="4">
        <f>'Company quarterly'!E8</f>
        <v>0</v>
      </c>
      <c r="D160" s="4">
        <f>'Company quarterly'!F8</f>
        <v>0</v>
      </c>
      <c r="E160" s="4">
        <f>'Company quarterly'!G8</f>
        <v>2729600</v>
      </c>
      <c r="F160" s="4">
        <f>'Company quarterly'!H8</f>
        <v>12207200</v>
      </c>
    </row>
    <row r="161">
      <c r="A161" s="0" t="inlineStr">
        <is>
          <t xml:space="preserve">Coverage of gap (x)</t>
        </is>
      </c>
      <c r="B161" s="8">
        <f>'Company quarterly'!D11</f>
      </c>
      <c r="C161" s="8">
        <f>'Company quarterly'!E11</f>
      </c>
      <c r="D161" s="8">
        <f>'Company quarterly'!F11</f>
      </c>
      <c r="E161" s="8">
        <f>'Company quarterly'!G11</f>
        <v>6.4959543074726325</v>
      </c>
      <c r="F161" s="8">
        <f>'Company quarterly'!H11</f>
        <v>2.5559463986599664</v>
      </c>
    </row>
    <row r="162">
      <c r="A162" s="0" t="inlineStr">
        <is>
          <t xml:space="preserve">Deals won</t>
        </is>
      </c>
      <c r="B162" s="4">
        <f>'Company quarterly'!D13</f>
        <v>94</v>
      </c>
      <c r="C162" s="4">
        <f>'Company quarterly'!E13</f>
        <v>92</v>
      </c>
      <c r="D162" s="4">
        <f>'Company quarterly'!F13</f>
        <v>109</v>
      </c>
      <c r="E162" s="4">
        <f>'Company quarterly'!G13</f>
        <v>100</v>
      </c>
      <c r="F162" s="4">
        <f>'Company quarterly'!H13</f>
        <v>0</v>
      </c>
    </row>
    <row r="163">
      <c r="A163" s="0" t="inlineStr">
        <is>
          <t xml:space="preserve">Win rate</t>
        </is>
      </c>
      <c r="B163" s="12">
        <f>'Company quarterly'!D15</f>
        <v>0.3715415019762846</v>
      </c>
      <c r="C163" s="12">
        <f>'Company quarterly'!E15</f>
        <v>0.35658914728682173</v>
      </c>
      <c r="D163" s="12">
        <f>'Company quarterly'!F15</f>
        <v>0.3438485804416404</v>
      </c>
      <c r="E163" s="12">
        <f>'Company quarterly'!G15</f>
        <v>0.3787878787878788</v>
      </c>
      <c r="F163" s="12">
        <f>'Company quarterly'!H15</f>
      </c>
    </row>
    <row r="164">
      <c r="A164" s="0" t="inlineStr">
        <is>
          <t xml:space="preserve">Average deal</t>
        </is>
      </c>
      <c r="B164" s="8">
        <f>'Company quarterly'!D16</f>
        <v>29641.489361702126</v>
      </c>
      <c r="C164" s="8">
        <f>'Company quarterly'!E16</f>
        <v>48500</v>
      </c>
      <c r="D164" s="8">
        <f>'Company quarterly'!F16</f>
        <v>35366.97247706422</v>
      </c>
      <c r="E164" s="8">
        <f>'Company quarterly'!G16</f>
        <v>41038</v>
      </c>
      <c r="F164" s="8">
        <f>'Company quarterly'!H16</f>
      </c>
    </row>
    <row r="165">
      <c r="A165" s="0" t="inlineStr">
        <is>
          <t xml:space="preserve">Average sales cycle (days)</t>
        </is>
      </c>
      <c r="B165" s="8">
        <f>'Company quarterly'!D17</f>
        <v>54.47872340425532</v>
      </c>
      <c r="C165" s="8">
        <f>'Company quarterly'!E17</f>
        <v>57.15217391304348</v>
      </c>
      <c r="D165" s="8">
        <f>'Company quarterly'!F17</f>
        <v>66.1743119266055</v>
      </c>
      <c r="E165" s="8">
        <f>'Company quarterly'!G17</f>
        <v>51.17</v>
      </c>
      <c r="F165" s="8">
        <f>'Company quarterly'!H17</f>
      </c>
    </row>
    <row r="166">
      <c r="A166" s="0" t="inlineStr">
        <is>
          <t xml:space="preserve">New-logo share of bookings</t>
        </is>
      </c>
      <c r="B166" s="12">
        <f>'Company quarterly'!D19</f>
        <v>0.8284822165595952</v>
      </c>
      <c r="C166" s="12">
        <f>'Company quarterly'!E19</f>
        <v>0.8463693411026445</v>
      </c>
      <c r="D166" s="12">
        <f>'Company quarterly'!F19</f>
        <v>0.7417639429312581</v>
      </c>
      <c r="E166" s="12">
        <f>'Company quarterly'!G19</f>
        <v>0.8459476582679468</v>
      </c>
      <c r="F166" s="12">
        <f>'Company quarterly'!H19</f>
        <v>0</v>
      </c>
    </row>
    <row r="167">
      <c r="A167" s="0" t="inlineStr">
        <is>
          <t xml:space="preserve">Sales variable pay</t>
        </is>
      </c>
      <c r="B167" s="8">
        <f>'Company quarterly'!D21</f>
        <v>485644.21749999997</v>
      </c>
      <c r="C167" s="8">
        <f>'Company quarterly'!E21</f>
        <v>629184.37</v>
      </c>
      <c r="D167" s="8">
        <f>'Company quarterly'!F21</f>
        <v>580550.0925000001</v>
      </c>
      <c r="E167" s="8">
        <f>'Company quarterly'!G21</f>
        <v>730547.9675</v>
      </c>
      <c r="F167" s="8">
        <f>'Company quarterly'!H21</f>
        <v>0</v>
      </c>
    </row>
    <row r="168">
      <c r="A168" s="0" t="inlineStr">
        <is>
          <t xml:space="preserve">Variable pay as % of bookings</t>
        </is>
      </c>
      <c r="B168" s="12">
        <f>'Company quarterly'!D22</f>
        <v>0.17429717456842406</v>
      </c>
      <c r="C168" s="12">
        <f>'Company quarterly'!E22</f>
        <v>0.1410094957418198</v>
      </c>
      <c r="D168" s="12">
        <f>'Company quarterly'!F22</f>
        <v>0.1505966517509728</v>
      </c>
      <c r="E168" s="12">
        <f>'Company quarterly'!G22</f>
        <v>0.1780174393245285</v>
      </c>
      <c r="F168" s="12">
        <f>'Company quarterly'!H22</f>
        <v>0</v>
      </c>
    </row>
    <row r="169">
      <c r="A169" s="0" t="inlineStr">
        <is>
          <t xml:space="preserve">Marketing spend</t>
        </is>
      </c>
      <c r="B169" s="4">
        <f>'Company quarterly'!D23</f>
        <v>777190</v>
      </c>
      <c r="C169" s="4">
        <f>'Company quarterly'!E23</f>
        <v>910850</v>
      </c>
      <c r="D169" s="4">
        <f>'Company quarterly'!F23</f>
        <v>982850</v>
      </c>
      <c r="E169" s="4">
        <f>'Company quarterly'!G23</f>
        <v>775580</v>
      </c>
      <c r="F169" s="4">
        <f>'Company quarterly'!H23</f>
        <v>898830</v>
      </c>
    </row>
    <row r="170">
      <c r="A170" s="0" t="inlineStr">
        <is>
          <t xml:space="preserve">Marketing spend as % of bookings</t>
        </is>
      </c>
      <c r="B170" s="12">
        <f>'Company quarterly'!D24</f>
        <v>0.27893263467681156</v>
      </c>
      <c r="C170" s="12">
        <f>'Company quarterly'!E24</f>
        <v>0.2041349170775437</v>
      </c>
      <c r="D170" s="12">
        <f>'Company quarterly'!F24</f>
        <v>0.25495460440985734</v>
      </c>
      <c r="E170" s="12">
        <f>'Company quarterly'!G24</f>
        <v>0.1889906915541693</v>
      </c>
      <c r="F170" s="12">
        <f>'Company quarterly'!H24</f>
        <v>0</v>
      </c>
    </row>
    <row r="172">
      <c r="A172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8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inlineStr">
        <is>
          <t xml:space="preserve">Q3 forecast</t>
        </is>
      </c>
    </row>
    <row r="2">
      <c r="A2" s="1" t="inlineStr">
        <is>
          <t xml:space="preserve">line</t>
        </is>
      </c>
      <c r="B2" s="1" t="inlineStr">
        <is>
          <t xml:space="preserve">Q3 2026</t>
        </is>
      </c>
    </row>
    <row r="3">
      <c r="A3" s="0" t="inlineStr">
        <is>
          <t xml:space="preserve">Forecast (booked + weighted pipeline)</t>
        </is>
      </c>
      <c r="B3" s="4">
        <f>'Company quarterly'!G5</f>
        <v>5236720</v>
      </c>
    </row>
    <row r="5">
      <c r="A5" s="1" t="inlineStr">
        <is>
          <t xml:space="preserve">Q3 gap to quota</t>
        </is>
      </c>
    </row>
    <row r="6">
      <c r="A6" s="1" t="inlineStr">
        <is>
          <t xml:space="preserve">line</t>
        </is>
      </c>
      <c r="B6" s="1" t="inlineStr">
        <is>
          <t xml:space="preserve">Q3 2026</t>
        </is>
      </c>
    </row>
    <row r="7">
      <c r="A7" s="0" t="inlineStr">
        <is>
          <t xml:space="preserve">Gap to quota</t>
        </is>
      </c>
      <c r="B7" s="4">
        <f>'Company quarterly'!G7</f>
        <v>420200</v>
      </c>
    </row>
    <row r="9">
      <c r="A9" s="1" t="inlineStr">
        <is>
          <t xml:space="preserve">Win rate, Q3</t>
        </is>
      </c>
    </row>
    <row r="10">
      <c r="A10" s="1" t="inlineStr">
        <is>
          <t xml:space="preserve">line</t>
        </is>
      </c>
      <c r="B10" s="1" t="inlineStr">
        <is>
          <t xml:space="preserve">Q3 2026</t>
        </is>
      </c>
    </row>
    <row r="11">
      <c r="A11" s="0" t="inlineStr">
        <is>
          <t xml:space="preserve">Win rate</t>
        </is>
      </c>
      <c r="B11" s="12">
        <f>'Company quarterly'!G15</f>
        <v>0.3787878787878788</v>
      </c>
    </row>
    <row r="13">
      <c r="A13" s="1" t="inlineStr">
        <is>
          <t xml:space="preserve">Average deal, Q3</t>
        </is>
      </c>
    </row>
    <row r="14">
      <c r="A14" s="1" t="inlineStr">
        <is>
          <t xml:space="preserve">line</t>
        </is>
      </c>
      <c r="B14" s="1" t="inlineStr">
        <is>
          <t xml:space="preserve">Q3 2026</t>
        </is>
      </c>
    </row>
    <row r="15">
      <c r="A15" s="0" t="inlineStr">
        <is>
          <t xml:space="preserve">Average deal</t>
        </is>
      </c>
      <c r="B15" s="4">
        <f>'Company quarterly'!G16</f>
        <v>41038</v>
      </c>
    </row>
    <row r="17">
      <c r="A17" s="1" t="inlineStr">
        <is>
          <t xml:space="preserve">Teams, Q3 2026</t>
        </is>
      </c>
    </row>
    <row r="18">
      <c r="A18" s="1" t="inlineStr">
        <is>
          <t xml:space="preserve">region</t>
        </is>
      </c>
      <c r="B18" s="1" t="inlineStr">
        <is>
          <t xml:space="preserve">segment</t>
        </is>
      </c>
      <c r="C18" s="1" t="inlineStr">
        <is>
          <t xml:space="preserve">Reps</t>
        </is>
      </c>
      <c r="D18" s="1" t="inlineStr">
        <is>
          <t xml:space="preserve">Quota</t>
        </is>
      </c>
      <c r="E18" s="1" t="inlineStr">
        <is>
          <t xml:space="preserve">Bookings</t>
        </is>
      </c>
      <c r="F18" s="1" t="inlineStr">
        <is>
          <t xml:space="preserve">Attainment</t>
        </is>
      </c>
      <c r="G18" s="1" t="inlineStr">
        <is>
          <t xml:space="preserve">Forecast</t>
        </is>
      </c>
      <c r="H18" s="1" t="inlineStr">
        <is>
          <t xml:space="preserve">Forecast attainment</t>
        </is>
      </c>
      <c r="I18" s="1" t="inlineStr">
        <is>
          <t xml:space="preserve">Open pipeline</t>
        </is>
      </c>
      <c r="J18" s="1" t="inlineStr">
        <is>
          <t xml:space="preserve">Coverage of gap (x)</t>
        </is>
      </c>
      <c r="K18" s="1" t="inlineStr">
        <is>
          <t xml:space="preserve">Win rate</t>
        </is>
      </c>
      <c r="L18" s="1" t="inlineStr">
        <is>
          <t xml:space="preserve">Average deal</t>
        </is>
      </c>
    </row>
    <row r="19">
      <c r="A19" s="0" t="inlineStr">
        <is>
          <t xml:space="preserve">AMER East</t>
        </is>
      </c>
      <c r="B19" s="0" t="inlineStr">
        <is>
          <t xml:space="preserve">Enterprise</t>
        </is>
      </c>
      <c r="C19" s="8">
        <f>'Team quarterly (region × segmen'!I2</f>
        <v>2</v>
      </c>
      <c r="D19" s="8">
        <f>'Team quarterly (region × segmen'!I14</f>
        <v>469000</v>
      </c>
      <c r="E19" s="8">
        <f>'Team quarterly (region × segmen'!I26</f>
        <v>138600</v>
      </c>
      <c r="F19" s="12">
        <f>'Team quarterly (region × segmen'!I38</f>
        <v>0.2955223880597015</v>
      </c>
      <c r="G19" s="8">
        <f>'Team quarterly (region × segmen'!I182</f>
        <v>177300</v>
      </c>
      <c r="H19" s="12">
        <f>'Team quarterly (region × segmen'!I194</f>
        <v>0.37803837953091685</v>
      </c>
      <c r="I19" s="8">
        <f>'Team quarterly (region × segmen'!I134</f>
        <v>387000</v>
      </c>
      <c r="J19" s="8">
        <f>'Team quarterly (region × segmen'!I170</f>
        <v>1.1713075060532687</v>
      </c>
      <c r="K19" s="12">
        <f>'Team quarterly (region × segmen'!I86</f>
        <v>0.25</v>
      </c>
      <c r="L19" s="8">
        <f>'Team quarterly (region × segmen'!I98</f>
        <v>46200</v>
      </c>
    </row>
    <row r="20">
      <c r="A20" s="0"/>
      <c r="B20" s="0" t="inlineStr">
        <is>
          <t xml:space="preserve">Mid-Market</t>
        </is>
      </c>
      <c r="C20" s="8">
        <f>'Team quarterly (region × segmen'!I3</f>
        <v>2</v>
      </c>
      <c r="D20" s="8">
        <f>'Team quarterly (region × segmen'!I15</f>
        <v>424000</v>
      </c>
      <c r="E20" s="8">
        <f>'Team quarterly (region × segmen'!I27</f>
        <v>185100</v>
      </c>
      <c r="F20" s="12">
        <f>'Team quarterly (region × segmen'!I39</f>
        <v>0.4365566037735849</v>
      </c>
      <c r="G20" s="8">
        <f>'Team quarterly (region × segmen'!I183</f>
        <v>337250</v>
      </c>
      <c r="H20" s="12">
        <f>'Team quarterly (region × segmen'!I195</f>
        <v>0.7954009433962265</v>
      </c>
      <c r="I20" s="8">
        <f>'Team quarterly (region × segmen'!I135</f>
        <v>258700</v>
      </c>
      <c r="J20" s="8">
        <f>'Team quarterly (region × segmen'!I171</f>
        <v>1.0828798660527417</v>
      </c>
      <c r="K20" s="12">
        <f>'Team quarterly (region × segmen'!I87</f>
        <v>0.2608695652173913</v>
      </c>
      <c r="L20" s="8">
        <f>'Team quarterly (region × segmen'!I99</f>
        <v>30850</v>
      </c>
    </row>
    <row r="21">
      <c r="A21" s="0"/>
      <c r="B21" s="0" t="inlineStr">
        <is>
          <t xml:space="preserve">SMB</t>
        </is>
      </c>
      <c r="C21" s="8">
        <f>'Team quarterly (region × segmen'!I4</f>
        <v>2</v>
      </c>
      <c r="D21" s="8">
        <f>'Team quarterly (region × segmen'!I16</f>
        <v>224000</v>
      </c>
      <c r="E21" s="8">
        <f>'Team quarterly (region × segmen'!I28</f>
        <v>182900</v>
      </c>
      <c r="F21" s="12">
        <f>'Team quarterly (region × segmen'!I40</f>
        <v>0.8165178571428572</v>
      </c>
      <c r="G21" s="8">
        <f>'Team quarterly (region × segmen'!I184</f>
        <v>227080</v>
      </c>
      <c r="H21" s="12">
        <f>'Team quarterly (region × segmen'!I196</f>
        <v>1.01375</v>
      </c>
      <c r="I21" s="8">
        <f>'Team quarterly (region × segmen'!I136</f>
        <v>101800</v>
      </c>
      <c r="J21" s="8">
        <f>'Team quarterly (region × segmen'!I172</f>
        <v>2.4768856447688563</v>
      </c>
      <c r="K21" s="12">
        <f>'Team quarterly (region × segmen'!I88</f>
        <v>0.37777777777777777</v>
      </c>
      <c r="L21" s="8">
        <f>'Team quarterly (region × segmen'!I100</f>
        <v>10758.823529411764</v>
      </c>
    </row>
    <row r="22">
      <c r="A22" s="0" t="inlineStr">
        <is>
          <t xml:space="preserve">AMER West</t>
        </is>
      </c>
      <c r="B22" s="0" t="inlineStr">
        <is>
          <t xml:space="preserve">Enterprise</t>
        </is>
      </c>
      <c r="C22" s="4">
        <f>'Team quarterly (region × segmen'!I5</f>
        <v>2</v>
      </c>
      <c r="D22" s="4">
        <f>'Team quarterly (region × segmen'!I17</f>
        <v>750000</v>
      </c>
      <c r="E22" s="4">
        <f>'Team quarterly (region × segmen'!I29</f>
        <v>1194300</v>
      </c>
      <c r="F22" s="12">
        <f>'Team quarterly (region × segmen'!I41</f>
        <v>1.5924</v>
      </c>
      <c r="G22" s="4">
        <f>'Team quarterly (region × segmen'!I185</f>
        <v>1628490</v>
      </c>
      <c r="H22" s="12">
        <f>'Team quarterly (region × segmen'!I197</f>
        <v>2.17132</v>
      </c>
      <c r="I22" s="4">
        <f>'Team quarterly (region × segmen'!I137</f>
        <v>749100</v>
      </c>
      <c r="J22" s="4">
        <f>'Team quarterly (region × segmen'!I173</f>
      </c>
      <c r="K22" s="12">
        <f>'Team quarterly (region × segmen'!I89</f>
        <v>0.6</v>
      </c>
      <c r="L22" s="4">
        <f>'Team quarterly (region × segmen'!I101</f>
        <v>199050</v>
      </c>
    </row>
    <row r="23">
      <c r="A23" s="0"/>
      <c r="B23" s="0" t="inlineStr">
        <is>
          <t xml:space="preserve">Mid-Market</t>
        </is>
      </c>
      <c r="C23" s="8">
        <f>'Team quarterly (region × segmen'!I6</f>
        <v>2</v>
      </c>
      <c r="D23" s="8">
        <f>'Team quarterly (region × segmen'!I18</f>
        <v>318000</v>
      </c>
      <c r="E23" s="8">
        <f>'Team quarterly (region × segmen'!I30</f>
        <v>628300</v>
      </c>
      <c r="F23" s="12">
        <f>'Team quarterly (region × segmen'!I42</f>
        <v>1.9757861635220126</v>
      </c>
      <c r="G23" s="8">
        <f>'Team quarterly (region × segmen'!I186</f>
        <v>764850</v>
      </c>
      <c r="H23" s="12">
        <f>'Team quarterly (region × segmen'!I198</f>
        <v>2.405188679245283</v>
      </c>
      <c r="I23" s="8">
        <f>'Team quarterly (region × segmen'!I138</f>
        <v>171500</v>
      </c>
      <c r="J23" s="8">
        <f>'Team quarterly (region × segmen'!I174</f>
      </c>
      <c r="K23" s="12">
        <f>'Team quarterly (region × segmen'!I90</f>
        <v>0.46875</v>
      </c>
      <c r="L23" s="8">
        <f>'Team quarterly (region × segmen'!I102</f>
        <v>41886.666666666664</v>
      </c>
    </row>
    <row r="24">
      <c r="A24" s="0"/>
      <c r="B24" s="0" t="inlineStr">
        <is>
          <t xml:space="preserve">SMB</t>
        </is>
      </c>
      <c r="C24" s="8">
        <f>'Team quarterly (region × segmen'!I7</f>
        <v>2</v>
      </c>
      <c r="D24" s="8">
        <f>'Team quarterly (region × segmen'!I19</f>
        <v>224000</v>
      </c>
      <c r="E24" s="8">
        <f>'Team quarterly (region × segmen'!I31</f>
        <v>126300</v>
      </c>
      <c r="F24" s="12">
        <f>'Team quarterly (region × segmen'!I43</f>
        <v>0.5638392857142858</v>
      </c>
      <c r="G24" s="8">
        <f>'Team quarterly (region × segmen'!I187</f>
        <v>154170</v>
      </c>
      <c r="H24" s="12">
        <f>'Team quarterly (region × segmen'!I199</f>
        <v>0.6882589285714286</v>
      </c>
      <c r="I24" s="8">
        <f>'Team quarterly (region × segmen'!I139</f>
        <v>59900</v>
      </c>
      <c r="J24" s="8">
        <f>'Team quarterly (region × segmen'!I175</f>
        <v>0.6131013306038895</v>
      </c>
      <c r="K24" s="12">
        <f>'Team quarterly (region × segmen'!I91</f>
        <v>0.27586206896551724</v>
      </c>
      <c r="L24" s="8">
        <f>'Team quarterly (region × segmen'!I103</f>
        <v>15787.5</v>
      </c>
    </row>
    <row r="25">
      <c r="A25" s="0" t="inlineStr">
        <is>
          <t xml:space="preserve">EMEA</t>
        </is>
      </c>
      <c r="B25" s="0" t="inlineStr">
        <is>
          <t xml:space="preserve">Enterprise</t>
        </is>
      </c>
      <c r="C25" s="8">
        <f>'Team quarterly (region × segmen'!I8</f>
        <v>2</v>
      </c>
      <c r="D25" s="8">
        <f>'Team quarterly (region × segmen'!I20</f>
        <v>591000</v>
      </c>
      <c r="E25" s="8">
        <f>'Team quarterly (region × segmen'!I32</f>
        <v>469500</v>
      </c>
      <c r="F25" s="12">
        <f>'Team quarterly (region × segmen'!I44</f>
        <v>0.7944162436548223</v>
      </c>
      <c r="G25" s="8">
        <f>'Team quarterly (region × segmen'!I188</f>
        <v>588790</v>
      </c>
      <c r="H25" s="12">
        <f>'Team quarterly (region × segmen'!I200</f>
        <v>0.9962605752961083</v>
      </c>
      <c r="I25" s="8">
        <f>'Team quarterly (region × segmen'!I140</f>
        <v>292100</v>
      </c>
      <c r="J25" s="8">
        <f>'Team quarterly (region × segmen'!I176</f>
        <v>2.4041152263374483</v>
      </c>
      <c r="K25" s="12">
        <f>'Team quarterly (region × segmen'!I92</f>
        <v>0.25</v>
      </c>
      <c r="L25" s="8">
        <f>'Team quarterly (region × segmen'!I104</f>
        <v>156500</v>
      </c>
    </row>
    <row r="26">
      <c r="A26" s="0"/>
      <c r="B26" s="0" t="inlineStr">
        <is>
          <t xml:space="preserve">Mid-Market</t>
        </is>
      </c>
      <c r="C26" s="8">
        <f>'Team quarterly (region × segmen'!I9</f>
        <v>2</v>
      </c>
      <c r="D26" s="8">
        <f>'Team quarterly (region × segmen'!I21</f>
        <v>380000</v>
      </c>
      <c r="E26" s="8">
        <f>'Team quarterly (region × segmen'!I33</f>
        <v>244000</v>
      </c>
      <c r="F26" s="12">
        <f>'Team quarterly (region × segmen'!I45</f>
        <v>0.6421052631578947</v>
      </c>
      <c r="G26" s="8">
        <f>'Team quarterly (region × segmen'!I189</f>
        <v>300230</v>
      </c>
      <c r="H26" s="12">
        <f>'Team quarterly (region × segmen'!I201</f>
        <v>0.7900789473684211</v>
      </c>
      <c r="I26" s="8">
        <f>'Team quarterly (region × segmen'!I141</f>
        <v>170300</v>
      </c>
      <c r="J26" s="8">
        <f>'Team quarterly (region × segmen'!I177</f>
        <v>1.2522058823529412</v>
      </c>
      <c r="K26" s="12">
        <f>'Team quarterly (region × segmen'!I93</f>
        <v>0.3</v>
      </c>
      <c r="L26" s="8">
        <f>'Team quarterly (region × segmen'!I105</f>
        <v>40666.666666666664</v>
      </c>
    </row>
    <row r="27">
      <c r="A27" s="0"/>
      <c r="B27" s="0" t="inlineStr">
        <is>
          <t xml:space="preserve">SMB</t>
        </is>
      </c>
      <c r="C27" s="8">
        <f>'Team quarterly (region × segmen'!I10</f>
        <v>2</v>
      </c>
      <c r="D27" s="8">
        <f>'Team quarterly (region × segmen'!I22</f>
        <v>200000</v>
      </c>
      <c r="E27" s="8">
        <f>'Team quarterly (region × segmen'!I34</f>
        <v>174300</v>
      </c>
      <c r="F27" s="12">
        <f>'Team quarterly (region × segmen'!I46</f>
        <v>0.8715</v>
      </c>
      <c r="G27" s="8">
        <f>'Team quarterly (region × segmen'!I190</f>
        <v>199590</v>
      </c>
      <c r="H27" s="12">
        <f>'Team quarterly (region × segmen'!I202</f>
        <v>0.99795</v>
      </c>
      <c r="I27" s="8">
        <f>'Team quarterly (region × segmen'!I142</f>
        <v>69300</v>
      </c>
      <c r="J27" s="8">
        <f>'Team quarterly (region × segmen'!I178</f>
        <v>2.6964980544747084</v>
      </c>
      <c r="K27" s="12">
        <f>'Team quarterly (region × segmen'!I94</f>
        <v>0.45161290322580644</v>
      </c>
      <c r="L27" s="8">
        <f>'Team quarterly (region × segmen'!I106</f>
        <v>12450</v>
      </c>
    </row>
    <row r="28">
      <c r="A28" s="0" t="inlineStr">
        <is>
          <t xml:space="preserve">APAC</t>
        </is>
      </c>
      <c r="B28" s="0" t="inlineStr">
        <is>
          <t xml:space="preserve">Enterprise</t>
        </is>
      </c>
      <c r="C28" s="8">
        <f>'Team quarterly (region × segmen'!I11</f>
        <v>2</v>
      </c>
      <c r="D28" s="8">
        <f>'Team quarterly (region × segmen'!I23</f>
        <v>524000</v>
      </c>
      <c r="E28" s="8">
        <f>'Team quarterly (region × segmen'!I35</f>
        <v>261000</v>
      </c>
      <c r="F28" s="12">
        <f>'Team quarterly (region × segmen'!I47</f>
        <v>0.49809160305343514</v>
      </c>
      <c r="G28" s="8">
        <f>'Team quarterly (region × segmen'!I191</f>
        <v>284690</v>
      </c>
      <c r="H28" s="12">
        <f>'Team quarterly (region × segmen'!I203</f>
        <v>0.5433015267175573</v>
      </c>
      <c r="I28" s="8">
        <f>'Team quarterly (region × segmen'!I143</f>
        <v>236900</v>
      </c>
      <c r="J28" s="8">
        <f>'Team quarterly (region × segmen'!I179</f>
        <v>0.9007604562737642</v>
      </c>
      <c r="K28" s="12">
        <f>'Team quarterly (region × segmen'!I95</f>
        <v>0.2</v>
      </c>
      <c r="L28" s="8">
        <f>'Team quarterly (region × segmen'!I107</f>
        <v>130500</v>
      </c>
    </row>
    <row r="29">
      <c r="A29" s="0"/>
      <c r="B29" s="0" t="inlineStr">
        <is>
          <t xml:space="preserve">Mid-Market</t>
        </is>
      </c>
      <c r="C29" s="8">
        <f>'Team quarterly (region × segmen'!I12</f>
        <v>2</v>
      </c>
      <c r="D29" s="8">
        <f>'Team quarterly (region × segmen'!I24</f>
        <v>300000</v>
      </c>
      <c r="E29" s="8">
        <f>'Team quarterly (region × segmen'!I36</f>
        <v>353800</v>
      </c>
      <c r="F29" s="12">
        <f>'Team quarterly (region × segmen'!I48</f>
        <v>1.1793333333333333</v>
      </c>
      <c r="G29" s="8">
        <f>'Team quarterly (region × segmen'!I192</f>
        <v>414010</v>
      </c>
      <c r="H29" s="12">
        <f>'Team quarterly (region × segmen'!I204</f>
        <v>1.3800333333333332</v>
      </c>
      <c r="I29" s="8">
        <f>'Team quarterly (region × segmen'!I144</f>
        <v>207300</v>
      </c>
      <c r="J29" s="8">
        <f>'Team quarterly (region × segmen'!I180</f>
      </c>
      <c r="K29" s="12">
        <f>'Team quarterly (region × segmen'!I96</f>
        <v>0.4782608695652174</v>
      </c>
      <c r="L29" s="8">
        <f>'Team quarterly (region × segmen'!I108</f>
        <v>32163.636363636364</v>
      </c>
    </row>
    <row r="30">
      <c r="A30" s="0"/>
      <c r="B30" s="0" t="inlineStr">
        <is>
          <t xml:space="preserve">SMB</t>
        </is>
      </c>
      <c r="C30" s="8">
        <f>'Team quarterly (region × segmen'!I13</f>
        <v>2</v>
      </c>
      <c r="D30" s="8">
        <f>'Team quarterly (region × segmen'!I25</f>
        <v>120000</v>
      </c>
      <c r="E30" s="8">
        <f>'Team quarterly (region × segmen'!I37</f>
        <v>145700</v>
      </c>
      <c r="F30" s="12">
        <f>'Team quarterly (region × segmen'!I49</f>
        <v>1.2141666666666666</v>
      </c>
      <c r="G30" s="8">
        <f>'Team quarterly (region × segmen'!I193</f>
        <v>160270</v>
      </c>
      <c r="H30" s="12">
        <f>'Team quarterly (region × segmen'!I205</f>
        <v>1.3355833333333333</v>
      </c>
      <c r="I30" s="8">
        <f>'Team quarterly (region × segmen'!I145</f>
        <v>25700</v>
      </c>
      <c r="J30" s="8">
        <f>'Team quarterly (region × segmen'!I181</f>
      </c>
      <c r="K30" s="12">
        <f>'Team quarterly (region × segmen'!I97</f>
        <v>0.5294117647058824</v>
      </c>
      <c r="L30" s="8">
        <f>'Team quarterly (region × segmen'!I109</f>
        <v>16188.888888888889</v>
      </c>
    </row>
    <row r="32">
      <c r="A32" s="1" t="inlineStr">
        <is>
          <t xml:space="preserve">Forecast attainment by region</t>
        </is>
      </c>
    </row>
    <row r="33">
      <c r="A33" s="1" t="inlineStr">
        <is>
          <t xml:space="preserve">region</t>
        </is>
      </c>
      <c r="B33" s="1" t="inlineStr">
        <is>
          <t xml:space="preserve">Q1 2026</t>
        </is>
      </c>
      <c r="C33" s="1" t="inlineStr">
        <is>
          <t xml:space="preserve">Q2 2026</t>
        </is>
      </c>
      <c r="D33" s="1" t="inlineStr">
        <is>
          <t xml:space="preserve">Q3 2026</t>
        </is>
      </c>
      <c r="E33" s="1" t="inlineStr">
        <is>
          <t xml:space="preserve">Q4 2026</t>
        </is>
      </c>
    </row>
    <row r="34">
      <c r="A34" s="0" t="inlineStr">
        <is>
          <t xml:space="preserve">AMER East</t>
        </is>
      </c>
      <c r="B34" s="12">
        <f>'Region quarterly'!F18</f>
        <v>1.1087628865979382</v>
      </c>
      <c r="C34" s="12">
        <f>'Region quarterly'!G18</f>
        <v>0.8493646138807429</v>
      </c>
      <c r="D34" s="12">
        <f>'Region quarterly'!H18</f>
        <v>0.6639480752014324</v>
      </c>
      <c r="E34" s="12">
        <f>'Region quarterly'!I18</f>
        <v>1.2438480594549959</v>
      </c>
    </row>
    <row r="35">
      <c r="A35" s="0" t="inlineStr">
        <is>
          <t xml:space="preserve">AMER West</t>
        </is>
      </c>
      <c r="B35" s="12">
        <f>'Region quarterly'!F19</f>
        <v>1.6472175379426643</v>
      </c>
      <c r="C35" s="12">
        <f>'Region quarterly'!G19</f>
        <v>1.0754640839386602</v>
      </c>
      <c r="D35" s="12">
        <f>'Region quarterly'!H19</f>
        <v>1.9717569659442724</v>
      </c>
      <c r="E35" s="12">
        <f>'Region quarterly'!I19</f>
        <v>0.4940297397769517</v>
      </c>
    </row>
    <row r="36">
      <c r="A36" s="0" t="inlineStr">
        <is>
          <t xml:space="preserve">EMEA</t>
        </is>
      </c>
      <c r="B36" s="12">
        <f>'Region quarterly'!F20</f>
        <v>1.1726546906187625</v>
      </c>
      <c r="C36" s="12">
        <f>'Region quarterly'!G20</f>
        <v>0.8792088316467341</v>
      </c>
      <c r="D36" s="12">
        <f>'Region quarterly'!H20</f>
        <v>0.9296413321947053</v>
      </c>
      <c r="E36" s="12">
        <f>'Region quarterly'!I20</f>
        <v>0.3440127388535032</v>
      </c>
    </row>
    <row r="37">
      <c r="A37" s="0" t="inlineStr">
        <is>
          <t xml:space="preserve">APAC</t>
        </is>
      </c>
      <c r="B37" s="12">
        <f>'Region quarterly'!F21</f>
        <v>0.285287610619469</v>
      </c>
      <c r="C37" s="12">
        <f>'Region quarterly'!G21</f>
        <v>0.7553030303030303</v>
      </c>
      <c r="D37" s="12">
        <f>'Region quarterly'!H21</f>
        <v>0.9099258474576272</v>
      </c>
      <c r="E37" s="12">
        <f>'Region quarterly'!I21</f>
        <v>0.6472095435684647</v>
      </c>
    </row>
    <row r="56">
      <c r="A56" s="1" t="inlineStr">
        <is>
          <t xml:space="preserve">Q3 forecast build: booked, commit, best case</t>
        </is>
      </c>
    </row>
    <row r="57">
      <c r="A57" s="1" t="inlineStr">
        <is>
          <t xml:space="preserve">line</t>
        </is>
      </c>
      <c r="B57" s="1" t="inlineStr">
        <is>
          <t xml:space="preserve">Q1 2026</t>
        </is>
      </c>
      <c r="C57" s="1" t="inlineStr">
        <is>
          <t xml:space="preserve">Q2 2026</t>
        </is>
      </c>
      <c r="D57" s="1" t="inlineStr">
        <is>
          <t xml:space="preserve">Q3 2026</t>
        </is>
      </c>
      <c r="E57" s="1" t="inlineStr">
        <is>
          <t xml:space="preserve">Q4 2026</t>
        </is>
      </c>
    </row>
    <row r="58">
      <c r="A58" s="0" t="inlineStr">
        <is>
          <t xml:space="preserve">Bookings</t>
        </is>
      </c>
      <c r="B58" s="4">
        <f>'Company quarterly'!E3</f>
        <v>4462000</v>
      </c>
      <c r="C58" s="4">
        <f>'Company quarterly'!F3</f>
        <v>3855000</v>
      </c>
      <c r="D58" s="4">
        <f>'Company quarterly'!G3</f>
        <v>4103800</v>
      </c>
      <c r="E58" s="4">
        <f>'Company quarterly'!H3</f>
        <v>0</v>
      </c>
    </row>
    <row r="59">
      <c r="A59" s="0" t="inlineStr">
        <is>
          <t xml:space="preserve">Commit</t>
        </is>
      </c>
      <c r="B59" s="4">
        <f>'Company quarterly'!E9</f>
        <v>0</v>
      </c>
      <c r="C59" s="4">
        <f>'Company quarterly'!F9</f>
        <v>0</v>
      </c>
      <c r="D59" s="4">
        <f>'Company quarterly'!G9</f>
        <v>654300</v>
      </c>
      <c r="E59" s="4">
        <f>'Company quarterly'!H9</f>
        <v>1564200</v>
      </c>
    </row>
    <row r="60">
      <c r="A60" s="0" t="inlineStr">
        <is>
          <t xml:space="preserve">Best case</t>
        </is>
      </c>
      <c r="B60" s="4">
        <f>'Company quarterly'!E10</f>
        <v>0</v>
      </c>
      <c r="C60" s="4">
        <f>'Company quarterly'!F10</f>
        <v>0</v>
      </c>
      <c r="D60" s="4">
        <f>'Company quarterly'!G10</f>
        <v>841300</v>
      </c>
      <c r="E60" s="4">
        <f>'Company quarterly'!H10</f>
        <v>1886700</v>
      </c>
    </row>
    <row r="79">
      <c r="A79" s="1" t="inlineStr">
        <is>
          <t xml:space="preserve">Rep leaderboard, Q3 2026</t>
        </is>
      </c>
    </row>
    <row r="80">
      <c r="A80" s="1" t="inlineStr">
        <is>
          <t xml:space="preserve">rep</t>
        </is>
      </c>
      <c r="B80" s="1" t="inlineStr">
        <is>
          <t xml:space="preserve">Quota</t>
        </is>
      </c>
      <c r="C80" s="1" t="inlineStr">
        <is>
          <t xml:space="preserve">Bookings</t>
        </is>
      </c>
      <c r="D80" s="1" t="inlineStr">
        <is>
          <t xml:space="preserve">Attainment</t>
        </is>
      </c>
      <c r="E80" s="1" t="inlineStr">
        <is>
          <t xml:space="preserve">Forecast</t>
        </is>
      </c>
      <c r="F80" s="1" t="inlineStr">
        <is>
          <t xml:space="preserve">Forecast attainment</t>
        </is>
      </c>
      <c r="G80" s="1" t="inlineStr">
        <is>
          <t xml:space="preserve">Open pipeline</t>
        </is>
      </c>
      <c r="H80" s="1" t="inlineStr">
        <is>
          <t xml:space="preserve">Coverage of gap (x)</t>
        </is>
      </c>
      <c r="I80" s="1" t="inlineStr">
        <is>
          <t xml:space="preserve">Deals won</t>
        </is>
      </c>
      <c r="J80" s="1" t="inlineStr">
        <is>
          <t xml:space="preserve">Win rate</t>
        </is>
      </c>
      <c r="K80" s="1" t="inlineStr">
        <is>
          <t xml:space="preserve">Average deal</t>
        </is>
      </c>
      <c r="L80" s="1" t="inlineStr">
        <is>
          <t xml:space="preserve">YTD attainment</t>
        </is>
      </c>
    </row>
    <row r="81">
      <c r="A81" s="0" t="inlineStr">
        <is>
          <t xml:space="preserve">Noor Ortiz</t>
        </is>
      </c>
      <c r="B81" s="8">
        <f>'Rep quarterly'!H2</f>
        <v>375000</v>
      </c>
      <c r="C81" s="8">
        <f>'Rep quarterly'!H26</f>
        <v>138600</v>
      </c>
      <c r="D81" s="12">
        <f>'Rep quarterly'!H50</f>
        <v>0.3696</v>
      </c>
      <c r="E81" s="8">
        <f>'Rep quarterly'!H386</f>
        <v>164470</v>
      </c>
      <c r="F81" s="12">
        <f>'Rep quarterly'!H410</f>
        <v>0.4385866666666667</v>
      </c>
      <c r="G81" s="8">
        <f>'Rep quarterly'!H290</f>
        <v>258700</v>
      </c>
      <c r="H81" s="8">
        <f>'Rep quarterly'!H362</f>
        <v>1.094331641285956</v>
      </c>
      <c r="I81" s="8">
        <f>'Rep quarterly'!H98</f>
        <v>3</v>
      </c>
      <c r="J81" s="12">
        <f>'Rep quarterly'!H146</f>
        <v>0.25</v>
      </c>
      <c r="K81" s="8">
        <f>'Rep quarterly'!H170</f>
        <v>46200</v>
      </c>
      <c r="L81" s="12">
        <f>'Rep quarterly'!H482</f>
        <v>0.9610666666666666</v>
      </c>
    </row>
    <row r="82">
      <c r="A82" s="0" t="inlineStr">
        <is>
          <t xml:space="preserve">Priya Yilmaz</t>
        </is>
      </c>
      <c r="B82" s="8">
        <f>'Rep quarterly'!H3</f>
        <v>94000</v>
      </c>
      <c r="C82" s="8">
        <f>'Rep quarterly'!H27</f>
        <v>0</v>
      </c>
      <c r="D82" s="12">
        <f>'Rep quarterly'!H51</f>
        <v>0</v>
      </c>
      <c r="E82" s="8">
        <f>'Rep quarterly'!H387</f>
        <v>12830</v>
      </c>
      <c r="F82" s="12">
        <f>'Rep quarterly'!H411</f>
        <v>0.13648936170212767</v>
      </c>
      <c r="G82" s="8">
        <f>'Rep quarterly'!H291</f>
        <v>128300</v>
      </c>
      <c r="H82" s="8">
        <f>'Rep quarterly'!H363</f>
        <v>1.3648936170212767</v>
      </c>
      <c r="I82" s="8">
        <f>'Rep quarterly'!H99</f>
        <v>0</v>
      </c>
      <c r="J82" s="12">
        <f>'Rep quarterly'!H147</f>
        <v>0</v>
      </c>
      <c r="K82" s="8">
        <f>'Rep quarterly'!H171</f>
        <v>0</v>
      </c>
      <c r="L82" s="12">
        <f>'Rep quarterly'!H483</f>
        <v>0</v>
      </c>
    </row>
    <row r="83">
      <c r="A83" s="0" t="inlineStr">
        <is>
          <t xml:space="preserve">Marcus Schmidt</t>
        </is>
      </c>
      <c r="B83" s="8">
        <f>'Rep quarterly'!H4</f>
        <v>212000</v>
      </c>
      <c r="C83" s="8">
        <f>'Rep quarterly'!H28</f>
        <v>129800</v>
      </c>
      <c r="D83" s="12">
        <f>'Rep quarterly'!H52</f>
        <v>0.6122641509433963</v>
      </c>
      <c r="E83" s="8">
        <f>'Rep quarterly'!H388</f>
        <v>211800</v>
      </c>
      <c r="F83" s="12">
        <f>'Rep quarterly'!H412</f>
        <v>0.9990566037735849</v>
      </c>
      <c r="G83" s="8">
        <f>'Rep quarterly'!H292</f>
        <v>164000</v>
      </c>
      <c r="H83" s="8">
        <f>'Rep quarterly'!H364</f>
        <v>1.9951338199513382</v>
      </c>
      <c r="I83" s="8">
        <f>'Rep quarterly'!H100</f>
        <v>5</v>
      </c>
      <c r="J83" s="12">
        <f>'Rep quarterly'!H148</f>
        <v>0.35714285714285715</v>
      </c>
      <c r="K83" s="8">
        <f>'Rep quarterly'!H172</f>
        <v>25960</v>
      </c>
      <c r="L83" s="12">
        <f>'Rep quarterly'!H484</f>
        <v>1.2065180102915951</v>
      </c>
    </row>
    <row r="84">
      <c r="A84" s="0" t="inlineStr">
        <is>
          <t xml:space="preserve">Amara Haddad</t>
        </is>
      </c>
      <c r="B84" s="8">
        <f>'Rep quarterly'!H5</f>
        <v>212000</v>
      </c>
      <c r="C84" s="8">
        <f>'Rep quarterly'!H29</f>
        <v>55300</v>
      </c>
      <c r="D84" s="12">
        <f>'Rep quarterly'!H53</f>
        <v>0.2608490566037736</v>
      </c>
      <c r="E84" s="8">
        <f>'Rep quarterly'!H389</f>
        <v>125450</v>
      </c>
      <c r="F84" s="12">
        <f>'Rep quarterly'!H413</f>
        <v>0.591745283018868</v>
      </c>
      <c r="G84" s="8">
        <f>'Rep quarterly'!H293</f>
        <v>94700</v>
      </c>
      <c r="H84" s="8">
        <f>'Rep quarterly'!H365</f>
        <v>0.6043395022335674</v>
      </c>
      <c r="I84" s="8">
        <f>'Rep quarterly'!H101</f>
        <v>1</v>
      </c>
      <c r="J84" s="12">
        <f>'Rep quarterly'!H149</f>
        <v>0.1111111111111111</v>
      </c>
      <c r="K84" s="8">
        <f>'Rep quarterly'!H173</f>
        <v>55300</v>
      </c>
      <c r="L84" s="12">
        <f>'Rep quarterly'!H485</f>
        <v>0.22547169811320755</v>
      </c>
    </row>
    <row r="85">
      <c r="A85" s="0" t="inlineStr">
        <is>
          <t xml:space="preserve">Fatima Silva</t>
        </is>
      </c>
      <c r="B85" s="8">
        <f>'Rep quarterly'!H6</f>
        <v>112000</v>
      </c>
      <c r="C85" s="8">
        <f>'Rep quarterly'!H30</f>
        <v>114200</v>
      </c>
      <c r="D85" s="12">
        <f>'Rep quarterly'!H54</f>
        <v>1.019642857142857</v>
      </c>
      <c r="E85" s="8">
        <f>'Rep quarterly'!H390</f>
        <v>145010</v>
      </c>
      <c r="F85" s="12">
        <f>'Rep quarterly'!H414</f>
        <v>1.2947321428571428</v>
      </c>
      <c r="G85" s="8">
        <f>'Rep quarterly'!H294</f>
        <v>67300</v>
      </c>
      <c r="H85" s="8">
        <f>'Rep quarterly'!H366</f>
      </c>
      <c r="I85" s="8">
        <f>'Rep quarterly'!H102</f>
        <v>11</v>
      </c>
      <c r="J85" s="12">
        <f>'Rep quarterly'!H150</f>
        <v>0.55</v>
      </c>
      <c r="K85" s="8">
        <f>'Rep quarterly'!H174</f>
        <v>10381.818181818182</v>
      </c>
      <c r="L85" s="12">
        <f>'Rep quarterly'!H486</f>
        <v>0.8580357142857142</v>
      </c>
    </row>
    <row r="86">
      <c r="A86" s="0" t="inlineStr">
        <is>
          <t xml:space="preserve">Ana Ortiz</t>
        </is>
      </c>
      <c r="B86" s="8">
        <f>'Rep quarterly'!H7</f>
        <v>112000</v>
      </c>
      <c r="C86" s="8">
        <f>'Rep quarterly'!H31</f>
        <v>68700</v>
      </c>
      <c r="D86" s="12">
        <f>'Rep quarterly'!H55</f>
        <v>0.6133928571428572</v>
      </c>
      <c r="E86" s="8">
        <f>'Rep quarterly'!H391</f>
        <v>82070</v>
      </c>
      <c r="F86" s="12">
        <f>'Rep quarterly'!H415</f>
        <v>0.7327678571428572</v>
      </c>
      <c r="G86" s="8">
        <f>'Rep quarterly'!H295</f>
        <v>34500</v>
      </c>
      <c r="H86" s="8">
        <f>'Rep quarterly'!H367</f>
        <v>0.7967667436489607</v>
      </c>
      <c r="I86" s="8">
        <f>'Rep quarterly'!H103</f>
        <v>6</v>
      </c>
      <c r="J86" s="12">
        <f>'Rep quarterly'!H151</f>
        <v>0.24</v>
      </c>
      <c r="K86" s="8">
        <f>'Rep quarterly'!H175</f>
        <v>11450</v>
      </c>
      <c r="L86" s="12">
        <f>'Rep quarterly'!H487</f>
        <v>0.6985119047619047</v>
      </c>
    </row>
    <row r="87">
      <c r="A87" s="0" t="inlineStr">
        <is>
          <t xml:space="preserve">Tobias Silva</t>
        </is>
      </c>
      <c r="B87" s="4">
        <f>'Rep quarterly'!H8</f>
        <v>375000</v>
      </c>
      <c r="C87" s="4">
        <f>'Rep quarterly'!H32</f>
        <v>496300</v>
      </c>
      <c r="D87" s="12">
        <f>'Rep quarterly'!H56</f>
        <v>1.3234666666666666</v>
      </c>
      <c r="E87" s="4">
        <f>'Rep quarterly'!H392</f>
        <v>850670</v>
      </c>
      <c r="F87" s="12">
        <f>'Rep quarterly'!H416</f>
        <v>2.2684533333333334</v>
      </c>
      <c r="G87" s="4">
        <f>'Rep quarterly'!H296</f>
        <v>496100</v>
      </c>
      <c r="H87" s="4">
        <f>'Rep quarterly'!H368</f>
      </c>
      <c r="I87" s="4">
        <f>'Rep quarterly'!H104</f>
        <v>2</v>
      </c>
      <c r="J87" s="12">
        <f>'Rep quarterly'!H152</f>
        <v>0.6666666666666666</v>
      </c>
      <c r="K87" s="4">
        <f>'Rep quarterly'!H176</f>
        <v>248150</v>
      </c>
      <c r="L87" s="12">
        <f>'Rep quarterly'!H488</f>
        <v>1.7436444444444446</v>
      </c>
    </row>
    <row r="88">
      <c r="A88" s="0" t="inlineStr">
        <is>
          <t xml:space="preserve">Leila Osei</t>
        </is>
      </c>
      <c r="B88" s="4">
        <f>'Rep quarterly'!H9</f>
        <v>375000</v>
      </c>
      <c r="C88" s="4">
        <f>'Rep quarterly'!H33</f>
        <v>698000</v>
      </c>
      <c r="D88" s="12">
        <f>'Rep quarterly'!H57</f>
        <v>1.8613333333333333</v>
      </c>
      <c r="E88" s="4">
        <f>'Rep quarterly'!H393</f>
        <v>777820</v>
      </c>
      <c r="F88" s="12">
        <f>'Rep quarterly'!H417</f>
        <v>2.074186666666667</v>
      </c>
      <c r="G88" s="4">
        <f>'Rep quarterly'!H297</f>
        <v>253000</v>
      </c>
      <c r="H88" s="4">
        <f>'Rep quarterly'!H369</f>
      </c>
      <c r="I88" s="4">
        <f>'Rep quarterly'!H105</f>
        <v>4</v>
      </c>
      <c r="J88" s="12">
        <f>'Rep quarterly'!H153</f>
        <v>0.5714285714285714</v>
      </c>
      <c r="K88" s="4">
        <f>'Rep quarterly'!H177</f>
        <v>174500</v>
      </c>
      <c r="L88" s="12">
        <f>'Rep quarterly'!H489</f>
        <v>0.9675555555555555</v>
      </c>
    </row>
    <row r="89">
      <c r="A89" s="0" t="inlineStr">
        <is>
          <t xml:space="preserve">Grace Costa</t>
        </is>
      </c>
      <c r="B89" s="8">
        <f>'Rep quarterly'!H10</f>
        <v>212000</v>
      </c>
      <c r="C89" s="8">
        <f>'Rep quarterly'!H34</f>
        <v>382600</v>
      </c>
      <c r="D89" s="12">
        <f>'Rep quarterly'!H58</f>
        <v>1.8047169811320756</v>
      </c>
      <c r="E89" s="8">
        <f>'Rep quarterly'!H394</f>
        <v>492420</v>
      </c>
      <c r="F89" s="12">
        <f>'Rep quarterly'!H418</f>
        <v>2.322735849056604</v>
      </c>
      <c r="G89" s="8">
        <f>'Rep quarterly'!H298</f>
        <v>141800</v>
      </c>
      <c r="H89" s="8">
        <f>'Rep quarterly'!H370</f>
      </c>
      <c r="I89" s="8">
        <f>'Rep quarterly'!H106</f>
        <v>9</v>
      </c>
      <c r="J89" s="12">
        <f>'Rep quarterly'!H154</f>
        <v>0.36</v>
      </c>
      <c r="K89" s="8">
        <f>'Rep quarterly'!H178</f>
        <v>42511.11111111111</v>
      </c>
      <c r="L89" s="12">
        <f>'Rep quarterly'!H490</f>
        <v>2.1287735849056606</v>
      </c>
    </row>
    <row r="90">
      <c r="A90" s="0" t="inlineStr">
        <is>
          <t xml:space="preserve">Ingrid Müller</t>
        </is>
      </c>
      <c r="B90" s="4">
        <f>'Rep quarterly'!H11</f>
        <v>106000</v>
      </c>
      <c r="C90" s="4">
        <f>'Rep quarterly'!H35</f>
        <v>245700</v>
      </c>
      <c r="D90" s="12">
        <f>'Rep quarterly'!H59</f>
        <v>2.3179245283018868</v>
      </c>
      <c r="E90" s="4">
        <f>'Rep quarterly'!H395</f>
        <v>272430</v>
      </c>
      <c r="F90" s="12">
        <f>'Rep quarterly'!H419</f>
        <v>2.5700943396226417</v>
      </c>
      <c r="G90" s="4">
        <f>'Rep quarterly'!H299</f>
        <v>29700</v>
      </c>
      <c r="H90" s="4">
        <f>'Rep quarterly'!H371</f>
      </c>
      <c r="I90" s="4">
        <f>'Rep quarterly'!H107</f>
        <v>6</v>
      </c>
      <c r="J90" s="12">
        <f>'Rep quarterly'!H155</f>
        <v>0.8571428571428571</v>
      </c>
      <c r="K90" s="4">
        <f>'Rep quarterly'!H179</f>
        <v>40950</v>
      </c>
      <c r="L90" s="12">
        <f>'Rep quarterly'!H491</f>
        <v>2.4679245283018867</v>
      </c>
    </row>
    <row r="91">
      <c r="A91" s="0" t="inlineStr">
        <is>
          <t xml:space="preserve">Ingrid Kim</t>
        </is>
      </c>
      <c r="B91" s="4">
        <f>'Rep quarterly'!H12</f>
        <v>112000</v>
      </c>
      <c r="C91" s="4">
        <f>'Rep quarterly'!H36</f>
        <v>89100</v>
      </c>
      <c r="D91" s="12">
        <f>'Rep quarterly'!H60</f>
        <v>0.7955357142857142</v>
      </c>
      <c r="E91" s="4">
        <f>'Rep quarterly'!H396</f>
        <v>89100</v>
      </c>
      <c r="F91" s="12">
        <f>'Rep quarterly'!H420</f>
        <v>0.7955357142857142</v>
      </c>
      <c r="G91" s="4">
        <f>'Rep quarterly'!H300</f>
        <v>0</v>
      </c>
      <c r="H91" s="4">
        <f>'Rep quarterly'!H372</f>
      </c>
      <c r="I91" s="4">
        <f>'Rep quarterly'!H108</f>
        <v>5</v>
      </c>
      <c r="J91" s="12">
        <f>'Rep quarterly'!H156</f>
        <v>0.3333333333333333</v>
      </c>
      <c r="K91" s="4">
        <f>'Rep quarterly'!H180</f>
        <v>17820</v>
      </c>
      <c r="L91" s="12">
        <f>'Rep quarterly'!H492</f>
        <v>0.6610119047619047</v>
      </c>
    </row>
    <row r="92">
      <c r="A92" s="0" t="inlineStr">
        <is>
          <t xml:space="preserve">Priya Nair</t>
        </is>
      </c>
      <c r="B92" s="8">
        <f>'Rep quarterly'!H13</f>
        <v>112000</v>
      </c>
      <c r="C92" s="8">
        <f>'Rep quarterly'!H37</f>
        <v>37200</v>
      </c>
      <c r="D92" s="12">
        <f>'Rep quarterly'!H61</f>
        <v>0.33214285714285713</v>
      </c>
      <c r="E92" s="8">
        <f>'Rep quarterly'!H397</f>
        <v>65070</v>
      </c>
      <c r="F92" s="12">
        <f>'Rep quarterly'!H421</f>
        <v>0.5809821428571429</v>
      </c>
      <c r="G92" s="8">
        <f>'Rep quarterly'!H301</f>
        <v>59900</v>
      </c>
      <c r="H92" s="8">
        <f>'Rep quarterly'!H373</f>
        <v>0.8008021390374331</v>
      </c>
      <c r="I92" s="8">
        <f>'Rep quarterly'!H109</f>
        <v>3</v>
      </c>
      <c r="J92" s="12">
        <f>'Rep quarterly'!H157</f>
        <v>0.21428571428571427</v>
      </c>
      <c r="K92" s="8">
        <f>'Rep quarterly'!H181</f>
        <v>12400</v>
      </c>
      <c r="L92" s="12">
        <f>'Rep quarterly'!H493</f>
        <v>0.6443452380952381</v>
      </c>
    </row>
    <row r="93">
      <c r="A93" s="0" t="inlineStr">
        <is>
          <t xml:space="preserve">Hugo Lindqvist</t>
        </is>
      </c>
      <c r="B93" s="4">
        <f>'Rep quarterly'!H14</f>
        <v>338000</v>
      </c>
      <c r="C93" s="4">
        <f>'Rep quarterly'!H38</f>
        <v>376600</v>
      </c>
      <c r="D93" s="12">
        <f>'Rep quarterly'!H62</f>
        <v>1.1142011834319527</v>
      </c>
      <c r="E93" s="4">
        <f>'Rep quarterly'!H398</f>
        <v>495890</v>
      </c>
      <c r="F93" s="12">
        <f>'Rep quarterly'!H422</f>
        <v>1.467130177514793</v>
      </c>
      <c r="G93" s="4">
        <f>'Rep quarterly'!H302</f>
        <v>292100</v>
      </c>
      <c r="H93" s="4">
        <f>'Rep quarterly'!H374</f>
      </c>
      <c r="I93" s="4">
        <f>'Rep quarterly'!H110</f>
        <v>2</v>
      </c>
      <c r="J93" s="12">
        <f>'Rep quarterly'!H158</f>
        <v>0.4</v>
      </c>
      <c r="K93" s="4">
        <f>'Rep quarterly'!H182</f>
        <v>188300</v>
      </c>
      <c r="L93" s="12">
        <f>'Rep quarterly'!H494</f>
        <v>1.3578895463510847</v>
      </c>
    </row>
    <row r="94">
      <c r="A94" s="0" t="inlineStr">
        <is>
          <t xml:space="preserve">Wei Novak</t>
        </is>
      </c>
      <c r="B94" s="4">
        <f>'Rep quarterly'!H15</f>
        <v>253000</v>
      </c>
      <c r="C94" s="4">
        <f>'Rep quarterly'!H39</f>
        <v>92900</v>
      </c>
      <c r="D94" s="12">
        <f>'Rep quarterly'!H63</f>
        <v>0.36719367588932805</v>
      </c>
      <c r="E94" s="4">
        <f>'Rep quarterly'!H399</f>
        <v>92900</v>
      </c>
      <c r="F94" s="12">
        <f>'Rep quarterly'!H423</f>
        <v>0.36719367588932805</v>
      </c>
      <c r="G94" s="4">
        <f>'Rep quarterly'!H303</f>
        <v>0</v>
      </c>
      <c r="H94" s="4">
        <f>'Rep quarterly'!H375</f>
      </c>
      <c r="I94" s="4">
        <f>'Rep quarterly'!H111</f>
        <v>1</v>
      </c>
      <c r="J94" s="12">
        <f>'Rep quarterly'!H159</f>
        <v>0.14285714285714285</v>
      </c>
      <c r="K94" s="4">
        <f>'Rep quarterly'!H183</f>
        <v>92900</v>
      </c>
      <c r="L94" s="12">
        <f>'Rep quarterly'!H495</f>
        <v>0.34723320158102766</v>
      </c>
    </row>
    <row r="95">
      <c r="A95" s="0" t="inlineStr">
        <is>
          <t xml:space="preserve">Nikolai Kim</t>
        </is>
      </c>
      <c r="B95" s="8">
        <f>'Rep quarterly'!H16</f>
        <v>190000</v>
      </c>
      <c r="C95" s="8">
        <f>'Rep quarterly'!H40</f>
        <v>136400</v>
      </c>
      <c r="D95" s="12">
        <f>'Rep quarterly'!H64</f>
        <v>0.7178947368421053</v>
      </c>
      <c r="E95" s="8">
        <f>'Rep quarterly'!H400</f>
        <v>169180</v>
      </c>
      <c r="F95" s="12">
        <f>'Rep quarterly'!H424</f>
        <v>0.890421052631579</v>
      </c>
      <c r="G95" s="8">
        <f>'Rep quarterly'!H304</f>
        <v>123400</v>
      </c>
      <c r="H95" s="8">
        <f>'Rep quarterly'!H376</f>
        <v>2.3022388059701493</v>
      </c>
      <c r="I95" s="8">
        <f>'Rep quarterly'!H112</f>
        <v>4</v>
      </c>
      <c r="J95" s="12">
        <f>'Rep quarterly'!H160</f>
        <v>0.4</v>
      </c>
      <c r="K95" s="8">
        <f>'Rep quarterly'!H184</f>
        <v>34100</v>
      </c>
      <c r="L95" s="12">
        <f>'Rep quarterly'!H496</f>
        <v>0.9307017543859649</v>
      </c>
    </row>
    <row r="96">
      <c r="A96" s="0" t="inlineStr">
        <is>
          <t xml:space="preserve">Wei Nair</t>
        </is>
      </c>
      <c r="B96" s="8">
        <f>'Rep quarterly'!H17</f>
        <v>190000</v>
      </c>
      <c r="C96" s="8">
        <f>'Rep quarterly'!H41</f>
        <v>107600</v>
      </c>
      <c r="D96" s="12">
        <f>'Rep quarterly'!H65</f>
        <v>0.5663157894736842</v>
      </c>
      <c r="E96" s="8">
        <f>'Rep quarterly'!H401</f>
        <v>131050</v>
      </c>
      <c r="F96" s="12">
        <f>'Rep quarterly'!H425</f>
        <v>0.6897368421052632</v>
      </c>
      <c r="G96" s="8">
        <f>'Rep quarterly'!H305</f>
        <v>46900</v>
      </c>
      <c r="H96" s="8">
        <f>'Rep quarterly'!H377</f>
        <v>0.5691747572815534</v>
      </c>
      <c r="I96" s="8">
        <f>'Rep quarterly'!H113</f>
        <v>2</v>
      </c>
      <c r="J96" s="12">
        <f>'Rep quarterly'!H161</f>
        <v>0.2</v>
      </c>
      <c r="K96" s="8">
        <f>'Rep quarterly'!H185</f>
        <v>53800</v>
      </c>
      <c r="L96" s="12">
        <f>'Rep quarterly'!H497</f>
        <v>0.5670175438596491</v>
      </c>
    </row>
    <row r="97">
      <c r="A97" s="0" t="inlineStr">
        <is>
          <t xml:space="preserve">Liam Silva</t>
        </is>
      </c>
      <c r="B97" s="8">
        <f>'Rep quarterly'!H18</f>
        <v>100000</v>
      </c>
      <c r="C97" s="8">
        <f>'Rep quarterly'!H42</f>
        <v>103000</v>
      </c>
      <c r="D97" s="12">
        <f>'Rep quarterly'!H66</f>
        <v>1.03</v>
      </c>
      <c r="E97" s="8">
        <f>'Rep quarterly'!H402</f>
        <v>122490</v>
      </c>
      <c r="F97" s="12">
        <f>'Rep quarterly'!H426</f>
        <v>1.2249</v>
      </c>
      <c r="G97" s="8">
        <f>'Rep quarterly'!H306</f>
        <v>57700</v>
      </c>
      <c r="H97" s="8">
        <f>'Rep quarterly'!H378</f>
      </c>
      <c r="I97" s="8">
        <f>'Rep quarterly'!H114</f>
        <v>7</v>
      </c>
      <c r="J97" s="12">
        <f>'Rep quarterly'!H162</f>
        <v>0.4375</v>
      </c>
      <c r="K97" s="8">
        <f>'Rep quarterly'!H186</f>
        <v>14714.285714285714</v>
      </c>
      <c r="L97" s="12">
        <f>'Rep quarterly'!H498</f>
        <v>0.9046666666666666</v>
      </c>
    </row>
    <row r="98">
      <c r="A98" s="0" t="inlineStr">
        <is>
          <t xml:space="preserve">Samuel Silva</t>
        </is>
      </c>
      <c r="B98" s="8">
        <f>'Rep quarterly'!H19</f>
        <v>100000</v>
      </c>
      <c r="C98" s="8">
        <f>'Rep quarterly'!H43</f>
        <v>71300</v>
      </c>
      <c r="D98" s="12">
        <f>'Rep quarterly'!H67</f>
        <v>0.713</v>
      </c>
      <c r="E98" s="8">
        <f>'Rep quarterly'!H403</f>
        <v>77100</v>
      </c>
      <c r="F98" s="12">
        <f>'Rep quarterly'!H427</f>
        <v>0.771</v>
      </c>
      <c r="G98" s="8">
        <f>'Rep quarterly'!H307</f>
        <v>11600</v>
      </c>
      <c r="H98" s="8">
        <f>'Rep quarterly'!H379</f>
        <v>0.40418118466898956</v>
      </c>
      <c r="I98" s="8">
        <f>'Rep quarterly'!H115</f>
        <v>7</v>
      </c>
      <c r="J98" s="12">
        <f>'Rep quarterly'!H163</f>
        <v>0.4666666666666667</v>
      </c>
      <c r="K98" s="8">
        <f>'Rep quarterly'!H187</f>
        <v>10185.714285714286</v>
      </c>
      <c r="L98" s="12">
        <f>'Rep quarterly'!H499</f>
        <v>1.136</v>
      </c>
    </row>
    <row r="99">
      <c r="A99" s="0" t="inlineStr">
        <is>
          <t xml:space="preserve">Yuki Larsen</t>
        </is>
      </c>
      <c r="B99" s="4">
        <f>'Rep quarterly'!H20</f>
        <v>262000</v>
      </c>
      <c r="C99" s="4">
        <f>'Rep quarterly'!H44</f>
        <v>157600</v>
      </c>
      <c r="D99" s="12">
        <f>'Rep quarterly'!H68</f>
        <v>0.601526717557252</v>
      </c>
      <c r="E99" s="4">
        <f>'Rep quarterly'!H404</f>
        <v>157600</v>
      </c>
      <c r="F99" s="12">
        <f>'Rep quarterly'!H428</f>
        <v>0.601526717557252</v>
      </c>
      <c r="G99" s="4">
        <f>'Rep quarterly'!H308</f>
        <v>0</v>
      </c>
      <c r="H99" s="4">
        <f>'Rep quarterly'!H380</f>
      </c>
      <c r="I99" s="4">
        <f>'Rep quarterly'!H116</f>
        <v>1</v>
      </c>
      <c r="J99" s="12">
        <f>'Rep quarterly'!H164</f>
        <v>0.16666666666666666</v>
      </c>
      <c r="K99" s="4">
        <f>'Rep quarterly'!H188</f>
        <v>157600</v>
      </c>
      <c r="L99" s="12">
        <f>'Rep quarterly'!H500</f>
        <v>0.4402035623409669</v>
      </c>
    </row>
    <row r="100">
      <c r="A100" s="0" t="inlineStr">
        <is>
          <t xml:space="preserve">Nikolai Sato</t>
        </is>
      </c>
      <c r="B100" s="8">
        <f>'Rep quarterly'!H21</f>
        <v>262000</v>
      </c>
      <c r="C100" s="8">
        <f>'Rep quarterly'!H45</f>
        <v>103400</v>
      </c>
      <c r="D100" s="12">
        <f>'Rep quarterly'!H69</f>
        <v>0.3946564885496183</v>
      </c>
      <c r="E100" s="8">
        <f>'Rep quarterly'!H405</f>
        <v>127090</v>
      </c>
      <c r="F100" s="12">
        <f>'Rep quarterly'!H429</f>
        <v>0.4850763358778626</v>
      </c>
      <c r="G100" s="8">
        <f>'Rep quarterly'!H309</f>
        <v>236900</v>
      </c>
      <c r="H100" s="8">
        <f>'Rep quarterly'!H381</f>
        <v>1.4936948297604036</v>
      </c>
      <c r="I100" s="8">
        <f>'Rep quarterly'!H117</f>
        <v>1</v>
      </c>
      <c r="J100" s="12">
        <f>'Rep quarterly'!H165</f>
        <v>0.25</v>
      </c>
      <c r="K100" s="8">
        <f>'Rep quarterly'!H189</f>
        <v>103400</v>
      </c>
      <c r="L100" s="12">
        <f>'Rep quarterly'!H501</f>
        <v>0.24580152671755726</v>
      </c>
    </row>
    <row r="101">
      <c r="A101" s="0" t="inlineStr">
        <is>
          <t xml:space="preserve">Elena Silva</t>
        </is>
      </c>
      <c r="B101" s="8">
        <f>'Rep quarterly'!H22</f>
        <v>150000</v>
      </c>
      <c r="C101" s="8">
        <f>'Rep quarterly'!H46</f>
        <v>191600</v>
      </c>
      <c r="D101" s="12">
        <f>'Rep quarterly'!H70</f>
        <v>1.2773333333333334</v>
      </c>
      <c r="E101" s="8">
        <f>'Rep quarterly'!H406</f>
        <v>249640</v>
      </c>
      <c r="F101" s="12">
        <f>'Rep quarterly'!H430</f>
        <v>1.6642666666666666</v>
      </c>
      <c r="G101" s="8">
        <f>'Rep quarterly'!H310</f>
        <v>185600</v>
      </c>
      <c r="H101" s="8">
        <f>'Rep quarterly'!H382</f>
      </c>
      <c r="I101" s="8">
        <f>'Rep quarterly'!H118</f>
        <v>7</v>
      </c>
      <c r="J101" s="12">
        <f>'Rep quarterly'!H166</f>
        <v>0.7</v>
      </c>
      <c r="K101" s="8">
        <f>'Rep quarterly'!H190</f>
        <v>27371.428571428572</v>
      </c>
      <c r="L101" s="12">
        <f>'Rep quarterly'!H502</f>
        <v>1.1393333333333333</v>
      </c>
    </row>
    <row r="102">
      <c r="A102" s="0" t="inlineStr">
        <is>
          <t xml:space="preserve">Arjun Müller</t>
        </is>
      </c>
      <c r="B102" s="4">
        <f>'Rep quarterly'!H23</f>
        <v>150000</v>
      </c>
      <c r="C102" s="4">
        <f>'Rep quarterly'!H47</f>
        <v>162200</v>
      </c>
      <c r="D102" s="12">
        <f>'Rep quarterly'!H71</f>
        <v>1.0813333333333333</v>
      </c>
      <c r="E102" s="4">
        <f>'Rep quarterly'!H407</f>
        <v>164370</v>
      </c>
      <c r="F102" s="12">
        <f>'Rep quarterly'!H431</f>
        <v>1.0958</v>
      </c>
      <c r="G102" s="4">
        <f>'Rep quarterly'!H311</f>
        <v>21700</v>
      </c>
      <c r="H102" s="4">
        <f>'Rep quarterly'!H383</f>
      </c>
      <c r="I102" s="4">
        <f>'Rep quarterly'!H119</f>
        <v>4</v>
      </c>
      <c r="J102" s="12">
        <f>'Rep quarterly'!H167</f>
        <v>0.3076923076923077</v>
      </c>
      <c r="K102" s="4">
        <f>'Rep quarterly'!H191</f>
        <v>40550</v>
      </c>
      <c r="L102" s="12">
        <f>'Rep quarterly'!H503</f>
        <v>0.7913333333333333</v>
      </c>
    </row>
    <row r="103">
      <c r="A103" s="0" t="inlineStr">
        <is>
          <t xml:space="preserve">Nikolai Park</t>
        </is>
      </c>
      <c r="B103" s="8">
        <f>'Rep quarterly'!H24</f>
        <v>40000</v>
      </c>
      <c r="C103" s="8">
        <f>'Rep quarterly'!H48</f>
        <v>27800</v>
      </c>
      <c r="D103" s="12">
        <f>'Rep quarterly'!H72</f>
        <v>0.695</v>
      </c>
      <c r="E103" s="8">
        <f>'Rep quarterly'!H408</f>
        <v>35180</v>
      </c>
      <c r="F103" s="12">
        <f>'Rep quarterly'!H432</f>
        <v>0.8795</v>
      </c>
      <c r="G103" s="8">
        <f>'Rep quarterly'!H312</f>
        <v>8200</v>
      </c>
      <c r="H103" s="8">
        <f>'Rep quarterly'!H384</f>
        <v>0.6721311475409836</v>
      </c>
      <c r="I103" s="8">
        <f>'Rep quarterly'!H120</f>
        <v>2</v>
      </c>
      <c r="J103" s="12">
        <f>'Rep quarterly'!H168</f>
        <v>0.6666666666666666</v>
      </c>
      <c r="K103" s="8">
        <f>'Rep quarterly'!H192</f>
        <v>13900</v>
      </c>
      <c r="L103" s="12">
        <f>'Rep quarterly'!H504</f>
        <v>0.6466666666666666</v>
      </c>
    </row>
    <row r="104">
      <c r="A104" s="0" t="inlineStr">
        <is>
          <t xml:space="preserve">Ingrid Dubois</t>
        </is>
      </c>
      <c r="B104" s="8">
        <f>'Rep quarterly'!H25</f>
        <v>80000</v>
      </c>
      <c r="C104" s="8">
        <f>'Rep quarterly'!H49</f>
        <v>117900</v>
      </c>
      <c r="D104" s="12">
        <f>'Rep quarterly'!H73</f>
        <v>1.47375</v>
      </c>
      <c r="E104" s="8">
        <f>'Rep quarterly'!H409</f>
        <v>125090</v>
      </c>
      <c r="F104" s="12">
        <f>'Rep quarterly'!H433</f>
        <v>1.563625</v>
      </c>
      <c r="G104" s="8">
        <f>'Rep quarterly'!H313</f>
        <v>17500</v>
      </c>
      <c r="H104" s="8">
        <f>'Rep quarterly'!H385</f>
      </c>
      <c r="I104" s="8">
        <f>'Rep quarterly'!H121</f>
        <v>7</v>
      </c>
      <c r="J104" s="12">
        <f>'Rep quarterly'!H169</f>
        <v>0.5</v>
      </c>
      <c r="K104" s="8">
        <f>'Rep quarterly'!H193</f>
        <v>16842.85714285714</v>
      </c>
      <c r="L104" s="12">
        <f>'Rep quarterly'!H505</f>
        <v>1.1229166666666666</v>
      </c>
    </row>
    <row r="106">
      <c r="A106" s="1" t="inlineStr">
        <is>
          <t xml:space="preserve">Average deal by segment</t>
        </is>
      </c>
    </row>
    <row r="107">
      <c r="A107" s="1" t="inlineStr">
        <is>
          <t xml:space="preserve">segment</t>
        </is>
      </c>
      <c r="B107" s="1" t="inlineStr">
        <is>
          <t xml:space="preserve">Q1 2026</t>
        </is>
      </c>
      <c r="C107" s="1" t="inlineStr">
        <is>
          <t xml:space="preserve">Q2 2026</t>
        </is>
      </c>
      <c r="D107" s="1" t="inlineStr">
        <is>
          <t xml:space="preserve">Q3 2026</t>
        </is>
      </c>
      <c r="E107" s="1" t="inlineStr">
        <is>
          <t xml:space="preserve">Q4 2026</t>
        </is>
      </c>
    </row>
    <row r="108">
      <c r="A108" s="0" t="inlineStr">
        <is>
          <t xml:space="preserve">Enterprise</t>
        </is>
      </c>
      <c r="B108" s="8">
        <f>'Segment quarterly'!F32</f>
        <v>260960</v>
      </c>
      <c r="C108" s="8">
        <f>'Segment quarterly'!G32</f>
        <v>103340</v>
      </c>
      <c r="D108" s="8">
        <f>'Segment quarterly'!H32</f>
        <v>147385.7142857143</v>
      </c>
      <c r="E108" s="8">
        <f>'Segment quarterly'!I32</f>
      </c>
    </row>
    <row r="109">
      <c r="A109" s="0" t="inlineStr">
        <is>
          <t xml:space="preserve">Mid-Market</t>
        </is>
      </c>
      <c r="B109" s="8">
        <f>'Segment quarterly'!F33</f>
        <v>40883.333333333336</v>
      </c>
      <c r="C109" s="8">
        <f>'Segment quarterly'!G33</f>
        <v>38134.09090909091</v>
      </c>
      <c r="D109" s="8">
        <f>'Segment quarterly'!H33</f>
        <v>37136.84210526316</v>
      </c>
      <c r="E109" s="8">
        <f>'Segment quarterly'!I33</f>
      </c>
    </row>
    <row r="110">
      <c r="A110" s="0" t="inlineStr">
        <is>
          <t xml:space="preserve">SMB</t>
        </is>
      </c>
      <c r="B110" s="8">
        <f>'Segment quarterly'!F34</f>
        <v>12036.538461538461</v>
      </c>
      <c r="C110" s="8">
        <f>'Segment quarterly'!G34</f>
        <v>12540</v>
      </c>
      <c r="D110" s="8">
        <f>'Segment quarterly'!H34</f>
        <v>13108.333333333334</v>
      </c>
      <c r="E110" s="8">
        <f>'Segment quarterly'!I34</f>
      </c>
    </row>
    <row r="129">
      <c r="A129" s="1" t="inlineStr">
        <is>
          <t xml:space="preserve">Sales cycle by segment (days)</t>
        </is>
      </c>
    </row>
    <row r="130">
      <c r="A130" s="1" t="inlineStr">
        <is>
          <t xml:space="preserve">segment</t>
        </is>
      </c>
      <c r="B130" s="1" t="inlineStr">
        <is>
          <t xml:space="preserve">Q1 2026</t>
        </is>
      </c>
      <c r="C130" s="1" t="inlineStr">
        <is>
          <t xml:space="preserve">Q2 2026</t>
        </is>
      </c>
      <c r="D130" s="1" t="inlineStr">
        <is>
          <t xml:space="preserve">Q3 2026</t>
        </is>
      </c>
      <c r="E130" s="1" t="inlineStr">
        <is>
          <t xml:space="preserve">Q4 2026</t>
        </is>
      </c>
    </row>
    <row r="131">
      <c r="A131" s="0" t="inlineStr">
        <is>
          <t xml:space="preserve">Enterprise</t>
        </is>
      </c>
      <c r="B131" s="8">
        <f>'Segment quarterly'!F38</f>
        <v>148.1</v>
      </c>
      <c r="C131" s="8">
        <f>'Segment quarterly'!G38</f>
        <v>142</v>
      </c>
      <c r="D131" s="8">
        <f>'Segment quarterly'!H38</f>
        <v>116.07142857142857</v>
      </c>
      <c r="E131" s="8">
        <f>'Segment quarterly'!I38</f>
      </c>
    </row>
    <row r="132">
      <c r="A132" s="0" t="inlineStr">
        <is>
          <t xml:space="preserve">Mid-Market</t>
        </is>
      </c>
      <c r="B132" s="8">
        <f>'Segment quarterly'!F39</f>
        <v>65.03333333333333</v>
      </c>
      <c r="C132" s="8">
        <f>'Segment quarterly'!G39</f>
        <v>72.54545454545455</v>
      </c>
      <c r="D132" s="8">
        <f>'Segment quarterly'!H39</f>
        <v>57.78947368421053</v>
      </c>
      <c r="E132" s="8">
        <f>'Segment quarterly'!I39</f>
      </c>
    </row>
    <row r="133">
      <c r="A133" s="0" t="inlineStr">
        <is>
          <t xml:space="preserve">SMB</t>
        </is>
      </c>
      <c r="B133" s="8">
        <f>'Segment quarterly'!F40</f>
        <v>35.11538461538461</v>
      </c>
      <c r="C133" s="8">
        <f>'Segment quarterly'!G40</f>
        <v>37.82</v>
      </c>
      <c r="D133" s="8">
        <f>'Segment quarterly'!H40</f>
        <v>27</v>
      </c>
      <c r="E133" s="8">
        <f>'Segment quarterly'!I40</f>
      </c>
    </row>
    <row r="152">
      <c r="A152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8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</cols>
  <sheetData>
    <row r="1">
      <c r="A1" s="1" t="inlineStr">
        <is>
          <t xml:space="preserve">Commission plan: attainment bands and multipliers (edit)</t>
        </is>
      </c>
      <c r="B1" s="3" t="inlineStr">
        <is>
          <t xml:space="preserve">Inputs: edit the blue cells on the 'Commission plan' sheet; this table follows them.</t>
        </is>
      </c>
    </row>
    <row r="2">
      <c r="A2" s="1" t="inlineStr">
        <is>
          <t xml:space="preserve">tranche</t>
        </is>
      </c>
      <c r="B2" s="1" t="inlineStr">
        <is>
          <t xml:space="preserve">Attainment from</t>
        </is>
      </c>
      <c r="C2" s="1" t="inlineStr">
        <is>
          <t xml:space="preserve">Attainment to</t>
        </is>
      </c>
      <c r="D2" s="1" t="inlineStr">
        <is>
          <t xml:space="preserve">Rate multiplier (x)</t>
        </is>
      </c>
    </row>
    <row r="3">
      <c r="A3" s="0" t="inlineStr">
        <is>
          <t xml:space="preserve">Below 50%</t>
        </is>
      </c>
      <c r="B3" s="12">
        <f>'Commission plan'!B2</f>
        <v>0</v>
      </c>
      <c r="C3" s="12">
        <f>'Commission plan'!B3</f>
        <v>0.5</v>
      </c>
      <c r="D3" s="8">
        <f>'Commission plan'!B4</f>
        <v>0.75</v>
      </c>
    </row>
    <row r="4">
      <c r="A4" s="0" t="inlineStr">
        <is>
          <t xml:space="preserve">50% to 100%</t>
        </is>
      </c>
      <c r="B4" s="12">
        <f>'Commission plan'!C2</f>
        <v>0.5</v>
      </c>
      <c r="C4" s="12">
        <f>'Commission plan'!C3</f>
        <v>1</v>
      </c>
      <c r="D4" s="4">
        <f>'Commission plan'!C4</f>
        <v>1</v>
      </c>
    </row>
    <row r="5">
      <c r="A5" s="0" t="inlineStr">
        <is>
          <t xml:space="preserve">100% to 125%</t>
        </is>
      </c>
      <c r="B5" s="12">
        <f>'Commission plan'!D2</f>
        <v>1</v>
      </c>
      <c r="C5" s="12">
        <f>'Commission plan'!D3</f>
        <v>1.25</v>
      </c>
      <c r="D5" s="8">
        <f>'Commission plan'!D4</f>
        <v>1.5</v>
      </c>
    </row>
    <row r="6">
      <c r="A6" s="0" t="inlineStr">
        <is>
          <t xml:space="preserve">125% to 150%</t>
        </is>
      </c>
      <c r="B6" s="12">
        <f>'Commission plan'!E2</f>
        <v>1.25</v>
      </c>
      <c r="C6" s="12">
        <f>'Commission plan'!E3</f>
        <v>1.5</v>
      </c>
      <c r="D6" s="4">
        <f>'Commission plan'!E4</f>
        <v>2</v>
      </c>
    </row>
    <row r="7">
      <c r="A7" s="0" t="inlineStr">
        <is>
          <t xml:space="preserve">Above 150%</t>
        </is>
      </c>
      <c r="B7" s="12">
        <f>'Commission plan'!F2</f>
        <v>1.5</v>
      </c>
      <c r="C7" s="12">
        <f>'Commission plan'!F3</f>
        <v>9.99</v>
      </c>
      <c r="D7" s="4">
        <f>'Commission plan'!F4</f>
        <v>3</v>
      </c>
    </row>
    <row r="9">
      <c r="A9" s="1" t="inlineStr">
        <is>
          <t xml:space="preserve">Kickers, SPIFF and forecast weights (edit)</t>
        </is>
      </c>
      <c r="B9" s="3" t="inlineStr">
        <is>
          <t xml:space="preserve">Inputs: edit the blue cells on the 'Plan parameters' sheet; this table follows them.</t>
        </is>
      </c>
    </row>
    <row r="10">
      <c r="A10" s="1" t="inlineStr">
        <is>
          <t xml:space="preserve">line</t>
        </is>
      </c>
      <c r="B10" s="1" t="inlineStr">
        <is>
          <t xml:space="preserve">value</t>
        </is>
      </c>
    </row>
    <row r="11">
      <c r="A11" s="0" t="inlineStr">
        <is>
          <t xml:space="preserve">ARR at 31 Mar 2025</t>
        </is>
      </c>
      <c r="B11" s="4">
        <f>'Plan parameters'!B2</f>
        <v>52600000</v>
      </c>
    </row>
    <row r="12">
      <c r="A12" s="0" t="inlineStr">
        <is>
          <t xml:space="preserve">New-logo kicker (% of new-logo ACV)</t>
        </is>
      </c>
      <c r="B12" s="12">
        <f>'Plan parameters'!B3</f>
        <v>0.015</v>
      </c>
    </row>
    <row r="13">
      <c r="A13" s="0" t="inlineStr">
        <is>
          <t xml:space="preserve">Multi-year kicker (% of ACV per extra year)</t>
        </is>
      </c>
      <c r="B13" s="12">
        <f>'Plan parameters'!B4</f>
        <v>0.01</v>
      </c>
    </row>
    <row r="14">
      <c r="A14" s="0" t="inlineStr">
        <is>
          <t xml:space="preserve">Security add-on SPIFF ($ per deal, Q3 2026)</t>
        </is>
      </c>
      <c r="B14" s="4">
        <f>'Plan parameters'!B5</f>
        <v>2000</v>
      </c>
    </row>
    <row r="15">
      <c r="A15" s="0" t="inlineStr">
        <is>
          <t xml:space="preserve">Payout cap (× on-target variable)</t>
        </is>
      </c>
      <c r="B15" s="4">
        <f>'Plan parameters'!B6</f>
        <v>3</v>
      </c>
    </row>
    <row r="16">
      <c r="A16" s="0" t="inlineStr">
        <is>
          <t xml:space="preserve">Forecast weight: commit</t>
        </is>
      </c>
      <c r="B16" s="12">
        <f>'Plan parameters'!B7</f>
        <v>0.9</v>
      </c>
    </row>
    <row r="17">
      <c r="A17" s="0" t="inlineStr">
        <is>
          <t xml:space="preserve">Forecast weight: best case</t>
        </is>
      </c>
      <c r="B17" s="12">
        <f>'Plan parameters'!B8</f>
        <v>0.5</v>
      </c>
    </row>
    <row r="18">
      <c r="A18" s="0" t="inlineStr">
        <is>
          <t xml:space="preserve">Forecast weight: pipeline</t>
        </is>
      </c>
      <c r="B18" s="12">
        <f>'Plan parameters'!B9</f>
        <v>0.1</v>
      </c>
    </row>
    <row r="20">
      <c r="A20" s="1" t="inlineStr">
        <is>
          <t xml:space="preserve">Quota plan by rep and quarter (edit)</t>
        </is>
      </c>
      <c r="B20" s="3" t="inlineStr">
        <is>
          <t xml:space="preserve">Inputs: edit the blue cells on the 'Quota plan' sheet; this table follows them.</t>
        </is>
      </c>
    </row>
    <row r="21">
      <c r="A21" s="1" t="inlineStr">
        <is>
          <t xml:space="preserve">rep</t>
        </is>
      </c>
      <c r="B21" s="1" t="inlineStr">
        <is>
          <t xml:space="preserve">Q4 2025</t>
        </is>
      </c>
      <c r="C21" s="1" t="inlineStr">
        <is>
          <t xml:space="preserve">Q1 2026</t>
        </is>
      </c>
      <c r="D21" s="1" t="inlineStr">
        <is>
          <t xml:space="preserve">Q2 2026</t>
        </is>
      </c>
      <c r="E21" s="1" t="inlineStr">
        <is>
          <t xml:space="preserve">Q3 2026</t>
        </is>
      </c>
      <c r="F21" s="1" t="inlineStr">
        <is>
          <t xml:space="preserve">Q4 2026</t>
        </is>
      </c>
    </row>
    <row r="22">
      <c r="A22" s="0" t="inlineStr">
        <is>
          <t xml:space="preserve">Noor Ortiz</t>
        </is>
      </c>
      <c r="B22" s="4">
        <f>'Quota plan'!E2</f>
        <v>375000</v>
      </c>
      <c r="C22" s="4">
        <f>'Quota plan'!F2</f>
        <v>375000</v>
      </c>
      <c r="D22" s="4">
        <f>'Quota plan'!G2</f>
        <v>375000</v>
      </c>
      <c r="E22" s="4">
        <f>'Quota plan'!H2</f>
        <v>375000</v>
      </c>
      <c r="F22" s="4">
        <f>'Quota plan'!I2</f>
        <v>375000</v>
      </c>
    </row>
    <row r="23">
      <c r="A23" s="0" t="inlineStr">
        <is>
          <t xml:space="preserve">Priya Yilmaz</t>
        </is>
      </c>
      <c r="B23" s="4">
        <f>'Quota plan'!E3</f>
        <v>0</v>
      </c>
      <c r="C23" s="4">
        <f>'Quota plan'!F3</f>
        <v>0</v>
      </c>
      <c r="D23" s="4">
        <f>'Quota plan'!G3</f>
        <v>0</v>
      </c>
      <c r="E23" s="4">
        <f>'Quota plan'!H3</f>
        <v>94000</v>
      </c>
      <c r="F23" s="4">
        <f>'Quota plan'!I3</f>
        <v>188000</v>
      </c>
    </row>
    <row r="24">
      <c r="A24" s="0" t="inlineStr">
        <is>
          <t xml:space="preserve">Marcus Schmidt</t>
        </is>
      </c>
      <c r="B24" s="4">
        <f>'Quota plan'!E4</f>
        <v>106000</v>
      </c>
      <c r="C24" s="4">
        <f>'Quota plan'!F4</f>
        <v>159000</v>
      </c>
      <c r="D24" s="4">
        <f>'Quota plan'!G4</f>
        <v>212000</v>
      </c>
      <c r="E24" s="4">
        <f>'Quota plan'!H4</f>
        <v>212000</v>
      </c>
      <c r="F24" s="4">
        <f>'Quota plan'!I4</f>
        <v>212000</v>
      </c>
    </row>
    <row r="25">
      <c r="A25" s="0" t="inlineStr">
        <is>
          <t xml:space="preserve">Amara Haddad</t>
        </is>
      </c>
      <c r="B25" s="4">
        <f>'Quota plan'!E5</f>
        <v>212000</v>
      </c>
      <c r="C25" s="4">
        <f>'Quota plan'!F5</f>
        <v>212000</v>
      </c>
      <c r="D25" s="4">
        <f>'Quota plan'!G5</f>
        <v>212000</v>
      </c>
      <c r="E25" s="4">
        <f>'Quota plan'!H5</f>
        <v>212000</v>
      </c>
      <c r="F25" s="4">
        <f>'Quota plan'!I5</f>
        <v>212000</v>
      </c>
    </row>
    <row r="26">
      <c r="A26" s="0" t="inlineStr">
        <is>
          <t xml:space="preserve">Fatima Silva</t>
        </is>
      </c>
      <c r="B26" s="4">
        <f>'Quota plan'!E6</f>
        <v>112000</v>
      </c>
      <c r="C26" s="4">
        <f>'Quota plan'!F6</f>
        <v>112000</v>
      </c>
      <c r="D26" s="4">
        <f>'Quota plan'!G6</f>
        <v>112000</v>
      </c>
      <c r="E26" s="4">
        <f>'Quota plan'!H6</f>
        <v>112000</v>
      </c>
      <c r="F26" s="4">
        <f>'Quota plan'!I6</f>
        <v>112000</v>
      </c>
    </row>
    <row r="27">
      <c r="A27" s="0" t="inlineStr">
        <is>
          <t xml:space="preserve">Ana Ortiz</t>
        </is>
      </c>
      <c r="B27" s="4">
        <f>'Quota plan'!E7</f>
        <v>84000</v>
      </c>
      <c r="C27" s="4">
        <f>'Quota plan'!F7</f>
        <v>112000</v>
      </c>
      <c r="D27" s="4">
        <f>'Quota plan'!G7</f>
        <v>112000</v>
      </c>
      <c r="E27" s="4">
        <f>'Quota plan'!H7</f>
        <v>112000</v>
      </c>
      <c r="F27" s="4">
        <f>'Quota plan'!I7</f>
        <v>112000</v>
      </c>
    </row>
    <row r="28">
      <c r="A28" s="0" t="inlineStr">
        <is>
          <t xml:space="preserve">Tobias Silva</t>
        </is>
      </c>
      <c r="B28" s="4">
        <f>'Quota plan'!E8</f>
        <v>375000</v>
      </c>
      <c r="C28" s="4">
        <f>'Quota plan'!F8</f>
        <v>375000</v>
      </c>
      <c r="D28" s="4">
        <f>'Quota plan'!G8</f>
        <v>375000</v>
      </c>
      <c r="E28" s="4">
        <f>'Quota plan'!H8</f>
        <v>375000</v>
      </c>
      <c r="F28" s="4">
        <f>'Quota plan'!I8</f>
        <v>375000</v>
      </c>
    </row>
    <row r="29">
      <c r="A29" s="0" t="inlineStr">
        <is>
          <t xml:space="preserve">Leila Osei</t>
        </is>
      </c>
      <c r="B29" s="4">
        <f>'Quota plan'!E9</f>
        <v>375000</v>
      </c>
      <c r="C29" s="4">
        <f>'Quota plan'!F9</f>
        <v>375000</v>
      </c>
      <c r="D29" s="4">
        <f>'Quota plan'!G9</f>
        <v>375000</v>
      </c>
      <c r="E29" s="4">
        <f>'Quota plan'!H9</f>
        <v>375000</v>
      </c>
      <c r="F29" s="4">
        <f>'Quota plan'!I9</f>
        <v>375000</v>
      </c>
    </row>
    <row r="30">
      <c r="A30" s="0" t="inlineStr">
        <is>
          <t xml:space="preserve">Grace Costa</t>
        </is>
      </c>
      <c r="B30" s="4">
        <f>'Quota plan'!E10</f>
        <v>212000</v>
      </c>
      <c r="C30" s="4">
        <f>'Quota plan'!F10</f>
        <v>212000</v>
      </c>
      <c r="D30" s="4">
        <f>'Quota plan'!G10</f>
        <v>212000</v>
      </c>
      <c r="E30" s="4">
        <f>'Quota plan'!H10</f>
        <v>212000</v>
      </c>
      <c r="F30" s="4">
        <f>'Quota plan'!I10</f>
        <v>212000</v>
      </c>
    </row>
    <row r="31">
      <c r="A31" s="0" t="inlineStr">
        <is>
          <t xml:space="preserve">Ingrid Müller</t>
        </is>
      </c>
      <c r="B31" s="4">
        <f>'Quota plan'!E11</f>
        <v>0</v>
      </c>
      <c r="C31" s="4">
        <f>'Quota plan'!F11</f>
        <v>0</v>
      </c>
      <c r="D31" s="4">
        <f>'Quota plan'!G11</f>
        <v>53000</v>
      </c>
      <c r="E31" s="4">
        <f>'Quota plan'!H11</f>
        <v>106000</v>
      </c>
      <c r="F31" s="4">
        <f>'Quota plan'!I11</f>
        <v>159000</v>
      </c>
    </row>
    <row r="32">
      <c r="A32" s="0" t="inlineStr">
        <is>
          <t xml:space="preserve">Ingrid Kim</t>
        </is>
      </c>
      <c r="B32" s="4">
        <f>'Quota plan'!E12</f>
        <v>112000</v>
      </c>
      <c r="C32" s="4">
        <f>'Quota plan'!F12</f>
        <v>112000</v>
      </c>
      <c r="D32" s="4">
        <f>'Quota plan'!G12</f>
        <v>112000</v>
      </c>
      <c r="E32" s="4">
        <f>'Quota plan'!H12</f>
        <v>112000</v>
      </c>
      <c r="F32" s="4">
        <f>'Quota plan'!I12</f>
        <v>112000</v>
      </c>
    </row>
    <row r="33">
      <c r="A33" s="0" t="inlineStr">
        <is>
          <t xml:space="preserve">Priya Nair</t>
        </is>
      </c>
      <c r="B33" s="4">
        <f>'Quota plan'!E13</f>
        <v>112000</v>
      </c>
      <c r="C33" s="4">
        <f>'Quota plan'!F13</f>
        <v>112000</v>
      </c>
      <c r="D33" s="4">
        <f>'Quota plan'!G13</f>
        <v>112000</v>
      </c>
      <c r="E33" s="4">
        <f>'Quota plan'!H13</f>
        <v>112000</v>
      </c>
      <c r="F33" s="4">
        <f>'Quota plan'!I13</f>
        <v>112000</v>
      </c>
    </row>
    <row r="34">
      <c r="A34" s="0" t="inlineStr">
        <is>
          <t xml:space="preserve">Hugo Lindqvist</t>
        </is>
      </c>
      <c r="B34" s="4">
        <f>'Quota plan'!E14</f>
        <v>338000</v>
      </c>
      <c r="C34" s="4">
        <f>'Quota plan'!F14</f>
        <v>338000</v>
      </c>
      <c r="D34" s="4">
        <f>'Quota plan'!G14</f>
        <v>338000</v>
      </c>
      <c r="E34" s="4">
        <f>'Quota plan'!H14</f>
        <v>338000</v>
      </c>
      <c r="F34" s="4">
        <f>'Quota plan'!I14</f>
        <v>338000</v>
      </c>
    </row>
    <row r="35">
      <c r="A35" s="0" t="inlineStr">
        <is>
          <t xml:space="preserve">Wei Novak</t>
        </is>
      </c>
      <c r="B35" s="4">
        <f>'Quota plan'!E15</f>
        <v>0</v>
      </c>
      <c r="C35" s="4">
        <f>'Quota plan'!F15</f>
        <v>84000</v>
      </c>
      <c r="D35" s="4">
        <f>'Quota plan'!G15</f>
        <v>169000</v>
      </c>
      <c r="E35" s="4">
        <f>'Quota plan'!H15</f>
        <v>253000</v>
      </c>
      <c r="F35" s="4">
        <f>'Quota plan'!I15</f>
        <v>338000</v>
      </c>
    </row>
    <row r="36">
      <c r="A36" s="0" t="inlineStr">
        <is>
          <t xml:space="preserve">Nikolai Kim</t>
        </is>
      </c>
      <c r="B36" s="4">
        <f>'Quota plan'!E16</f>
        <v>190000</v>
      </c>
      <c r="C36" s="4">
        <f>'Quota plan'!F16</f>
        <v>190000</v>
      </c>
      <c r="D36" s="4">
        <f>'Quota plan'!G16</f>
        <v>190000</v>
      </c>
      <c r="E36" s="4">
        <f>'Quota plan'!H16</f>
        <v>190000</v>
      </c>
      <c r="F36" s="4">
        <f>'Quota plan'!I16</f>
        <v>190000</v>
      </c>
    </row>
    <row r="37">
      <c r="A37" s="0" t="inlineStr">
        <is>
          <t xml:space="preserve">Wei Nair</t>
        </is>
      </c>
      <c r="B37" s="4">
        <f>'Quota plan'!E17</f>
        <v>190000</v>
      </c>
      <c r="C37" s="4">
        <f>'Quota plan'!F17</f>
        <v>190000</v>
      </c>
      <c r="D37" s="4">
        <f>'Quota plan'!G17</f>
        <v>190000</v>
      </c>
      <c r="E37" s="4">
        <f>'Quota plan'!H17</f>
        <v>190000</v>
      </c>
      <c r="F37" s="4">
        <f>'Quota plan'!I17</f>
        <v>190000</v>
      </c>
    </row>
    <row r="38">
      <c r="A38" s="0" t="inlineStr">
        <is>
          <t xml:space="preserve">Liam Silva</t>
        </is>
      </c>
      <c r="B38" s="4">
        <f>'Quota plan'!E18</f>
        <v>75000</v>
      </c>
      <c r="C38" s="4">
        <f>'Quota plan'!F18</f>
        <v>100000</v>
      </c>
      <c r="D38" s="4">
        <f>'Quota plan'!G18</f>
        <v>100000</v>
      </c>
      <c r="E38" s="4">
        <f>'Quota plan'!H18</f>
        <v>100000</v>
      </c>
      <c r="F38" s="4">
        <f>'Quota plan'!I18</f>
        <v>100000</v>
      </c>
    </row>
    <row r="39">
      <c r="A39" s="0" t="inlineStr">
        <is>
          <t xml:space="preserve">Samuel Silva</t>
        </is>
      </c>
      <c r="B39" s="4">
        <f>'Quota plan'!E19</f>
        <v>100000</v>
      </c>
      <c r="C39" s="4">
        <f>'Quota plan'!F19</f>
        <v>100000</v>
      </c>
      <c r="D39" s="4">
        <f>'Quota plan'!G19</f>
        <v>100000</v>
      </c>
      <c r="E39" s="4">
        <f>'Quota plan'!H19</f>
        <v>100000</v>
      </c>
      <c r="F39" s="4">
        <f>'Quota plan'!I19</f>
        <v>100000</v>
      </c>
    </row>
    <row r="40">
      <c r="A40" s="0" t="inlineStr">
        <is>
          <t xml:space="preserve">Yuki Larsen</t>
        </is>
      </c>
      <c r="B40" s="4">
        <f>'Quota plan'!E20</f>
        <v>262000</v>
      </c>
      <c r="C40" s="4">
        <f>'Quota plan'!F20</f>
        <v>262000</v>
      </c>
      <c r="D40" s="4">
        <f>'Quota plan'!G20</f>
        <v>262000</v>
      </c>
      <c r="E40" s="4">
        <f>'Quota plan'!H20</f>
        <v>262000</v>
      </c>
      <c r="F40" s="4">
        <f>'Quota plan'!I20</f>
        <v>262000</v>
      </c>
    </row>
    <row r="41">
      <c r="A41" s="0" t="inlineStr">
        <is>
          <t xml:space="preserve">Nikolai Sato</t>
        </is>
      </c>
      <c r="B41" s="4">
        <f>'Quota plan'!E21</f>
        <v>262000</v>
      </c>
      <c r="C41" s="4">
        <f>'Quota plan'!F21</f>
        <v>262000</v>
      </c>
      <c r="D41" s="4">
        <f>'Quota plan'!G21</f>
        <v>262000</v>
      </c>
      <c r="E41" s="4">
        <f>'Quota plan'!H21</f>
        <v>262000</v>
      </c>
      <c r="F41" s="4">
        <f>'Quota plan'!I21</f>
        <v>262000</v>
      </c>
    </row>
    <row r="42">
      <c r="A42" s="0" t="inlineStr">
        <is>
          <t xml:space="preserve">Elena Silva</t>
        </is>
      </c>
      <c r="B42" s="4">
        <f>'Quota plan'!E22</f>
        <v>150000</v>
      </c>
      <c r="C42" s="4">
        <f>'Quota plan'!F22</f>
        <v>150000</v>
      </c>
      <c r="D42" s="4">
        <f>'Quota plan'!G22</f>
        <v>150000</v>
      </c>
      <c r="E42" s="4">
        <f>'Quota plan'!H22</f>
        <v>150000</v>
      </c>
      <c r="F42" s="4">
        <f>'Quota plan'!I22</f>
        <v>150000</v>
      </c>
    </row>
    <row r="43">
      <c r="A43" s="0" t="inlineStr">
        <is>
          <t xml:space="preserve">Arjun Müller</t>
        </is>
      </c>
      <c r="B43" s="4">
        <f>'Quota plan'!E23</f>
        <v>150000</v>
      </c>
      <c r="C43" s="4">
        <f>'Quota plan'!F23</f>
        <v>150000</v>
      </c>
      <c r="D43" s="4">
        <f>'Quota plan'!G23</f>
        <v>150000</v>
      </c>
      <c r="E43" s="4">
        <f>'Quota plan'!H23</f>
        <v>150000</v>
      </c>
      <c r="F43" s="4">
        <f>'Quota plan'!I23</f>
        <v>150000</v>
      </c>
    </row>
    <row r="44">
      <c r="A44" s="0" t="inlineStr">
        <is>
          <t xml:space="preserve">Nikolai Park</t>
        </is>
      </c>
      <c r="B44" s="4">
        <f>'Quota plan'!E24</f>
        <v>0</v>
      </c>
      <c r="C44" s="4">
        <f>'Quota plan'!F24</f>
        <v>0</v>
      </c>
      <c r="D44" s="4">
        <f>'Quota plan'!G24</f>
        <v>20000</v>
      </c>
      <c r="E44" s="4">
        <f>'Quota plan'!H24</f>
        <v>40000</v>
      </c>
      <c r="F44" s="4">
        <f>'Quota plan'!I24</f>
        <v>60000</v>
      </c>
    </row>
    <row r="45">
      <c r="A45" s="0" t="inlineStr">
        <is>
          <t xml:space="preserve">Ingrid Dubois</t>
        </is>
      </c>
      <c r="B45" s="4">
        <f>'Quota plan'!E25</f>
        <v>80000</v>
      </c>
      <c r="C45" s="4">
        <f>'Quota plan'!F25</f>
        <v>80000</v>
      </c>
      <c r="D45" s="4">
        <f>'Quota plan'!G25</f>
        <v>80000</v>
      </c>
      <c r="E45" s="4">
        <f>'Quota plan'!H25</f>
        <v>80000</v>
      </c>
      <c r="F45" s="4">
        <f>'Quota plan'!I25</f>
        <v>80000</v>
      </c>
    </row>
    <row r="47">
      <c r="A47" s="1" t="inlineStr">
        <is>
          <t xml:space="preserve">Variable pay, Q3 2026</t>
        </is>
      </c>
    </row>
    <row r="48">
      <c r="A48" s="1" t="inlineStr">
        <is>
          <t xml:space="preserve">rep</t>
        </is>
      </c>
      <c r="B48" s="1" t="inlineStr">
        <is>
          <t xml:space="preserve">Quota</t>
        </is>
      </c>
      <c r="C48" s="1" t="inlineStr">
        <is>
          <t xml:space="preserve">Bookings</t>
        </is>
      </c>
      <c r="D48" s="1" t="inlineStr">
        <is>
          <t xml:space="preserve">Attainment</t>
        </is>
      </c>
      <c r="E48" s="1" t="inlineStr">
        <is>
          <t xml:space="preserve">Commission (tranches)</t>
        </is>
      </c>
      <c r="F48" s="1" t="inlineStr">
        <is>
          <t xml:space="preserve">New-logo kicker</t>
        </is>
      </c>
      <c r="G48" s="1" t="inlineStr">
        <is>
          <t xml:space="preserve">Multi-year kicker</t>
        </is>
      </c>
      <c r="H48" s="1" t="inlineStr">
        <is>
          <t xml:space="preserve">SPIFF</t>
        </is>
      </c>
      <c r="I48" s="1" t="inlineStr">
        <is>
          <t xml:space="preserve">Total variable pay (capped)</t>
        </is>
      </c>
      <c r="J48" s="1" t="inlineStr">
        <is>
          <t xml:space="preserve">Variable vs target</t>
        </is>
      </c>
      <c r="K48" s="1" t="inlineStr">
        <is>
          <t xml:space="preserve">Pay as % of bookings</t>
        </is>
      </c>
      <c r="L48" s="1" t="inlineStr">
        <is>
          <t xml:space="preserve">YTD attainment</t>
        </is>
      </c>
      <c r="M48" s="1" t="inlineStr">
        <is>
          <t xml:space="preserve">President's Club track (1 = yes)</t>
        </is>
      </c>
    </row>
    <row r="49">
      <c r="A49" s="0" t="inlineStr">
        <is>
          <t xml:space="preserve">Noor Ortiz</t>
        </is>
      </c>
      <c r="B49" s="8">
        <f>'Variable pay'!H2</f>
        <v>375000</v>
      </c>
      <c r="C49" s="8">
        <f>'Variable pay'!H26</f>
        <v>138600</v>
      </c>
      <c r="D49" s="12">
        <f>'Variable pay'!H50</f>
        <v>0.3696</v>
      </c>
      <c r="E49" s="8">
        <f>'Variable pay'!H74</f>
        <v>10395.000000000002</v>
      </c>
      <c r="F49" s="8">
        <f>'Variable pay'!H98</f>
        <v>927</v>
      </c>
      <c r="G49" s="8">
        <f>'Variable pay'!H146</f>
        <v>768</v>
      </c>
      <c r="H49" s="8">
        <f>'Variable pay'!H194</f>
        <v>0</v>
      </c>
      <c r="I49" s="8">
        <f>'Variable pay'!H266</f>
        <v>12090.000000000002</v>
      </c>
      <c r="J49" s="12">
        <f>'Variable pay'!H290</f>
        <v>0.3224000000000001</v>
      </c>
      <c r="K49" s="12">
        <f>'Variable pay'!H314</f>
        <v>0.08722943722943724</v>
      </c>
      <c r="L49" s="12">
        <f>'Variable pay'!H362</f>
        <v>0.9610666666666666</v>
      </c>
      <c r="M49" s="8">
        <f>'Variable pay'!H386</f>
        <v>0</v>
      </c>
    </row>
    <row r="50">
      <c r="A50" s="0" t="inlineStr">
        <is>
          <t xml:space="preserve">Priya Yilmaz</t>
        </is>
      </c>
      <c r="B50" s="4">
        <f>'Variable pay'!H3</f>
        <v>94000</v>
      </c>
      <c r="C50" s="4">
        <f>'Variable pay'!H27</f>
        <v>0</v>
      </c>
      <c r="D50" s="12">
        <f>'Variable pay'!H51</f>
        <v>0</v>
      </c>
      <c r="E50" s="4">
        <f>'Variable pay'!H75</f>
        <v>0</v>
      </c>
      <c r="F50" s="4">
        <f>'Variable pay'!H99</f>
        <v>0</v>
      </c>
      <c r="G50" s="4">
        <f>'Variable pay'!H147</f>
        <v>0</v>
      </c>
      <c r="H50" s="4">
        <f>'Variable pay'!H195</f>
        <v>0</v>
      </c>
      <c r="I50" s="4">
        <f>'Variable pay'!H267</f>
        <v>0</v>
      </c>
      <c r="J50" s="12">
        <f>'Variable pay'!H291</f>
        <v>0</v>
      </c>
      <c r="K50" s="12">
        <f>'Variable pay'!H315</f>
        <v>0</v>
      </c>
      <c r="L50" s="12">
        <f>'Variable pay'!H363</f>
        <v>0</v>
      </c>
      <c r="M50" s="4">
        <f>'Variable pay'!H387</f>
        <v>0</v>
      </c>
    </row>
    <row r="51">
      <c r="A51" s="0" t="inlineStr">
        <is>
          <t xml:space="preserve">Marcus Schmidt</t>
        </is>
      </c>
      <c r="B51" s="8">
        <f>'Variable pay'!H4</f>
        <v>212000</v>
      </c>
      <c r="C51" s="8">
        <f>'Variable pay'!H28</f>
        <v>129800</v>
      </c>
      <c r="D51" s="12">
        <f>'Variable pay'!H52</f>
        <v>0.6122641509433963</v>
      </c>
      <c r="E51" s="8">
        <f>'Variable pay'!H76</f>
        <v>13367.02</v>
      </c>
      <c r="F51" s="8">
        <f>'Variable pay'!H100</f>
        <v>1503</v>
      </c>
      <c r="G51" s="8">
        <f>'Variable pay'!H148</f>
        <v>0</v>
      </c>
      <c r="H51" s="8">
        <f>'Variable pay'!H196</f>
        <v>0</v>
      </c>
      <c r="I51" s="8">
        <f>'Variable pay'!H268</f>
        <v>14870.02</v>
      </c>
      <c r="J51" s="12">
        <f>'Variable pay'!H292</f>
        <v>0.540728</v>
      </c>
      <c r="K51" s="12">
        <f>'Variable pay'!H316</f>
        <v>0.11456101694915255</v>
      </c>
      <c r="L51" s="12">
        <f>'Variable pay'!H364</f>
        <v>1.2065180102915951</v>
      </c>
      <c r="M51" s="8">
        <f>'Variable pay'!H388</f>
        <v>1</v>
      </c>
    </row>
    <row r="52">
      <c r="A52" s="0" t="inlineStr">
        <is>
          <t xml:space="preserve">Amara Haddad</t>
        </is>
      </c>
      <c r="B52" s="8">
        <f>'Variable pay'!H5</f>
        <v>212000</v>
      </c>
      <c r="C52" s="8">
        <f>'Variable pay'!H29</f>
        <v>55300</v>
      </c>
      <c r="D52" s="12">
        <f>'Variable pay'!H53</f>
        <v>0.2608490566037736</v>
      </c>
      <c r="E52" s="8">
        <f>'Variable pay'!H77</f>
        <v>5366.865000000001</v>
      </c>
      <c r="F52" s="8">
        <f>'Variable pay'!H101</f>
        <v>829.5</v>
      </c>
      <c r="G52" s="8">
        <f>'Variable pay'!H149</f>
        <v>0</v>
      </c>
      <c r="H52" s="8">
        <f>'Variable pay'!H197</f>
        <v>0</v>
      </c>
      <c r="I52" s="8">
        <f>'Variable pay'!H269</f>
        <v>6196.365000000001</v>
      </c>
      <c r="J52" s="12">
        <f>'Variable pay'!H293</f>
        <v>0.22532236363636365</v>
      </c>
      <c r="K52" s="12">
        <f>'Variable pay'!H317</f>
        <v>0.11205000000000001</v>
      </c>
      <c r="L52" s="12">
        <f>'Variable pay'!H365</f>
        <v>0.22547169811320755</v>
      </c>
      <c r="M52" s="8">
        <f>'Variable pay'!H389</f>
        <v>0</v>
      </c>
    </row>
    <row r="53">
      <c r="A53" s="0" t="inlineStr">
        <is>
          <t xml:space="preserve">Fatima Silva</t>
        </is>
      </c>
      <c r="B53" s="8">
        <f>'Variable pay'!H6</f>
        <v>112000</v>
      </c>
      <c r="C53" s="8">
        <f>'Variable pay'!H30</f>
        <v>114200</v>
      </c>
      <c r="D53" s="12">
        <f>'Variable pay'!H54</f>
        <v>1.019642857142857</v>
      </c>
      <c r="E53" s="8">
        <f>'Variable pay'!H78</f>
        <v>18011.14</v>
      </c>
      <c r="F53" s="8">
        <f>'Variable pay'!H102</f>
        <v>1218</v>
      </c>
      <c r="G53" s="8">
        <f>'Variable pay'!H150</f>
        <v>0</v>
      </c>
      <c r="H53" s="8">
        <f>'Variable pay'!H198</f>
        <v>6000</v>
      </c>
      <c r="I53" s="8">
        <f>'Variable pay'!H270</f>
        <v>25229.14</v>
      </c>
      <c r="J53" s="12">
        <f>'Variable pay'!H294</f>
        <v>1.261457</v>
      </c>
      <c r="K53" s="12">
        <f>'Variable pay'!H318</f>
        <v>0.22092066549912434</v>
      </c>
      <c r="L53" s="12">
        <f>'Variable pay'!H366</f>
        <v>0.8580357142857142</v>
      </c>
      <c r="M53" s="8">
        <f>'Variable pay'!H390</f>
        <v>0</v>
      </c>
    </row>
    <row r="54">
      <c r="A54" s="0" t="inlineStr">
        <is>
          <t xml:space="preserve">Ana Ortiz</t>
        </is>
      </c>
      <c r="B54" s="8">
        <f>'Variable pay'!H7</f>
        <v>112000</v>
      </c>
      <c r="C54" s="8">
        <f>'Variable pay'!H31</f>
        <v>68700</v>
      </c>
      <c r="D54" s="12">
        <f>'Variable pay'!H55</f>
        <v>0.6133928571428572</v>
      </c>
      <c r="E54" s="8">
        <f>'Variable pay'!H79</f>
        <v>9725.660000000003</v>
      </c>
      <c r="F54" s="8">
        <f>'Variable pay'!H103</f>
        <v>742.5</v>
      </c>
      <c r="G54" s="8">
        <f>'Variable pay'!H151</f>
        <v>0</v>
      </c>
      <c r="H54" s="8">
        <f>'Variable pay'!H199</f>
        <v>4000</v>
      </c>
      <c r="I54" s="8">
        <f>'Variable pay'!H271</f>
        <v>14468.160000000003</v>
      </c>
      <c r="J54" s="12">
        <f>'Variable pay'!H295</f>
        <v>0.7234080000000002</v>
      </c>
      <c r="K54" s="12">
        <f>'Variable pay'!H319</f>
        <v>0.21059912663755465</v>
      </c>
      <c r="L54" s="12">
        <f>'Variable pay'!H367</f>
        <v>0.6985119047619047</v>
      </c>
      <c r="M54" s="8">
        <f>'Variable pay'!H391</f>
        <v>0</v>
      </c>
    </row>
    <row r="55">
      <c r="A55" s="0" t="inlineStr">
        <is>
          <t xml:space="preserve">Tobias Silva</t>
        </is>
      </c>
      <c r="B55" s="8">
        <f>'Variable pay'!H8</f>
        <v>375000</v>
      </c>
      <c r="C55" s="8">
        <f>'Variable pay'!H32</f>
        <v>496300</v>
      </c>
      <c r="D55" s="12">
        <f>'Variable pay'!H56</f>
        <v>1.3234666666666666</v>
      </c>
      <c r="E55" s="8">
        <f>'Variable pay'!H80</f>
        <v>52384.99999999999</v>
      </c>
      <c r="F55" s="8">
        <f>'Variable pay'!H104</f>
        <v>7444.5</v>
      </c>
      <c r="G55" s="8">
        <f>'Variable pay'!H152</f>
        <v>5746</v>
      </c>
      <c r="H55" s="8">
        <f>'Variable pay'!H200</f>
        <v>2000</v>
      </c>
      <c r="I55" s="8">
        <f>'Variable pay'!H272</f>
        <v>67575.5</v>
      </c>
      <c r="J55" s="12">
        <f>'Variable pay'!H296</f>
        <v>1.8020133333333332</v>
      </c>
      <c r="K55" s="12">
        <f>'Variable pay'!H320</f>
        <v>0.13615857344348176</v>
      </c>
      <c r="L55" s="12">
        <f>'Variable pay'!H368</f>
        <v>1.7436444444444446</v>
      </c>
      <c r="M55" s="8">
        <f>'Variable pay'!H392</f>
        <v>1</v>
      </c>
    </row>
    <row r="56">
      <c r="A56" s="0" t="inlineStr">
        <is>
          <t xml:space="preserve">Leila Osei</t>
        </is>
      </c>
      <c r="B56" s="8">
        <f>'Variable pay'!H9</f>
        <v>375000</v>
      </c>
      <c r="C56" s="8">
        <f>'Variable pay'!H33</f>
        <v>698000</v>
      </c>
      <c r="D56" s="12">
        <f>'Variable pay'!H57</f>
        <v>1.8613333333333333</v>
      </c>
      <c r="E56" s="8">
        <f>'Variable pay'!H81</f>
        <v>106275</v>
      </c>
      <c r="F56" s="8">
        <f>'Variable pay'!H105</f>
        <v>8569.5</v>
      </c>
      <c r="G56" s="8">
        <f>'Variable pay'!H153</f>
        <v>9421</v>
      </c>
      <c r="H56" s="8">
        <f>'Variable pay'!H201</f>
        <v>4000</v>
      </c>
      <c r="I56" s="8">
        <f>'Variable pay'!H273</f>
        <v>112500</v>
      </c>
      <c r="J56" s="12">
        <f>'Variable pay'!H297</f>
        <v>3</v>
      </c>
      <c r="K56" s="12">
        <f>'Variable pay'!H321</f>
        <v>0.16117478510028654</v>
      </c>
      <c r="L56" s="12">
        <f>'Variable pay'!H369</f>
        <v>0.9675555555555555</v>
      </c>
      <c r="M56" s="8">
        <f>'Variable pay'!H393</f>
        <v>0</v>
      </c>
    </row>
    <row r="57">
      <c r="A57" s="0" t="inlineStr">
        <is>
          <t xml:space="preserve">Grace Costa</t>
        </is>
      </c>
      <c r="B57" s="8">
        <f>'Variable pay'!H10</f>
        <v>212000</v>
      </c>
      <c r="C57" s="8">
        <f>'Variable pay'!H34</f>
        <v>382600</v>
      </c>
      <c r="D57" s="12">
        <f>'Variable pay'!H58</f>
        <v>1.8047169811320756</v>
      </c>
      <c r="E57" s="8">
        <f>'Variable pay'!H82</f>
        <v>73085.12</v>
      </c>
      <c r="F57" s="8">
        <f>'Variable pay'!H106</f>
        <v>5023.5</v>
      </c>
      <c r="G57" s="8">
        <f>'Variable pay'!H154</f>
        <v>195</v>
      </c>
      <c r="H57" s="8">
        <f>'Variable pay'!H202</f>
        <v>6000</v>
      </c>
      <c r="I57" s="8">
        <f>'Variable pay'!H274</f>
        <v>82500</v>
      </c>
      <c r="J57" s="12">
        <f>'Variable pay'!H298</f>
        <v>3</v>
      </c>
      <c r="K57" s="12">
        <f>'Variable pay'!H322</f>
        <v>0.2156299006795609</v>
      </c>
      <c r="L57" s="12">
        <f>'Variable pay'!H370</f>
        <v>2.1287735849056606</v>
      </c>
      <c r="M57" s="8">
        <f>'Variable pay'!H394</f>
        <v>1</v>
      </c>
    </row>
    <row r="58">
      <c r="A58" s="0" t="inlineStr">
        <is>
          <t xml:space="preserve">Ingrid Müller</t>
        </is>
      </c>
      <c r="B58" s="8">
        <f>'Variable pay'!H11</f>
        <v>106000</v>
      </c>
      <c r="C58" s="8">
        <f>'Variable pay'!H35</f>
        <v>245700</v>
      </c>
      <c r="D58" s="12">
        <f>'Variable pay'!H59</f>
        <v>2.3179245283018868</v>
      </c>
      <c r="E58" s="8">
        <f>'Variable pay'!H83</f>
        <v>57660.64</v>
      </c>
      <c r="F58" s="8">
        <f>'Variable pay'!H107</f>
        <v>3259.5</v>
      </c>
      <c r="G58" s="8">
        <f>'Variable pay'!H155</f>
        <v>673</v>
      </c>
      <c r="H58" s="8">
        <f>'Variable pay'!H203</f>
        <v>2000</v>
      </c>
      <c r="I58" s="8">
        <f>'Variable pay'!H275</f>
        <v>63593.14</v>
      </c>
      <c r="J58" s="12">
        <f>'Variable pay'!H299</f>
        <v>2.312477818181818</v>
      </c>
      <c r="K58" s="12">
        <f>'Variable pay'!H323</f>
        <v>0.2588243386243386</v>
      </c>
      <c r="L58" s="12">
        <f>'Variable pay'!H371</f>
        <v>2.4679245283018867</v>
      </c>
      <c r="M58" s="8">
        <f>'Variable pay'!H395</f>
        <v>1</v>
      </c>
    </row>
    <row r="59">
      <c r="A59" s="0" t="inlineStr">
        <is>
          <t xml:space="preserve">Ingrid Kim</t>
        </is>
      </c>
      <c r="B59" s="8">
        <f>'Variable pay'!H12</f>
        <v>112000</v>
      </c>
      <c r="C59" s="8">
        <f>'Variable pay'!H36</f>
        <v>89100</v>
      </c>
      <c r="D59" s="12">
        <f>'Variable pay'!H60</f>
        <v>0.7955357142857142</v>
      </c>
      <c r="E59" s="8">
        <f>'Variable pay'!H84</f>
        <v>13352.78</v>
      </c>
      <c r="F59" s="8">
        <f>'Variable pay'!H108</f>
        <v>1170</v>
      </c>
      <c r="G59" s="8">
        <f>'Variable pay'!H156</f>
        <v>0</v>
      </c>
      <c r="H59" s="8">
        <f>'Variable pay'!H204</f>
        <v>6000</v>
      </c>
      <c r="I59" s="8">
        <f>'Variable pay'!H276</f>
        <v>20522.78</v>
      </c>
      <c r="J59" s="12">
        <f>'Variable pay'!H300</f>
        <v>1.026139</v>
      </c>
      <c r="K59" s="12">
        <f>'Variable pay'!H324</f>
        <v>0.23033423120089785</v>
      </c>
      <c r="L59" s="12">
        <f>'Variable pay'!H372</f>
        <v>0.6610119047619047</v>
      </c>
      <c r="M59" s="8">
        <f>'Variable pay'!H396</f>
        <v>0</v>
      </c>
    </row>
    <row r="60">
      <c r="A60" s="0" t="inlineStr">
        <is>
          <t xml:space="preserve">Priya Nair</t>
        </is>
      </c>
      <c r="B60" s="8">
        <f>'Variable pay'!H13</f>
        <v>112000</v>
      </c>
      <c r="C60" s="8">
        <f>'Variable pay'!H37</f>
        <v>37200</v>
      </c>
      <c r="D60" s="12">
        <f>'Variable pay'!H61</f>
        <v>0.33214285714285713</v>
      </c>
      <c r="E60" s="8">
        <f>'Variable pay'!H85</f>
        <v>4960.620000000001</v>
      </c>
      <c r="F60" s="8">
        <f>'Variable pay'!H109</f>
        <v>477</v>
      </c>
      <c r="G60" s="8">
        <f>'Variable pay'!H157</f>
        <v>132</v>
      </c>
      <c r="H60" s="8">
        <f>'Variable pay'!H205</f>
        <v>2000</v>
      </c>
      <c r="I60" s="8">
        <f>'Variable pay'!H277</f>
        <v>7569.620000000001</v>
      </c>
      <c r="J60" s="12">
        <f>'Variable pay'!H301</f>
        <v>0.37848100000000007</v>
      </c>
      <c r="K60" s="12">
        <f>'Variable pay'!H325</f>
        <v>0.20348440860215056</v>
      </c>
      <c r="L60" s="12">
        <f>'Variable pay'!H373</f>
        <v>0.6443452380952381</v>
      </c>
      <c r="M60" s="8">
        <f>'Variable pay'!H397</f>
        <v>0</v>
      </c>
    </row>
    <row r="61">
      <c r="A61" s="0" t="inlineStr">
        <is>
          <t xml:space="preserve">Hugo Lindqvist</t>
        </is>
      </c>
      <c r="B61" s="8">
        <f>'Variable pay'!H14</f>
        <v>338000</v>
      </c>
      <c r="C61" s="8">
        <f>'Variable pay'!H38</f>
        <v>376600</v>
      </c>
      <c r="D61" s="12">
        <f>'Variable pay'!H62</f>
        <v>1.1142011834319527</v>
      </c>
      <c r="E61" s="8">
        <f>'Variable pay'!H86</f>
        <v>39290.51500000001</v>
      </c>
      <c r="F61" s="8">
        <f>'Variable pay'!H110</f>
        <v>5649</v>
      </c>
      <c r="G61" s="8">
        <f>'Variable pay'!H158</f>
        <v>7532</v>
      </c>
      <c r="H61" s="8">
        <f>'Variable pay'!H206</f>
        <v>4000</v>
      </c>
      <c r="I61" s="8">
        <f>'Variable pay'!H278</f>
        <v>56471.51500000001</v>
      </c>
      <c r="J61" s="12">
        <f>'Variable pay'!H302</f>
        <v>1.5059070666666667</v>
      </c>
      <c r="K61" s="12">
        <f>'Variable pay'!H326</f>
        <v>0.14995091609134362</v>
      </c>
      <c r="L61" s="12">
        <f>'Variable pay'!H374</f>
        <v>1.3578895463510847</v>
      </c>
      <c r="M61" s="8">
        <f>'Variable pay'!H398</f>
        <v>1</v>
      </c>
    </row>
    <row r="62">
      <c r="A62" s="0" t="inlineStr">
        <is>
          <t xml:space="preserve">Wei Novak</t>
        </is>
      </c>
      <c r="B62" s="8">
        <f>'Variable pay'!H15</f>
        <v>253000</v>
      </c>
      <c r="C62" s="8">
        <f>'Variable pay'!H39</f>
        <v>92900</v>
      </c>
      <c r="D62" s="12">
        <f>'Variable pay'!H63</f>
        <v>0.36719367588932805</v>
      </c>
      <c r="E62" s="8">
        <f>'Variable pay'!H87</f>
        <v>7740.892500000001</v>
      </c>
      <c r="F62" s="8">
        <f>'Variable pay'!H111</f>
        <v>1393.5</v>
      </c>
      <c r="G62" s="8">
        <f>'Variable pay'!H159</f>
        <v>0</v>
      </c>
      <c r="H62" s="8">
        <f>'Variable pay'!H207</f>
        <v>2000</v>
      </c>
      <c r="I62" s="8">
        <f>'Variable pay'!H279</f>
        <v>11134.392500000002</v>
      </c>
      <c r="J62" s="12">
        <f>'Variable pay'!H303</f>
        <v>0.29691713333333336</v>
      </c>
      <c r="K62" s="12">
        <f>'Variable pay'!H327</f>
        <v>0.11985352529601724</v>
      </c>
      <c r="L62" s="12">
        <f>'Variable pay'!H375</f>
        <v>0.34723320158102766</v>
      </c>
      <c r="M62" s="8">
        <f>'Variable pay'!H399</f>
        <v>0</v>
      </c>
    </row>
    <row r="63">
      <c r="A63" s="0" t="inlineStr">
        <is>
          <t xml:space="preserve">Nikolai Kim</t>
        </is>
      </c>
      <c r="B63" s="8">
        <f>'Variable pay'!H16</f>
        <v>190000</v>
      </c>
      <c r="C63" s="8">
        <f>'Variable pay'!H40</f>
        <v>136400</v>
      </c>
      <c r="D63" s="12">
        <f>'Variable pay'!H64</f>
        <v>0.7178947368421053</v>
      </c>
      <c r="E63" s="8">
        <f>'Variable pay'!H88</f>
        <v>16300.455</v>
      </c>
      <c r="F63" s="8">
        <f>'Variable pay'!H112</f>
        <v>1323</v>
      </c>
      <c r="G63" s="8">
        <f>'Variable pay'!H160</f>
        <v>125</v>
      </c>
      <c r="H63" s="8">
        <f>'Variable pay'!H208</f>
        <v>2000</v>
      </c>
      <c r="I63" s="8">
        <f>'Variable pay'!H280</f>
        <v>19748.455</v>
      </c>
      <c r="J63" s="12">
        <f>'Variable pay'!H304</f>
        <v>0.7181256363636365</v>
      </c>
      <c r="K63" s="12">
        <f>'Variable pay'!H328</f>
        <v>0.1447833944281525</v>
      </c>
      <c r="L63" s="12">
        <f>'Variable pay'!H376</f>
        <v>0.9307017543859649</v>
      </c>
      <c r="M63" s="8">
        <f>'Variable pay'!H400</f>
        <v>0</v>
      </c>
    </row>
    <row r="64">
      <c r="A64" s="0" t="inlineStr">
        <is>
          <t xml:space="preserve">Wei Nair</t>
        </is>
      </c>
      <c r="B64" s="8">
        <f>'Variable pay'!H17</f>
        <v>190000</v>
      </c>
      <c r="C64" s="8">
        <f>'Variable pay'!H41</f>
        <v>107600</v>
      </c>
      <c r="D64" s="12">
        <f>'Variable pay'!H65</f>
        <v>0.5663157894736842</v>
      </c>
      <c r="E64" s="8">
        <f>'Variable pay'!H89</f>
        <v>12133.095000000001</v>
      </c>
      <c r="F64" s="8">
        <f>'Variable pay'!H113</f>
        <v>1614</v>
      </c>
      <c r="G64" s="8">
        <f>'Variable pay'!H161</f>
        <v>704</v>
      </c>
      <c r="H64" s="8">
        <f>'Variable pay'!H209</f>
        <v>0</v>
      </c>
      <c r="I64" s="8">
        <f>'Variable pay'!H281</f>
        <v>14451.095000000001</v>
      </c>
      <c r="J64" s="12">
        <f>'Variable pay'!H305</f>
        <v>0.5254943636363637</v>
      </c>
      <c r="K64" s="12">
        <f>'Variable pay'!H329</f>
        <v>0.13430385687732344</v>
      </c>
      <c r="L64" s="12">
        <f>'Variable pay'!H377</f>
        <v>0.5670175438596491</v>
      </c>
      <c r="M64" s="8">
        <f>'Variable pay'!H401</f>
        <v>0</v>
      </c>
    </row>
    <row r="65">
      <c r="A65" s="0" t="inlineStr">
        <is>
          <t xml:space="preserve">Liam Silva</t>
        </is>
      </c>
      <c r="B65" s="8">
        <f>'Variable pay'!H18</f>
        <v>100000</v>
      </c>
      <c r="C65" s="8">
        <f>'Variable pay'!H42</f>
        <v>103000</v>
      </c>
      <c r="D65" s="12">
        <f>'Variable pay'!H66</f>
        <v>1.03</v>
      </c>
      <c r="E65" s="8">
        <f>'Variable pay'!H90</f>
        <v>18400</v>
      </c>
      <c r="F65" s="8">
        <f>'Variable pay'!H114</f>
        <v>1342.5</v>
      </c>
      <c r="G65" s="8">
        <f>'Variable pay'!H162</f>
        <v>0</v>
      </c>
      <c r="H65" s="8">
        <f>'Variable pay'!H210</f>
        <v>2000</v>
      </c>
      <c r="I65" s="8">
        <f>'Variable pay'!H282</f>
        <v>21742.5</v>
      </c>
      <c r="J65" s="12">
        <f>'Variable pay'!H306</f>
        <v>1.087125</v>
      </c>
      <c r="K65" s="12">
        <f>'Variable pay'!H330</f>
        <v>0.21109223300970872</v>
      </c>
      <c r="L65" s="12">
        <f>'Variable pay'!H378</f>
        <v>0.9046666666666666</v>
      </c>
      <c r="M65" s="8">
        <f>'Variable pay'!H402</f>
        <v>0</v>
      </c>
    </row>
    <row r="66">
      <c r="A66" s="0" t="inlineStr">
        <is>
          <t xml:space="preserve">Samuel Silva</t>
        </is>
      </c>
      <c r="B66" s="8">
        <f>'Variable pay'!H19</f>
        <v>100000</v>
      </c>
      <c r="C66" s="8">
        <f>'Variable pay'!H43</f>
        <v>71300</v>
      </c>
      <c r="D66" s="12">
        <f>'Variable pay'!H67</f>
        <v>0.713</v>
      </c>
      <c r="E66" s="8">
        <f>'Variable pay'!H91</f>
        <v>11760</v>
      </c>
      <c r="F66" s="8">
        <f>'Variable pay'!H115</f>
        <v>889.5</v>
      </c>
      <c r="G66" s="8">
        <f>'Variable pay'!H163</f>
        <v>0</v>
      </c>
      <c r="H66" s="8">
        <f>'Variable pay'!H211</f>
        <v>4000</v>
      </c>
      <c r="I66" s="8">
        <f>'Variable pay'!H283</f>
        <v>16649.5</v>
      </c>
      <c r="J66" s="12">
        <f>'Variable pay'!H307</f>
        <v>0.832475</v>
      </c>
      <c r="K66" s="12">
        <f>'Variable pay'!H331</f>
        <v>0.2335133239831697</v>
      </c>
      <c r="L66" s="12">
        <f>'Variable pay'!H379</f>
        <v>1.136</v>
      </c>
      <c r="M66" s="8">
        <f>'Variable pay'!H403</f>
        <v>1</v>
      </c>
    </row>
    <row r="67">
      <c r="A67" s="0" t="inlineStr">
        <is>
          <t xml:space="preserve">Yuki Larsen</t>
        </is>
      </c>
      <c r="B67" s="8">
        <f>'Variable pay'!H20</f>
        <v>262000</v>
      </c>
      <c r="C67" s="8">
        <f>'Variable pay'!H44</f>
        <v>157600</v>
      </c>
      <c r="D67" s="12">
        <f>'Variable pay'!H68</f>
        <v>0.601526717557252</v>
      </c>
      <c r="E67" s="8">
        <f>'Variable pay'!H92</f>
        <v>17841.065000000002</v>
      </c>
      <c r="F67" s="8">
        <f>'Variable pay'!H116</f>
        <v>2364</v>
      </c>
      <c r="G67" s="8">
        <f>'Variable pay'!H164</f>
        <v>1576</v>
      </c>
      <c r="H67" s="8">
        <f>'Variable pay'!H212</f>
        <v>2000</v>
      </c>
      <c r="I67" s="8">
        <f>'Variable pay'!H284</f>
        <v>23781.065000000002</v>
      </c>
      <c r="J67" s="12">
        <f>'Variable pay'!H308</f>
        <v>0.6341617333333334</v>
      </c>
      <c r="K67" s="12">
        <f>'Variable pay'!H332</f>
        <v>0.15089508248730965</v>
      </c>
      <c r="L67" s="12">
        <f>'Variable pay'!H380</f>
        <v>0.4402035623409669</v>
      </c>
      <c r="M67" s="8">
        <f>'Variable pay'!H404</f>
        <v>0</v>
      </c>
    </row>
    <row r="68">
      <c r="A68" s="0" t="inlineStr">
        <is>
          <t xml:space="preserve">Nikolai Sato</t>
        </is>
      </c>
      <c r="B68" s="8">
        <f>'Variable pay'!H21</f>
        <v>262000</v>
      </c>
      <c r="C68" s="8">
        <f>'Variable pay'!H45</f>
        <v>103400</v>
      </c>
      <c r="D68" s="12">
        <f>'Variable pay'!H69</f>
        <v>0.3946564885496183</v>
      </c>
      <c r="E68" s="8">
        <f>'Variable pay'!H93</f>
        <v>11081.894999999999</v>
      </c>
      <c r="F68" s="8">
        <f>'Variable pay'!H117</f>
        <v>1551</v>
      </c>
      <c r="G68" s="8">
        <f>'Variable pay'!H165</f>
        <v>1034</v>
      </c>
      <c r="H68" s="8">
        <f>'Variable pay'!H213</f>
        <v>0</v>
      </c>
      <c r="I68" s="8">
        <f>'Variable pay'!H285</f>
        <v>13666.894999999999</v>
      </c>
      <c r="J68" s="12">
        <f>'Variable pay'!H309</f>
        <v>0.36445053333333327</v>
      </c>
      <c r="K68" s="12">
        <f>'Variable pay'!H333</f>
        <v>0.132175</v>
      </c>
      <c r="L68" s="12">
        <f>'Variable pay'!H381</f>
        <v>0.24580152671755726</v>
      </c>
      <c r="M68" s="8">
        <f>'Variable pay'!H405</f>
        <v>0</v>
      </c>
    </row>
    <row r="69">
      <c r="A69" s="0" t="inlineStr">
        <is>
          <t xml:space="preserve">Elena Silva</t>
        </is>
      </c>
      <c r="B69" s="8">
        <f>'Variable pay'!H22</f>
        <v>150000</v>
      </c>
      <c r="C69" s="8">
        <f>'Variable pay'!H46</f>
        <v>191600</v>
      </c>
      <c r="D69" s="12">
        <f>'Variable pay'!H70</f>
        <v>1.2773333333333334</v>
      </c>
      <c r="E69" s="8">
        <f>'Variable pay'!H94</f>
        <v>35871.810000000005</v>
      </c>
      <c r="F69" s="8">
        <f>'Variable pay'!H118</f>
        <v>1675.5</v>
      </c>
      <c r="G69" s="8">
        <f>'Variable pay'!H166</f>
        <v>625</v>
      </c>
      <c r="H69" s="8">
        <f>'Variable pay'!H214</f>
        <v>12000</v>
      </c>
      <c r="I69" s="8">
        <f>'Variable pay'!H286</f>
        <v>50172.310000000005</v>
      </c>
      <c r="J69" s="12">
        <f>'Variable pay'!H310</f>
        <v>1.8244476363636366</v>
      </c>
      <c r="K69" s="12">
        <f>'Variable pay'!H334</f>
        <v>0.2618596555323591</v>
      </c>
      <c r="L69" s="12">
        <f>'Variable pay'!H382</f>
        <v>1.1393333333333333</v>
      </c>
      <c r="M69" s="8">
        <f>'Variable pay'!H406</f>
        <v>1</v>
      </c>
    </row>
    <row r="70">
      <c r="A70" s="0" t="inlineStr">
        <is>
          <t xml:space="preserve">Arjun Müller</t>
        </is>
      </c>
      <c r="B70" s="8">
        <f>'Variable pay'!H23</f>
        <v>150000</v>
      </c>
      <c r="C70" s="8">
        <f>'Variable pay'!H47</f>
        <v>162200</v>
      </c>
      <c r="D70" s="12">
        <f>'Variable pay'!H71</f>
        <v>1.0813333333333333</v>
      </c>
      <c r="E70" s="8">
        <f>'Variable pay'!H95</f>
        <v>27412.514999999996</v>
      </c>
      <c r="F70" s="8">
        <f>'Variable pay'!H119</f>
        <v>1120.5</v>
      </c>
      <c r="G70" s="8">
        <f>'Variable pay'!H167</f>
        <v>1445</v>
      </c>
      <c r="H70" s="8">
        <f>'Variable pay'!H215</f>
        <v>0</v>
      </c>
      <c r="I70" s="8">
        <f>'Variable pay'!H287</f>
        <v>29978.014999999996</v>
      </c>
      <c r="J70" s="12">
        <f>'Variable pay'!H311</f>
        <v>1.0901096363636362</v>
      </c>
      <c r="K70" s="12">
        <f>'Variable pay'!H335</f>
        <v>0.18482130086313192</v>
      </c>
      <c r="L70" s="12">
        <f>'Variable pay'!H383</f>
        <v>0.7913333333333333</v>
      </c>
      <c r="M70" s="8">
        <f>'Variable pay'!H407</f>
        <v>0</v>
      </c>
    </row>
    <row r="71">
      <c r="A71" s="0" t="inlineStr">
        <is>
          <t xml:space="preserve">Nikolai Park</t>
        </is>
      </c>
      <c r="B71" s="4">
        <f>'Variable pay'!H24</f>
        <v>40000</v>
      </c>
      <c r="C71" s="4">
        <f>'Variable pay'!H48</f>
        <v>27800</v>
      </c>
      <c r="D71" s="12">
        <f>'Variable pay'!H72</f>
        <v>0.695</v>
      </c>
      <c r="E71" s="4">
        <f>'Variable pay'!H96</f>
        <v>5700</v>
      </c>
      <c r="F71" s="4">
        <f>'Variable pay'!H120</f>
        <v>417</v>
      </c>
      <c r="G71" s="4">
        <f>'Variable pay'!H168</f>
        <v>0</v>
      </c>
      <c r="H71" s="4">
        <f>'Variable pay'!H216</f>
        <v>2000</v>
      </c>
      <c r="I71" s="4">
        <f>'Variable pay'!H288</f>
        <v>8117</v>
      </c>
      <c r="J71" s="12">
        <f>'Variable pay'!H312</f>
        <v>0.40585</v>
      </c>
      <c r="K71" s="12">
        <f>'Variable pay'!H336</f>
        <v>0.29197841726618706</v>
      </c>
      <c r="L71" s="12">
        <f>'Variable pay'!H384</f>
        <v>0.6466666666666666</v>
      </c>
      <c r="M71" s="4">
        <f>'Variable pay'!H408</f>
        <v>0</v>
      </c>
    </row>
    <row r="72">
      <c r="A72" s="0" t="inlineStr">
        <is>
          <t xml:space="preserve">Ingrid Dubois</t>
        </is>
      </c>
      <c r="B72" s="8">
        <f>'Variable pay'!H25</f>
        <v>80000</v>
      </c>
      <c r="C72" s="8">
        <f>'Variable pay'!H49</f>
        <v>117900</v>
      </c>
      <c r="D72" s="12">
        <f>'Variable pay'!H73</f>
        <v>1.47375</v>
      </c>
      <c r="E72" s="8">
        <f>'Variable pay'!H97</f>
        <v>33950</v>
      </c>
      <c r="F72" s="8">
        <f>'Variable pay'!H121</f>
        <v>1570.5</v>
      </c>
      <c r="G72" s="8">
        <f>'Variable pay'!H169</f>
        <v>0</v>
      </c>
      <c r="H72" s="8">
        <f>'Variable pay'!H217</f>
        <v>2000</v>
      </c>
      <c r="I72" s="8">
        <f>'Variable pay'!H289</f>
        <v>37520.5</v>
      </c>
      <c r="J72" s="12">
        <f>'Variable pay'!H313</f>
        <v>1.876025</v>
      </c>
      <c r="K72" s="12">
        <f>'Variable pay'!H337</f>
        <v>0.31824003392705685</v>
      </c>
      <c r="L72" s="12">
        <f>'Variable pay'!H385</f>
        <v>1.1229166666666666</v>
      </c>
      <c r="M72" s="8">
        <f>'Variable pay'!H409</f>
        <v>1</v>
      </c>
    </row>
    <row r="74">
      <c r="A74" s="1" t="inlineStr">
        <is>
          <t xml:space="preserve">Sales variable pay by quarter</t>
        </is>
      </c>
    </row>
    <row r="75">
      <c r="A75" s="1" t="inlineStr">
        <is>
          <t xml:space="preserve">line</t>
        </is>
      </c>
      <c r="B75" s="1" t="inlineStr">
        <is>
          <t xml:space="preserve">Q1 2026</t>
        </is>
      </c>
      <c r="C75" s="1" t="inlineStr">
        <is>
          <t xml:space="preserve">Q2 2026</t>
        </is>
      </c>
      <c r="D75" s="1" t="inlineStr">
        <is>
          <t xml:space="preserve">Q3 2026</t>
        </is>
      </c>
      <c r="E75" s="1" t="inlineStr">
        <is>
          <t xml:space="preserve">Q4 2026</t>
        </is>
      </c>
    </row>
    <row r="76">
      <c r="A76" s="0" t="inlineStr">
        <is>
          <t xml:space="preserve">Sales variable pay</t>
        </is>
      </c>
      <c r="B76" s="8">
        <f>'Company quarterly'!E21</f>
        <v>629184.37</v>
      </c>
      <c r="C76" s="8">
        <f>'Company quarterly'!F21</f>
        <v>580550.0925000001</v>
      </c>
      <c r="D76" s="8">
        <f>'Company quarterly'!G21</f>
        <v>730547.9675</v>
      </c>
      <c r="E76" s="8">
        <f>'Company quarterly'!H21</f>
        <v>0</v>
      </c>
    </row>
    <row r="95">
      <c r="A95" s="1" t="inlineStr">
        <is>
          <t xml:space="preserve">Variable pay as % of bookings</t>
        </is>
      </c>
    </row>
    <row r="96">
      <c r="A96" s="1" t="inlineStr">
        <is>
          <t xml:space="preserve">line</t>
        </is>
      </c>
      <c r="B96" s="1" t="inlineStr">
        <is>
          <t xml:space="preserve">Q1 2026</t>
        </is>
      </c>
      <c r="C96" s="1" t="inlineStr">
        <is>
          <t xml:space="preserve">Q2 2026</t>
        </is>
      </c>
      <c r="D96" s="1" t="inlineStr">
        <is>
          <t xml:space="preserve">Q3 2026</t>
        </is>
      </c>
      <c r="E96" s="1" t="inlineStr">
        <is>
          <t xml:space="preserve">Q4 2026</t>
        </is>
      </c>
    </row>
    <row r="97">
      <c r="A97" s="0" t="inlineStr">
        <is>
          <t xml:space="preserve">Variable pay as % of bookings</t>
        </is>
      </c>
      <c r="B97" s="12">
        <f>'Company quarterly'!E22</f>
        <v>0.1410094957418198</v>
      </c>
      <c r="C97" s="12">
        <f>'Company quarterly'!F22</f>
        <v>0.1505966517509728</v>
      </c>
      <c r="D97" s="12">
        <f>'Company quarterly'!G22</f>
        <v>0.1780174393245285</v>
      </c>
      <c r="E97" s="12">
        <f>'Company quarterly'!H22</f>
        <v>0</v>
      </c>
    </row>
    <row r="116">
      <c r="A116" s="1" t="inlineStr">
        <is>
          <t xml:space="preserve">Pipeline coverage by rep, Q3 2026</t>
        </is>
      </c>
    </row>
    <row r="117">
      <c r="A117" s="1" t="inlineStr">
        <is>
          <t xml:space="preserve">rep</t>
        </is>
      </c>
      <c r="B117" s="1" t="inlineStr">
        <is>
          <t xml:space="preserve">Gap to quota</t>
        </is>
      </c>
      <c r="C117" s="1" t="inlineStr">
        <is>
          <t xml:space="preserve">Open pipeline</t>
        </is>
      </c>
      <c r="D117" s="1" t="inlineStr">
        <is>
          <t xml:space="preserve">Commit</t>
        </is>
      </c>
      <c r="E117" s="1" t="inlineStr">
        <is>
          <t xml:space="preserve">Best case</t>
        </is>
      </c>
      <c r="F117" s="1" t="inlineStr">
        <is>
          <t xml:space="preserve">Coverage of gap (x)</t>
        </is>
      </c>
      <c r="G117" s="1" t="inlineStr">
        <is>
          <t xml:space="preserve">Pipeline created</t>
        </is>
      </c>
      <c r="H117" s="1" t="inlineStr">
        <is>
          <t xml:space="preserve">Opportunities created</t>
        </is>
      </c>
    </row>
    <row r="118">
      <c r="A118" s="0" t="inlineStr">
        <is>
          <t xml:space="preserve">Noor Ortiz</t>
        </is>
      </c>
      <c r="B118" s="8">
        <f>'Rep quarterly'!H74</f>
        <v>236400</v>
      </c>
      <c r="C118" s="8">
        <f>'Rep quarterly'!H290</f>
        <v>258700</v>
      </c>
      <c r="D118" s="8">
        <f>'Rep quarterly'!H314</f>
        <v>0</v>
      </c>
      <c r="E118" s="8">
        <f>'Rep quarterly'!H338</f>
        <v>0</v>
      </c>
      <c r="F118" s="8">
        <f>'Rep quarterly'!H362</f>
        <v>1.094331641285956</v>
      </c>
      <c r="G118" s="8">
        <f>'Rep quarterly'!H266</f>
        <v>1964000</v>
      </c>
      <c r="H118" s="8">
        <f>'Rep quarterly'!H242</f>
        <v>7</v>
      </c>
    </row>
    <row r="119">
      <c r="A119" s="0" t="inlineStr">
        <is>
          <t xml:space="preserve">Priya Yilmaz</t>
        </is>
      </c>
      <c r="B119" s="8">
        <f>'Rep quarterly'!H75</f>
        <v>94000</v>
      </c>
      <c r="C119" s="8">
        <f>'Rep quarterly'!H291</f>
        <v>128300</v>
      </c>
      <c r="D119" s="8">
        <f>'Rep quarterly'!H315</f>
        <v>0</v>
      </c>
      <c r="E119" s="8">
        <f>'Rep quarterly'!H339</f>
        <v>0</v>
      </c>
      <c r="F119" s="8">
        <f>'Rep quarterly'!H363</f>
        <v>1.3648936170212767</v>
      </c>
      <c r="G119" s="8">
        <f>'Rep quarterly'!H267</f>
        <v>385200</v>
      </c>
      <c r="H119" s="8">
        <f>'Rep quarterly'!H243</f>
        <v>3</v>
      </c>
    </row>
    <row r="120">
      <c r="A120" s="0" t="inlineStr">
        <is>
          <t xml:space="preserve">Marcus Schmidt</t>
        </is>
      </c>
      <c r="B120" s="8">
        <f>'Rep quarterly'!H76</f>
        <v>82200</v>
      </c>
      <c r="C120" s="8">
        <f>'Rep quarterly'!H292</f>
        <v>164000</v>
      </c>
      <c r="D120" s="8">
        <f>'Rep quarterly'!H316</f>
        <v>0</v>
      </c>
      <c r="E120" s="8">
        <f>'Rep quarterly'!H340</f>
        <v>164000</v>
      </c>
      <c r="F120" s="8">
        <f>'Rep quarterly'!H364</f>
        <v>1.9951338199513382</v>
      </c>
      <c r="G120" s="8">
        <f>'Rep quarterly'!H268</f>
        <v>463000</v>
      </c>
      <c r="H120" s="8">
        <f>'Rep quarterly'!H244</f>
        <v>12</v>
      </c>
    </row>
    <row r="121">
      <c r="A121" s="0" t="inlineStr">
        <is>
          <t xml:space="preserve">Amara Haddad</t>
        </is>
      </c>
      <c r="B121" s="8">
        <f>'Rep quarterly'!H77</f>
        <v>156700</v>
      </c>
      <c r="C121" s="8">
        <f>'Rep quarterly'!H293</f>
        <v>94700</v>
      </c>
      <c r="D121" s="8">
        <f>'Rep quarterly'!H317</f>
        <v>57000</v>
      </c>
      <c r="E121" s="8">
        <f>'Rep quarterly'!H341</f>
        <v>37700</v>
      </c>
      <c r="F121" s="8">
        <f>'Rep quarterly'!H365</f>
        <v>0.6043395022335674</v>
      </c>
      <c r="G121" s="8">
        <f>'Rep quarterly'!H269</f>
        <v>842400</v>
      </c>
      <c r="H121" s="8">
        <f>'Rep quarterly'!H245</f>
        <v>18</v>
      </c>
    </row>
    <row r="122">
      <c r="A122" s="0" t="inlineStr">
        <is>
          <t xml:space="preserve">Fatima Silva</t>
        </is>
      </c>
      <c r="B122" s="4">
        <f>'Rep quarterly'!H78</f>
        <v>-2200</v>
      </c>
      <c r="C122" s="4">
        <f>'Rep quarterly'!H294</f>
        <v>67300</v>
      </c>
      <c r="D122" s="4">
        <f>'Rep quarterly'!H318</f>
        <v>0</v>
      </c>
      <c r="E122" s="4">
        <f>'Rep quarterly'!H342</f>
        <v>60200</v>
      </c>
      <c r="F122" s="4">
        <f>'Rep quarterly'!H366</f>
      </c>
      <c r="G122" s="4">
        <f>'Rep quarterly'!H270</f>
        <v>280800</v>
      </c>
      <c r="H122" s="4">
        <f>'Rep quarterly'!H246</f>
        <v>21</v>
      </c>
    </row>
    <row r="123">
      <c r="A123" s="0" t="inlineStr">
        <is>
          <t xml:space="preserve">Ana Ortiz</t>
        </is>
      </c>
      <c r="B123" s="8">
        <f>'Rep quarterly'!H79</f>
        <v>43300</v>
      </c>
      <c r="C123" s="8">
        <f>'Rep quarterly'!H295</f>
        <v>34500</v>
      </c>
      <c r="D123" s="8">
        <f>'Rep quarterly'!H319</f>
        <v>12400</v>
      </c>
      <c r="E123" s="8">
        <f>'Rep quarterly'!H343</f>
        <v>0</v>
      </c>
      <c r="F123" s="8">
        <f>'Rep quarterly'!H367</f>
        <v>0.7967667436489607</v>
      </c>
      <c r="G123" s="8">
        <f>'Rep quarterly'!H271</f>
        <v>371000</v>
      </c>
      <c r="H123" s="8">
        <f>'Rep quarterly'!H247</f>
        <v>27</v>
      </c>
    </row>
    <row r="124">
      <c r="A124" s="0" t="inlineStr">
        <is>
          <t xml:space="preserve">Tobias Silva</t>
        </is>
      </c>
      <c r="B124" s="4">
        <f>'Rep quarterly'!H80</f>
        <v>-121300</v>
      </c>
      <c r="C124" s="4">
        <f>'Rep quarterly'!H296</f>
        <v>496100</v>
      </c>
      <c r="D124" s="4">
        <f>'Rep quarterly'!H320</f>
        <v>265800</v>
      </c>
      <c r="E124" s="4">
        <f>'Rep quarterly'!H344</f>
        <v>230300</v>
      </c>
      <c r="F124" s="4">
        <f>'Rep quarterly'!H368</f>
      </c>
      <c r="G124" s="4">
        <f>'Rep quarterly'!H272</f>
        <v>201800</v>
      </c>
      <c r="H124" s="4">
        <f>'Rep quarterly'!H248</f>
        <v>2</v>
      </c>
    </row>
    <row r="125">
      <c r="A125" s="0" t="inlineStr">
        <is>
          <t xml:space="preserve">Leila Osei</t>
        </is>
      </c>
      <c r="B125" s="4">
        <f>'Rep quarterly'!H81</f>
        <v>-323000</v>
      </c>
      <c r="C125" s="4">
        <f>'Rep quarterly'!H297</f>
        <v>253000</v>
      </c>
      <c r="D125" s="4">
        <f>'Rep quarterly'!H321</f>
        <v>0</v>
      </c>
      <c r="E125" s="4">
        <f>'Rep quarterly'!H345</f>
        <v>136300</v>
      </c>
      <c r="F125" s="4">
        <f>'Rep quarterly'!H369</f>
      </c>
      <c r="G125" s="4">
        <f>'Rep quarterly'!H273</f>
        <v>343600</v>
      </c>
      <c r="H125" s="4">
        <f>'Rep quarterly'!H249</f>
        <v>4</v>
      </c>
    </row>
    <row r="126">
      <c r="A126" s="0" t="inlineStr">
        <is>
          <t xml:space="preserve">Grace Costa</t>
        </is>
      </c>
      <c r="B126" s="4">
        <f>'Rep quarterly'!H82</f>
        <v>-170600</v>
      </c>
      <c r="C126" s="4">
        <f>'Rep quarterly'!H298</f>
        <v>141800</v>
      </c>
      <c r="D126" s="4">
        <f>'Rep quarterly'!H322</f>
        <v>97300</v>
      </c>
      <c r="E126" s="4">
        <f>'Rep quarterly'!H346</f>
        <v>44500</v>
      </c>
      <c r="F126" s="4">
        <f>'Rep quarterly'!H370</f>
      </c>
      <c r="G126" s="4">
        <f>'Rep quarterly'!H274</f>
        <v>685000</v>
      </c>
      <c r="H126" s="4">
        <f>'Rep quarterly'!H250</f>
        <v>18</v>
      </c>
    </row>
    <row r="127">
      <c r="A127" s="0" t="inlineStr">
        <is>
          <t xml:space="preserve">Ingrid Müller</t>
        </is>
      </c>
      <c r="B127" s="4">
        <f>'Rep quarterly'!H83</f>
        <v>-139700</v>
      </c>
      <c r="C127" s="4">
        <f>'Rep quarterly'!H299</f>
        <v>29700</v>
      </c>
      <c r="D127" s="4">
        <f>'Rep quarterly'!H323</f>
        <v>29700</v>
      </c>
      <c r="E127" s="4">
        <f>'Rep quarterly'!H347</f>
        <v>0</v>
      </c>
      <c r="F127" s="4">
        <f>'Rep quarterly'!H371</f>
      </c>
      <c r="G127" s="4">
        <f>'Rep quarterly'!H275</f>
        <v>452700</v>
      </c>
      <c r="H127" s="4">
        <f>'Rep quarterly'!H251</f>
        <v>12</v>
      </c>
    </row>
    <row r="128">
      <c r="A128" s="0" t="inlineStr">
        <is>
          <t xml:space="preserve">Ingrid Kim</t>
        </is>
      </c>
      <c r="B128" s="4">
        <f>'Rep quarterly'!H84</f>
        <v>22900</v>
      </c>
      <c r="C128" s="4">
        <f>'Rep quarterly'!H300</f>
        <v>0</v>
      </c>
      <c r="D128" s="4">
        <f>'Rep quarterly'!H324</f>
        <v>0</v>
      </c>
      <c r="E128" s="4">
        <f>'Rep quarterly'!H348</f>
        <v>0</v>
      </c>
      <c r="F128" s="4">
        <f>'Rep quarterly'!H372</f>
      </c>
      <c r="G128" s="4">
        <f>'Rep quarterly'!H276</f>
        <v>191800</v>
      </c>
      <c r="H128" s="4">
        <f>'Rep quarterly'!H252</f>
        <v>13</v>
      </c>
    </row>
    <row r="129">
      <c r="A129" s="0" t="inlineStr">
        <is>
          <t xml:space="preserve">Priya Nair</t>
        </is>
      </c>
      <c r="B129" s="8">
        <f>'Rep quarterly'!H85</f>
        <v>74800</v>
      </c>
      <c r="C129" s="8">
        <f>'Rep quarterly'!H301</f>
        <v>59900</v>
      </c>
      <c r="D129" s="8">
        <f>'Rep quarterly'!H325</f>
        <v>19700</v>
      </c>
      <c r="E129" s="8">
        <f>'Rep quarterly'!H349</f>
        <v>15300</v>
      </c>
      <c r="F129" s="8">
        <f>'Rep quarterly'!H373</f>
        <v>0.8008021390374331</v>
      </c>
      <c r="G129" s="8">
        <f>'Rep quarterly'!H277</f>
        <v>219800</v>
      </c>
      <c r="H129" s="8">
        <f>'Rep quarterly'!H253</f>
        <v>19</v>
      </c>
    </row>
    <row r="130">
      <c r="A130" s="0" t="inlineStr">
        <is>
          <t xml:space="preserve">Hugo Lindqvist</t>
        </is>
      </c>
      <c r="B130" s="4">
        <f>'Rep quarterly'!H86</f>
        <v>-38600</v>
      </c>
      <c r="C130" s="4">
        <f>'Rep quarterly'!H302</f>
        <v>292100</v>
      </c>
      <c r="D130" s="4">
        <f>'Rep quarterly'!H326</f>
        <v>112600</v>
      </c>
      <c r="E130" s="4">
        <f>'Rep quarterly'!H350</f>
        <v>0</v>
      </c>
      <c r="F130" s="4">
        <f>'Rep quarterly'!H374</f>
      </c>
      <c r="G130" s="4">
        <f>'Rep quarterly'!H278</f>
        <v>515900</v>
      </c>
      <c r="H130" s="4">
        <f>'Rep quarterly'!H254</f>
        <v>4</v>
      </c>
    </row>
    <row r="131">
      <c r="A131" s="0" t="inlineStr">
        <is>
          <t xml:space="preserve">Wei Novak</t>
        </is>
      </c>
      <c r="B131" s="4">
        <f>'Rep quarterly'!H87</f>
        <v>160100</v>
      </c>
      <c r="C131" s="4">
        <f>'Rep quarterly'!H303</f>
        <v>0</v>
      </c>
      <c r="D131" s="4">
        <f>'Rep quarterly'!H327</f>
        <v>0</v>
      </c>
      <c r="E131" s="4">
        <f>'Rep quarterly'!H351</f>
        <v>0</v>
      </c>
      <c r="F131" s="4">
        <f>'Rep quarterly'!H375</f>
      </c>
      <c r="G131" s="4">
        <f>'Rep quarterly'!H279</f>
        <v>434400</v>
      </c>
      <c r="H131" s="4">
        <f>'Rep quarterly'!H255</f>
        <v>4</v>
      </c>
    </row>
    <row r="132">
      <c r="A132" s="0" t="inlineStr">
        <is>
          <t xml:space="preserve">Nikolai Kim</t>
        </is>
      </c>
      <c r="B132" s="8">
        <f>'Rep quarterly'!H88</f>
        <v>53600</v>
      </c>
      <c r="C132" s="8">
        <f>'Rep quarterly'!H304</f>
        <v>123400</v>
      </c>
      <c r="D132" s="8">
        <f>'Rep quarterly'!H328</f>
        <v>0</v>
      </c>
      <c r="E132" s="8">
        <f>'Rep quarterly'!H352</f>
        <v>51100</v>
      </c>
      <c r="F132" s="8">
        <f>'Rep quarterly'!H376</f>
        <v>2.3022388059701493</v>
      </c>
      <c r="G132" s="8">
        <f>'Rep quarterly'!H280</f>
        <v>384200</v>
      </c>
      <c r="H132" s="8">
        <f>'Rep quarterly'!H256</f>
        <v>11</v>
      </c>
    </row>
    <row r="133">
      <c r="A133" s="0" t="inlineStr">
        <is>
          <t xml:space="preserve">Wei Nair</t>
        </is>
      </c>
      <c r="B133" s="8">
        <f>'Rep quarterly'!H89</f>
        <v>82400</v>
      </c>
      <c r="C133" s="8">
        <f>'Rep quarterly'!H305</f>
        <v>46900</v>
      </c>
      <c r="D133" s="8">
        <f>'Rep quarterly'!H329</f>
        <v>0</v>
      </c>
      <c r="E133" s="8">
        <f>'Rep quarterly'!H353</f>
        <v>46900</v>
      </c>
      <c r="F133" s="8">
        <f>'Rep quarterly'!H377</f>
        <v>0.5691747572815534</v>
      </c>
      <c r="G133" s="8">
        <f>'Rep quarterly'!H281</f>
        <v>244100</v>
      </c>
      <c r="H133" s="8">
        <f>'Rep quarterly'!H257</f>
        <v>2</v>
      </c>
    </row>
    <row r="134">
      <c r="A134" s="0" t="inlineStr">
        <is>
          <t xml:space="preserve">Liam Silva</t>
        </is>
      </c>
      <c r="B134" s="4">
        <f>'Rep quarterly'!H90</f>
        <v>-3000</v>
      </c>
      <c r="C134" s="4">
        <f>'Rep quarterly'!H306</f>
        <v>57700</v>
      </c>
      <c r="D134" s="4">
        <f>'Rep quarterly'!H330</f>
        <v>9100</v>
      </c>
      <c r="E134" s="4">
        <f>'Rep quarterly'!H354</f>
        <v>16100</v>
      </c>
      <c r="F134" s="4">
        <f>'Rep quarterly'!H378</f>
      </c>
      <c r="G134" s="4">
        <f>'Rep quarterly'!H282</f>
        <v>349200</v>
      </c>
      <c r="H134" s="4">
        <f>'Rep quarterly'!H258</f>
        <v>20</v>
      </c>
    </row>
    <row r="135">
      <c r="A135" s="0" t="inlineStr">
        <is>
          <t xml:space="preserve">Samuel Silva</t>
        </is>
      </c>
      <c r="B135" s="8">
        <f>'Rep quarterly'!H91</f>
        <v>28700</v>
      </c>
      <c r="C135" s="8">
        <f>'Rep quarterly'!H307</f>
        <v>11600</v>
      </c>
      <c r="D135" s="8">
        <f>'Rep quarterly'!H331</f>
        <v>5800</v>
      </c>
      <c r="E135" s="8">
        <f>'Rep quarterly'!H355</f>
        <v>0</v>
      </c>
      <c r="F135" s="8">
        <f>'Rep quarterly'!H379</f>
        <v>0.40418118466898956</v>
      </c>
      <c r="G135" s="8">
        <f>'Rep quarterly'!H283</f>
        <v>135100</v>
      </c>
      <c r="H135" s="8">
        <f>'Rep quarterly'!H259</f>
        <v>12</v>
      </c>
    </row>
    <row r="136">
      <c r="A136" s="0" t="inlineStr">
        <is>
          <t xml:space="preserve">Yuki Larsen</t>
        </is>
      </c>
      <c r="B136" s="4">
        <f>'Rep quarterly'!H92</f>
        <v>104400</v>
      </c>
      <c r="C136" s="4">
        <f>'Rep quarterly'!H308</f>
        <v>0</v>
      </c>
      <c r="D136" s="4">
        <f>'Rep quarterly'!H332</f>
        <v>0</v>
      </c>
      <c r="E136" s="4">
        <f>'Rep quarterly'!H356</f>
        <v>0</v>
      </c>
      <c r="F136" s="4">
        <f>'Rep quarterly'!H380</f>
      </c>
      <c r="G136" s="4">
        <f>'Rep quarterly'!H284</f>
        <v>1211400</v>
      </c>
      <c r="H136" s="4">
        <f>'Rep quarterly'!H260</f>
        <v>6</v>
      </c>
    </row>
    <row r="137">
      <c r="A137" s="0" t="inlineStr">
        <is>
          <t xml:space="preserve">Nikolai Sato</t>
        </is>
      </c>
      <c r="B137" s="8">
        <f>'Rep quarterly'!H93</f>
        <v>158600</v>
      </c>
      <c r="C137" s="8">
        <f>'Rep quarterly'!H309</f>
        <v>236900</v>
      </c>
      <c r="D137" s="8">
        <f>'Rep quarterly'!H333</f>
        <v>0</v>
      </c>
      <c r="E137" s="8">
        <f>'Rep quarterly'!H357</f>
        <v>0</v>
      </c>
      <c r="F137" s="8">
        <f>'Rep quarterly'!H381</f>
        <v>1.4936948297604036</v>
      </c>
      <c r="G137" s="8">
        <f>'Rep quarterly'!H285</f>
        <v>901700</v>
      </c>
      <c r="H137" s="8">
        <f>'Rep quarterly'!H261</f>
        <v>6</v>
      </c>
    </row>
    <row r="138">
      <c r="A138" s="0" t="inlineStr">
        <is>
          <t xml:space="preserve">Elena Silva</t>
        </is>
      </c>
      <c r="B138" s="4">
        <f>'Rep quarterly'!H94</f>
        <v>-41600</v>
      </c>
      <c r="C138" s="4">
        <f>'Rep quarterly'!H310</f>
        <v>185600</v>
      </c>
      <c r="D138" s="4">
        <f>'Rep quarterly'!H334</f>
        <v>29900</v>
      </c>
      <c r="E138" s="4">
        <f>'Rep quarterly'!H358</f>
        <v>38900</v>
      </c>
      <c r="F138" s="4">
        <f>'Rep quarterly'!H382</f>
      </c>
      <c r="G138" s="4">
        <f>'Rep quarterly'!H286</f>
        <v>611500</v>
      </c>
      <c r="H138" s="4">
        <f>'Rep quarterly'!H262</f>
        <v>13</v>
      </c>
    </row>
    <row r="139">
      <c r="A139" s="0" t="inlineStr">
        <is>
          <t xml:space="preserve">Arjun Müller</t>
        </is>
      </c>
      <c r="B139" s="4">
        <f>'Rep quarterly'!H95</f>
        <v>-12200</v>
      </c>
      <c r="C139" s="4">
        <f>'Rep quarterly'!H311</f>
        <v>21700</v>
      </c>
      <c r="D139" s="4">
        <f>'Rep quarterly'!H335</f>
        <v>0</v>
      </c>
      <c r="E139" s="4">
        <f>'Rep quarterly'!H359</f>
        <v>0</v>
      </c>
      <c r="F139" s="4">
        <f>'Rep quarterly'!H383</f>
      </c>
      <c r="G139" s="4">
        <f>'Rep quarterly'!H287</f>
        <v>185400</v>
      </c>
      <c r="H139" s="4">
        <f>'Rep quarterly'!H263</f>
        <v>6</v>
      </c>
    </row>
    <row r="140">
      <c r="A140" s="0" t="inlineStr">
        <is>
          <t xml:space="preserve">Nikolai Park</t>
        </is>
      </c>
      <c r="B140" s="8">
        <f>'Rep quarterly'!H96</f>
        <v>12200</v>
      </c>
      <c r="C140" s="8">
        <f>'Rep quarterly'!H312</f>
        <v>8200</v>
      </c>
      <c r="D140" s="8">
        <f>'Rep quarterly'!H336</f>
        <v>8200</v>
      </c>
      <c r="E140" s="8">
        <f>'Rep quarterly'!H360</f>
        <v>0</v>
      </c>
      <c r="F140" s="8">
        <f>'Rep quarterly'!H384</f>
        <v>0.6721311475409836</v>
      </c>
      <c r="G140" s="8">
        <f>'Rep quarterly'!H288</f>
        <v>76700</v>
      </c>
      <c r="H140" s="8">
        <f>'Rep quarterly'!H264</f>
        <v>5</v>
      </c>
    </row>
    <row r="141">
      <c r="A141" s="0" t="inlineStr">
        <is>
          <t xml:space="preserve">Ingrid Dubois</t>
        </is>
      </c>
      <c r="B141" s="4">
        <f>'Rep quarterly'!H97</f>
        <v>-37900</v>
      </c>
      <c r="C141" s="4">
        <f>'Rep quarterly'!H313</f>
        <v>17500</v>
      </c>
      <c r="D141" s="4">
        <f>'Rep quarterly'!H337</f>
        <v>6800</v>
      </c>
      <c r="E141" s="4">
        <f>'Rep quarterly'!H361</f>
        <v>0</v>
      </c>
      <c r="F141" s="4">
        <f>'Rep quarterly'!H385</f>
      </c>
      <c r="G141" s="4">
        <f>'Rep quarterly'!H289</f>
        <v>177500</v>
      </c>
      <c r="H141" s="4">
        <f>'Rep quarterly'!H265</f>
        <v>13</v>
      </c>
    </row>
    <row r="143">
      <c r="A143" s="1" t="inlineStr">
        <is>
          <t xml:space="preserve">Variable pay by team, Q2 2026 (paid)</t>
        </is>
      </c>
    </row>
    <row r="144">
      <c r="A144" s="1" t="inlineStr">
        <is>
          <t xml:space="preserve">region</t>
        </is>
      </c>
      <c r="B144" s="1" t="inlineStr">
        <is>
          <t xml:space="preserve">segment</t>
        </is>
      </c>
      <c r="C144" s="1" t="inlineStr">
        <is>
          <t xml:space="preserve">Reps</t>
        </is>
      </c>
      <c r="D144" s="1" t="inlineStr">
        <is>
          <t xml:space="preserve">Bookings</t>
        </is>
      </c>
      <c r="E144" s="1" t="inlineStr">
        <is>
          <t xml:space="preserve">Attainment</t>
        </is>
      </c>
      <c r="F144" s="1" t="inlineStr">
        <is>
          <t xml:space="preserve">Variable pay</t>
        </is>
      </c>
      <c r="G144" s="1" t="inlineStr">
        <is>
          <t xml:space="preserve">Variable pay as % of bookings</t>
        </is>
      </c>
    </row>
    <row r="145">
      <c r="A145" s="0" t="inlineStr">
        <is>
          <t xml:space="preserve">AMER East</t>
        </is>
      </c>
      <c r="B145" s="0" t="inlineStr">
        <is>
          <t xml:space="preserve">Enterprise</t>
        </is>
      </c>
      <c r="C145" s="8">
        <f>'Team quarterly (region × segmen'!H2</f>
        <v>2</v>
      </c>
      <c r="D145" s="8">
        <f>'Team quarterly (region × segmen'!H26</f>
        <v>436700</v>
      </c>
      <c r="E145" s="12">
        <f>'Team quarterly (region × segmen'!H38</f>
        <v>1.1645333333333334</v>
      </c>
      <c r="F145" s="8">
        <f>'Team quarterly (region × segmen'!H206</f>
        <v>50645.00000000001</v>
      </c>
      <c r="G145" s="12">
        <f>'Team quarterly (region × segmen'!H218</f>
        <v>0.11597206320128237</v>
      </c>
    </row>
    <row r="146">
      <c r="A146" s="0"/>
      <c r="B146" s="0" t="inlineStr">
        <is>
          <t xml:space="preserve">Mid-Market</t>
        </is>
      </c>
      <c r="C146" s="8">
        <f>'Team quarterly (region × segmen'!H3</f>
        <v>2</v>
      </c>
      <c r="D146" s="8">
        <f>'Team quarterly (region × segmen'!H27</f>
        <v>211600</v>
      </c>
      <c r="E146" s="12">
        <f>'Team quarterly (region × segmen'!H39</f>
        <v>0.4990566037735849</v>
      </c>
      <c r="F146" s="8">
        <f>'Team quarterly (region × segmen'!H207</f>
        <v>26414.344999999998</v>
      </c>
      <c r="G146" s="12">
        <f>'Team quarterly (region × segmen'!H219</f>
        <v>0.12483149810964082</v>
      </c>
    </row>
    <row r="147">
      <c r="A147" s="0"/>
      <c r="B147" s="0" t="inlineStr">
        <is>
          <t xml:space="preserve">SMB</t>
        </is>
      </c>
      <c r="C147" s="8">
        <f>'Team quarterly (region × segmen'!H4</f>
        <v>2</v>
      </c>
      <c r="D147" s="8">
        <f>'Team quarterly (region × segmen'!H28</f>
        <v>220600</v>
      </c>
      <c r="E147" s="12">
        <f>'Team quarterly (region × segmen'!H40</f>
        <v>0.9848214285714286</v>
      </c>
      <c r="F147" s="8">
        <f>'Team quarterly (region × segmen'!H208</f>
        <v>36763.280000000006</v>
      </c>
      <c r="G147" s="12">
        <f>'Team quarterly (region × segmen'!H220</f>
        <v>0.16665131459655488</v>
      </c>
    </row>
    <row r="148">
      <c r="A148" s="0" t="inlineStr">
        <is>
          <t xml:space="preserve">AMER West</t>
        </is>
      </c>
      <c r="B148" s="0" t="inlineStr">
        <is>
          <t xml:space="preserve">Enterprise</t>
        </is>
      </c>
      <c r="C148" s="8">
        <f>'Team quarterly (region × segmen'!H5</f>
        <v>2</v>
      </c>
      <c r="D148" s="8">
        <f>'Team quarterly (region × segmen'!H29</f>
        <v>408000</v>
      </c>
      <c r="E148" s="12">
        <f>'Team quarterly (region × segmen'!H41</f>
        <v>0.544</v>
      </c>
      <c r="F148" s="8">
        <f>'Team quarterly (region × segmen'!H209</f>
        <v>45517.5</v>
      </c>
      <c r="G148" s="12">
        <f>'Team quarterly (region × segmen'!H221</f>
        <v>0.1115625</v>
      </c>
    </row>
    <row r="149">
      <c r="A149" s="0"/>
      <c r="B149" s="0" t="inlineStr">
        <is>
          <t xml:space="preserve">Mid-Market</t>
        </is>
      </c>
      <c r="C149" s="8">
        <f>'Team quarterly (region × segmen'!H6</f>
        <v>2</v>
      </c>
      <c r="D149" s="8">
        <f>'Team quarterly (region × segmen'!H30</f>
        <v>794400</v>
      </c>
      <c r="E149" s="12">
        <f>'Team quarterly (region × segmen'!H42</f>
        <v>2.9977358490566037</v>
      </c>
      <c r="F149" s="8">
        <f>'Team quarterly (region × segmen'!H210</f>
        <v>123541.39</v>
      </c>
      <c r="G149" s="12">
        <f>'Team quarterly (region × segmen'!H222</f>
        <v>0.1555153449144008</v>
      </c>
    </row>
    <row r="150">
      <c r="A150" s="0"/>
      <c r="B150" s="0" t="inlineStr">
        <is>
          <t xml:space="preserve">SMB</t>
        </is>
      </c>
      <c r="C150" s="8">
        <f>'Team quarterly (region × segmen'!H7</f>
        <v>2</v>
      </c>
      <c r="D150" s="8">
        <f>'Team quarterly (region × segmen'!H31</f>
        <v>130100</v>
      </c>
      <c r="E150" s="12">
        <f>'Team quarterly (region × segmen'!H43</f>
        <v>0.5808035714285714</v>
      </c>
      <c r="F150" s="8">
        <f>'Team quarterly (region × segmen'!H211</f>
        <v>21120.155000000006</v>
      </c>
      <c r="G150" s="12">
        <f>'Team quarterly (region × segmen'!H223</f>
        <v>0.16233785549577254</v>
      </c>
    </row>
    <row r="151">
      <c r="A151" s="0" t="inlineStr">
        <is>
          <t xml:space="preserve">EMEA</t>
        </is>
      </c>
      <c r="B151" s="0" t="inlineStr">
        <is>
          <t xml:space="preserve">Enterprise</t>
        </is>
      </c>
      <c r="C151" s="8">
        <f>'Team quarterly (region × segmen'!H8</f>
        <v>2</v>
      </c>
      <c r="D151" s="8">
        <f>'Team quarterly (region × segmen'!H32</f>
        <v>517000</v>
      </c>
      <c r="E151" s="12">
        <f>'Team quarterly (region × segmen'!H44</f>
        <v>1.0197238658777121</v>
      </c>
      <c r="F151" s="8">
        <f>'Team quarterly (region × segmen'!H212</f>
        <v>67617.65000000001</v>
      </c>
      <c r="G151" s="12">
        <f>'Team quarterly (region × segmen'!H224</f>
        <v>0.13078849129593811</v>
      </c>
    </row>
    <row r="152">
      <c r="A152" s="0"/>
      <c r="B152" s="0" t="inlineStr">
        <is>
          <t xml:space="preserve">Mid-Market</t>
        </is>
      </c>
      <c r="C152" s="8">
        <f>'Team quarterly (region × segmen'!H9</f>
        <v>2</v>
      </c>
      <c r="D152" s="8">
        <f>'Team quarterly (region × segmen'!H33</f>
        <v>294100</v>
      </c>
      <c r="E152" s="12">
        <f>'Team quarterly (region × segmen'!H45</f>
        <v>0.7739473684210526</v>
      </c>
      <c r="F152" s="8">
        <f>'Team quarterly (region × segmen'!H213</f>
        <v>43725.9675</v>
      </c>
      <c r="G152" s="12">
        <f>'Team quarterly (region × segmen'!H225</f>
        <v>0.14867721013260796</v>
      </c>
    </row>
    <row r="153">
      <c r="A153" s="0"/>
      <c r="B153" s="0" t="inlineStr">
        <is>
          <t xml:space="preserve">SMB</t>
        </is>
      </c>
      <c r="C153" s="8">
        <f>'Team quarterly (region × segmen'!H10</f>
        <v>2</v>
      </c>
      <c r="D153" s="8">
        <f>'Team quarterly (region × segmen'!H34</f>
        <v>144600</v>
      </c>
      <c r="E153" s="12">
        <f>'Team quarterly (region × segmen'!H46</f>
        <v>0.723</v>
      </c>
      <c r="F153" s="8">
        <f>'Team quarterly (region × segmen'!H214</f>
        <v>26629.999999999996</v>
      </c>
      <c r="G153" s="12">
        <f>'Team quarterly (region × segmen'!H226</f>
        <v>0.18416320885200552</v>
      </c>
    </row>
    <row r="154">
      <c r="A154" s="0" t="inlineStr">
        <is>
          <t xml:space="preserve">APAC</t>
        </is>
      </c>
      <c r="B154" s="0" t="inlineStr">
        <is>
          <t xml:space="preserve">Enterprise</t>
        </is>
      </c>
      <c r="C154" s="8">
        <f>'Team quarterly (region × segmen'!H11</f>
        <v>2</v>
      </c>
      <c r="D154" s="8">
        <f>'Team quarterly (region × segmen'!H35</f>
        <v>188400</v>
      </c>
      <c r="E154" s="12">
        <f>'Team quarterly (region × segmen'!H47</f>
        <v>0.35954198473282445</v>
      </c>
      <c r="F154" s="8">
        <f>'Team quarterly (region × segmen'!H215</f>
        <v>25068.385000000002</v>
      </c>
      <c r="G154" s="12">
        <f>'Team quarterly (region × segmen'!H227</f>
        <v>0.13305936836518048</v>
      </c>
    </row>
    <row r="155">
      <c r="A155" s="0"/>
      <c r="B155" s="0" t="inlineStr">
        <is>
          <t xml:space="preserve">Mid-Market</t>
        </is>
      </c>
      <c r="C155" s="8">
        <f>'Team quarterly (region × segmen'!H12</f>
        <v>2</v>
      </c>
      <c r="D155" s="8">
        <f>'Team quarterly (region × segmen'!H36</f>
        <v>377800</v>
      </c>
      <c r="E155" s="12">
        <f>'Team quarterly (region × segmen'!H48</f>
        <v>1.2593333333333334</v>
      </c>
      <c r="F155" s="8">
        <f>'Team quarterly (region × segmen'!H216</f>
        <v>74399.92</v>
      </c>
      <c r="G155" s="12">
        <f>'Team quarterly (region × segmen'!H228</f>
        <v>0.19692938062466914</v>
      </c>
    </row>
    <row r="156">
      <c r="A156" s="0"/>
      <c r="B156" s="0" t="inlineStr">
        <is>
          <t xml:space="preserve">SMB</t>
        </is>
      </c>
      <c r="C156" s="8">
        <f>'Team quarterly (region × segmen'!H13</f>
        <v>2</v>
      </c>
      <c r="D156" s="8">
        <f>'Team quarterly (region × segmen'!H37</f>
        <v>131700</v>
      </c>
      <c r="E156" s="12">
        <f>'Team quarterly (region × segmen'!H49</f>
        <v>1.317</v>
      </c>
      <c r="F156" s="8">
        <f>'Team quarterly (region × segmen'!H217</f>
        <v>39106.5</v>
      </c>
      <c r="G156" s="12">
        <f>'Team quarterly (region × segmen'!H229</f>
        <v>0.2969362186788155</v>
      </c>
    </row>
    <row r="158">
      <c r="A158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</cols>
  <sheetData>
    <row r="1">
      <c r="A1" s="1" t="inlineStr">
        <is>
          <t xml:space="preserve">Q3 bookings</t>
        </is>
      </c>
    </row>
    <row r="2">
      <c r="A2" s="1" t="inlineStr">
        <is>
          <t xml:space="preserve">line</t>
        </is>
      </c>
      <c r="B2" s="1" t="inlineStr">
        <is>
          <t xml:space="preserve">Q3 2026</t>
        </is>
      </c>
    </row>
    <row r="3">
      <c r="A3" s="0" t="inlineStr">
        <is>
          <t xml:space="preserve">Bookings</t>
        </is>
      </c>
      <c r="B3" s="4">
        <f>'Rep quarterly'!H38</f>
        <v>376600</v>
      </c>
    </row>
    <row r="5">
      <c r="A5" s="1" t="inlineStr">
        <is>
          <t xml:space="preserve">Q3 attainment</t>
        </is>
      </c>
    </row>
    <row r="6">
      <c r="A6" s="1" t="inlineStr">
        <is>
          <t xml:space="preserve">line</t>
        </is>
      </c>
      <c r="B6" s="1" t="inlineStr">
        <is>
          <t xml:space="preserve">Q3 2026</t>
        </is>
      </c>
    </row>
    <row r="7">
      <c r="A7" s="0" t="inlineStr">
        <is>
          <t xml:space="preserve">Attainment</t>
        </is>
      </c>
      <c r="B7" s="12">
        <f>'Rep quarterly'!H62</f>
        <v>1.1142011834319527</v>
      </c>
    </row>
    <row r="9">
      <c r="A9" s="1" t="inlineStr">
        <is>
          <t xml:space="preserve">Coverage of Q3 gap</t>
        </is>
      </c>
    </row>
    <row r="10">
      <c r="A10" s="1" t="inlineStr">
        <is>
          <t xml:space="preserve">line</t>
        </is>
      </c>
      <c r="B10" s="1" t="inlineStr">
        <is>
          <t xml:space="preserve">Q3 2026</t>
        </is>
      </c>
    </row>
    <row r="11">
      <c r="A11" s="0" t="inlineStr">
        <is>
          <t xml:space="preserve">Coverage of gap (x)</t>
        </is>
      </c>
      <c r="B11" s="4">
        <f>'Rep quarterly'!H374</f>
      </c>
    </row>
    <row r="13">
      <c r="A13" s="1" t="inlineStr">
        <is>
          <t xml:space="preserve">Q3 variable pay to date</t>
        </is>
      </c>
    </row>
    <row r="14">
      <c r="A14" s="1" t="inlineStr">
        <is>
          <t xml:space="preserve">line</t>
        </is>
      </c>
      <c r="B14" s="1" t="inlineStr">
        <is>
          <t xml:space="preserve">Q3 2026</t>
        </is>
      </c>
    </row>
    <row r="15">
      <c r="A15" s="0" t="inlineStr">
        <is>
          <t xml:space="preserve">Total variable pay (capped)</t>
        </is>
      </c>
      <c r="B15" s="8">
        <f>'Variable pay'!H278</f>
        <v>56471.51500000001</v>
      </c>
    </row>
    <row r="17">
      <c r="A17" s="1" t="inlineStr">
        <is>
          <t xml:space="preserve">Bookings and pipeline by month</t>
        </is>
      </c>
    </row>
    <row r="18">
      <c r="A18" s="1" t="inlineStr">
        <is>
          <t xml:space="preserve">line</t>
        </is>
      </c>
      <c r="B18" s="1" t="inlineStr">
        <is>
          <t xml:space="preserve">Jan-26</t>
        </is>
      </c>
      <c r="C18" s="1" t="inlineStr">
        <is>
          <t xml:space="preserve">Feb-26</t>
        </is>
      </c>
      <c r="D18" s="1" t="inlineStr">
        <is>
          <t xml:space="preserve">Mar-26</t>
        </is>
      </c>
      <c r="E18" s="1" t="inlineStr">
        <is>
          <t xml:space="preserve">Apr-26</t>
        </is>
      </c>
      <c r="F18" s="1" t="inlineStr">
        <is>
          <t xml:space="preserve">May-26</t>
        </is>
      </c>
      <c r="G18" s="1" t="inlineStr">
        <is>
          <t xml:space="preserve">Jun-26</t>
        </is>
      </c>
      <c r="H18" s="1" t="inlineStr">
        <is>
          <t xml:space="preserve">Jul-26</t>
        </is>
      </c>
      <c r="I18" s="1" t="inlineStr">
        <is>
          <t xml:space="preserve">Aug-26</t>
        </is>
      </c>
      <c r="J18" s="1" t="inlineStr">
        <is>
          <t xml:space="preserve">Sep-26</t>
        </is>
      </c>
      <c r="K18" s="1" t="inlineStr">
        <is>
          <t xml:space="preserve">Oct-26</t>
        </is>
      </c>
      <c r="L18" s="1" t="inlineStr">
        <is>
          <t xml:space="preserve">Nov-26</t>
        </is>
      </c>
      <c r="M18" s="1" t="inlineStr">
        <is>
          <t xml:space="preserve">Dec-26</t>
        </is>
      </c>
    </row>
    <row r="19">
      <c r="A19" s="0" t="inlineStr">
        <is>
          <t xml:space="preserve">Bookings</t>
        </is>
      </c>
      <c r="B19" s="4">
        <f>'Rep monthly'!L14</f>
        <v>543300</v>
      </c>
      <c r="C19" s="4">
        <f>'Rep monthly'!M14</f>
        <v>0</v>
      </c>
      <c r="D19" s="4">
        <f>'Rep monthly'!N14</f>
        <v>0</v>
      </c>
      <c r="E19" s="4">
        <f>'Rep monthly'!O14</f>
        <v>148600</v>
      </c>
      <c r="F19" s="4">
        <f>'Rep monthly'!P14</f>
        <v>108100</v>
      </c>
      <c r="G19" s="4">
        <f>'Rep monthly'!Q14</f>
        <v>200300</v>
      </c>
      <c r="H19" s="4">
        <f>'Rep monthly'!R14</f>
        <v>0</v>
      </c>
      <c r="I19" s="4">
        <f>'Rep monthly'!S14</f>
        <v>0</v>
      </c>
      <c r="J19" s="4">
        <f>'Rep monthly'!T14</f>
        <v>376600</v>
      </c>
      <c r="K19" s="4">
        <f>'Rep monthly'!U14</f>
        <v>0</v>
      </c>
      <c r="L19" s="4">
        <f>'Rep monthly'!V14</f>
        <v>0</v>
      </c>
      <c r="M19" s="4">
        <f>'Rep monthly'!W14</f>
        <v>0</v>
      </c>
    </row>
    <row r="20">
      <c r="A20" s="0" t="inlineStr">
        <is>
          <t xml:space="preserve">Open pipeline closing this month</t>
        </is>
      </c>
      <c r="B20" s="4">
        <f>'Rep monthly'!L182</f>
        <v>0</v>
      </c>
      <c r="C20" s="4">
        <f>'Rep monthly'!M182</f>
        <v>0</v>
      </c>
      <c r="D20" s="4">
        <f>'Rep monthly'!N182</f>
        <v>0</v>
      </c>
      <c r="E20" s="4">
        <f>'Rep monthly'!O182</f>
        <v>0</v>
      </c>
      <c r="F20" s="4">
        <f>'Rep monthly'!P182</f>
        <v>0</v>
      </c>
      <c r="G20" s="4">
        <f>'Rep monthly'!Q182</f>
        <v>0</v>
      </c>
      <c r="H20" s="4">
        <f>'Rep monthly'!R182</f>
        <v>0</v>
      </c>
      <c r="I20" s="4">
        <f>'Rep monthly'!S182</f>
        <v>0</v>
      </c>
      <c r="J20" s="4">
        <f>'Rep monthly'!T182</f>
        <v>292100</v>
      </c>
      <c r="K20" s="4">
        <f>'Rep monthly'!U182</f>
        <v>309900</v>
      </c>
      <c r="L20" s="4">
        <f>'Rep monthly'!V182</f>
        <v>96600</v>
      </c>
      <c r="M20" s="4">
        <f>'Rep monthly'!W182</f>
        <v>223800</v>
      </c>
    </row>
    <row r="39">
      <c r="A39" s="1" t="inlineStr">
        <is>
          <t xml:space="preserve">Attainment by quarter</t>
        </is>
      </c>
    </row>
    <row r="40">
      <c r="A40" s="1" t="inlineStr">
        <is>
          <t xml:space="preserve">line</t>
        </is>
      </c>
      <c r="B40" s="1" t="inlineStr">
        <is>
          <t xml:space="preserve">Q1 2026</t>
        </is>
      </c>
      <c r="C40" s="1" t="inlineStr">
        <is>
          <t xml:space="preserve">Q2 2026</t>
        </is>
      </c>
      <c r="D40" s="1" t="inlineStr">
        <is>
          <t xml:space="preserve">Q3 2026</t>
        </is>
      </c>
      <c r="E40" s="1" t="inlineStr">
        <is>
          <t xml:space="preserve">Q4 2026</t>
        </is>
      </c>
    </row>
    <row r="41">
      <c r="A41" s="0" t="inlineStr">
        <is>
          <t xml:space="preserve">Attainment</t>
        </is>
      </c>
      <c r="B41" s="12">
        <f>'Rep quarterly'!F62</f>
        <v>1.607396449704142</v>
      </c>
      <c r="C41" s="12">
        <f>'Rep quarterly'!G62</f>
        <v>1.3520710059171597</v>
      </c>
      <c r="D41" s="12">
        <f>'Rep quarterly'!H62</f>
        <v>1.1142011834319527</v>
      </c>
      <c r="E41" s="12">
        <f>'Rep quarterly'!I62</f>
      </c>
    </row>
    <row r="42">
      <c r="A42" s="0" t="inlineStr">
        <is>
          <t xml:space="preserve">Forecast attainment</t>
        </is>
      </c>
      <c r="B42" s="12">
        <f>'Rep quarterly'!F422</f>
        <v>1.607396449704142</v>
      </c>
      <c r="C42" s="12">
        <f>'Rep quarterly'!G422</f>
        <v>1.3520710059171597</v>
      </c>
      <c r="D42" s="12">
        <f>'Rep quarterly'!H422</f>
        <v>1.467130177514793</v>
      </c>
      <c r="E42" s="12">
        <f>'Rep quarterly'!I422</f>
        <v>0.6515680473372781</v>
      </c>
    </row>
    <row r="43">
      <c r="A43" s="0" t="inlineStr">
        <is>
          <t xml:space="preserve">YTD attainment</t>
        </is>
      </c>
      <c r="B43" s="12">
        <f>'Rep quarterly'!F494</f>
        <v>1.607396449704142</v>
      </c>
      <c r="C43" s="12">
        <f>'Rep quarterly'!G494</f>
        <v>1.4797337278106508</v>
      </c>
      <c r="D43" s="12">
        <f>'Rep quarterly'!H494</f>
        <v>1.3578895463510847</v>
      </c>
      <c r="E43" s="12">
        <f>'Rep quarterly'!I494</f>
        <v>1.0184171597633136</v>
      </c>
    </row>
    <row r="62">
      <c r="A62" s="1" t="inlineStr">
        <is>
          <t xml:space="preserve">Quarterly scorecard</t>
        </is>
      </c>
    </row>
    <row r="63">
      <c r="A63" s="1" t="inlineStr">
        <is>
          <t xml:space="preserve">line</t>
        </is>
      </c>
      <c r="B63" s="1" t="inlineStr">
        <is>
          <t xml:space="preserve">Q4 2025</t>
        </is>
      </c>
      <c r="C63" s="1" t="inlineStr">
        <is>
          <t xml:space="preserve">Q1 2026</t>
        </is>
      </c>
      <c r="D63" s="1" t="inlineStr">
        <is>
          <t xml:space="preserve">Q2 2026</t>
        </is>
      </c>
      <c r="E63" s="1" t="inlineStr">
        <is>
          <t xml:space="preserve">Q3 2026</t>
        </is>
      </c>
      <c r="F63" s="1" t="inlineStr">
        <is>
          <t xml:space="preserve">Q4 2026</t>
        </is>
      </c>
    </row>
    <row r="64">
      <c r="A64" s="0" t="inlineStr">
        <is>
          <t xml:space="preserve">Quota</t>
        </is>
      </c>
      <c r="B64" s="4">
        <f>'Rep quarterly'!E14</f>
        <v>338000</v>
      </c>
      <c r="C64" s="4">
        <f>'Rep quarterly'!F14</f>
        <v>338000</v>
      </c>
      <c r="D64" s="4">
        <f>'Rep quarterly'!G14</f>
        <v>338000</v>
      </c>
      <c r="E64" s="4">
        <f>'Rep quarterly'!H14</f>
        <v>338000</v>
      </c>
      <c r="F64" s="4">
        <f>'Rep quarterly'!I14</f>
        <v>338000</v>
      </c>
    </row>
    <row r="65">
      <c r="A65" s="0" t="inlineStr">
        <is>
          <t xml:space="preserve">Bookings</t>
        </is>
      </c>
      <c r="B65" s="4">
        <f>'Rep quarterly'!E38</f>
        <v>271600</v>
      </c>
      <c r="C65" s="4">
        <f>'Rep quarterly'!F38</f>
        <v>543300</v>
      </c>
      <c r="D65" s="4">
        <f>'Rep quarterly'!G38</f>
        <v>457000</v>
      </c>
      <c r="E65" s="4">
        <f>'Rep quarterly'!H38</f>
        <v>376600</v>
      </c>
      <c r="F65" s="4">
        <f>'Rep quarterly'!I38</f>
        <v>0</v>
      </c>
    </row>
    <row r="66">
      <c r="A66" s="0" t="inlineStr">
        <is>
          <t xml:space="preserve">Attainment</t>
        </is>
      </c>
      <c r="B66" s="12">
        <f>'Rep quarterly'!E62</f>
        <v>0.8035502958579882</v>
      </c>
      <c r="C66" s="12">
        <f>'Rep quarterly'!F62</f>
        <v>1.607396449704142</v>
      </c>
      <c r="D66" s="12">
        <f>'Rep quarterly'!G62</f>
        <v>1.3520710059171597</v>
      </c>
      <c r="E66" s="12">
        <f>'Rep quarterly'!H62</f>
        <v>1.1142011834319527</v>
      </c>
      <c r="F66" s="12">
        <f>'Rep quarterly'!I62</f>
      </c>
    </row>
    <row r="67">
      <c r="A67" s="0" t="inlineStr">
        <is>
          <t xml:space="preserve">Gap to quota</t>
        </is>
      </c>
      <c r="B67" s="4">
        <f>'Rep quarterly'!E86</f>
        <v>66400</v>
      </c>
      <c r="C67" s="4">
        <f>'Rep quarterly'!F86</f>
        <v>-205300</v>
      </c>
      <c r="D67" s="4">
        <f>'Rep quarterly'!G86</f>
        <v>-119000</v>
      </c>
      <c r="E67" s="4">
        <f>'Rep quarterly'!H86</f>
        <v>-38600</v>
      </c>
      <c r="F67" s="4">
        <f>'Rep quarterly'!I86</f>
        <v>338000</v>
      </c>
    </row>
    <row r="68">
      <c r="A68" s="0" t="inlineStr">
        <is>
          <t xml:space="preserve">Deals won</t>
        </is>
      </c>
      <c r="B68" s="4">
        <f>'Rep quarterly'!E110</f>
        <v>3</v>
      </c>
      <c r="C68" s="4">
        <f>'Rep quarterly'!F110</f>
        <v>2</v>
      </c>
      <c r="D68" s="4">
        <f>'Rep quarterly'!G110</f>
        <v>5</v>
      </c>
      <c r="E68" s="4">
        <f>'Rep quarterly'!H110</f>
        <v>2</v>
      </c>
      <c r="F68" s="4">
        <f>'Rep quarterly'!I110</f>
        <v>0</v>
      </c>
    </row>
    <row r="69">
      <c r="A69" s="0" t="inlineStr">
        <is>
          <t xml:space="preserve">Deals lost</t>
        </is>
      </c>
      <c r="B69" s="4">
        <f>'Rep quarterly'!E134</f>
        <v>10</v>
      </c>
      <c r="C69" s="4">
        <f>'Rep quarterly'!F134</f>
        <v>5</v>
      </c>
      <c r="D69" s="4">
        <f>'Rep quarterly'!G134</f>
        <v>7</v>
      </c>
      <c r="E69" s="4">
        <f>'Rep quarterly'!H134</f>
        <v>3</v>
      </c>
      <c r="F69" s="4">
        <f>'Rep quarterly'!I134</f>
        <v>0</v>
      </c>
    </row>
    <row r="70">
      <c r="A70" s="0" t="inlineStr">
        <is>
          <t xml:space="preserve">Win rate</t>
        </is>
      </c>
      <c r="B70" s="12">
        <f>'Rep quarterly'!E158</f>
        <v>0.23076923076923078</v>
      </c>
      <c r="C70" s="12">
        <f>'Rep quarterly'!F158</f>
        <v>0.2857142857142857</v>
      </c>
      <c r="D70" s="12">
        <f>'Rep quarterly'!G158</f>
        <v>0.4166666666666667</v>
      </c>
      <c r="E70" s="12">
        <f>'Rep quarterly'!H158</f>
        <v>0.4</v>
      </c>
      <c r="F70" s="12">
        <f>'Rep quarterly'!I158</f>
      </c>
    </row>
    <row r="71">
      <c r="A71" s="0" t="inlineStr">
        <is>
          <t xml:space="preserve">Average deal</t>
        </is>
      </c>
      <c r="B71" s="8">
        <f>'Rep quarterly'!E182</f>
        <v>90533.33333333333</v>
      </c>
      <c r="C71" s="8">
        <f>'Rep quarterly'!F182</f>
        <v>271650</v>
      </c>
      <c r="D71" s="8">
        <f>'Rep quarterly'!G182</f>
        <v>91400</v>
      </c>
      <c r="E71" s="8">
        <f>'Rep quarterly'!H182</f>
        <v>188300</v>
      </c>
      <c r="F71" s="8">
        <f>'Rep quarterly'!I182</f>
      </c>
    </row>
    <row r="72">
      <c r="A72" s="0" t="inlineStr">
        <is>
          <t xml:space="preserve">New logos</t>
        </is>
      </c>
      <c r="B72" s="4">
        <f>'Rep quarterly'!E206</f>
        <v>2</v>
      </c>
      <c r="C72" s="4">
        <f>'Rep quarterly'!F206</f>
        <v>2</v>
      </c>
      <c r="D72" s="4">
        <f>'Rep quarterly'!G206</f>
        <v>4</v>
      </c>
      <c r="E72" s="4">
        <f>'Rep quarterly'!H206</f>
        <v>2</v>
      </c>
      <c r="F72" s="4">
        <f>'Rep quarterly'!I206</f>
        <v>0</v>
      </c>
    </row>
    <row r="73">
      <c r="A73" s="0" t="inlineStr">
        <is>
          <t xml:space="preserve">Open pipeline</t>
        </is>
      </c>
      <c r="B73" s="4">
        <f>'Rep quarterly'!E302</f>
        <v>0</v>
      </c>
      <c r="C73" s="4">
        <f>'Rep quarterly'!F302</f>
        <v>0</v>
      </c>
      <c r="D73" s="4">
        <f>'Rep quarterly'!G302</f>
        <v>0</v>
      </c>
      <c r="E73" s="4">
        <f>'Rep quarterly'!H302</f>
        <v>292100</v>
      </c>
      <c r="F73" s="4">
        <f>'Rep quarterly'!I302</f>
        <v>630300</v>
      </c>
    </row>
    <row r="74">
      <c r="A74" s="0" t="inlineStr">
        <is>
          <t xml:space="preserve">Commit</t>
        </is>
      </c>
      <c r="B74" s="4">
        <f>'Rep quarterly'!E326</f>
        <v>0</v>
      </c>
      <c r="C74" s="4">
        <f>'Rep quarterly'!F326</f>
        <v>0</v>
      </c>
      <c r="D74" s="4">
        <f>'Rep quarterly'!G326</f>
        <v>0</v>
      </c>
      <c r="E74" s="4">
        <f>'Rep quarterly'!H326</f>
        <v>112600</v>
      </c>
      <c r="F74" s="4">
        <f>'Rep quarterly'!I326</f>
        <v>32900</v>
      </c>
    </row>
    <row r="75">
      <c r="A75" s="0" t="inlineStr">
        <is>
          <t xml:space="preserve">Best case</t>
        </is>
      </c>
      <c r="B75" s="4">
        <f>'Rep quarterly'!E350</f>
        <v>0</v>
      </c>
      <c r="C75" s="4">
        <f>'Rep quarterly'!F350</f>
        <v>0</v>
      </c>
      <c r="D75" s="4">
        <f>'Rep quarterly'!G350</f>
        <v>0</v>
      </c>
      <c r="E75" s="4">
        <f>'Rep quarterly'!H350</f>
        <v>0</v>
      </c>
      <c r="F75" s="4">
        <f>'Rep quarterly'!I350</f>
        <v>327200</v>
      </c>
    </row>
    <row r="76">
      <c r="A76" s="0" t="inlineStr">
        <is>
          <t xml:space="preserve">Coverage of gap (x)</t>
        </is>
      </c>
      <c r="B76" s="8">
        <f>'Rep quarterly'!E374</f>
      </c>
      <c r="C76" s="8">
        <f>'Rep quarterly'!F374</f>
      </c>
      <c r="D76" s="8">
        <f>'Rep quarterly'!G374</f>
      </c>
      <c r="E76" s="8">
        <f>'Rep quarterly'!H374</f>
      </c>
      <c r="F76" s="8">
        <f>'Rep quarterly'!I374</f>
        <v>1.864792899408284</v>
      </c>
    </row>
    <row r="77">
      <c r="A77" s="0" t="inlineStr">
        <is>
          <t xml:space="preserve">Forecast</t>
        </is>
      </c>
      <c r="B77" s="4">
        <f>'Rep quarterly'!E398</f>
        <v>271600</v>
      </c>
      <c r="C77" s="4">
        <f>'Rep quarterly'!F398</f>
        <v>543300</v>
      </c>
      <c r="D77" s="4">
        <f>'Rep quarterly'!G398</f>
        <v>457000</v>
      </c>
      <c r="E77" s="4">
        <f>'Rep quarterly'!H398</f>
        <v>495890</v>
      </c>
      <c r="F77" s="4">
        <f>'Rep quarterly'!I398</f>
        <v>220230</v>
      </c>
    </row>
    <row r="78">
      <c r="A78" s="0" t="inlineStr">
        <is>
          <t xml:space="preserve">Forecast attainment</t>
        </is>
      </c>
      <c r="B78" s="12">
        <f>'Rep quarterly'!E422</f>
        <v>0.8035502958579882</v>
      </c>
      <c r="C78" s="12">
        <f>'Rep quarterly'!F422</f>
        <v>1.607396449704142</v>
      </c>
      <c r="D78" s="12">
        <f>'Rep quarterly'!G422</f>
        <v>1.3520710059171597</v>
      </c>
      <c r="E78" s="12">
        <f>'Rep quarterly'!H422</f>
        <v>1.467130177514793</v>
      </c>
      <c r="F78" s="12">
        <f>'Rep quarterly'!I422</f>
        <v>0.6515680473372781</v>
      </c>
    </row>
    <row r="80">
      <c r="A80" s="1" t="inlineStr">
        <is>
          <t xml:space="preserve">Commission statement, Q3 2026 (by tranche)</t>
        </is>
      </c>
    </row>
    <row r="81">
      <c r="A81" s="1" t="inlineStr">
        <is>
          <t xml:space="preserve">tranche</t>
        </is>
      </c>
      <c r="B81" s="1" t="inlineStr">
        <is>
          <t xml:space="preserve">Attainment</t>
        </is>
      </c>
      <c r="C81" s="1" t="inlineStr">
        <is>
          <t xml:space="preserve">Attainment in tranche</t>
        </is>
      </c>
      <c r="D81" s="1" t="inlineStr">
        <is>
          <t xml:space="preserve">Effective rate</t>
        </is>
      </c>
      <c r="E81" s="1" t="inlineStr">
        <is>
          <t xml:space="preserve">Commission</t>
        </is>
      </c>
    </row>
    <row r="82">
      <c r="A82" s="0" t="inlineStr">
        <is>
          <t xml:space="preserve">Below 50%</t>
        </is>
      </c>
      <c r="B82" s="12">
        <f>'Commission by tranche'!D91</f>
        <v>1.1142011834319527</v>
      </c>
      <c r="C82" s="12">
        <f>'Commission by tranche'!D259</f>
        <v>0.5</v>
      </c>
      <c r="D82" s="12">
        <f>'Commission by tranche'!D427</f>
        <v>0.08332500000000001</v>
      </c>
      <c r="E82" s="8">
        <f>'Commission by tranche'!D595</f>
        <v>14081.925000000001</v>
      </c>
    </row>
    <row r="83">
      <c r="A83" s="0" t="inlineStr">
        <is>
          <t xml:space="preserve">50% to 100%</t>
        </is>
      </c>
      <c r="B83" s="12">
        <f>'Commission by tranche'!E91</f>
        <v>1.1142011834319527</v>
      </c>
      <c r="C83" s="12">
        <f>'Commission by tranche'!E259</f>
        <v>0.5</v>
      </c>
      <c r="D83" s="12">
        <f>'Commission by tranche'!E427</f>
        <v>0.1111</v>
      </c>
      <c r="E83" s="8">
        <f>'Commission by tranche'!E595</f>
        <v>18775.9</v>
      </c>
    </row>
    <row r="84">
      <c r="A84" s="0" t="inlineStr">
        <is>
          <t xml:space="preserve">100% to 125%</t>
        </is>
      </c>
      <c r="B84" s="12">
        <f>'Commission by tranche'!F91</f>
        <v>1.1142011834319527</v>
      </c>
      <c r="C84" s="12">
        <f>'Commission by tranche'!F259</f>
        <v>0.11420118343195274</v>
      </c>
      <c r="D84" s="12">
        <f>'Commission by tranche'!F427</f>
        <v>0.16665000000000002</v>
      </c>
      <c r="E84" s="8">
        <f>'Commission by tranche'!F595</f>
        <v>6432.690000000004</v>
      </c>
    </row>
    <row r="85">
      <c r="A85" s="0" t="inlineStr">
        <is>
          <t xml:space="preserve">125% to 150%</t>
        </is>
      </c>
      <c r="B85" s="12">
        <f>'Commission by tranche'!G91</f>
        <v>1.1142011834319527</v>
      </c>
      <c r="C85" s="12">
        <f>'Commission by tranche'!G259</f>
        <v>0</v>
      </c>
      <c r="D85" s="12">
        <f>'Commission by tranche'!G427</f>
        <v>0.2222</v>
      </c>
      <c r="E85" s="4">
        <f>'Commission by tranche'!G595</f>
        <v>0</v>
      </c>
    </row>
    <row r="86">
      <c r="A86" s="0" t="inlineStr">
        <is>
          <t xml:space="preserve">Above 150%</t>
        </is>
      </c>
      <c r="B86" s="12">
        <f>'Commission by tranche'!H91</f>
        <v>1.1142011834319527</v>
      </c>
      <c r="C86" s="12">
        <f>'Commission by tranche'!H259</f>
        <v>0</v>
      </c>
      <c r="D86" s="12">
        <f>'Commission by tranche'!H427</f>
        <v>0.33330000000000004</v>
      </c>
      <c r="E86" s="4">
        <f>'Commission by tranche'!H595</f>
        <v>0</v>
      </c>
    </row>
    <row r="87">
      <c r="A87" s="0" t="inlineStr">
        <is>
          <t xml:space="preserve">Total</t>
        </is>
      </c>
      <c r="B87" s="12">
        <f>'Commission by tranche'!I91</f>
        <v>1.1142011834319527</v>
      </c>
      <c r="C87" s="12">
        <f>'Commission by tranche'!I259</f>
        <v>1.1142011834319527</v>
      </c>
      <c r="D87" s="12">
        <f>'Commission by tranche'!I427</f>
      </c>
      <c r="E87" s="8">
        <f>'Commission by tranche'!I595</f>
        <v>39290.51500000001</v>
      </c>
    </row>
    <row r="89">
      <c r="A89" s="1" t="inlineStr">
        <is>
          <t xml:space="preserve">Variable pay by quarter</t>
        </is>
      </c>
    </row>
    <row r="90">
      <c r="A90" s="1" t="inlineStr">
        <is>
          <t xml:space="preserve">line</t>
        </is>
      </c>
      <c r="B90" s="1" t="inlineStr">
        <is>
          <t xml:space="preserve">Q4 2025</t>
        </is>
      </c>
      <c r="C90" s="1" t="inlineStr">
        <is>
          <t xml:space="preserve">Q1 2026</t>
        </is>
      </c>
      <c r="D90" s="1" t="inlineStr">
        <is>
          <t xml:space="preserve">Q2 2026</t>
        </is>
      </c>
      <c r="E90" s="1" t="inlineStr">
        <is>
          <t xml:space="preserve">Q3 2026</t>
        </is>
      </c>
      <c r="F90" s="1" t="inlineStr">
        <is>
          <t xml:space="preserve">Q4 2026</t>
        </is>
      </c>
    </row>
    <row r="91">
      <c r="A91" s="0" t="inlineStr">
        <is>
          <t xml:space="preserve">Commission (tranches)</t>
        </is>
      </c>
      <c r="B91" s="8">
        <f>'Variable pay'!E86</f>
        <v>25480.785000000003</v>
      </c>
      <c r="C91" s="8">
        <f>'Variable pay'!F86</f>
        <v>77814.44</v>
      </c>
      <c r="D91" s="8">
        <f>'Variable pay'!G86</f>
        <v>54605.65</v>
      </c>
      <c r="E91" s="8">
        <f>'Variable pay'!H86</f>
        <v>39290.51500000001</v>
      </c>
      <c r="F91" s="8">
        <f>'Variable pay'!I86</f>
        <v>0</v>
      </c>
    </row>
    <row r="92">
      <c r="A92" s="0" t="inlineStr">
        <is>
          <t xml:space="preserve">New-logo kicker</t>
        </is>
      </c>
      <c r="B92" s="8">
        <f>'Variable pay'!E110</f>
        <v>3118.5</v>
      </c>
      <c r="C92" s="8">
        <f>'Variable pay'!F110</f>
        <v>8149.5</v>
      </c>
      <c r="D92" s="8">
        <f>'Variable pay'!G110</f>
        <v>5233.5</v>
      </c>
      <c r="E92" s="8">
        <f>'Variable pay'!H110</f>
        <v>5649</v>
      </c>
      <c r="F92" s="8">
        <f>'Variable pay'!I110</f>
        <v>0</v>
      </c>
    </row>
    <row r="93">
      <c r="A93" s="0" t="inlineStr">
        <is>
          <t xml:space="preserve">Multi-year kicker</t>
        </is>
      </c>
      <c r="B93" s="4">
        <f>'Variable pay'!E158</f>
        <v>2945</v>
      </c>
      <c r="C93" s="4">
        <f>'Variable pay'!F158</f>
        <v>5433</v>
      </c>
      <c r="D93" s="4">
        <f>'Variable pay'!G158</f>
        <v>2779</v>
      </c>
      <c r="E93" s="4">
        <f>'Variable pay'!H158</f>
        <v>7532</v>
      </c>
      <c r="F93" s="4">
        <f>'Variable pay'!I158</f>
        <v>0</v>
      </c>
    </row>
    <row r="94">
      <c r="A94" s="0" t="inlineStr">
        <is>
          <t xml:space="preserve">SPIFF</t>
        </is>
      </c>
      <c r="B94" s="4">
        <f>'Variable pay'!E206</f>
        <v>0</v>
      </c>
      <c r="C94" s="4">
        <f>'Variable pay'!F206</f>
        <v>0</v>
      </c>
      <c r="D94" s="4">
        <f>'Variable pay'!G206</f>
        <v>0</v>
      </c>
      <c r="E94" s="4">
        <f>'Variable pay'!H206</f>
        <v>4000</v>
      </c>
      <c r="F94" s="4">
        <f>'Variable pay'!I206</f>
        <v>0</v>
      </c>
    </row>
    <row r="95">
      <c r="A95" s="0" t="inlineStr">
        <is>
          <t xml:space="preserve">Variable pay before cap</t>
        </is>
      </c>
      <c r="B95" s="8">
        <f>'Variable pay'!E230</f>
        <v>31544.285000000003</v>
      </c>
      <c r="C95" s="8">
        <f>'Variable pay'!F230</f>
        <v>91396.94</v>
      </c>
      <c r="D95" s="8">
        <f>'Variable pay'!G230</f>
        <v>62618.15</v>
      </c>
      <c r="E95" s="8">
        <f>'Variable pay'!H230</f>
        <v>56471.51500000001</v>
      </c>
      <c r="F95" s="8">
        <f>'Variable pay'!I230</f>
        <v>0</v>
      </c>
    </row>
    <row r="96">
      <c r="A96" s="0" t="inlineStr">
        <is>
          <t xml:space="preserve">On-target variable (quarter)</t>
        </is>
      </c>
      <c r="B96" s="4">
        <f>'Variable pay'!E254</f>
        <v>37500</v>
      </c>
      <c r="C96" s="4">
        <f>'Variable pay'!F254</f>
        <v>37500</v>
      </c>
      <c r="D96" s="4">
        <f>'Variable pay'!G254</f>
        <v>37500</v>
      </c>
      <c r="E96" s="4">
        <f>'Variable pay'!H254</f>
        <v>37500</v>
      </c>
      <c r="F96" s="4">
        <f>'Variable pay'!I254</f>
        <v>37500</v>
      </c>
    </row>
    <row r="97">
      <c r="A97" s="0" t="inlineStr">
        <is>
          <t xml:space="preserve">Total variable pay (capped)</t>
        </is>
      </c>
      <c r="B97" s="8">
        <f>'Variable pay'!E278</f>
        <v>31544.285000000003</v>
      </c>
      <c r="C97" s="8">
        <f>'Variable pay'!F278</f>
        <v>91396.94</v>
      </c>
      <c r="D97" s="8">
        <f>'Variable pay'!G278</f>
        <v>62618.15</v>
      </c>
      <c r="E97" s="8">
        <f>'Variable pay'!H278</f>
        <v>56471.51500000001</v>
      </c>
      <c r="F97" s="8">
        <f>'Variable pay'!I278</f>
        <v>0</v>
      </c>
    </row>
    <row r="98">
      <c r="A98" s="0" t="inlineStr">
        <is>
          <t xml:space="preserve">Variable vs target</t>
        </is>
      </c>
      <c r="B98" s="12">
        <f>'Variable pay'!E302</f>
        <v>0.8411809333333334</v>
      </c>
      <c r="C98" s="12">
        <f>'Variable pay'!F302</f>
        <v>2.4372517333333334</v>
      </c>
      <c r="D98" s="12">
        <f>'Variable pay'!G302</f>
        <v>1.6698173333333333</v>
      </c>
      <c r="E98" s="12">
        <f>'Variable pay'!H302</f>
        <v>1.5059070666666667</v>
      </c>
      <c r="F98" s="12">
        <f>'Variable pay'!I302</f>
        <v>0</v>
      </c>
    </row>
    <row r="99">
      <c r="A99" s="0" t="inlineStr">
        <is>
          <t xml:space="preserve">YTD variable pay</t>
        </is>
      </c>
      <c r="B99" s="8">
        <f>'Variable pay'!E350</f>
        <v>31544.285000000003</v>
      </c>
      <c r="C99" s="8">
        <f>'Variable pay'!F350</f>
        <v>91396.94</v>
      </c>
      <c r="D99" s="8">
        <f>'Variable pay'!G350</f>
        <v>154015.09</v>
      </c>
      <c r="E99" s="8">
        <f>'Variable pay'!H350</f>
        <v>210486.605</v>
      </c>
      <c r="F99" s="8">
        <f>'Variable pay'!I350</f>
        <v>210486.605</v>
      </c>
    </row>
    <row r="100">
      <c r="A100" s="0" t="inlineStr">
        <is>
          <t xml:space="preserve">President's Club track (1 = yes)</t>
        </is>
      </c>
      <c r="B100" s="4">
        <f>'Variable pay'!E398</f>
        <v>0</v>
      </c>
      <c r="C100" s="4">
        <f>'Variable pay'!F398</f>
        <v>1</v>
      </c>
      <c r="D100" s="4">
        <f>'Variable pay'!G398</f>
        <v>1</v>
      </c>
      <c r="E100" s="4">
        <f>'Variable pay'!H398</f>
        <v>1</v>
      </c>
      <c r="F100" s="4">
        <f>'Variable pay'!I398</f>
        <v>1</v>
      </c>
    </row>
    <row r="102">
      <c r="A102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</cols>
  <sheetData>
    <row r="1">
      <c r="A1" s="1" t="inlineStr">
        <is>
          <t xml:space="preserve">Scorecard, August 2026</t>
        </is>
      </c>
    </row>
    <row r="2">
      <c r="A2" s="1" t="inlineStr">
        <is>
          <t xml:space="preserve">sdr</t>
        </is>
      </c>
      <c r="B2" s="1" t="inlineStr">
        <is>
          <t xml:space="preserve">Calls</t>
        </is>
      </c>
      <c r="C2" s="1" t="inlineStr">
        <is>
          <t xml:space="preserve">Connects</t>
        </is>
      </c>
      <c r="D2" s="1" t="inlineStr">
        <is>
          <t xml:space="preserve">Meetings set</t>
        </is>
      </c>
      <c r="E2" s="1" t="inlineStr">
        <is>
          <t xml:space="preserve">Meetings held</t>
        </is>
      </c>
      <c r="F2" s="1" t="inlineStr">
        <is>
          <t xml:space="preserve">SQLs</t>
        </is>
      </c>
      <c r="G2" s="1" t="inlineStr">
        <is>
          <t xml:space="preserve">SQL quota</t>
        </is>
      </c>
      <c r="H2" s="1" t="inlineStr">
        <is>
          <t xml:space="preserve">SQL attainment</t>
        </is>
      </c>
      <c r="I2" s="1" t="inlineStr">
        <is>
          <t xml:space="preserve">Connect rate</t>
        </is>
      </c>
      <c r="J2" s="1" t="inlineStr">
        <is>
          <t xml:space="preserve">Show rate</t>
        </is>
      </c>
      <c r="K2" s="1" t="inlineStr">
        <is>
          <t xml:space="preserve">Opportunities sourced</t>
        </is>
      </c>
      <c r="L2" s="1" t="inlineStr">
        <is>
          <t xml:space="preserve">Pipeline sourced</t>
        </is>
      </c>
      <c r="M2" s="1" t="inlineStr">
        <is>
          <t xml:space="preserve">Pipeline per SQL</t>
        </is>
      </c>
    </row>
    <row r="3">
      <c r="A3" s="0" t="inlineStr">
        <is>
          <t xml:space="preserve">Zara Kowalski</t>
        </is>
      </c>
      <c r="B3" s="8">
        <f>'SDR and BDR scorecard'!S2</f>
        <v>1055</v>
      </c>
      <c r="C3" s="8">
        <f>'SDR and BDR scorecard'!S18</f>
        <v>261</v>
      </c>
      <c r="D3" s="8">
        <f>'SDR and BDR scorecard'!S26</f>
        <v>35</v>
      </c>
      <c r="E3" s="8">
        <f>'SDR and BDR scorecard'!S34</f>
        <v>26</v>
      </c>
      <c r="F3" s="8">
        <f>'SDR and BDR scorecard'!S42</f>
        <v>19</v>
      </c>
      <c r="G3" s="8">
        <f>'SDR and BDR scorecard'!S50</f>
        <v>10</v>
      </c>
      <c r="H3" s="12">
        <f>'SDR and BDR scorecard'!S58</f>
        <v>1.9</v>
      </c>
      <c r="I3" s="12">
        <f>'SDR and BDR scorecard'!S66</f>
        <v>0.24739336492890995</v>
      </c>
      <c r="J3" s="12">
        <f>'SDR and BDR scorecard'!S82</f>
        <v>0.7428571428571429</v>
      </c>
      <c r="K3" s="8">
        <f>'SDR and BDR scorecard'!S90</f>
        <v>19</v>
      </c>
      <c r="L3" s="8">
        <f>'SDR and BDR scorecard'!S98</f>
        <v>1323900</v>
      </c>
      <c r="M3" s="8">
        <f>'SDR and BDR scorecard'!S114</f>
        <v>69678.94736842105</v>
      </c>
    </row>
    <row r="4">
      <c r="A4" s="0" t="inlineStr">
        <is>
          <t xml:space="preserve">Kenji Kowalski</t>
        </is>
      </c>
      <c r="B4" s="4">
        <f>'SDR and BDR scorecard'!S3</f>
        <v>677</v>
      </c>
      <c r="C4" s="4">
        <f>'SDR and BDR scorecard'!S19</f>
        <v>48</v>
      </c>
      <c r="D4" s="4">
        <f>'SDR and BDR scorecard'!S27</f>
        <v>7</v>
      </c>
      <c r="E4" s="4">
        <f>'SDR and BDR scorecard'!S35</f>
        <v>4</v>
      </c>
      <c r="F4" s="4">
        <f>'SDR and BDR scorecard'!S43</f>
        <v>4</v>
      </c>
      <c r="G4" s="4">
        <f>'SDR and BDR scorecard'!S51</f>
        <v>6</v>
      </c>
      <c r="H4" s="12">
        <f>'SDR and BDR scorecard'!S59</f>
        <v>0.6666666666666666</v>
      </c>
      <c r="I4" s="12">
        <f>'SDR and BDR scorecard'!S67</f>
        <v>0.07090103397341212</v>
      </c>
      <c r="J4" s="12">
        <f>'SDR and BDR scorecard'!S83</f>
        <v>0.5714285714285714</v>
      </c>
      <c r="K4" s="4">
        <f>'SDR and BDR scorecard'!S91</f>
        <v>4</v>
      </c>
      <c r="L4" s="4">
        <f>'SDR and BDR scorecard'!S99</f>
        <v>85200</v>
      </c>
      <c r="M4" s="4">
        <f>'SDR and BDR scorecard'!S115</f>
        <v>21300</v>
      </c>
    </row>
    <row r="5">
      <c r="A5" s="0" t="inlineStr">
        <is>
          <t xml:space="preserve">Marcus Nair</t>
        </is>
      </c>
      <c r="B5" s="8">
        <f>'SDR and BDR scorecard'!S4</f>
        <v>684</v>
      </c>
      <c r="C5" s="8">
        <f>'SDR and BDR scorecard'!S20</f>
        <v>122</v>
      </c>
      <c r="D5" s="8">
        <f>'SDR and BDR scorecard'!S28</f>
        <v>20</v>
      </c>
      <c r="E5" s="8">
        <f>'SDR and BDR scorecard'!S36</f>
        <v>15</v>
      </c>
      <c r="F5" s="8">
        <f>'SDR and BDR scorecard'!S44</f>
        <v>11</v>
      </c>
      <c r="G5" s="8">
        <f>'SDR and BDR scorecard'!S52</f>
        <v>10</v>
      </c>
      <c r="H5" s="12">
        <f>'SDR and BDR scorecard'!S60</f>
        <v>1.1</v>
      </c>
      <c r="I5" s="12">
        <f>'SDR and BDR scorecard'!S68</f>
        <v>0.1783625730994152</v>
      </c>
      <c r="J5" s="12">
        <f>'SDR and BDR scorecard'!S84</f>
        <v>0.75</v>
      </c>
      <c r="K5" s="8">
        <f>'SDR and BDR scorecard'!S92</f>
        <v>11</v>
      </c>
      <c r="L5" s="8">
        <f>'SDR and BDR scorecard'!S100</f>
        <v>319200</v>
      </c>
      <c r="M5" s="8">
        <f>'SDR and BDR scorecard'!S116</f>
        <v>29018.18181818182</v>
      </c>
    </row>
    <row r="6">
      <c r="A6" s="0" t="inlineStr">
        <is>
          <t xml:space="preserve">Yuki Rahman</t>
        </is>
      </c>
      <c r="B6" s="8">
        <f>'SDR and BDR scorecard'!S5</f>
        <v>610</v>
      </c>
      <c r="C6" s="8">
        <f>'SDR and BDR scorecard'!S21</f>
        <v>54</v>
      </c>
      <c r="D6" s="8">
        <f>'SDR and BDR scorecard'!S29</f>
        <v>12</v>
      </c>
      <c r="E6" s="8">
        <f>'SDR and BDR scorecard'!S37</f>
        <v>10</v>
      </c>
      <c r="F6" s="8">
        <f>'SDR and BDR scorecard'!S45</f>
        <v>6</v>
      </c>
      <c r="G6" s="8">
        <f>'SDR and BDR scorecard'!S53</f>
        <v>6</v>
      </c>
      <c r="H6" s="12">
        <f>'SDR and BDR scorecard'!S61</f>
        <v>1</v>
      </c>
      <c r="I6" s="12">
        <f>'SDR and BDR scorecard'!S69</f>
        <v>0.08852459016393442</v>
      </c>
      <c r="J6" s="12">
        <f>'SDR and BDR scorecard'!S85</f>
        <v>0.8333333333333334</v>
      </c>
      <c r="K6" s="8">
        <f>'SDR and BDR scorecard'!S93</f>
        <v>6</v>
      </c>
      <c r="L6" s="8">
        <f>'SDR and BDR scorecard'!S101</f>
        <v>142300</v>
      </c>
      <c r="M6" s="8">
        <f>'SDR and BDR scorecard'!S117</f>
        <v>23716.666666666668</v>
      </c>
    </row>
    <row r="7">
      <c r="A7" s="0" t="inlineStr">
        <is>
          <t xml:space="preserve">Chloe Patel</t>
        </is>
      </c>
      <c r="B7" s="8">
        <f>'SDR and BDR scorecard'!S6</f>
        <v>794</v>
      </c>
      <c r="C7" s="8">
        <f>'SDR and BDR scorecard'!S22</f>
        <v>170</v>
      </c>
      <c r="D7" s="8">
        <f>'SDR and BDR scorecard'!S30</f>
        <v>30</v>
      </c>
      <c r="E7" s="8">
        <f>'SDR and BDR scorecard'!S38</f>
        <v>21</v>
      </c>
      <c r="F7" s="8">
        <f>'SDR and BDR scorecard'!S46</f>
        <v>14</v>
      </c>
      <c r="G7" s="8">
        <f>'SDR and BDR scorecard'!S54</f>
        <v>10</v>
      </c>
      <c r="H7" s="12">
        <f>'SDR and BDR scorecard'!S62</f>
        <v>1.4</v>
      </c>
      <c r="I7" s="12">
        <f>'SDR and BDR scorecard'!S70</f>
        <v>0.2141057934508816</v>
      </c>
      <c r="J7" s="12">
        <f>'SDR and BDR scorecard'!S86</f>
        <v>0.7</v>
      </c>
      <c r="K7" s="8">
        <f>'SDR and BDR scorecard'!S94</f>
        <v>14</v>
      </c>
      <c r="L7" s="8">
        <f>'SDR and BDR scorecard'!S102</f>
        <v>611400</v>
      </c>
      <c r="M7" s="8">
        <f>'SDR and BDR scorecard'!S118</f>
        <v>43671.42857142857</v>
      </c>
    </row>
    <row r="8">
      <c r="A8" s="0" t="inlineStr">
        <is>
          <t xml:space="preserve">Samuel Kowalski</t>
        </is>
      </c>
      <c r="B8" s="4">
        <f>'SDR and BDR scorecard'!S7</f>
        <v>548</v>
      </c>
      <c r="C8" s="4">
        <f>'SDR and BDR scorecard'!S23</f>
        <v>49</v>
      </c>
      <c r="D8" s="4">
        <f>'SDR and BDR scorecard'!S31</f>
        <v>9</v>
      </c>
      <c r="E8" s="4">
        <f>'SDR and BDR scorecard'!S39</f>
        <v>6</v>
      </c>
      <c r="F8" s="4">
        <f>'SDR and BDR scorecard'!S47</f>
        <v>5</v>
      </c>
      <c r="G8" s="4">
        <f>'SDR and BDR scorecard'!S55</f>
        <v>6</v>
      </c>
      <c r="H8" s="12">
        <f>'SDR and BDR scorecard'!S63</f>
        <v>0.8333333333333334</v>
      </c>
      <c r="I8" s="12">
        <f>'SDR and BDR scorecard'!S71</f>
        <v>0.08941605839416059</v>
      </c>
      <c r="J8" s="12">
        <f>'SDR and BDR scorecard'!S87</f>
        <v>0.6666666666666666</v>
      </c>
      <c r="K8" s="4">
        <f>'SDR and BDR scorecard'!S95</f>
        <v>5</v>
      </c>
      <c r="L8" s="4">
        <f>'SDR and BDR scorecard'!S103</f>
        <v>123400</v>
      </c>
      <c r="M8" s="4">
        <f>'SDR and BDR scorecard'!S119</f>
        <v>24680</v>
      </c>
    </row>
    <row r="9">
      <c r="A9" s="0" t="inlineStr">
        <is>
          <t xml:space="preserve">Rafael Ivanova</t>
        </is>
      </c>
      <c r="B9" s="4">
        <f>'SDR and BDR scorecard'!S8</f>
        <v>588</v>
      </c>
      <c r="C9" s="4">
        <f>'SDR and BDR scorecard'!S24</f>
        <v>91</v>
      </c>
      <c r="D9" s="4">
        <f>'SDR and BDR scorecard'!S32</f>
        <v>16</v>
      </c>
      <c r="E9" s="4">
        <f>'SDR and BDR scorecard'!S40</f>
        <v>13</v>
      </c>
      <c r="F9" s="4">
        <f>'SDR and BDR scorecard'!S48</f>
        <v>10</v>
      </c>
      <c r="G9" s="4">
        <f>'SDR and BDR scorecard'!S56</f>
        <v>10</v>
      </c>
      <c r="H9" s="12">
        <f>'SDR and BDR scorecard'!S64</f>
        <v>1</v>
      </c>
      <c r="I9" s="12">
        <f>'SDR and BDR scorecard'!S72</f>
        <v>0.15476190476190477</v>
      </c>
      <c r="J9" s="12">
        <f>'SDR and BDR scorecard'!S88</f>
        <v>0.8125</v>
      </c>
      <c r="K9" s="4">
        <f>'SDR and BDR scorecard'!S96</f>
        <v>10</v>
      </c>
      <c r="L9" s="4">
        <f>'SDR and BDR scorecard'!S104</f>
        <v>736000</v>
      </c>
      <c r="M9" s="4">
        <f>'SDR and BDR scorecard'!S120</f>
        <v>73600</v>
      </c>
    </row>
    <row r="10">
      <c r="A10" s="0" t="inlineStr">
        <is>
          <t xml:space="preserve">Wei Kowalski</t>
        </is>
      </c>
      <c r="B10" s="4">
        <f>'SDR and BDR scorecard'!S9</f>
        <v>589</v>
      </c>
      <c r="C10" s="4">
        <f>'SDR and BDR scorecard'!S25</f>
        <v>55</v>
      </c>
      <c r="D10" s="4">
        <f>'SDR and BDR scorecard'!S33</f>
        <v>7</v>
      </c>
      <c r="E10" s="4">
        <f>'SDR and BDR scorecard'!S41</f>
        <v>6</v>
      </c>
      <c r="F10" s="4">
        <f>'SDR and BDR scorecard'!S49</f>
        <v>5</v>
      </c>
      <c r="G10" s="4">
        <f>'SDR and BDR scorecard'!S57</f>
        <v>6</v>
      </c>
      <c r="H10" s="12">
        <f>'SDR and BDR scorecard'!S65</f>
        <v>0.8333333333333334</v>
      </c>
      <c r="I10" s="12">
        <f>'SDR and BDR scorecard'!S73</f>
        <v>0.0933786078098472</v>
      </c>
      <c r="J10" s="12">
        <f>'SDR and BDR scorecard'!S89</f>
        <v>0.8571428571428571</v>
      </c>
      <c r="K10" s="4">
        <f>'SDR and BDR scorecard'!S97</f>
        <v>5</v>
      </c>
      <c r="L10" s="4">
        <f>'SDR and BDR scorecard'!S105</f>
        <v>241500</v>
      </c>
      <c r="M10" s="4">
        <f>'SDR and BDR scorecard'!S121</f>
        <v>48300</v>
      </c>
    </row>
    <row r="12">
      <c r="A12" s="1" t="inlineStr">
        <is>
          <t xml:space="preserve">SQLs by month</t>
        </is>
      </c>
    </row>
    <row r="13">
      <c r="A13" s="1" t="inlineStr">
        <is>
          <t xml:space="preserve">sdr</t>
        </is>
      </c>
      <c r="B13" s="1" t="inlineStr">
        <is>
          <t xml:space="preserve">Jan-26</t>
        </is>
      </c>
      <c r="C13" s="1" t="inlineStr">
        <is>
          <t xml:space="preserve">Feb-26</t>
        </is>
      </c>
      <c r="D13" s="1" t="inlineStr">
        <is>
          <t xml:space="preserve">Mar-26</t>
        </is>
      </c>
      <c r="E13" s="1" t="inlineStr">
        <is>
          <t xml:space="preserve">Apr-26</t>
        </is>
      </c>
      <c r="F13" s="1" t="inlineStr">
        <is>
          <t xml:space="preserve">May-26</t>
        </is>
      </c>
      <c r="G13" s="1" t="inlineStr">
        <is>
          <t xml:space="preserve">Jun-26</t>
        </is>
      </c>
      <c r="H13" s="1" t="inlineStr">
        <is>
          <t xml:space="preserve">Jul-26</t>
        </is>
      </c>
      <c r="I13" s="1" t="inlineStr">
        <is>
          <t xml:space="preserve">Aug-26</t>
        </is>
      </c>
    </row>
    <row r="14">
      <c r="A14" s="0" t="inlineStr">
        <is>
          <t xml:space="preserve">Zara Kowalski</t>
        </is>
      </c>
      <c r="B14" s="4">
        <f>'SDR and BDR scorecard'!L42</f>
        <v>15</v>
      </c>
      <c r="C14" s="4">
        <f>'SDR and BDR scorecard'!M42</f>
        <v>9</v>
      </c>
      <c r="D14" s="4">
        <f>'SDR and BDR scorecard'!N42</f>
        <v>16</v>
      </c>
      <c r="E14" s="4">
        <f>'SDR and BDR scorecard'!O42</f>
        <v>28</v>
      </c>
      <c r="F14" s="4">
        <f>'SDR and BDR scorecard'!P42</f>
        <v>21</v>
      </c>
      <c r="G14" s="4">
        <f>'SDR and BDR scorecard'!Q42</f>
        <v>16</v>
      </c>
      <c r="H14" s="4">
        <f>'SDR and BDR scorecard'!R42</f>
        <v>20</v>
      </c>
      <c r="I14" s="4">
        <f>'SDR and BDR scorecard'!S42</f>
        <v>19</v>
      </c>
    </row>
    <row r="15">
      <c r="A15" s="0" t="inlineStr">
        <is>
          <t xml:space="preserve">Kenji Kowalski</t>
        </is>
      </c>
      <c r="B15" s="4">
        <f>'SDR and BDR scorecard'!L43</f>
        <v>6</v>
      </c>
      <c r="C15" s="4">
        <f>'SDR and BDR scorecard'!M43</f>
        <v>9</v>
      </c>
      <c r="D15" s="4">
        <f>'SDR and BDR scorecard'!N43</f>
        <v>2</v>
      </c>
      <c r="E15" s="4">
        <f>'SDR and BDR scorecard'!O43</f>
        <v>5</v>
      </c>
      <c r="F15" s="4">
        <f>'SDR and BDR scorecard'!P43</f>
        <v>2</v>
      </c>
      <c r="G15" s="4">
        <f>'SDR and BDR scorecard'!Q43</f>
        <v>4</v>
      </c>
      <c r="H15" s="4">
        <f>'SDR and BDR scorecard'!R43</f>
        <v>6</v>
      </c>
      <c r="I15" s="4">
        <f>'SDR and BDR scorecard'!S43</f>
        <v>4</v>
      </c>
    </row>
    <row r="16">
      <c r="A16" s="0" t="inlineStr">
        <is>
          <t xml:space="preserve">Marcus Nair</t>
        </is>
      </c>
      <c r="B16" s="4">
        <f>'SDR and BDR scorecard'!L44</f>
        <v>10</v>
      </c>
      <c r="C16" s="4">
        <f>'SDR and BDR scorecard'!M44</f>
        <v>14</v>
      </c>
      <c r="D16" s="4">
        <f>'SDR and BDR scorecard'!N44</f>
        <v>12</v>
      </c>
      <c r="E16" s="4">
        <f>'SDR and BDR scorecard'!O44</f>
        <v>16</v>
      </c>
      <c r="F16" s="4">
        <f>'SDR and BDR scorecard'!P44</f>
        <v>13</v>
      </c>
      <c r="G16" s="4">
        <f>'SDR and BDR scorecard'!Q44</f>
        <v>21</v>
      </c>
      <c r="H16" s="4">
        <f>'SDR and BDR scorecard'!R44</f>
        <v>22</v>
      </c>
      <c r="I16" s="4">
        <f>'SDR and BDR scorecard'!S44</f>
        <v>11</v>
      </c>
    </row>
    <row r="17">
      <c r="A17" s="0" t="inlineStr">
        <is>
          <t xml:space="preserve">Yuki Rahman</t>
        </is>
      </c>
      <c r="B17" s="4">
        <f>'SDR and BDR scorecard'!L45</f>
        <v>5</v>
      </c>
      <c r="C17" s="4">
        <f>'SDR and BDR scorecard'!M45</f>
        <v>4</v>
      </c>
      <c r="D17" s="4">
        <f>'SDR and BDR scorecard'!N45</f>
        <v>4</v>
      </c>
      <c r="E17" s="4">
        <f>'SDR and BDR scorecard'!O45</f>
        <v>3</v>
      </c>
      <c r="F17" s="4">
        <f>'SDR and BDR scorecard'!P45</f>
        <v>4</v>
      </c>
      <c r="G17" s="4">
        <f>'SDR and BDR scorecard'!Q45</f>
        <v>5</v>
      </c>
      <c r="H17" s="4">
        <f>'SDR and BDR scorecard'!R45</f>
        <v>4</v>
      </c>
      <c r="I17" s="4">
        <f>'SDR and BDR scorecard'!S45</f>
        <v>6</v>
      </c>
    </row>
    <row r="18">
      <c r="A18" s="0" t="inlineStr">
        <is>
          <t xml:space="preserve">Chloe Patel</t>
        </is>
      </c>
      <c r="B18" s="4">
        <f>'SDR and BDR scorecard'!L46</f>
        <v>19</v>
      </c>
      <c r="C18" s="4">
        <f>'SDR and BDR scorecard'!M46</f>
        <v>11</v>
      </c>
      <c r="D18" s="4">
        <f>'SDR and BDR scorecard'!N46</f>
        <v>13</v>
      </c>
      <c r="E18" s="4">
        <f>'SDR and BDR scorecard'!O46</f>
        <v>16</v>
      </c>
      <c r="F18" s="4">
        <f>'SDR and BDR scorecard'!P46</f>
        <v>9</v>
      </c>
      <c r="G18" s="4">
        <f>'SDR and BDR scorecard'!Q46</f>
        <v>15</v>
      </c>
      <c r="H18" s="4">
        <f>'SDR and BDR scorecard'!R46</f>
        <v>13</v>
      </c>
      <c r="I18" s="4">
        <f>'SDR and BDR scorecard'!S46</f>
        <v>14</v>
      </c>
    </row>
    <row r="19">
      <c r="A19" s="0" t="inlineStr">
        <is>
          <t xml:space="preserve">Samuel Kowalski</t>
        </is>
      </c>
      <c r="B19" s="4">
        <f>'SDR and BDR scorecard'!L47</f>
        <v>6</v>
      </c>
      <c r="C19" s="4">
        <f>'SDR and BDR scorecard'!M47</f>
        <v>8</v>
      </c>
      <c r="D19" s="4">
        <f>'SDR and BDR scorecard'!N47</f>
        <v>1</v>
      </c>
      <c r="E19" s="4">
        <f>'SDR and BDR scorecard'!O47</f>
        <v>4</v>
      </c>
      <c r="F19" s="4">
        <f>'SDR and BDR scorecard'!P47</f>
        <v>7</v>
      </c>
      <c r="G19" s="4">
        <f>'SDR and BDR scorecard'!Q47</f>
        <v>3</v>
      </c>
      <c r="H19" s="4">
        <f>'SDR and BDR scorecard'!R47</f>
        <v>4</v>
      </c>
      <c r="I19" s="4">
        <f>'SDR and BDR scorecard'!S47</f>
        <v>5</v>
      </c>
    </row>
    <row r="20">
      <c r="A20" s="0" t="inlineStr">
        <is>
          <t xml:space="preserve">Rafael Ivanova</t>
        </is>
      </c>
      <c r="B20" s="4">
        <f>'SDR and BDR scorecard'!L48</f>
        <v>3</v>
      </c>
      <c r="C20" s="4">
        <f>'SDR and BDR scorecard'!M48</f>
        <v>8</v>
      </c>
      <c r="D20" s="4">
        <f>'SDR and BDR scorecard'!N48</f>
        <v>17</v>
      </c>
      <c r="E20" s="4">
        <f>'SDR and BDR scorecard'!O48</f>
        <v>6</v>
      </c>
      <c r="F20" s="4">
        <f>'SDR and BDR scorecard'!P48</f>
        <v>6</v>
      </c>
      <c r="G20" s="4">
        <f>'SDR and BDR scorecard'!Q48</f>
        <v>12</v>
      </c>
      <c r="H20" s="4">
        <f>'SDR and BDR scorecard'!R48</f>
        <v>7</v>
      </c>
      <c r="I20" s="4">
        <f>'SDR and BDR scorecard'!S48</f>
        <v>10</v>
      </c>
    </row>
    <row r="21">
      <c r="A21" s="0" t="inlineStr">
        <is>
          <t xml:space="preserve">Wei Kowalski</t>
        </is>
      </c>
      <c r="B21" s="4">
        <f>'SDR and BDR scorecard'!L49</f>
        <v>4</v>
      </c>
      <c r="C21" s="4">
        <f>'SDR and BDR scorecard'!M49</f>
        <v>4</v>
      </c>
      <c r="D21" s="4">
        <f>'SDR and BDR scorecard'!N49</f>
        <v>7</v>
      </c>
      <c r="E21" s="4">
        <f>'SDR and BDR scorecard'!O49</f>
        <v>6</v>
      </c>
      <c r="F21" s="4">
        <f>'SDR and BDR scorecard'!P49</f>
        <v>6</v>
      </c>
      <c r="G21" s="4">
        <f>'SDR and BDR scorecard'!Q49</f>
        <v>7</v>
      </c>
      <c r="H21" s="4">
        <f>'SDR and BDR scorecard'!R49</f>
        <v>5</v>
      </c>
      <c r="I21" s="4">
        <f>'SDR and BDR scorecard'!S49</f>
        <v>5</v>
      </c>
    </row>
    <row r="40">
      <c r="A40" s="1" t="inlineStr">
        <is>
          <t xml:space="preserve">SQL attainment by month</t>
        </is>
      </c>
    </row>
    <row r="41">
      <c r="A41" s="1" t="inlineStr">
        <is>
          <t xml:space="preserve">sdr</t>
        </is>
      </c>
      <c r="B41" s="1" t="inlineStr">
        <is>
          <t xml:space="preserve">Jan-26</t>
        </is>
      </c>
      <c r="C41" s="1" t="inlineStr">
        <is>
          <t xml:space="preserve">Feb-26</t>
        </is>
      </c>
      <c r="D41" s="1" t="inlineStr">
        <is>
          <t xml:space="preserve">Mar-26</t>
        </is>
      </c>
      <c r="E41" s="1" t="inlineStr">
        <is>
          <t xml:space="preserve">Apr-26</t>
        </is>
      </c>
      <c r="F41" s="1" t="inlineStr">
        <is>
          <t xml:space="preserve">May-26</t>
        </is>
      </c>
      <c r="G41" s="1" t="inlineStr">
        <is>
          <t xml:space="preserve">Jun-26</t>
        </is>
      </c>
      <c r="H41" s="1" t="inlineStr">
        <is>
          <t xml:space="preserve">Jul-26</t>
        </is>
      </c>
      <c r="I41" s="1" t="inlineStr">
        <is>
          <t xml:space="preserve">Aug-26</t>
        </is>
      </c>
    </row>
    <row r="42">
      <c r="A42" s="0" t="inlineStr">
        <is>
          <t xml:space="preserve">Zara Kowalski</t>
        </is>
      </c>
      <c r="B42" s="12">
        <f>'SDR and BDR scorecard'!L58</f>
        <v>1.5</v>
      </c>
      <c r="C42" s="12">
        <f>'SDR and BDR scorecard'!M58</f>
        <v>0.9</v>
      </c>
      <c r="D42" s="12">
        <f>'SDR and BDR scorecard'!N58</f>
        <v>1.6</v>
      </c>
      <c r="E42" s="12">
        <f>'SDR and BDR scorecard'!O58</f>
        <v>2.8</v>
      </c>
      <c r="F42" s="12">
        <f>'SDR and BDR scorecard'!P58</f>
        <v>2.1</v>
      </c>
      <c r="G42" s="12">
        <f>'SDR and BDR scorecard'!Q58</f>
        <v>1.6</v>
      </c>
      <c r="H42" s="12">
        <f>'SDR and BDR scorecard'!R58</f>
        <v>2</v>
      </c>
      <c r="I42" s="12">
        <f>'SDR and BDR scorecard'!S58</f>
        <v>1.9</v>
      </c>
    </row>
    <row r="43">
      <c r="A43" s="0" t="inlineStr">
        <is>
          <t xml:space="preserve">Kenji Kowalski</t>
        </is>
      </c>
      <c r="B43" s="12">
        <f>'SDR and BDR scorecard'!L59</f>
        <v>1</v>
      </c>
      <c r="C43" s="12">
        <f>'SDR and BDR scorecard'!M59</f>
        <v>1.5</v>
      </c>
      <c r="D43" s="12">
        <f>'SDR and BDR scorecard'!N59</f>
        <v>0.3333333333333333</v>
      </c>
      <c r="E43" s="12">
        <f>'SDR and BDR scorecard'!O59</f>
        <v>0.8333333333333334</v>
      </c>
      <c r="F43" s="12">
        <f>'SDR and BDR scorecard'!P59</f>
        <v>0.3333333333333333</v>
      </c>
      <c r="G43" s="12">
        <f>'SDR and BDR scorecard'!Q59</f>
        <v>0.6666666666666666</v>
      </c>
      <c r="H43" s="12">
        <f>'SDR and BDR scorecard'!R59</f>
        <v>1</v>
      </c>
      <c r="I43" s="12">
        <f>'SDR and BDR scorecard'!S59</f>
        <v>0.6666666666666666</v>
      </c>
    </row>
    <row r="44">
      <c r="A44" s="0" t="inlineStr">
        <is>
          <t xml:space="preserve">Marcus Nair</t>
        </is>
      </c>
      <c r="B44" s="12">
        <f>'SDR and BDR scorecard'!L60</f>
        <v>1</v>
      </c>
      <c r="C44" s="12">
        <f>'SDR and BDR scorecard'!M60</f>
        <v>1.4</v>
      </c>
      <c r="D44" s="12">
        <f>'SDR and BDR scorecard'!N60</f>
        <v>1.2</v>
      </c>
      <c r="E44" s="12">
        <f>'SDR and BDR scorecard'!O60</f>
        <v>1.6</v>
      </c>
      <c r="F44" s="12">
        <f>'SDR and BDR scorecard'!P60</f>
        <v>1.3</v>
      </c>
      <c r="G44" s="12">
        <f>'SDR and BDR scorecard'!Q60</f>
        <v>2.1</v>
      </c>
      <c r="H44" s="12">
        <f>'SDR and BDR scorecard'!R60</f>
        <v>2.2</v>
      </c>
      <c r="I44" s="12">
        <f>'SDR and BDR scorecard'!S60</f>
        <v>1.1</v>
      </c>
    </row>
    <row r="45">
      <c r="A45" s="0" t="inlineStr">
        <is>
          <t xml:space="preserve">Yuki Rahman</t>
        </is>
      </c>
      <c r="B45" s="12">
        <f>'SDR and BDR scorecard'!L61</f>
        <v>0.8333333333333334</v>
      </c>
      <c r="C45" s="12">
        <f>'SDR and BDR scorecard'!M61</f>
        <v>0.6666666666666666</v>
      </c>
      <c r="D45" s="12">
        <f>'SDR and BDR scorecard'!N61</f>
        <v>0.6666666666666666</v>
      </c>
      <c r="E45" s="12">
        <f>'SDR and BDR scorecard'!O61</f>
        <v>0.5</v>
      </c>
      <c r="F45" s="12">
        <f>'SDR and BDR scorecard'!P61</f>
        <v>0.6666666666666666</v>
      </c>
      <c r="G45" s="12">
        <f>'SDR and BDR scorecard'!Q61</f>
        <v>0.8333333333333334</v>
      </c>
      <c r="H45" s="12">
        <f>'SDR and BDR scorecard'!R61</f>
        <v>0.6666666666666666</v>
      </c>
      <c r="I45" s="12">
        <f>'SDR and BDR scorecard'!S61</f>
        <v>1</v>
      </c>
    </row>
    <row r="46">
      <c r="A46" s="0" t="inlineStr">
        <is>
          <t xml:space="preserve">Chloe Patel</t>
        </is>
      </c>
      <c r="B46" s="12">
        <f>'SDR and BDR scorecard'!L62</f>
        <v>1.9</v>
      </c>
      <c r="C46" s="12">
        <f>'SDR and BDR scorecard'!M62</f>
        <v>1.1</v>
      </c>
      <c r="D46" s="12">
        <f>'SDR and BDR scorecard'!N62</f>
        <v>1.3</v>
      </c>
      <c r="E46" s="12">
        <f>'SDR and BDR scorecard'!O62</f>
        <v>1.6</v>
      </c>
      <c r="F46" s="12">
        <f>'SDR and BDR scorecard'!P62</f>
        <v>0.9</v>
      </c>
      <c r="G46" s="12">
        <f>'SDR and BDR scorecard'!Q62</f>
        <v>1.5</v>
      </c>
      <c r="H46" s="12">
        <f>'SDR and BDR scorecard'!R62</f>
        <v>1.3</v>
      </c>
      <c r="I46" s="12">
        <f>'SDR and BDR scorecard'!S62</f>
        <v>1.4</v>
      </c>
    </row>
    <row r="47">
      <c r="A47" s="0" t="inlineStr">
        <is>
          <t xml:space="preserve">Samuel Kowalski</t>
        </is>
      </c>
      <c r="B47" s="12">
        <f>'SDR and BDR scorecard'!L63</f>
        <v>1</v>
      </c>
      <c r="C47" s="12">
        <f>'SDR and BDR scorecard'!M63</f>
        <v>1.3333333333333333</v>
      </c>
      <c r="D47" s="12">
        <f>'SDR and BDR scorecard'!N63</f>
        <v>0.16666666666666666</v>
      </c>
      <c r="E47" s="12">
        <f>'SDR and BDR scorecard'!O63</f>
        <v>0.6666666666666666</v>
      </c>
      <c r="F47" s="12">
        <f>'SDR and BDR scorecard'!P63</f>
        <v>1.1666666666666667</v>
      </c>
      <c r="G47" s="12">
        <f>'SDR and BDR scorecard'!Q63</f>
        <v>0.5</v>
      </c>
      <c r="H47" s="12">
        <f>'SDR and BDR scorecard'!R63</f>
        <v>0.6666666666666666</v>
      </c>
      <c r="I47" s="12">
        <f>'SDR and BDR scorecard'!S63</f>
        <v>0.8333333333333334</v>
      </c>
    </row>
    <row r="48">
      <c r="A48" s="0" t="inlineStr">
        <is>
          <t xml:space="preserve">Rafael Ivanova</t>
        </is>
      </c>
      <c r="B48" s="12">
        <f>'SDR and BDR scorecard'!L64</f>
        <v>0.3</v>
      </c>
      <c r="C48" s="12">
        <f>'SDR and BDR scorecard'!M64</f>
        <v>0.8</v>
      </c>
      <c r="D48" s="12">
        <f>'SDR and BDR scorecard'!N64</f>
        <v>1.7</v>
      </c>
      <c r="E48" s="12">
        <f>'SDR and BDR scorecard'!O64</f>
        <v>0.6</v>
      </c>
      <c r="F48" s="12">
        <f>'SDR and BDR scorecard'!P64</f>
        <v>0.6</v>
      </c>
      <c r="G48" s="12">
        <f>'SDR and BDR scorecard'!Q64</f>
        <v>1.2</v>
      </c>
      <c r="H48" s="12">
        <f>'SDR and BDR scorecard'!R64</f>
        <v>0.7</v>
      </c>
      <c r="I48" s="12">
        <f>'SDR and BDR scorecard'!S64</f>
        <v>1</v>
      </c>
    </row>
    <row r="49">
      <c r="A49" s="0" t="inlineStr">
        <is>
          <t xml:space="preserve">Wei Kowalski</t>
        </is>
      </c>
      <c r="B49" s="12">
        <f>'SDR and BDR scorecard'!L65</f>
        <v>0.6666666666666666</v>
      </c>
      <c r="C49" s="12">
        <f>'SDR and BDR scorecard'!M65</f>
        <v>0.6666666666666666</v>
      </c>
      <c r="D49" s="12">
        <f>'SDR and BDR scorecard'!N65</f>
        <v>1.1666666666666667</v>
      </c>
      <c r="E49" s="12">
        <f>'SDR and BDR scorecard'!O65</f>
        <v>1</v>
      </c>
      <c r="F49" s="12">
        <f>'SDR and BDR scorecard'!P65</f>
        <v>1</v>
      </c>
      <c r="G49" s="12">
        <f>'SDR and BDR scorecard'!Q65</f>
        <v>1.1666666666666667</v>
      </c>
      <c r="H49" s="12">
        <f>'SDR and BDR scorecard'!R65</f>
        <v>0.8333333333333334</v>
      </c>
      <c r="I49" s="12">
        <f>'SDR and BDR scorecard'!S65</f>
        <v>0.8333333333333334</v>
      </c>
    </row>
    <row r="68">
      <c r="A68" s="1" t="inlineStr">
        <is>
          <t xml:space="preserve">Pipeline sourced by month</t>
        </is>
      </c>
    </row>
    <row r="69">
      <c r="A69" s="1" t="inlineStr">
        <is>
          <t xml:space="preserve">sdr</t>
        </is>
      </c>
      <c r="B69" s="1" t="inlineStr">
        <is>
          <t xml:space="preserve">Jan-26</t>
        </is>
      </c>
      <c r="C69" s="1" t="inlineStr">
        <is>
          <t xml:space="preserve">Feb-26</t>
        </is>
      </c>
      <c r="D69" s="1" t="inlineStr">
        <is>
          <t xml:space="preserve">Mar-26</t>
        </is>
      </c>
      <c r="E69" s="1" t="inlineStr">
        <is>
          <t xml:space="preserve">Apr-26</t>
        </is>
      </c>
      <c r="F69" s="1" t="inlineStr">
        <is>
          <t xml:space="preserve">May-26</t>
        </is>
      </c>
      <c r="G69" s="1" t="inlineStr">
        <is>
          <t xml:space="preserve">Jun-26</t>
        </is>
      </c>
      <c r="H69" s="1" t="inlineStr">
        <is>
          <t xml:space="preserve">Jul-26</t>
        </is>
      </c>
      <c r="I69" s="1" t="inlineStr">
        <is>
          <t xml:space="preserve">Aug-26</t>
        </is>
      </c>
    </row>
    <row r="70">
      <c r="A70" s="0" t="inlineStr">
        <is>
          <t xml:space="preserve">Zara Kowalski</t>
        </is>
      </c>
      <c r="B70" s="4">
        <f>'SDR and BDR scorecard'!L98</f>
        <v>766400</v>
      </c>
      <c r="C70" s="4">
        <f>'SDR and BDR scorecard'!M98</f>
        <v>338400</v>
      </c>
      <c r="D70" s="4">
        <f>'SDR and BDR scorecard'!N98</f>
        <v>481800</v>
      </c>
      <c r="E70" s="4">
        <f>'SDR and BDR scorecard'!O98</f>
        <v>996500</v>
      </c>
      <c r="F70" s="4">
        <f>'SDR and BDR scorecard'!P98</f>
        <v>1569300</v>
      </c>
      <c r="G70" s="4">
        <f>'SDR and BDR scorecard'!Q98</f>
        <v>763000</v>
      </c>
      <c r="H70" s="4">
        <f>'SDR and BDR scorecard'!R98</f>
        <v>657000</v>
      </c>
      <c r="I70" s="4">
        <f>'SDR and BDR scorecard'!S98</f>
        <v>1323900</v>
      </c>
    </row>
    <row r="71">
      <c r="A71" s="0" t="inlineStr">
        <is>
          <t xml:space="preserve">Kenji Kowalski</t>
        </is>
      </c>
      <c r="B71" s="4">
        <f>'SDR and BDR scorecard'!L99</f>
        <v>237600</v>
      </c>
      <c r="C71" s="4">
        <f>'SDR and BDR scorecard'!M99</f>
        <v>1174500</v>
      </c>
      <c r="D71" s="4">
        <f>'SDR and BDR scorecard'!N99</f>
        <v>97400</v>
      </c>
      <c r="E71" s="4">
        <f>'SDR and BDR scorecard'!O99</f>
        <v>147700</v>
      </c>
      <c r="F71" s="4">
        <f>'SDR and BDR scorecard'!P99</f>
        <v>35200</v>
      </c>
      <c r="G71" s="4">
        <f>'SDR and BDR scorecard'!Q99</f>
        <v>260200</v>
      </c>
      <c r="H71" s="4">
        <f>'SDR and BDR scorecard'!R99</f>
        <v>143400</v>
      </c>
      <c r="I71" s="4">
        <f>'SDR and BDR scorecard'!S99</f>
        <v>85200</v>
      </c>
    </row>
    <row r="72">
      <c r="A72" s="0" t="inlineStr">
        <is>
          <t xml:space="preserve">Marcus Nair</t>
        </is>
      </c>
      <c r="B72" s="4">
        <f>'SDR and BDR scorecard'!L100</f>
        <v>427200</v>
      </c>
      <c r="C72" s="4">
        <f>'SDR and BDR scorecard'!M100</f>
        <v>1316500</v>
      </c>
      <c r="D72" s="4">
        <f>'SDR and BDR scorecard'!N100</f>
        <v>482800</v>
      </c>
      <c r="E72" s="4">
        <f>'SDR and BDR scorecard'!O100</f>
        <v>1096000</v>
      </c>
      <c r="F72" s="4">
        <f>'SDR and BDR scorecard'!P100</f>
        <v>697900</v>
      </c>
      <c r="G72" s="4">
        <f>'SDR and BDR scorecard'!Q100</f>
        <v>1066400</v>
      </c>
      <c r="H72" s="4">
        <f>'SDR and BDR scorecard'!R100</f>
        <v>874000</v>
      </c>
      <c r="I72" s="4">
        <f>'SDR and BDR scorecard'!S100</f>
        <v>319200</v>
      </c>
    </row>
    <row r="73">
      <c r="A73" s="0" t="inlineStr">
        <is>
          <t xml:space="preserve">Yuki Rahman</t>
        </is>
      </c>
      <c r="B73" s="4">
        <f>'SDR and BDR scorecard'!L101</f>
        <v>247500</v>
      </c>
      <c r="C73" s="4">
        <f>'SDR and BDR scorecard'!M101</f>
        <v>311000</v>
      </c>
      <c r="D73" s="4">
        <f>'SDR and BDR scorecard'!N101</f>
        <v>276300</v>
      </c>
      <c r="E73" s="4">
        <f>'SDR and BDR scorecard'!O101</f>
        <v>56200</v>
      </c>
      <c r="F73" s="4">
        <f>'SDR and BDR scorecard'!P101</f>
        <v>277500</v>
      </c>
      <c r="G73" s="4">
        <f>'SDR and BDR scorecard'!Q101</f>
        <v>223700</v>
      </c>
      <c r="H73" s="4">
        <f>'SDR and BDR scorecard'!R101</f>
        <v>106400</v>
      </c>
      <c r="I73" s="4">
        <f>'SDR and BDR scorecard'!S101</f>
        <v>142300</v>
      </c>
    </row>
    <row r="74">
      <c r="A74" s="0" t="inlineStr">
        <is>
          <t xml:space="preserve">Chloe Patel</t>
        </is>
      </c>
      <c r="B74" s="4">
        <f>'SDR and BDR scorecard'!L102</f>
        <v>621100</v>
      </c>
      <c r="C74" s="4">
        <f>'SDR and BDR scorecard'!M102</f>
        <v>184200</v>
      </c>
      <c r="D74" s="4">
        <f>'SDR and BDR scorecard'!N102</f>
        <v>228000</v>
      </c>
      <c r="E74" s="4">
        <f>'SDR and BDR scorecard'!O102</f>
        <v>649700</v>
      </c>
      <c r="F74" s="4">
        <f>'SDR and BDR scorecard'!P102</f>
        <v>191800</v>
      </c>
      <c r="G74" s="4">
        <f>'SDR and BDR scorecard'!Q102</f>
        <v>681500</v>
      </c>
      <c r="H74" s="4">
        <f>'SDR and BDR scorecard'!R102</f>
        <v>712900</v>
      </c>
      <c r="I74" s="4">
        <f>'SDR and BDR scorecard'!S102</f>
        <v>611400</v>
      </c>
    </row>
    <row r="75">
      <c r="A75" s="0" t="inlineStr">
        <is>
          <t xml:space="preserve">Samuel Kowalski</t>
        </is>
      </c>
      <c r="B75" s="4">
        <f>'SDR and BDR scorecard'!L103</f>
        <v>256600</v>
      </c>
      <c r="C75" s="4">
        <f>'SDR and BDR scorecard'!M103</f>
        <v>488600</v>
      </c>
      <c r="D75" s="4">
        <f>'SDR and BDR scorecard'!N103</f>
        <v>18300</v>
      </c>
      <c r="E75" s="4">
        <f>'SDR and BDR scorecard'!O103</f>
        <v>112200</v>
      </c>
      <c r="F75" s="4">
        <f>'SDR and BDR scorecard'!P103</f>
        <v>530200</v>
      </c>
      <c r="G75" s="4">
        <f>'SDR and BDR scorecard'!Q103</f>
        <v>224500</v>
      </c>
      <c r="H75" s="4">
        <f>'SDR and BDR scorecard'!R103</f>
        <v>32100</v>
      </c>
      <c r="I75" s="4">
        <f>'SDR and BDR scorecard'!S103</f>
        <v>123400</v>
      </c>
    </row>
    <row r="76">
      <c r="A76" s="0" t="inlineStr">
        <is>
          <t xml:space="preserve">Rafael Ivanova</t>
        </is>
      </c>
      <c r="B76" s="4">
        <f>'SDR and BDR scorecard'!L104</f>
        <v>410300</v>
      </c>
      <c r="C76" s="4">
        <f>'SDR and BDR scorecard'!M104</f>
        <v>272400</v>
      </c>
      <c r="D76" s="4">
        <f>'SDR and BDR scorecard'!N104</f>
        <v>1015000</v>
      </c>
      <c r="E76" s="4">
        <f>'SDR and BDR scorecard'!O104</f>
        <v>250100</v>
      </c>
      <c r="F76" s="4">
        <f>'SDR and BDR scorecard'!P104</f>
        <v>158200</v>
      </c>
      <c r="G76" s="4">
        <f>'SDR and BDR scorecard'!Q104</f>
        <v>684200</v>
      </c>
      <c r="H76" s="4">
        <f>'SDR and BDR scorecard'!R104</f>
        <v>294700</v>
      </c>
      <c r="I76" s="4">
        <f>'SDR and BDR scorecard'!S104</f>
        <v>736000</v>
      </c>
    </row>
    <row r="77">
      <c r="A77" s="0" t="inlineStr">
        <is>
          <t xml:space="preserve">Wei Kowalski</t>
        </is>
      </c>
      <c r="B77" s="4">
        <f>'SDR and BDR scorecard'!L105</f>
        <v>101300</v>
      </c>
      <c r="C77" s="4">
        <f>'SDR and BDR scorecard'!M105</f>
        <v>167500</v>
      </c>
      <c r="D77" s="4">
        <f>'SDR and BDR scorecard'!N105</f>
        <v>654600</v>
      </c>
      <c r="E77" s="4">
        <f>'SDR and BDR scorecard'!O105</f>
        <v>266700</v>
      </c>
      <c r="F77" s="4">
        <f>'SDR and BDR scorecard'!P105</f>
        <v>365700</v>
      </c>
      <c r="G77" s="4">
        <f>'SDR and BDR scorecard'!Q105</f>
        <v>398900</v>
      </c>
      <c r="H77" s="4">
        <f>'SDR and BDR scorecard'!R105</f>
        <v>104200</v>
      </c>
      <c r="I77" s="4">
        <f>'SDR and BDR scorecard'!S105</f>
        <v>241500</v>
      </c>
    </row>
    <row r="96">
      <c r="A96" s="1" t="inlineStr">
        <is>
          <t xml:space="preserve">Connect rate by month</t>
        </is>
      </c>
    </row>
    <row r="97">
      <c r="A97" s="1" t="inlineStr">
        <is>
          <t xml:space="preserve">sdr</t>
        </is>
      </c>
      <c r="B97" s="1" t="inlineStr">
        <is>
          <t xml:space="preserve">Jan-26</t>
        </is>
      </c>
      <c r="C97" s="1" t="inlineStr">
        <is>
          <t xml:space="preserve">Feb-26</t>
        </is>
      </c>
      <c r="D97" s="1" t="inlineStr">
        <is>
          <t xml:space="preserve">Mar-26</t>
        </is>
      </c>
      <c r="E97" s="1" t="inlineStr">
        <is>
          <t xml:space="preserve">Apr-26</t>
        </is>
      </c>
      <c r="F97" s="1" t="inlineStr">
        <is>
          <t xml:space="preserve">May-26</t>
        </is>
      </c>
      <c r="G97" s="1" t="inlineStr">
        <is>
          <t xml:space="preserve">Jun-26</t>
        </is>
      </c>
      <c r="H97" s="1" t="inlineStr">
        <is>
          <t xml:space="preserve">Jul-26</t>
        </is>
      </c>
      <c r="I97" s="1" t="inlineStr">
        <is>
          <t xml:space="preserve">Aug-26</t>
        </is>
      </c>
    </row>
    <row r="98">
      <c r="A98" s="0" t="inlineStr">
        <is>
          <t xml:space="preserve">Zara Kowalski</t>
        </is>
      </c>
      <c r="B98" s="12">
        <f>'SDR and BDR scorecard'!L66</f>
        <v>0.18679775280898878</v>
      </c>
      <c r="C98" s="12">
        <f>'SDR and BDR scorecard'!M66</f>
        <v>0.19111111111111112</v>
      </c>
      <c r="D98" s="12">
        <f>'SDR and BDR scorecard'!N66</f>
        <v>0.20798898071625344</v>
      </c>
      <c r="E98" s="12">
        <f>'SDR and BDR scorecard'!O66</f>
        <v>0.15745310957551825</v>
      </c>
      <c r="F98" s="12">
        <f>'SDR and BDR scorecard'!P66</f>
        <v>0.17146596858638743</v>
      </c>
      <c r="G98" s="12">
        <f>'SDR and BDR scorecard'!Q66</f>
        <v>0.20655270655270655</v>
      </c>
      <c r="H98" s="12">
        <f>'SDR and BDR scorecard'!R66</f>
        <v>0.1735408560311284</v>
      </c>
      <c r="I98" s="12">
        <f>'SDR and BDR scorecard'!S66</f>
        <v>0.24739336492890995</v>
      </c>
    </row>
    <row r="99">
      <c r="A99" s="0" t="inlineStr">
        <is>
          <t xml:space="preserve">Kenji Kowalski</t>
        </is>
      </c>
      <c r="B99" s="12">
        <f>'SDR and BDR scorecard'!L67</f>
        <v>0.08801020408163265</v>
      </c>
      <c r="C99" s="12">
        <f>'SDR and BDR scorecard'!M67</f>
        <v>0.08669656203288491</v>
      </c>
      <c r="D99" s="12">
        <f>'SDR and BDR scorecard'!N67</f>
        <v>0.07188498402555911</v>
      </c>
      <c r="E99" s="12">
        <f>'SDR and BDR scorecard'!O67</f>
        <v>0.08605851979345955</v>
      </c>
      <c r="F99" s="12">
        <f>'SDR and BDR scorecard'!P67</f>
        <v>0.08992248062015504</v>
      </c>
      <c r="G99" s="12">
        <f>'SDR and BDR scorecard'!Q67</f>
        <v>0.0770440251572327</v>
      </c>
      <c r="H99" s="12">
        <f>'SDR and BDR scorecard'!R67</f>
        <v>0.11090225563909774</v>
      </c>
      <c r="I99" s="12">
        <f>'SDR and BDR scorecard'!S67</f>
        <v>0.07090103397341212</v>
      </c>
    </row>
    <row r="100">
      <c r="A100" s="0" t="inlineStr">
        <is>
          <t xml:space="preserve">Marcus Nair</t>
        </is>
      </c>
      <c r="B100" s="12">
        <f>'SDR and BDR scorecard'!L68</f>
        <v>0.1527777777777778</v>
      </c>
      <c r="C100" s="12">
        <f>'SDR and BDR scorecard'!M68</f>
        <v>0.1679035250463822</v>
      </c>
      <c r="D100" s="12">
        <f>'SDR and BDR scorecard'!N68</f>
        <v>0.2035225048923679</v>
      </c>
      <c r="E100" s="12">
        <f>'SDR and BDR scorecard'!O68</f>
        <v>0.17953020134228187</v>
      </c>
      <c r="F100" s="12">
        <f>'SDR and BDR scorecard'!P68</f>
        <v>0.1987673343605547</v>
      </c>
      <c r="G100" s="12">
        <f>'SDR and BDR scorecard'!Q68</f>
        <v>0.18133333333333335</v>
      </c>
      <c r="H100" s="12">
        <f>'SDR and BDR scorecard'!R68</f>
        <v>0.1724137931034483</v>
      </c>
      <c r="I100" s="12">
        <f>'SDR and BDR scorecard'!S68</f>
        <v>0.1783625730994152</v>
      </c>
    </row>
    <row r="101">
      <c r="A101" s="0" t="inlineStr">
        <is>
          <t xml:space="preserve">Yuki Rahman</t>
        </is>
      </c>
      <c r="B101" s="12">
        <f>'SDR and BDR scorecard'!L69</f>
        <v>0.0903522205206738</v>
      </c>
      <c r="C101" s="12">
        <f>'SDR and BDR scorecard'!M69</f>
        <v>0.07772795216741404</v>
      </c>
      <c r="D101" s="12">
        <f>'SDR and BDR scorecard'!N69</f>
        <v>0.08116385911179173</v>
      </c>
      <c r="E101" s="12">
        <f>'SDR and BDR scorecard'!O69</f>
        <v>0.07849293563579278</v>
      </c>
      <c r="F101" s="12">
        <f>'SDR and BDR scorecard'!P69</f>
        <v>0.07087827426810478</v>
      </c>
      <c r="G101" s="12">
        <f>'SDR and BDR scorecard'!Q69</f>
        <v>0.0962566844919786</v>
      </c>
      <c r="H101" s="12">
        <f>'SDR and BDR scorecard'!R69</f>
        <v>0.09269662921348315</v>
      </c>
      <c r="I101" s="12">
        <f>'SDR and BDR scorecard'!S69</f>
        <v>0.08852459016393442</v>
      </c>
    </row>
    <row r="102">
      <c r="A102" s="0" t="inlineStr">
        <is>
          <t xml:space="preserve">Chloe Patel</t>
        </is>
      </c>
      <c r="B102" s="12">
        <f>'SDR and BDR scorecard'!L70</f>
        <v>0.14783139890042762</v>
      </c>
      <c r="C102" s="12">
        <f>'SDR and BDR scorecard'!M70</f>
        <v>0.19877675840978593</v>
      </c>
      <c r="D102" s="12">
        <f>'SDR and BDR scorecard'!N70</f>
        <v>0.14878048780487804</v>
      </c>
      <c r="E102" s="12">
        <f>'SDR and BDR scorecard'!O70</f>
        <v>0.11987127916331457</v>
      </c>
      <c r="F102" s="12">
        <f>'SDR and BDR scorecard'!P70</f>
        <v>0.1925601750547046</v>
      </c>
      <c r="G102" s="12">
        <f>'SDR and BDR scorecard'!Q70</f>
        <v>0.15627996164908917</v>
      </c>
      <c r="H102" s="12">
        <f>'SDR and BDR scorecard'!R70</f>
        <v>0.13166144200626959</v>
      </c>
      <c r="I102" s="12">
        <f>'SDR and BDR scorecard'!S70</f>
        <v>0.2141057934508816</v>
      </c>
    </row>
    <row r="103">
      <c r="A103" s="0" t="inlineStr">
        <is>
          <t xml:space="preserve">Samuel Kowalski</t>
        </is>
      </c>
      <c r="B103" s="12">
        <f>'SDR and BDR scorecard'!L71</f>
        <v>0.06725146198830409</v>
      </c>
      <c r="C103" s="12">
        <f>'SDR and BDR scorecard'!M71</f>
        <v>0.0802675585284281</v>
      </c>
      <c r="D103" s="12">
        <f>'SDR and BDR scorecard'!N71</f>
        <v>0.08221797323135756</v>
      </c>
      <c r="E103" s="12">
        <f>'SDR and BDR scorecard'!O71</f>
        <v>0.06711409395973154</v>
      </c>
      <c r="F103" s="12">
        <f>'SDR and BDR scorecard'!P71</f>
        <v>0.09854014598540146</v>
      </c>
      <c r="G103" s="12">
        <f>'SDR and BDR scorecard'!Q71</f>
        <v>0.08316430020283976</v>
      </c>
      <c r="H103" s="12">
        <f>'SDR and BDR scorecard'!R71</f>
        <v>0.06419400855920114</v>
      </c>
      <c r="I103" s="12">
        <f>'SDR and BDR scorecard'!S71</f>
        <v>0.08941605839416059</v>
      </c>
    </row>
    <row r="104">
      <c r="A104" s="0" t="inlineStr">
        <is>
          <t xml:space="preserve">Rafael Ivanova</t>
        </is>
      </c>
      <c r="B104" s="12">
        <f>'SDR and BDR scorecard'!L72</f>
        <v>0.19753086419753085</v>
      </c>
      <c r="C104" s="12">
        <f>'SDR and BDR scorecard'!M72</f>
        <v>0.17732558139534885</v>
      </c>
      <c r="D104" s="12">
        <f>'SDR and BDR scorecard'!N72</f>
        <v>0.20346320346320346</v>
      </c>
      <c r="E104" s="12">
        <f>'SDR and BDR scorecard'!O72</f>
        <v>0.1936416184971098</v>
      </c>
      <c r="F104" s="12">
        <f>'SDR and BDR scorecard'!P72</f>
        <v>0.10743801652892562</v>
      </c>
      <c r="G104" s="12">
        <f>'SDR and BDR scorecard'!Q72</f>
        <v>0.1598984771573604</v>
      </c>
      <c r="H104" s="12">
        <f>'SDR and BDR scorecard'!R72</f>
        <v>0.2</v>
      </c>
      <c r="I104" s="12">
        <f>'SDR and BDR scorecard'!S72</f>
        <v>0.15476190476190477</v>
      </c>
    </row>
    <row r="105">
      <c r="A105" s="0" t="inlineStr">
        <is>
          <t xml:space="preserve">Wei Kowalski</t>
        </is>
      </c>
      <c r="B105" s="12">
        <f>'SDR and BDR scorecard'!L73</f>
        <v>0.08957654723127036</v>
      </c>
      <c r="C105" s="12">
        <f>'SDR and BDR scorecard'!M73</f>
        <v>0.0855614973262032</v>
      </c>
      <c r="D105" s="12">
        <f>'SDR and BDR scorecard'!N73</f>
        <v>0.09974747474747475</v>
      </c>
      <c r="E105" s="12">
        <f>'SDR and BDR scorecard'!O73</f>
        <v>0.08614864864864864</v>
      </c>
      <c r="F105" s="12">
        <f>'SDR and BDR scorecard'!P73</f>
        <v>0.08559201141226819</v>
      </c>
      <c r="G105" s="12">
        <f>'SDR and BDR scorecard'!Q73</f>
        <v>0.10166919575113809</v>
      </c>
      <c r="H105" s="12">
        <f>'SDR and BDR scorecard'!R73</f>
        <v>0.10526315789473684</v>
      </c>
      <c r="I105" s="12">
        <f>'SDR and BDR scorecard'!S73</f>
        <v>0.0933786078098472</v>
      </c>
    </row>
    <row r="124">
      <c r="A124" s="1" t="inlineStr">
        <is>
          <t xml:space="preserve">Sourced bookings by month (deals closed)</t>
        </is>
      </c>
    </row>
    <row r="125">
      <c r="A125" s="1" t="inlineStr">
        <is>
          <t xml:space="preserve">sdr</t>
        </is>
      </c>
      <c r="B125" s="1" t="inlineStr">
        <is>
          <t xml:space="preserve">Jan-26</t>
        </is>
      </c>
      <c r="C125" s="1" t="inlineStr">
        <is>
          <t xml:space="preserve">Feb-26</t>
        </is>
      </c>
      <c r="D125" s="1" t="inlineStr">
        <is>
          <t xml:space="preserve">Mar-26</t>
        </is>
      </c>
      <c r="E125" s="1" t="inlineStr">
        <is>
          <t xml:space="preserve">Apr-26</t>
        </is>
      </c>
      <c r="F125" s="1" t="inlineStr">
        <is>
          <t xml:space="preserve">May-26</t>
        </is>
      </c>
      <c r="G125" s="1" t="inlineStr">
        <is>
          <t xml:space="preserve">Jun-26</t>
        </is>
      </c>
      <c r="H125" s="1" t="inlineStr">
        <is>
          <t xml:space="preserve">Jul-26</t>
        </is>
      </c>
      <c r="I125" s="1" t="inlineStr">
        <is>
          <t xml:space="preserve">Aug-26</t>
        </is>
      </c>
    </row>
    <row r="126">
      <c r="A126" s="0" t="inlineStr">
        <is>
          <t xml:space="preserve">Zara Kowalski</t>
        </is>
      </c>
      <c r="B126" s="4">
        <f>'SDR and BDR scorecard'!L106</f>
        <v>42900</v>
      </c>
      <c r="C126" s="4">
        <f>'SDR and BDR scorecard'!M106</f>
        <v>116200</v>
      </c>
      <c r="D126" s="4">
        <f>'SDR and BDR scorecard'!N106</f>
        <v>283500</v>
      </c>
      <c r="E126" s="4">
        <f>'SDR and BDR scorecard'!O106</f>
        <v>17900</v>
      </c>
      <c r="F126" s="4">
        <f>'SDR and BDR scorecard'!P106</f>
        <v>127800</v>
      </c>
      <c r="G126" s="4">
        <f>'SDR and BDR scorecard'!Q106</f>
        <v>363100</v>
      </c>
      <c r="H126" s="4">
        <f>'SDR and BDR scorecard'!R106</f>
        <v>171900</v>
      </c>
      <c r="I126" s="4">
        <f>'SDR and BDR scorecard'!S106</f>
        <v>75300</v>
      </c>
    </row>
    <row r="127">
      <c r="A127" s="0" t="inlineStr">
        <is>
          <t xml:space="preserve">Kenji Kowalski</t>
        </is>
      </c>
      <c r="B127" s="4">
        <f>'SDR and BDR scorecard'!L107</f>
        <v>24100</v>
      </c>
      <c r="C127" s="4">
        <f>'SDR and BDR scorecard'!M107</f>
        <v>0</v>
      </c>
      <c r="D127" s="4">
        <f>'SDR and BDR scorecard'!N107</f>
        <v>139600</v>
      </c>
      <c r="E127" s="4">
        <f>'SDR and BDR scorecard'!O107</f>
        <v>0</v>
      </c>
      <c r="F127" s="4">
        <f>'SDR and BDR scorecard'!P107</f>
        <v>141600</v>
      </c>
      <c r="G127" s="4">
        <f>'SDR and BDR scorecard'!Q107</f>
        <v>17700</v>
      </c>
      <c r="H127" s="4">
        <f>'SDR and BDR scorecard'!R107</f>
        <v>0</v>
      </c>
      <c r="I127" s="4">
        <f>'SDR and BDR scorecard'!S107</f>
        <v>39600</v>
      </c>
    </row>
    <row r="128">
      <c r="A128" s="0" t="inlineStr">
        <is>
          <t xml:space="preserve">Marcus Nair</t>
        </is>
      </c>
      <c r="B128" s="4">
        <f>'SDR and BDR scorecard'!L108</f>
        <v>35100</v>
      </c>
      <c r="C128" s="4">
        <f>'SDR and BDR scorecard'!M108</f>
        <v>713600</v>
      </c>
      <c r="D128" s="4">
        <f>'SDR and BDR scorecard'!N108</f>
        <v>782200</v>
      </c>
      <c r="E128" s="4">
        <f>'SDR and BDR scorecard'!O108</f>
        <v>125700</v>
      </c>
      <c r="F128" s="4">
        <f>'SDR and BDR scorecard'!P108</f>
        <v>62900</v>
      </c>
      <c r="G128" s="4">
        <f>'SDR and BDR scorecard'!Q108</f>
        <v>493700</v>
      </c>
      <c r="H128" s="4">
        <f>'SDR and BDR scorecard'!R108</f>
        <v>246400</v>
      </c>
      <c r="I128" s="4">
        <f>'SDR and BDR scorecard'!S108</f>
        <v>95000</v>
      </c>
    </row>
    <row r="129">
      <c r="A129" s="0" t="inlineStr">
        <is>
          <t xml:space="preserve">Yuki Rahman</t>
        </is>
      </c>
      <c r="B129" s="4">
        <f>'SDR and BDR scorecard'!L109</f>
        <v>19600</v>
      </c>
      <c r="C129" s="4">
        <f>'SDR and BDR scorecard'!M109</f>
        <v>0</v>
      </c>
      <c r="D129" s="4">
        <f>'SDR and BDR scorecard'!N109</f>
        <v>79900</v>
      </c>
      <c r="E129" s="4">
        <f>'SDR and BDR scorecard'!O109</f>
        <v>0</v>
      </c>
      <c r="F129" s="4">
        <f>'SDR and BDR scorecard'!P109</f>
        <v>0</v>
      </c>
      <c r="G129" s="4">
        <f>'SDR and BDR scorecard'!Q109</f>
        <v>228800</v>
      </c>
      <c r="H129" s="4">
        <f>'SDR and BDR scorecard'!R109</f>
        <v>145500</v>
      </c>
      <c r="I129" s="4">
        <f>'SDR and BDR scorecard'!S109</f>
        <v>13200</v>
      </c>
    </row>
    <row r="130">
      <c r="A130" s="0" t="inlineStr">
        <is>
          <t xml:space="preserve">Chloe Patel</t>
        </is>
      </c>
      <c r="B130" s="4">
        <f>'SDR and BDR scorecard'!L110</f>
        <v>689300</v>
      </c>
      <c r="C130" s="4">
        <f>'SDR and BDR scorecard'!M110</f>
        <v>96300</v>
      </c>
      <c r="D130" s="4">
        <f>'SDR and BDR scorecard'!N110</f>
        <v>200600</v>
      </c>
      <c r="E130" s="4">
        <f>'SDR and BDR scorecard'!O110</f>
        <v>220800</v>
      </c>
      <c r="F130" s="4">
        <f>'SDR and BDR scorecard'!P110</f>
        <v>50600</v>
      </c>
      <c r="G130" s="4">
        <f>'SDR and BDR scorecard'!Q110</f>
        <v>291300</v>
      </c>
      <c r="H130" s="4">
        <f>'SDR and BDR scorecard'!R110</f>
        <v>46000</v>
      </c>
      <c r="I130" s="4">
        <f>'SDR and BDR scorecard'!S110</f>
        <v>111800</v>
      </c>
    </row>
    <row r="131">
      <c r="A131" s="0" t="inlineStr">
        <is>
          <t xml:space="preserve">Samuel Kowalski</t>
        </is>
      </c>
      <c r="B131" s="4">
        <f>'SDR and BDR scorecard'!L111</f>
        <v>46900</v>
      </c>
      <c r="C131" s="4">
        <f>'SDR and BDR scorecard'!M111</f>
        <v>16600</v>
      </c>
      <c r="D131" s="4">
        <f>'SDR and BDR scorecard'!N111</f>
        <v>80800</v>
      </c>
      <c r="E131" s="4">
        <f>'SDR and BDR scorecard'!O111</f>
        <v>109700</v>
      </c>
      <c r="F131" s="4">
        <f>'SDR and BDR scorecard'!P111</f>
        <v>17700</v>
      </c>
      <c r="G131" s="4">
        <f>'SDR and BDR scorecard'!Q111</f>
        <v>85700</v>
      </c>
      <c r="H131" s="4">
        <f>'SDR and BDR scorecard'!R111</f>
        <v>0</v>
      </c>
      <c r="I131" s="4">
        <f>'SDR and BDR scorecard'!S111</f>
        <v>9700</v>
      </c>
    </row>
    <row r="132">
      <c r="A132" s="0" t="inlineStr">
        <is>
          <t xml:space="preserve">Rafael Ivanova</t>
        </is>
      </c>
      <c r="B132" s="4">
        <f>'SDR and BDR scorecard'!L112</f>
        <v>0</v>
      </c>
      <c r="C132" s="4">
        <f>'SDR and BDR scorecard'!M112</f>
        <v>89800</v>
      </c>
      <c r="D132" s="4">
        <f>'SDR and BDR scorecard'!N112</f>
        <v>0</v>
      </c>
      <c r="E132" s="4">
        <f>'SDR and BDR scorecard'!O112</f>
        <v>243700</v>
      </c>
      <c r="F132" s="4">
        <f>'SDR and BDR scorecard'!P112</f>
        <v>96400</v>
      </c>
      <c r="G132" s="4">
        <f>'SDR and BDR scorecard'!Q112</f>
        <v>194200</v>
      </c>
      <c r="H132" s="4">
        <f>'SDR and BDR scorecard'!R112</f>
        <v>18600</v>
      </c>
      <c r="I132" s="4">
        <f>'SDR and BDR scorecard'!S112</f>
        <v>234800</v>
      </c>
    </row>
    <row r="133">
      <c r="A133" s="0" t="inlineStr">
        <is>
          <t xml:space="preserve">Wei Kowalski</t>
        </is>
      </c>
      <c r="B133" s="4">
        <f>'SDR and BDR scorecard'!L113</f>
        <v>137200</v>
      </c>
      <c r="C133" s="4">
        <f>'SDR and BDR scorecard'!M113</f>
        <v>7000</v>
      </c>
      <c r="D133" s="4">
        <f>'SDR and BDR scorecard'!N113</f>
        <v>8900</v>
      </c>
      <c r="E133" s="4">
        <f>'SDR and BDR scorecard'!O113</f>
        <v>0</v>
      </c>
      <c r="F133" s="4">
        <f>'SDR and BDR scorecard'!P113</f>
        <v>0</v>
      </c>
      <c r="G133" s="4">
        <f>'SDR and BDR scorecard'!Q113</f>
        <v>65100</v>
      </c>
      <c r="H133" s="4">
        <f>'SDR and BDR scorecard'!R113</f>
        <v>87500</v>
      </c>
      <c r="I133" s="4">
        <f>'SDR and BDR scorecard'!S113</f>
        <v>0</v>
      </c>
    </row>
    <row r="135">
      <c r="A135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</cols>
  <sheetData>
    <row r="1">
      <c r="A1" s="1" t="inlineStr">
        <is>
          <t xml:space="preserve">Funnel by channel, August 2026</t>
        </is>
      </c>
    </row>
    <row r="2">
      <c r="A2" s="1" t="inlineStr">
        <is>
          <t xml:space="preserve">channel</t>
        </is>
      </c>
      <c r="B2" s="1" t="inlineStr">
        <is>
          <t xml:space="preserve">Spend</t>
        </is>
      </c>
      <c r="C2" s="1" t="inlineStr">
        <is>
          <t xml:space="preserve">Leads</t>
        </is>
      </c>
      <c r="D2" s="1" t="inlineStr">
        <is>
          <t xml:space="preserve">MQLs</t>
        </is>
      </c>
      <c r="E2" s="1" t="inlineStr">
        <is>
          <t xml:space="preserve">Opportunities created (SQLs)</t>
        </is>
      </c>
      <c r="F2" s="1" t="inlineStr">
        <is>
          <t xml:space="preserve">Pipeline created</t>
        </is>
      </c>
      <c r="G2" s="1" t="inlineStr">
        <is>
          <t xml:space="preserve">Deals won</t>
        </is>
      </c>
      <c r="H2" s="1" t="inlineStr">
        <is>
          <t xml:space="preserve">Bookings</t>
        </is>
      </c>
      <c r="I2" s="1" t="inlineStr">
        <is>
          <t xml:space="preserve">Cost per lead</t>
        </is>
      </c>
      <c r="J2" s="1" t="inlineStr">
        <is>
          <t xml:space="preserve">Lead to MQL</t>
        </is>
      </c>
      <c r="K2" s="1" t="inlineStr">
        <is>
          <t xml:space="preserve">MQL to SQL</t>
        </is>
      </c>
      <c r="L2" s="1" t="inlineStr">
        <is>
          <t xml:space="preserve">Cost per opportunity</t>
        </is>
      </c>
      <c r="M2" s="1" t="inlineStr">
        <is>
          <t xml:space="preserve">Pipeline per $ of spend</t>
        </is>
      </c>
    </row>
    <row r="3">
      <c r="A3" s="0" t="inlineStr">
        <is>
          <t xml:space="preserve">Inbound (web &amp; content)</t>
        </is>
      </c>
      <c r="B3" s="8">
        <f>'Marketing funnel by channel'!S2</f>
        <v>41270</v>
      </c>
      <c r="C3" s="8">
        <f>'Marketing funnel by channel'!S8</f>
        <v>939</v>
      </c>
      <c r="D3" s="8">
        <f>'Marketing funnel by channel'!S14</f>
        <v>162</v>
      </c>
      <c r="E3" s="8">
        <f>'Marketing funnel by channel'!S20</f>
        <v>31</v>
      </c>
      <c r="F3" s="8">
        <f>'Marketing funnel by channel'!S26</f>
        <v>1543500</v>
      </c>
      <c r="G3" s="8">
        <f>'Marketing funnel by channel'!S32</f>
        <v>12</v>
      </c>
      <c r="H3" s="8">
        <f>'Marketing funnel by channel'!S38</f>
        <v>454100</v>
      </c>
      <c r="I3" s="8">
        <f>'Marketing funnel by channel'!S44</f>
        <v>43.95101171458999</v>
      </c>
      <c r="J3" s="12">
        <f>'Marketing funnel by channel'!S50</f>
        <v>0.17252396166134185</v>
      </c>
      <c r="K3" s="12">
        <f>'Marketing funnel by channel'!S56</f>
        <v>0.19135802469135801</v>
      </c>
      <c r="L3" s="8">
        <f>'Marketing funnel by channel'!S68</f>
        <v>1331.2903225806451</v>
      </c>
      <c r="M3" s="8">
        <f>'Marketing funnel by channel'!S74</f>
        <v>37.40004846135207</v>
      </c>
    </row>
    <row r="4">
      <c r="A4" s="0" t="inlineStr">
        <is>
          <t xml:space="preserve">Paid digital</t>
        </is>
      </c>
      <c r="B4" s="8">
        <f>'Marketing funnel by channel'!S3</f>
        <v>158120</v>
      </c>
      <c r="C4" s="8">
        <f>'Marketing funnel by channel'!S9</f>
        <v>1062</v>
      </c>
      <c r="D4" s="8">
        <f>'Marketing funnel by channel'!S15</f>
        <v>111</v>
      </c>
      <c r="E4" s="8">
        <f>'Marketing funnel by channel'!S21</f>
        <v>23</v>
      </c>
      <c r="F4" s="8">
        <f>'Marketing funnel by channel'!S27</f>
        <v>1447000</v>
      </c>
      <c r="G4" s="8">
        <f>'Marketing funnel by channel'!S33</f>
        <v>3</v>
      </c>
      <c r="H4" s="8">
        <f>'Marketing funnel by channel'!S39</f>
        <v>62800</v>
      </c>
      <c r="I4" s="8">
        <f>'Marketing funnel by channel'!S45</f>
        <v>148.88888888888889</v>
      </c>
      <c r="J4" s="12">
        <f>'Marketing funnel by channel'!S51</f>
        <v>0.10451977401129943</v>
      </c>
      <c r="K4" s="12">
        <f>'Marketing funnel by channel'!S57</f>
        <v>0.2072072072072072</v>
      </c>
      <c r="L4" s="8">
        <f>'Marketing funnel by channel'!S69</f>
        <v>6874.782608695652</v>
      </c>
      <c r="M4" s="8">
        <f>'Marketing funnel by channel'!S75</f>
        <v>9.151277510751328</v>
      </c>
    </row>
    <row r="5">
      <c r="A5" s="0" t="inlineStr">
        <is>
          <t xml:space="preserve">Events &amp; field</t>
        </is>
      </c>
      <c r="B5" s="8">
        <f>'Marketing funnel by channel'!S4</f>
        <v>37100</v>
      </c>
      <c r="C5" s="8">
        <f>'Marketing funnel by channel'!S10</f>
        <v>81</v>
      </c>
      <c r="D5" s="8">
        <f>'Marketing funnel by channel'!S16</f>
        <v>23</v>
      </c>
      <c r="E5" s="8">
        <f>'Marketing funnel by channel'!S22</f>
        <v>6</v>
      </c>
      <c r="F5" s="8">
        <f>'Marketing funnel by channel'!S28</f>
        <v>190200</v>
      </c>
      <c r="G5" s="8">
        <f>'Marketing funnel by channel'!S34</f>
        <v>1</v>
      </c>
      <c r="H5" s="8">
        <f>'Marketing funnel by channel'!S40</f>
        <v>15700</v>
      </c>
      <c r="I5" s="8">
        <f>'Marketing funnel by channel'!S46</f>
        <v>458.0246913580247</v>
      </c>
      <c r="J5" s="12">
        <f>'Marketing funnel by channel'!S52</f>
        <v>0.2839506172839506</v>
      </c>
      <c r="K5" s="12">
        <f>'Marketing funnel by channel'!S58</f>
        <v>0.2608695652173913</v>
      </c>
      <c r="L5" s="8">
        <f>'Marketing funnel by channel'!S70</f>
        <v>6183.333333333333</v>
      </c>
      <c r="M5" s="8">
        <f>'Marketing funnel by channel'!S76</f>
        <v>5.126684636118599</v>
      </c>
    </row>
    <row r="6">
      <c r="A6" s="0" t="inlineStr">
        <is>
          <t xml:space="preserve">Partner</t>
        </is>
      </c>
      <c r="B6" s="8">
        <f>'Marketing funnel by channel'!S5</f>
        <v>18170</v>
      </c>
      <c r="C6" s="8">
        <f>'Marketing funnel by channel'!S11</f>
        <v>75</v>
      </c>
      <c r="D6" s="8">
        <f>'Marketing funnel by channel'!S17</f>
        <v>20</v>
      </c>
      <c r="E6" s="8">
        <f>'Marketing funnel by channel'!S23</f>
        <v>9</v>
      </c>
      <c r="F6" s="8">
        <f>'Marketing funnel by channel'!S29</f>
        <v>215900</v>
      </c>
      <c r="G6" s="8">
        <f>'Marketing funnel by channel'!S35</f>
        <v>2</v>
      </c>
      <c r="H6" s="8">
        <f>'Marketing funnel by channel'!S41</f>
        <v>158700</v>
      </c>
      <c r="I6" s="8">
        <f>'Marketing funnel by channel'!S47</f>
        <v>242.26666666666668</v>
      </c>
      <c r="J6" s="12">
        <f>'Marketing funnel by channel'!S53</f>
        <v>0.26666666666666666</v>
      </c>
      <c r="K6" s="12">
        <f>'Marketing funnel by channel'!S59</f>
        <v>0.45</v>
      </c>
      <c r="L6" s="8">
        <f>'Marketing funnel by channel'!S71</f>
        <v>2018.888888888889</v>
      </c>
      <c r="M6" s="8">
        <f>'Marketing funnel by channel'!S77</f>
        <v>11.882223445239406</v>
      </c>
    </row>
    <row r="7">
      <c r="A7" s="0" t="inlineStr">
        <is>
          <t xml:space="preserve">Outbound (BDR)</t>
        </is>
      </c>
      <c r="B7" s="4">
        <f>'Marketing funnel by channel'!S6</f>
        <v>0</v>
      </c>
      <c r="C7" s="4">
        <f>'Marketing funnel by channel'!S12</f>
        <v>0</v>
      </c>
      <c r="D7" s="4">
        <f>'Marketing funnel by channel'!S18</f>
        <v>0</v>
      </c>
      <c r="E7" s="4">
        <f>'Marketing funnel by channel'!S24</f>
        <v>20</v>
      </c>
      <c r="F7" s="4">
        <f>'Marketing funnel by channel'!S30</f>
        <v>592400</v>
      </c>
      <c r="G7" s="4">
        <f>'Marketing funnel by channel'!S36</f>
        <v>4</v>
      </c>
      <c r="H7" s="4">
        <f>'Marketing funnel by channel'!S42</f>
        <v>62500</v>
      </c>
      <c r="I7" s="4">
        <f>'Marketing funnel by channel'!S48</f>
      </c>
      <c r="J7" s="12">
        <f>'Marketing funnel by channel'!S54</f>
      </c>
      <c r="K7" s="12">
        <f>'Marketing funnel by channel'!S60</f>
      </c>
      <c r="L7" s="4">
        <f>'Marketing funnel by channel'!S72</f>
        <v>0</v>
      </c>
      <c r="M7" s="4">
        <f>'Marketing funnel by channel'!S78</f>
      </c>
    </row>
    <row r="8">
      <c r="A8" s="0" t="inlineStr">
        <is>
          <t xml:space="preserve">Customer referral</t>
        </is>
      </c>
      <c r="B8" s="4">
        <f>'Marketing funnel by channel'!S7</f>
        <v>0</v>
      </c>
      <c r="C8" s="4">
        <f>'Marketing funnel by channel'!S13</f>
        <v>0</v>
      </c>
      <c r="D8" s="4">
        <f>'Marketing funnel by channel'!S19</f>
        <v>0</v>
      </c>
      <c r="E8" s="4">
        <f>'Marketing funnel by channel'!S25</f>
        <v>6</v>
      </c>
      <c r="F8" s="4">
        <f>'Marketing funnel by channel'!S31</f>
        <v>913900</v>
      </c>
      <c r="G8" s="4">
        <f>'Marketing funnel by channel'!S37</f>
        <v>4</v>
      </c>
      <c r="H8" s="4">
        <f>'Marketing funnel by channel'!S43</f>
        <v>199900</v>
      </c>
      <c r="I8" s="4">
        <f>'Marketing funnel by channel'!S49</f>
      </c>
      <c r="J8" s="12">
        <f>'Marketing funnel by channel'!S55</f>
      </c>
      <c r="K8" s="12">
        <f>'Marketing funnel by channel'!S61</f>
      </c>
      <c r="L8" s="4">
        <f>'Marketing funnel by channel'!S73</f>
        <v>0</v>
      </c>
      <c r="M8" s="4">
        <f>'Marketing funnel by channel'!S79</f>
      </c>
    </row>
    <row r="10">
      <c r="A10" s="1" t="inlineStr">
        <is>
          <t xml:space="preserve">Spend by channel</t>
        </is>
      </c>
    </row>
    <row r="11">
      <c r="A11" s="1" t="inlineStr">
        <is>
          <t xml:space="preserve">channel</t>
        </is>
      </c>
      <c r="B11" s="1" t="inlineStr">
        <is>
          <t xml:space="preserve">Jan-26</t>
        </is>
      </c>
      <c r="C11" s="1" t="inlineStr">
        <is>
          <t xml:space="preserve">Feb-26</t>
        </is>
      </c>
      <c r="D11" s="1" t="inlineStr">
        <is>
          <t xml:space="preserve">Mar-26</t>
        </is>
      </c>
      <c r="E11" s="1" t="inlineStr">
        <is>
          <t xml:space="preserve">Apr-26</t>
        </is>
      </c>
      <c r="F11" s="1" t="inlineStr">
        <is>
          <t xml:space="preserve">May-26</t>
        </is>
      </c>
      <c r="G11" s="1" t="inlineStr">
        <is>
          <t xml:space="preserve">Jun-26</t>
        </is>
      </c>
      <c r="H11" s="1" t="inlineStr">
        <is>
          <t xml:space="preserve">Jul-26</t>
        </is>
      </c>
      <c r="I11" s="1" t="inlineStr">
        <is>
          <t xml:space="preserve">Aug-26</t>
        </is>
      </c>
    </row>
    <row r="12">
      <c r="A12" s="0" t="inlineStr">
        <is>
          <t xml:space="preserve">Inbound (web &amp; content)</t>
        </is>
      </c>
      <c r="B12" s="4">
        <f>'Marketing funnel by channel'!L2</f>
        <v>44690</v>
      </c>
      <c r="C12" s="4">
        <f>'Marketing funnel by channel'!M2</f>
        <v>50670</v>
      </c>
      <c r="D12" s="4">
        <f>'Marketing funnel by channel'!N2</f>
        <v>60640</v>
      </c>
      <c r="E12" s="4">
        <f>'Marketing funnel by channel'!O2</f>
        <v>49650</v>
      </c>
      <c r="F12" s="4">
        <f>'Marketing funnel by channel'!P2</f>
        <v>49120</v>
      </c>
      <c r="G12" s="4">
        <f>'Marketing funnel by channel'!Q2</f>
        <v>54270</v>
      </c>
      <c r="H12" s="4">
        <f>'Marketing funnel by channel'!R2</f>
        <v>44320</v>
      </c>
      <c r="I12" s="4">
        <f>'Marketing funnel by channel'!S2</f>
        <v>41270</v>
      </c>
    </row>
    <row r="13">
      <c r="A13" s="0" t="inlineStr">
        <is>
          <t xml:space="preserve">Paid digital</t>
        </is>
      </c>
      <c r="B13" s="4">
        <f>'Marketing funnel by channel'!L3</f>
        <v>130470</v>
      </c>
      <c r="C13" s="4">
        <f>'Marketing funnel by channel'!M3</f>
        <v>153050</v>
      </c>
      <c r="D13" s="4">
        <f>'Marketing funnel by channel'!N3</f>
        <v>165920</v>
      </c>
      <c r="E13" s="4">
        <f>'Marketing funnel by channel'!O3</f>
        <v>154520</v>
      </c>
      <c r="F13" s="4">
        <f>'Marketing funnel by channel'!P3</f>
        <v>163960</v>
      </c>
      <c r="G13" s="4">
        <f>'Marketing funnel by channel'!Q3</f>
        <v>205480</v>
      </c>
      <c r="H13" s="4">
        <f>'Marketing funnel by channel'!R3</f>
        <v>154430</v>
      </c>
      <c r="I13" s="4">
        <f>'Marketing funnel by channel'!S3</f>
        <v>158120</v>
      </c>
    </row>
    <row r="14">
      <c r="A14" s="0" t="inlineStr">
        <is>
          <t xml:space="preserve">Events &amp; field</t>
        </is>
      </c>
      <c r="B14" s="4">
        <f>'Marketing funnel by channel'!L4</f>
        <v>35330</v>
      </c>
      <c r="C14" s="4">
        <f>'Marketing funnel by channel'!M4</f>
        <v>39630</v>
      </c>
      <c r="D14" s="4">
        <f>'Marketing funnel by channel'!N4</f>
        <v>169340</v>
      </c>
      <c r="E14" s="4">
        <f>'Marketing funnel by channel'!O4</f>
        <v>39430</v>
      </c>
      <c r="F14" s="4">
        <f>'Marketing funnel by channel'!P4</f>
        <v>43210</v>
      </c>
      <c r="G14" s="4">
        <f>'Marketing funnel by channel'!Q4</f>
        <v>160370</v>
      </c>
      <c r="H14" s="4">
        <f>'Marketing funnel by channel'!R4</f>
        <v>39400</v>
      </c>
      <c r="I14" s="4">
        <f>'Marketing funnel by channel'!S4</f>
        <v>37100</v>
      </c>
    </row>
    <row r="15">
      <c r="A15" s="0" t="inlineStr">
        <is>
          <t xml:space="preserve">Partner</t>
        </is>
      </c>
      <c r="B15" s="4">
        <f>'Marketing funnel by channel'!L5</f>
        <v>19190</v>
      </c>
      <c r="C15" s="4">
        <f>'Marketing funnel by channel'!M5</f>
        <v>19090</v>
      </c>
      <c r="D15" s="4">
        <f>'Marketing funnel by channel'!N5</f>
        <v>22830</v>
      </c>
      <c r="E15" s="4">
        <f>'Marketing funnel by channel'!O5</f>
        <v>20560</v>
      </c>
      <c r="F15" s="4">
        <f>'Marketing funnel by channel'!P5</f>
        <v>20040</v>
      </c>
      <c r="G15" s="4">
        <f>'Marketing funnel by channel'!Q5</f>
        <v>22240</v>
      </c>
      <c r="H15" s="4">
        <f>'Marketing funnel by channel'!R5</f>
        <v>18560</v>
      </c>
      <c r="I15" s="4">
        <f>'Marketing funnel by channel'!S5</f>
        <v>18170</v>
      </c>
    </row>
    <row r="34">
      <c r="A34" s="1" t="inlineStr">
        <is>
          <t xml:space="preserve">Pipeline created by channel</t>
        </is>
      </c>
    </row>
    <row r="35">
      <c r="A35" s="1" t="inlineStr">
        <is>
          <t xml:space="preserve">channel</t>
        </is>
      </c>
      <c r="B35" s="1" t="inlineStr">
        <is>
          <t xml:space="preserve">Jan-26</t>
        </is>
      </c>
      <c r="C35" s="1" t="inlineStr">
        <is>
          <t xml:space="preserve">Feb-26</t>
        </is>
      </c>
      <c r="D35" s="1" t="inlineStr">
        <is>
          <t xml:space="preserve">Mar-26</t>
        </is>
      </c>
      <c r="E35" s="1" t="inlineStr">
        <is>
          <t xml:space="preserve">Apr-26</t>
        </is>
      </c>
      <c r="F35" s="1" t="inlineStr">
        <is>
          <t xml:space="preserve">May-26</t>
        </is>
      </c>
      <c r="G35" s="1" t="inlineStr">
        <is>
          <t xml:space="preserve">Jun-26</t>
        </is>
      </c>
      <c r="H35" s="1" t="inlineStr">
        <is>
          <t xml:space="preserve">Jul-26</t>
        </is>
      </c>
      <c r="I35" s="1" t="inlineStr">
        <is>
          <t xml:space="preserve">Aug-26</t>
        </is>
      </c>
    </row>
    <row r="36">
      <c r="A36" s="0" t="inlineStr">
        <is>
          <t xml:space="preserve">Inbound (web &amp; content)</t>
        </is>
      </c>
      <c r="B36" s="4">
        <f>'Marketing funnel by channel'!L26</f>
        <v>1418900</v>
      </c>
      <c r="C36" s="4">
        <f>'Marketing funnel by channel'!M26</f>
        <v>1559600</v>
      </c>
      <c r="D36" s="4">
        <f>'Marketing funnel by channel'!N26</f>
        <v>1297700</v>
      </c>
      <c r="E36" s="4">
        <f>'Marketing funnel by channel'!O26</f>
        <v>2265900</v>
      </c>
      <c r="F36" s="4">
        <f>'Marketing funnel by channel'!P26</f>
        <v>1297400</v>
      </c>
      <c r="G36" s="4">
        <f>'Marketing funnel by channel'!Q26</f>
        <v>2354600</v>
      </c>
      <c r="H36" s="4">
        <f>'Marketing funnel by channel'!R26</f>
        <v>1621300</v>
      </c>
      <c r="I36" s="4">
        <f>'Marketing funnel by channel'!S26</f>
        <v>1543500</v>
      </c>
    </row>
    <row r="37">
      <c r="A37" s="0" t="inlineStr">
        <is>
          <t xml:space="preserve">Paid digital</t>
        </is>
      </c>
      <c r="B37" s="4">
        <f>'Marketing funnel by channel'!L27</f>
        <v>806100</v>
      </c>
      <c r="C37" s="4">
        <f>'Marketing funnel by channel'!M27</f>
        <v>551900</v>
      </c>
      <c r="D37" s="4">
        <f>'Marketing funnel by channel'!N27</f>
        <v>909900</v>
      </c>
      <c r="E37" s="4">
        <f>'Marketing funnel by channel'!O27</f>
        <v>726400</v>
      </c>
      <c r="F37" s="4">
        <f>'Marketing funnel by channel'!P27</f>
        <v>1319800</v>
      </c>
      <c r="G37" s="4">
        <f>'Marketing funnel by channel'!Q27</f>
        <v>840500</v>
      </c>
      <c r="H37" s="4">
        <f>'Marketing funnel by channel'!R27</f>
        <v>917300</v>
      </c>
      <c r="I37" s="4">
        <f>'Marketing funnel by channel'!S27</f>
        <v>1447000</v>
      </c>
    </row>
    <row r="38">
      <c r="A38" s="0" t="inlineStr">
        <is>
          <t xml:space="preserve">Events &amp; field</t>
        </is>
      </c>
      <c r="B38" s="4">
        <f>'Marketing funnel by channel'!L28</f>
        <v>158700</v>
      </c>
      <c r="C38" s="4">
        <f>'Marketing funnel by channel'!M28</f>
        <v>470300</v>
      </c>
      <c r="D38" s="4">
        <f>'Marketing funnel by channel'!N28</f>
        <v>1293500</v>
      </c>
      <c r="E38" s="4">
        <f>'Marketing funnel by channel'!O28</f>
        <v>202600</v>
      </c>
      <c r="F38" s="4">
        <f>'Marketing funnel by channel'!P28</f>
        <v>172700</v>
      </c>
      <c r="G38" s="4">
        <f>'Marketing funnel by channel'!Q28</f>
        <v>1562800</v>
      </c>
      <c r="H38" s="4">
        <f>'Marketing funnel by channel'!R28</f>
        <v>427300</v>
      </c>
      <c r="I38" s="4">
        <f>'Marketing funnel by channel'!S28</f>
        <v>190200</v>
      </c>
    </row>
    <row r="39">
      <c r="A39" s="0" t="inlineStr">
        <is>
          <t xml:space="preserve">Partner</t>
        </is>
      </c>
      <c r="B39" s="4">
        <f>'Marketing funnel by channel'!L29</f>
        <v>99500</v>
      </c>
      <c r="C39" s="4">
        <f>'Marketing funnel by channel'!M29</f>
        <v>415400</v>
      </c>
      <c r="D39" s="4">
        <f>'Marketing funnel by channel'!N29</f>
        <v>586600</v>
      </c>
      <c r="E39" s="4">
        <f>'Marketing funnel by channel'!O29</f>
        <v>314800</v>
      </c>
      <c r="F39" s="4">
        <f>'Marketing funnel by channel'!P29</f>
        <v>385100</v>
      </c>
      <c r="G39" s="4">
        <f>'Marketing funnel by channel'!Q29</f>
        <v>891400</v>
      </c>
      <c r="H39" s="4">
        <f>'Marketing funnel by channel'!R29</f>
        <v>145400</v>
      </c>
      <c r="I39" s="4">
        <f>'Marketing funnel by channel'!S29</f>
        <v>215900</v>
      </c>
    </row>
    <row r="40">
      <c r="A40" s="0" t="inlineStr">
        <is>
          <t xml:space="preserve">Outbound (BDR)</t>
        </is>
      </c>
      <c r="B40" s="4">
        <f>'Marketing funnel by channel'!L30</f>
        <v>843000</v>
      </c>
      <c r="C40" s="4">
        <f>'Marketing funnel by channel'!M30</f>
        <v>2141600</v>
      </c>
      <c r="D40" s="4">
        <f>'Marketing funnel by channel'!N30</f>
        <v>1046600</v>
      </c>
      <c r="E40" s="4">
        <f>'Marketing funnel by channel'!O30</f>
        <v>582800</v>
      </c>
      <c r="F40" s="4">
        <f>'Marketing funnel by channel'!P30</f>
        <v>1208600</v>
      </c>
      <c r="G40" s="4">
        <f>'Marketing funnel by channel'!Q30</f>
        <v>1107300</v>
      </c>
      <c r="H40" s="4">
        <f>'Marketing funnel by channel'!R30</f>
        <v>386100</v>
      </c>
      <c r="I40" s="4">
        <f>'Marketing funnel by channel'!S30</f>
        <v>592400</v>
      </c>
    </row>
    <row r="41">
      <c r="A41" s="0" t="inlineStr">
        <is>
          <t xml:space="preserve">Customer referral</t>
        </is>
      </c>
      <c r="B41" s="4">
        <f>'Marketing funnel by channel'!L31</f>
        <v>598600</v>
      </c>
      <c r="C41" s="4">
        <f>'Marketing funnel by channel'!M31</f>
        <v>77100</v>
      </c>
      <c r="D41" s="4">
        <f>'Marketing funnel by channel'!N31</f>
        <v>208900</v>
      </c>
      <c r="E41" s="4">
        <f>'Marketing funnel by channel'!O31</f>
        <v>101100</v>
      </c>
      <c r="F41" s="4">
        <f>'Marketing funnel by channel'!P31</f>
        <v>429100</v>
      </c>
      <c r="G41" s="4">
        <f>'Marketing funnel by channel'!Q31</f>
        <v>223100</v>
      </c>
      <c r="H41" s="4">
        <f>'Marketing funnel by channel'!R31</f>
        <v>319500</v>
      </c>
      <c r="I41" s="4">
        <f>'Marketing funnel by channel'!S31</f>
        <v>913900</v>
      </c>
    </row>
    <row r="60">
      <c r="A60" s="1" t="inlineStr">
        <is>
          <t xml:space="preserve">Lead to MQL by channel</t>
        </is>
      </c>
    </row>
    <row r="61">
      <c r="A61" s="1" t="inlineStr">
        <is>
          <t xml:space="preserve">channel</t>
        </is>
      </c>
      <c r="B61" s="1" t="inlineStr">
        <is>
          <t xml:space="preserve">Jan-26</t>
        </is>
      </c>
      <c r="C61" s="1" t="inlineStr">
        <is>
          <t xml:space="preserve">Feb-26</t>
        </is>
      </c>
      <c r="D61" s="1" t="inlineStr">
        <is>
          <t xml:space="preserve">Mar-26</t>
        </is>
      </c>
      <c r="E61" s="1" t="inlineStr">
        <is>
          <t xml:space="preserve">Apr-26</t>
        </is>
      </c>
      <c r="F61" s="1" t="inlineStr">
        <is>
          <t xml:space="preserve">May-26</t>
        </is>
      </c>
      <c r="G61" s="1" t="inlineStr">
        <is>
          <t xml:space="preserve">Jun-26</t>
        </is>
      </c>
      <c r="H61" s="1" t="inlineStr">
        <is>
          <t xml:space="preserve">Jul-26</t>
        </is>
      </c>
      <c r="I61" s="1" t="inlineStr">
        <is>
          <t xml:space="preserve">Aug-26</t>
        </is>
      </c>
    </row>
    <row r="62">
      <c r="A62" s="0" t="inlineStr">
        <is>
          <t xml:space="preserve">Inbound (web &amp; content)</t>
        </is>
      </c>
      <c r="B62" s="12">
        <f>'Marketing funnel by channel'!L50</f>
        <v>0.1510859301227573</v>
      </c>
      <c r="C62" s="12">
        <f>'Marketing funnel by channel'!M50</f>
        <v>0.1627450980392157</v>
      </c>
      <c r="D62" s="12">
        <f>'Marketing funnel by channel'!N50</f>
        <v>0.16677653263019115</v>
      </c>
      <c r="E62" s="12">
        <f>'Marketing funnel by channel'!O50</f>
        <v>0.1597069597069597</v>
      </c>
      <c r="F62" s="12">
        <f>'Marketing funnel by channel'!P50</f>
        <v>0.15496575342465754</v>
      </c>
      <c r="G62" s="12">
        <f>'Marketing funnel by channel'!Q50</f>
        <v>0.17117903930131004</v>
      </c>
      <c r="H62" s="12">
        <f>'Marketing funnel by channel'!R50</f>
        <v>0.18530020703933747</v>
      </c>
      <c r="I62" s="12">
        <f>'Marketing funnel by channel'!S50</f>
        <v>0.17252396166134185</v>
      </c>
    </row>
    <row r="63">
      <c r="A63" s="0" t="inlineStr">
        <is>
          <t xml:space="preserve">Paid digital</t>
        </is>
      </c>
      <c r="B63" s="12">
        <f>'Marketing funnel by channel'!L51</f>
        <v>0.11219512195121951</v>
      </c>
      <c r="C63" s="12">
        <f>'Marketing funnel by channel'!M51</f>
        <v>0.10295616717635066</v>
      </c>
      <c r="D63" s="12">
        <f>'Marketing funnel by channel'!N51</f>
        <v>0.09942004971002485</v>
      </c>
      <c r="E63" s="12">
        <f>'Marketing funnel by channel'!O51</f>
        <v>0.09827115559599636</v>
      </c>
      <c r="F63" s="12">
        <f>'Marketing funnel by channel'!P51</f>
        <v>0.11525704809286899</v>
      </c>
      <c r="G63" s="12">
        <f>'Marketing funnel by channel'!Q51</f>
        <v>0.12432065217391304</v>
      </c>
      <c r="H63" s="12">
        <f>'Marketing funnel by channel'!R51</f>
        <v>0.11562224183583407</v>
      </c>
      <c r="I63" s="12">
        <f>'Marketing funnel by channel'!S51</f>
        <v>0.10451977401129943</v>
      </c>
    </row>
    <row r="64">
      <c r="A64" s="0" t="inlineStr">
        <is>
          <t xml:space="preserve">Events &amp; field</t>
        </is>
      </c>
      <c r="B64" s="12">
        <f>'Marketing funnel by channel'!L52</f>
        <v>0.2988505747126437</v>
      </c>
      <c r="C64" s="12">
        <f>'Marketing funnel by channel'!M52</f>
        <v>0.3763440860215054</v>
      </c>
      <c r="D64" s="12">
        <f>'Marketing funnel by channel'!N52</f>
        <v>0.31490384615384615</v>
      </c>
      <c r="E64" s="12">
        <f>'Marketing funnel by channel'!O52</f>
        <v>0.35789473684210527</v>
      </c>
      <c r="F64" s="12">
        <f>'Marketing funnel by channel'!P52</f>
        <v>0.3445378151260504</v>
      </c>
      <c r="G64" s="12">
        <f>'Marketing funnel by channel'!Q52</f>
        <v>0.34352941176470586</v>
      </c>
      <c r="H64" s="12">
        <f>'Marketing funnel by channel'!R52</f>
        <v>0.3673469387755102</v>
      </c>
      <c r="I64" s="12">
        <f>'Marketing funnel by channel'!S52</f>
        <v>0.2839506172839506</v>
      </c>
    </row>
    <row r="65">
      <c r="A65" s="0" t="inlineStr">
        <is>
          <t xml:space="preserve">Partner</t>
        </is>
      </c>
      <c r="B65" s="12">
        <f>'Marketing funnel by channel'!L53</f>
        <v>0.2463768115942029</v>
      </c>
      <c r="C65" s="12">
        <f>'Marketing funnel by channel'!M53</f>
        <v>0.45614035087719296</v>
      </c>
      <c r="D65" s="12">
        <f>'Marketing funnel by channel'!N53</f>
        <v>0.33695652173913043</v>
      </c>
      <c r="E65" s="12">
        <f>'Marketing funnel by channel'!O53</f>
        <v>0.4492753623188406</v>
      </c>
      <c r="F65" s="12">
        <f>'Marketing funnel by channel'!P53</f>
        <v>0.4050632911392405</v>
      </c>
      <c r="G65" s="12">
        <f>'Marketing funnel by channel'!Q53</f>
        <v>0.3894736842105263</v>
      </c>
      <c r="H65" s="12">
        <f>'Marketing funnel by channel'!R53</f>
        <v>0.296875</v>
      </c>
      <c r="I65" s="12">
        <f>'Marketing funnel by channel'!S53</f>
        <v>0.26666666666666666</v>
      </c>
    </row>
    <row r="84">
      <c r="A84" s="1" t="inlineStr">
        <is>
          <t xml:space="preserve">Cost per opportunity by channel</t>
        </is>
      </c>
    </row>
    <row r="85">
      <c r="A85" s="1" t="inlineStr">
        <is>
          <t xml:space="preserve">channel</t>
        </is>
      </c>
      <c r="B85" s="1" t="inlineStr">
        <is>
          <t xml:space="preserve">Jan-26</t>
        </is>
      </c>
      <c r="C85" s="1" t="inlineStr">
        <is>
          <t xml:space="preserve">Feb-26</t>
        </is>
      </c>
      <c r="D85" s="1" t="inlineStr">
        <is>
          <t xml:space="preserve">Mar-26</t>
        </is>
      </c>
      <c r="E85" s="1" t="inlineStr">
        <is>
          <t xml:space="preserve">Apr-26</t>
        </is>
      </c>
      <c r="F85" s="1" t="inlineStr">
        <is>
          <t xml:space="preserve">May-26</t>
        </is>
      </c>
      <c r="G85" s="1" t="inlineStr">
        <is>
          <t xml:space="preserve">Jun-26</t>
        </is>
      </c>
      <c r="H85" s="1" t="inlineStr">
        <is>
          <t xml:space="preserve">Jul-26</t>
        </is>
      </c>
      <c r="I85" s="1" t="inlineStr">
        <is>
          <t xml:space="preserve">Aug-26</t>
        </is>
      </c>
    </row>
    <row r="86">
      <c r="A86" s="0" t="inlineStr">
        <is>
          <t xml:space="preserve">Inbound (web &amp; content)</t>
        </is>
      </c>
      <c r="B86" s="8">
        <f>'Marketing funnel by channel'!L68</f>
        <v>1396.5625</v>
      </c>
      <c r="C86" s="8">
        <f>'Marketing funnel by channel'!M68</f>
        <v>1583.4375</v>
      </c>
      <c r="D86" s="8">
        <f>'Marketing funnel by channel'!N68</f>
        <v>1638.918918918919</v>
      </c>
      <c r="E86" s="8">
        <f>'Marketing funnel by channel'!O68</f>
        <v>1034.375</v>
      </c>
      <c r="F86" s="8">
        <f>'Marketing funnel by channel'!P68</f>
        <v>1754.2857142857142</v>
      </c>
      <c r="G86" s="8">
        <f>'Marketing funnel by channel'!Q68</f>
        <v>1233.409090909091</v>
      </c>
      <c r="H86" s="8">
        <f>'Marketing funnel by channel'!R68</f>
        <v>1007.2727272727273</v>
      </c>
      <c r="I86" s="8">
        <f>'Marketing funnel by channel'!S68</f>
        <v>1331.2903225806451</v>
      </c>
    </row>
    <row r="87">
      <c r="A87" s="0" t="inlineStr">
        <is>
          <t xml:space="preserve">Paid digital</t>
        </is>
      </c>
      <c r="B87" s="8">
        <f>'Marketing funnel by channel'!L69</f>
        <v>8698</v>
      </c>
      <c r="C87" s="8">
        <f>'Marketing funnel by channel'!M69</f>
        <v>15305</v>
      </c>
      <c r="D87" s="8">
        <f>'Marketing funnel by channel'!N69</f>
        <v>7900.952380952381</v>
      </c>
      <c r="E87" s="8">
        <f>'Marketing funnel by channel'!O69</f>
        <v>8584.444444444445</v>
      </c>
      <c r="F87" s="8">
        <f>'Marketing funnel by channel'!P69</f>
        <v>7807.619047619048</v>
      </c>
      <c r="G87" s="8">
        <f>'Marketing funnel by channel'!Q69</f>
        <v>10274</v>
      </c>
      <c r="H87" s="8">
        <f>'Marketing funnel by channel'!R69</f>
        <v>8579.444444444445</v>
      </c>
      <c r="I87" s="8">
        <f>'Marketing funnel by channel'!S69</f>
        <v>6874.782608695652</v>
      </c>
    </row>
    <row r="88">
      <c r="A88" s="0" t="inlineStr">
        <is>
          <t xml:space="preserve">Events &amp; field</t>
        </is>
      </c>
      <c r="B88" s="8">
        <f>'Marketing funnel by channel'!L70</f>
        <v>5888.333333333333</v>
      </c>
      <c r="C88" s="8">
        <f>'Marketing funnel by channel'!M70</f>
        <v>4403.333333333333</v>
      </c>
      <c r="D88" s="8">
        <f>'Marketing funnel by channel'!N70</f>
        <v>5462.580645161291</v>
      </c>
      <c r="E88" s="8">
        <f>'Marketing funnel by channel'!O70</f>
        <v>5632.857142857143</v>
      </c>
      <c r="F88" s="8">
        <f>'Marketing funnel by channel'!P70</f>
        <v>5401.25</v>
      </c>
      <c r="G88" s="8">
        <f>'Marketing funnel by channel'!Q70</f>
        <v>3818.3333333333335</v>
      </c>
      <c r="H88" s="8">
        <f>'Marketing funnel by channel'!R70</f>
        <v>3940</v>
      </c>
      <c r="I88" s="8">
        <f>'Marketing funnel by channel'!S70</f>
        <v>6183.333333333333</v>
      </c>
    </row>
    <row r="89">
      <c r="A89" s="0" t="inlineStr">
        <is>
          <t xml:space="preserve">Partner</t>
        </is>
      </c>
      <c r="B89" s="8">
        <f>'Marketing funnel by channel'!L71</f>
        <v>6396.666666666667</v>
      </c>
      <c r="C89" s="8">
        <f>'Marketing funnel by channel'!M71</f>
        <v>1468.4615384615386</v>
      </c>
      <c r="D89" s="8">
        <f>'Marketing funnel by channel'!N71</f>
        <v>2536.6666666666665</v>
      </c>
      <c r="E89" s="8">
        <f>'Marketing funnel by channel'!O71</f>
        <v>1713.3333333333333</v>
      </c>
      <c r="F89" s="8">
        <f>'Marketing funnel by channel'!P71</f>
        <v>1670</v>
      </c>
      <c r="G89" s="8">
        <f>'Marketing funnel by channel'!Q71</f>
        <v>1235.5555555555557</v>
      </c>
      <c r="H89" s="8">
        <f>'Marketing funnel by channel'!R71</f>
        <v>4640</v>
      </c>
      <c r="I89" s="8">
        <f>'Marketing funnel by channel'!S71</f>
        <v>2018.888888888889</v>
      </c>
    </row>
    <row r="108">
      <c r="A108" s="1" t="inlineStr">
        <is>
          <t xml:space="preserve">Inbound funnel by region, August 2026</t>
        </is>
      </c>
    </row>
    <row r="109">
      <c r="A109" s="1" t="inlineStr">
        <is>
          <t xml:space="preserve">region</t>
        </is>
      </c>
      <c r="B109" s="1" t="inlineStr">
        <is>
          <t xml:space="preserve">Spend</t>
        </is>
      </c>
      <c r="C109" s="1" t="inlineStr">
        <is>
          <t xml:space="preserve">Leads</t>
        </is>
      </c>
      <c r="D109" s="1" t="inlineStr">
        <is>
          <t xml:space="preserve">MQLs</t>
        </is>
      </c>
      <c r="E109" s="1" t="inlineStr">
        <is>
          <t xml:space="preserve">Opportunities created (SQLs)</t>
        </is>
      </c>
      <c r="F109" s="1" t="inlineStr">
        <is>
          <t xml:space="preserve">Pipeline created</t>
        </is>
      </c>
      <c r="G109" s="1" t="inlineStr">
        <is>
          <t xml:space="preserve">Cost per lead</t>
        </is>
      </c>
      <c r="H109" s="1" t="inlineStr">
        <is>
          <t xml:space="preserve">Lead to MQL</t>
        </is>
      </c>
      <c r="I109" s="1" t="inlineStr">
        <is>
          <t xml:space="preserve">MQL to SQL</t>
        </is>
      </c>
      <c r="J109" s="1" t="inlineStr">
        <is>
          <t xml:space="preserve">Cost per opportunity</t>
        </is>
      </c>
    </row>
    <row r="110">
      <c r="A110" s="0" t="inlineStr">
        <is>
          <t xml:space="preserve">AMER East</t>
        </is>
      </c>
      <c r="B110" s="8">
        <f>'Marketing funnel by channel and'!T2</f>
        <v>11260</v>
      </c>
      <c r="C110" s="8">
        <f>'Marketing funnel by channel and'!T26</f>
        <v>325</v>
      </c>
      <c r="D110" s="8">
        <f>'Marketing funnel by channel and'!T50</f>
        <v>48</v>
      </c>
      <c r="E110" s="8">
        <f>'Marketing funnel by channel and'!T74</f>
        <v>7</v>
      </c>
      <c r="F110" s="8">
        <f>'Marketing funnel by channel and'!T98</f>
        <v>165600</v>
      </c>
      <c r="G110" s="8">
        <f>'Marketing funnel by channel and'!T170</f>
        <v>34.646153846153844</v>
      </c>
      <c r="H110" s="12">
        <f>'Marketing funnel by channel and'!T194</f>
        <v>0.1476923076923077</v>
      </c>
      <c r="I110" s="12">
        <f>'Marketing funnel by channel and'!T218</f>
        <v>0.14583333333333334</v>
      </c>
      <c r="J110" s="8">
        <f>'Marketing funnel by channel and'!T242</f>
        <v>1608.5714285714287</v>
      </c>
    </row>
    <row r="111">
      <c r="A111" s="0" t="inlineStr">
        <is>
          <t xml:space="preserve">AMER West</t>
        </is>
      </c>
      <c r="B111" s="8">
        <f>'Marketing funnel by channel and'!T3</f>
        <v>13150</v>
      </c>
      <c r="C111" s="8">
        <f>'Marketing funnel by channel and'!T27</f>
        <v>240</v>
      </c>
      <c r="D111" s="8">
        <f>'Marketing funnel by channel and'!T51</f>
        <v>44</v>
      </c>
      <c r="E111" s="8">
        <f>'Marketing funnel by channel and'!T75</f>
        <v>5</v>
      </c>
      <c r="F111" s="8">
        <f>'Marketing funnel by channel and'!T99</f>
        <v>91500</v>
      </c>
      <c r="G111" s="8">
        <f>'Marketing funnel by channel and'!T171</f>
        <v>54.791666666666664</v>
      </c>
      <c r="H111" s="12">
        <f>'Marketing funnel by channel and'!T195</f>
        <v>0.18333333333333332</v>
      </c>
      <c r="I111" s="12">
        <f>'Marketing funnel by channel and'!T219</f>
        <v>0.11363636363636363</v>
      </c>
      <c r="J111" s="8">
        <f>'Marketing funnel by channel and'!T243</f>
        <v>2630</v>
      </c>
    </row>
    <row r="112">
      <c r="A112" s="0" t="inlineStr">
        <is>
          <t xml:space="preserve">EMEA</t>
        </is>
      </c>
      <c r="B112" s="8">
        <f>'Marketing funnel by channel and'!T4</f>
        <v>9560</v>
      </c>
      <c r="C112" s="8">
        <f>'Marketing funnel by channel and'!T28</f>
        <v>196</v>
      </c>
      <c r="D112" s="8">
        <f>'Marketing funnel by channel and'!T52</f>
        <v>37</v>
      </c>
      <c r="E112" s="8">
        <f>'Marketing funnel by channel and'!T76</f>
        <v>10</v>
      </c>
      <c r="F112" s="8">
        <f>'Marketing funnel by channel and'!T100</f>
        <v>552900</v>
      </c>
      <c r="G112" s="8">
        <f>'Marketing funnel by channel and'!T172</f>
        <v>48.775510204081634</v>
      </c>
      <c r="H112" s="12">
        <f>'Marketing funnel by channel and'!T196</f>
        <v>0.18877551020408162</v>
      </c>
      <c r="I112" s="12">
        <f>'Marketing funnel by channel and'!T220</f>
        <v>0.2702702702702703</v>
      </c>
      <c r="J112" s="8">
        <f>'Marketing funnel by channel and'!T244</f>
        <v>956</v>
      </c>
    </row>
    <row r="113">
      <c r="A113" s="0" t="inlineStr">
        <is>
          <t xml:space="preserve">APAC</t>
        </is>
      </c>
      <c r="B113" s="8">
        <f>'Marketing funnel by channel and'!T5</f>
        <v>7300</v>
      </c>
      <c r="C113" s="8">
        <f>'Marketing funnel by channel and'!T29</f>
        <v>178</v>
      </c>
      <c r="D113" s="8">
        <f>'Marketing funnel by channel and'!T53</f>
        <v>33</v>
      </c>
      <c r="E113" s="8">
        <f>'Marketing funnel by channel and'!T77</f>
        <v>9</v>
      </c>
      <c r="F113" s="8">
        <f>'Marketing funnel by channel and'!T101</f>
        <v>733500</v>
      </c>
      <c r="G113" s="8">
        <f>'Marketing funnel by channel and'!T173</f>
        <v>41.01123595505618</v>
      </c>
      <c r="H113" s="12">
        <f>'Marketing funnel by channel and'!T197</f>
        <v>0.1853932584269663</v>
      </c>
      <c r="I113" s="12">
        <f>'Marketing funnel by channel and'!T221</f>
        <v>0.2727272727272727</v>
      </c>
      <c r="J113" s="8">
        <f>'Marketing funnel by channel and'!T245</f>
        <v>811.1111111111111</v>
      </c>
    </row>
    <row r="115">
      <c r="A115" s="1" t="inlineStr">
        <is>
          <t xml:space="preserve">Opportunities created by month</t>
        </is>
      </c>
    </row>
    <row r="116">
      <c r="A116" s="1" t="inlineStr">
        <is>
          <t xml:space="preserve">line</t>
        </is>
      </c>
      <c r="B116" s="1" t="inlineStr">
        <is>
          <t xml:space="preserve">Jan-26</t>
        </is>
      </c>
      <c r="C116" s="1" t="inlineStr">
        <is>
          <t xml:space="preserve">Feb-26</t>
        </is>
      </c>
      <c r="D116" s="1" t="inlineStr">
        <is>
          <t xml:space="preserve">Mar-26</t>
        </is>
      </c>
      <c r="E116" s="1" t="inlineStr">
        <is>
          <t xml:space="preserve">Apr-26</t>
        </is>
      </c>
      <c r="F116" s="1" t="inlineStr">
        <is>
          <t xml:space="preserve">May-26</t>
        </is>
      </c>
      <c r="G116" s="1" t="inlineStr">
        <is>
          <t xml:space="preserve">Jun-26</t>
        </is>
      </c>
      <c r="H116" s="1" t="inlineStr">
        <is>
          <t xml:space="preserve">Jul-26</t>
        </is>
      </c>
      <c r="I116" s="1" t="inlineStr">
        <is>
          <t xml:space="preserve">Aug-26</t>
        </is>
      </c>
      <c r="J116" s="1" t="inlineStr">
        <is>
          <t xml:space="preserve">Sep-26</t>
        </is>
      </c>
    </row>
    <row r="117">
      <c r="A117" s="0" t="inlineStr">
        <is>
          <t xml:space="preserve">Opportunities created</t>
        </is>
      </c>
      <c r="B117" s="4">
        <f>'Company monthly and ARR bridge'!K10</f>
        <v>87</v>
      </c>
      <c r="C117" s="4">
        <f>'Company monthly and ARR bridge'!L10</f>
        <v>95</v>
      </c>
      <c r="D117" s="4">
        <f>'Company monthly and ARR bridge'!M10</f>
        <v>116</v>
      </c>
      <c r="E117" s="4">
        <f>'Company monthly and ARR bridge'!N10</f>
        <v>111</v>
      </c>
      <c r="F117" s="4">
        <f>'Company monthly and ARR bridge'!O10</f>
        <v>98</v>
      </c>
      <c r="G117" s="4">
        <f>'Company monthly and ARR bridge'!P10</f>
        <v>149</v>
      </c>
      <c r="H117" s="4">
        <f>'Company monthly and ARR bridge'!Q10</f>
        <v>102</v>
      </c>
      <c r="I117" s="4">
        <f>'Company monthly and ARR bridge'!R10</f>
        <v>95</v>
      </c>
      <c r="J117" s="4">
        <f>'Company monthly and ARR bridge'!S10</f>
        <v>61</v>
      </c>
    </row>
    <row r="136">
      <c r="A136" s="1" t="inlineStr">
        <is>
          <t xml:space="preserve">Pipeline created by month</t>
        </is>
      </c>
    </row>
    <row r="137">
      <c r="A137" s="1" t="inlineStr">
        <is>
          <t xml:space="preserve">line</t>
        </is>
      </c>
      <c r="B137" s="1" t="inlineStr">
        <is>
          <t xml:space="preserve">Jan-26</t>
        </is>
      </c>
      <c r="C137" s="1" t="inlineStr">
        <is>
          <t xml:space="preserve">Feb-26</t>
        </is>
      </c>
      <c r="D137" s="1" t="inlineStr">
        <is>
          <t xml:space="preserve">Mar-26</t>
        </is>
      </c>
      <c r="E137" s="1" t="inlineStr">
        <is>
          <t xml:space="preserve">Apr-26</t>
        </is>
      </c>
      <c r="F137" s="1" t="inlineStr">
        <is>
          <t xml:space="preserve">May-26</t>
        </is>
      </c>
      <c r="G137" s="1" t="inlineStr">
        <is>
          <t xml:space="preserve">Jun-26</t>
        </is>
      </c>
      <c r="H137" s="1" t="inlineStr">
        <is>
          <t xml:space="preserve">Jul-26</t>
        </is>
      </c>
      <c r="I137" s="1" t="inlineStr">
        <is>
          <t xml:space="preserve">Aug-26</t>
        </is>
      </c>
      <c r="J137" s="1" t="inlineStr">
        <is>
          <t xml:space="preserve">Sep-26</t>
        </is>
      </c>
    </row>
    <row r="138">
      <c r="A138" s="0" t="inlineStr">
        <is>
          <t xml:space="preserve">Pipeline created</t>
        </is>
      </c>
      <c r="B138" s="4">
        <f>'Company monthly and ARR bridge'!K9</f>
        <v>3924800</v>
      </c>
      <c r="C138" s="4">
        <f>'Company monthly and ARR bridge'!L9</f>
        <v>5215900</v>
      </c>
      <c r="D138" s="4">
        <f>'Company monthly and ARR bridge'!M9</f>
        <v>5343200</v>
      </c>
      <c r="E138" s="4">
        <f>'Company monthly and ARR bridge'!N9</f>
        <v>4193600</v>
      </c>
      <c r="F138" s="4">
        <f>'Company monthly and ARR bridge'!O9</f>
        <v>4812700</v>
      </c>
      <c r="G138" s="4">
        <f>'Company monthly and ARR bridge'!P9</f>
        <v>6979700</v>
      </c>
      <c r="H138" s="4">
        <f>'Company monthly and ARR bridge'!Q9</f>
        <v>3816900</v>
      </c>
      <c r="I138" s="4">
        <f>'Company monthly and ARR bridge'!R9</f>
        <v>4902900</v>
      </c>
      <c r="J138" s="4">
        <f>'Company monthly and ARR bridge'!S9</f>
        <v>2908400</v>
      </c>
    </row>
    <row r="157">
      <c r="A157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ARR at 31 Mar 2025</t>
        </is>
      </c>
      <c r="B2" s="6">
        <v>52600000</v>
      </c>
    </row>
    <row r="3">
      <c r="A3" s="0" t="inlineStr">
        <is>
          <t xml:space="preserve">New-logo kicker (% of new-logo ACV)</t>
        </is>
      </c>
      <c r="B3" s="14">
        <v>0.015</v>
      </c>
    </row>
    <row r="4">
      <c r="A4" s="0" t="inlineStr">
        <is>
          <t xml:space="preserve">Multi-year kicker (% of ACV per extra year)</t>
        </is>
      </c>
      <c r="B4" s="14">
        <v>0.01</v>
      </c>
    </row>
    <row r="5">
      <c r="A5" s="0" t="inlineStr">
        <is>
          <t xml:space="preserve">Security add-on SPIFF ($ per deal, Q3 2026)</t>
        </is>
      </c>
      <c r="B5" s="6">
        <v>2000</v>
      </c>
    </row>
    <row r="6">
      <c r="A6" s="0" t="inlineStr">
        <is>
          <t xml:space="preserve">Payout cap (× on-target variable)</t>
        </is>
      </c>
      <c r="B6" s="6">
        <v>3</v>
      </c>
    </row>
    <row r="7">
      <c r="A7" s="0" t="inlineStr">
        <is>
          <t xml:space="preserve">Forecast weight: commit</t>
        </is>
      </c>
      <c r="B7" s="14">
        <v>0.9</v>
      </c>
    </row>
    <row r="8">
      <c r="A8" s="0" t="inlineStr">
        <is>
          <t xml:space="preserve">Forecast weight: best case</t>
        </is>
      </c>
      <c r="B8" s="14">
        <v>0.5</v>
      </c>
    </row>
    <row r="9">
      <c r="A9" s="0" t="inlineStr">
        <is>
          <t xml:space="preserve">Forecast weight: pipeline</t>
        </is>
      </c>
      <c r="B9" s="14">
        <v>0.1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s="1" t="inlineStr">
        <is>
          <t xml:space="preserve">line</t>
        </is>
      </c>
      <c r="B1" s="1" t="inlineStr">
        <is>
          <t xml:space="preserve">Below 50%</t>
        </is>
      </c>
      <c r="C1" s="1" t="inlineStr">
        <is>
          <t xml:space="preserve">50% to 100%</t>
        </is>
      </c>
      <c r="D1" s="1" t="inlineStr">
        <is>
          <t xml:space="preserve">100% to 125%</t>
        </is>
      </c>
      <c r="E1" s="1" t="inlineStr">
        <is>
          <t xml:space="preserve">125% to 150%</t>
        </is>
      </c>
      <c r="F1" s="1" t="inlineStr">
        <is>
          <t xml:space="preserve">Above 150%</t>
        </is>
      </c>
      <c r="G1" s="1" t="inlineStr">
        <is>
          <t xml:space="preserve">Total</t>
        </is>
      </c>
    </row>
    <row r="2">
      <c r="A2" s="0" t="inlineStr">
        <is>
          <t xml:space="preserve">Attainment from</t>
        </is>
      </c>
      <c r="B2" s="14">
        <v>0</v>
      </c>
      <c r="C2" s="14">
        <v>0.5</v>
      </c>
      <c r="D2" s="14">
        <v>1</v>
      </c>
      <c r="E2" s="14">
        <v>1.25</v>
      </c>
      <c r="F2" s="14">
        <v>1.5</v>
      </c>
    </row>
    <row r="3">
      <c r="A3" s="0" t="inlineStr">
        <is>
          <t xml:space="preserve">Attainment to</t>
        </is>
      </c>
      <c r="B3" s="14">
        <v>0.5</v>
      </c>
      <c r="C3" s="14">
        <v>1</v>
      </c>
      <c r="D3" s="14">
        <v>1.25</v>
      </c>
      <c r="E3" s="14">
        <v>1.5</v>
      </c>
      <c r="F3" s="14">
        <v>9.99</v>
      </c>
    </row>
    <row r="4">
      <c r="A4" s="0" t="inlineStr">
        <is>
          <t xml:space="preserve">Rate multiplier (x)</t>
        </is>
      </c>
      <c r="B4" s="10">
        <v>0.75</v>
      </c>
      <c r="C4" s="10">
        <v>1</v>
      </c>
      <c r="D4" s="10">
        <v>1.5</v>
      </c>
      <c r="E4" s="10">
        <v>2</v>
      </c>
      <c r="F4" s="10">
        <v>3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cols>
    <col min="1" max="1" width="18" customWidth="1"/>
    <col min="2" max="2" width="3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</cols>
  <sheetData>
    <row r="1">
      <c r="A1" s="1" t="inlineStr">
        <is>
          <t xml:space="preserve">line</t>
        </is>
      </c>
      <c r="B1" s="1" t="inlineStr">
        <is>
          <t xml:space="preserve">rep</t>
        </is>
      </c>
      <c r="C1" s="1" t="inlineStr">
        <is>
          <t xml:space="preserve">Q2 2025</t>
        </is>
      </c>
      <c r="D1" s="1" t="inlineStr">
        <is>
          <t xml:space="preserve">Q3 2025</t>
        </is>
      </c>
      <c r="E1" s="1" t="inlineStr">
        <is>
          <t xml:space="preserve">Q4 2025</t>
        </is>
      </c>
      <c r="F1" s="1" t="inlineStr">
        <is>
          <t xml:space="preserve">Q1 2026</t>
        </is>
      </c>
      <c r="G1" s="1" t="inlineStr">
        <is>
          <t xml:space="preserve">Q2 2026</t>
        </is>
      </c>
      <c r="H1" s="1" t="inlineStr">
        <is>
          <t xml:space="preserve">Q3 2026</t>
        </is>
      </c>
      <c r="I1" s="1" t="inlineStr">
        <is>
          <t xml:space="preserve">Q4 2026</t>
        </is>
      </c>
    </row>
    <row r="2">
      <c r="A2" s="0" t="inlineStr">
        <is>
          <t xml:space="preserve">Quarterly quota</t>
        </is>
      </c>
      <c r="B2" s="0" t="inlineStr">
        <is>
          <t xml:space="preserve">Noor Ortiz</t>
        </is>
      </c>
      <c r="C2" s="6">
        <v>375000</v>
      </c>
      <c r="D2" s="6">
        <v>375000</v>
      </c>
      <c r="E2" s="6">
        <v>375000</v>
      </c>
      <c r="F2" s="6">
        <v>375000</v>
      </c>
      <c r="G2" s="6">
        <v>375000</v>
      </c>
      <c r="H2" s="6">
        <v>375000</v>
      </c>
      <c r="I2" s="6">
        <v>375000</v>
      </c>
    </row>
    <row r="3">
      <c r="A3" s="0" t="inlineStr">
        <is>
          <t xml:space="preserve">Quarterly quota</t>
        </is>
      </c>
      <c r="B3" s="0" t="inlineStr">
        <is>
          <t xml:space="preserve">Priya Yilmaz</t>
        </is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94000</v>
      </c>
      <c r="I3" s="6">
        <v>188000</v>
      </c>
    </row>
    <row r="4">
      <c r="A4" s="0" t="inlineStr">
        <is>
          <t xml:space="preserve">Quarterly quota</t>
        </is>
      </c>
      <c r="B4" s="0" t="inlineStr">
        <is>
          <t xml:space="preserve">Marcus Schmidt</t>
        </is>
      </c>
      <c r="C4" s="6">
        <v>0</v>
      </c>
      <c r="D4" s="6">
        <v>53000</v>
      </c>
      <c r="E4" s="6">
        <v>106000</v>
      </c>
      <c r="F4" s="6">
        <v>159000</v>
      </c>
      <c r="G4" s="6">
        <v>212000</v>
      </c>
      <c r="H4" s="6">
        <v>212000</v>
      </c>
      <c r="I4" s="6">
        <v>212000</v>
      </c>
    </row>
    <row r="5">
      <c r="A5" s="0" t="inlineStr">
        <is>
          <t xml:space="preserve">Quarterly quota</t>
        </is>
      </c>
      <c r="B5" s="0" t="inlineStr">
        <is>
          <t xml:space="preserve">Amara Haddad</t>
        </is>
      </c>
      <c r="C5" s="6">
        <v>212000</v>
      </c>
      <c r="D5" s="6">
        <v>212000</v>
      </c>
      <c r="E5" s="6">
        <v>212000</v>
      </c>
      <c r="F5" s="6">
        <v>212000</v>
      </c>
      <c r="G5" s="6">
        <v>212000</v>
      </c>
      <c r="H5" s="6">
        <v>212000</v>
      </c>
      <c r="I5" s="6">
        <v>212000</v>
      </c>
    </row>
    <row r="6">
      <c r="A6" s="0" t="inlineStr">
        <is>
          <t xml:space="preserve">Quarterly quota</t>
        </is>
      </c>
      <c r="B6" s="0" t="inlineStr">
        <is>
          <t xml:space="preserve">Fatima Silva</t>
        </is>
      </c>
      <c r="C6" s="6">
        <v>112000</v>
      </c>
      <c r="D6" s="6">
        <v>112000</v>
      </c>
      <c r="E6" s="6">
        <v>112000</v>
      </c>
      <c r="F6" s="6">
        <v>112000</v>
      </c>
      <c r="G6" s="6">
        <v>112000</v>
      </c>
      <c r="H6" s="6">
        <v>112000</v>
      </c>
      <c r="I6" s="6">
        <v>112000</v>
      </c>
    </row>
    <row r="7">
      <c r="A7" s="0" t="inlineStr">
        <is>
          <t xml:space="preserve">Quarterly quota</t>
        </is>
      </c>
      <c r="B7" s="0" t="inlineStr">
        <is>
          <t xml:space="preserve">Ana Ortiz</t>
        </is>
      </c>
      <c r="C7" s="6">
        <v>28000</v>
      </c>
      <c r="D7" s="6">
        <v>56000</v>
      </c>
      <c r="E7" s="6">
        <v>84000</v>
      </c>
      <c r="F7" s="6">
        <v>112000</v>
      </c>
      <c r="G7" s="6">
        <v>112000</v>
      </c>
      <c r="H7" s="6">
        <v>112000</v>
      </c>
      <c r="I7" s="6">
        <v>112000</v>
      </c>
    </row>
    <row r="8">
      <c r="A8" s="0" t="inlineStr">
        <is>
          <t xml:space="preserve">Quarterly quota</t>
        </is>
      </c>
      <c r="B8" s="0" t="inlineStr">
        <is>
          <t xml:space="preserve">Tobias Silva</t>
        </is>
      </c>
      <c r="C8" s="6">
        <v>375000</v>
      </c>
      <c r="D8" s="6">
        <v>375000</v>
      </c>
      <c r="E8" s="6">
        <v>375000</v>
      </c>
      <c r="F8" s="6">
        <v>375000</v>
      </c>
      <c r="G8" s="6">
        <v>375000</v>
      </c>
      <c r="H8" s="6">
        <v>375000</v>
      </c>
      <c r="I8" s="6">
        <v>375000</v>
      </c>
    </row>
    <row r="9">
      <c r="A9" s="0" t="inlineStr">
        <is>
          <t xml:space="preserve">Quarterly quota</t>
        </is>
      </c>
      <c r="B9" s="0" t="inlineStr">
        <is>
          <t xml:space="preserve">Leila Osei</t>
        </is>
      </c>
      <c r="C9" s="6">
        <v>375000</v>
      </c>
      <c r="D9" s="6">
        <v>375000</v>
      </c>
      <c r="E9" s="6">
        <v>375000</v>
      </c>
      <c r="F9" s="6">
        <v>375000</v>
      </c>
      <c r="G9" s="6">
        <v>375000</v>
      </c>
      <c r="H9" s="6">
        <v>375000</v>
      </c>
      <c r="I9" s="6">
        <v>375000</v>
      </c>
    </row>
    <row r="10">
      <c r="A10" s="0" t="inlineStr">
        <is>
          <t xml:space="preserve">Quarterly quota</t>
        </is>
      </c>
      <c r="B10" s="0" t="inlineStr">
        <is>
          <t xml:space="preserve">Grace Costa</t>
        </is>
      </c>
      <c r="C10" s="6">
        <v>212000</v>
      </c>
      <c r="D10" s="6">
        <v>212000</v>
      </c>
      <c r="E10" s="6">
        <v>212000</v>
      </c>
      <c r="F10" s="6">
        <v>212000</v>
      </c>
      <c r="G10" s="6">
        <v>212000</v>
      </c>
      <c r="H10" s="6">
        <v>212000</v>
      </c>
      <c r="I10" s="6">
        <v>212000</v>
      </c>
    </row>
    <row r="11">
      <c r="A11" s="0" t="inlineStr">
        <is>
          <t xml:space="preserve">Quarterly quota</t>
        </is>
      </c>
      <c r="B11" s="0" t="inlineStr">
        <is>
          <t xml:space="preserve">Ingrid Müller</t>
        </is>
      </c>
      <c r="C11" s="6">
        <v>0</v>
      </c>
      <c r="D11" s="6">
        <v>0</v>
      </c>
      <c r="E11" s="6">
        <v>0</v>
      </c>
      <c r="F11" s="6">
        <v>0</v>
      </c>
      <c r="G11" s="6">
        <v>53000</v>
      </c>
      <c r="H11" s="6">
        <v>106000</v>
      </c>
      <c r="I11" s="6">
        <v>159000</v>
      </c>
    </row>
    <row r="12">
      <c r="A12" s="0" t="inlineStr">
        <is>
          <t xml:space="preserve">Quarterly quota</t>
        </is>
      </c>
      <c r="B12" s="0" t="inlineStr">
        <is>
          <t xml:space="preserve">Ingrid Kim</t>
        </is>
      </c>
      <c r="C12" s="6">
        <v>112000</v>
      </c>
      <c r="D12" s="6">
        <v>112000</v>
      </c>
      <c r="E12" s="6">
        <v>112000</v>
      </c>
      <c r="F12" s="6">
        <v>112000</v>
      </c>
      <c r="G12" s="6">
        <v>112000</v>
      </c>
      <c r="H12" s="6">
        <v>112000</v>
      </c>
      <c r="I12" s="6">
        <v>112000</v>
      </c>
    </row>
    <row r="13">
      <c r="A13" s="0" t="inlineStr">
        <is>
          <t xml:space="preserve">Quarterly quota</t>
        </is>
      </c>
      <c r="B13" s="0" t="inlineStr">
        <is>
          <t xml:space="preserve">Priya Nair</t>
        </is>
      </c>
      <c r="C13" s="6">
        <v>112000</v>
      </c>
      <c r="D13" s="6">
        <v>112000</v>
      </c>
      <c r="E13" s="6">
        <v>112000</v>
      </c>
      <c r="F13" s="6">
        <v>112000</v>
      </c>
      <c r="G13" s="6">
        <v>112000</v>
      </c>
      <c r="H13" s="6">
        <v>112000</v>
      </c>
      <c r="I13" s="6">
        <v>112000</v>
      </c>
    </row>
    <row r="14">
      <c r="A14" s="0" t="inlineStr">
        <is>
          <t xml:space="preserve">Quarterly quota</t>
        </is>
      </c>
      <c r="B14" s="0" t="inlineStr">
        <is>
          <t xml:space="preserve">Hugo Lindqvist</t>
        </is>
      </c>
      <c r="C14" s="6">
        <v>338000</v>
      </c>
      <c r="D14" s="6">
        <v>338000</v>
      </c>
      <c r="E14" s="6">
        <v>338000</v>
      </c>
      <c r="F14" s="6">
        <v>338000</v>
      </c>
      <c r="G14" s="6">
        <v>338000</v>
      </c>
      <c r="H14" s="6">
        <v>338000</v>
      </c>
      <c r="I14" s="6">
        <v>338000</v>
      </c>
    </row>
    <row r="15">
      <c r="A15" s="0" t="inlineStr">
        <is>
          <t xml:space="preserve">Quarterly quota</t>
        </is>
      </c>
      <c r="B15" s="0" t="inlineStr">
        <is>
          <t xml:space="preserve">Wei Novak</t>
        </is>
      </c>
      <c r="C15" s="6">
        <v>0</v>
      </c>
      <c r="D15" s="6">
        <v>0</v>
      </c>
      <c r="E15" s="6">
        <v>0</v>
      </c>
      <c r="F15" s="6">
        <v>84000</v>
      </c>
      <c r="G15" s="6">
        <v>169000</v>
      </c>
      <c r="H15" s="6">
        <v>253000</v>
      </c>
      <c r="I15" s="6">
        <v>338000</v>
      </c>
    </row>
    <row r="16">
      <c r="A16" s="0" t="inlineStr">
        <is>
          <t xml:space="preserve">Quarterly quota</t>
        </is>
      </c>
      <c r="B16" s="0" t="inlineStr">
        <is>
          <t xml:space="preserve">Nikolai Kim</t>
        </is>
      </c>
      <c r="C16" s="6">
        <v>190000</v>
      </c>
      <c r="D16" s="6">
        <v>190000</v>
      </c>
      <c r="E16" s="6">
        <v>190000</v>
      </c>
      <c r="F16" s="6">
        <v>190000</v>
      </c>
      <c r="G16" s="6">
        <v>190000</v>
      </c>
      <c r="H16" s="6">
        <v>190000</v>
      </c>
      <c r="I16" s="6">
        <v>190000</v>
      </c>
    </row>
    <row r="17">
      <c r="A17" s="0" t="inlineStr">
        <is>
          <t xml:space="preserve">Quarterly quota</t>
        </is>
      </c>
      <c r="B17" s="0" t="inlineStr">
        <is>
          <t xml:space="preserve">Wei Nair</t>
        </is>
      </c>
      <c r="C17" s="6">
        <v>190000</v>
      </c>
      <c r="D17" s="6">
        <v>190000</v>
      </c>
      <c r="E17" s="6">
        <v>190000</v>
      </c>
      <c r="F17" s="6">
        <v>190000</v>
      </c>
      <c r="G17" s="6">
        <v>190000</v>
      </c>
      <c r="H17" s="6">
        <v>190000</v>
      </c>
      <c r="I17" s="6">
        <v>190000</v>
      </c>
    </row>
    <row r="18">
      <c r="A18" s="0" t="inlineStr">
        <is>
          <t xml:space="preserve">Quarterly quota</t>
        </is>
      </c>
      <c r="B18" s="0" t="inlineStr">
        <is>
          <t xml:space="preserve">Liam Silva</t>
        </is>
      </c>
      <c r="C18" s="6">
        <v>25000</v>
      </c>
      <c r="D18" s="6">
        <v>50000</v>
      </c>
      <c r="E18" s="6">
        <v>75000</v>
      </c>
      <c r="F18" s="6">
        <v>100000</v>
      </c>
      <c r="G18" s="6">
        <v>100000</v>
      </c>
      <c r="H18" s="6">
        <v>100000</v>
      </c>
      <c r="I18" s="6">
        <v>100000</v>
      </c>
    </row>
    <row r="19">
      <c r="A19" s="0" t="inlineStr">
        <is>
          <t xml:space="preserve">Quarterly quota</t>
        </is>
      </c>
      <c r="B19" s="0" t="inlineStr">
        <is>
          <t xml:space="preserve">Samuel Silva</t>
        </is>
      </c>
      <c r="C19" s="6">
        <v>100000</v>
      </c>
      <c r="D19" s="6">
        <v>100000</v>
      </c>
      <c r="E19" s="6">
        <v>100000</v>
      </c>
      <c r="F19" s="6">
        <v>100000</v>
      </c>
      <c r="G19" s="6">
        <v>100000</v>
      </c>
      <c r="H19" s="6">
        <v>100000</v>
      </c>
      <c r="I19" s="6">
        <v>100000</v>
      </c>
    </row>
    <row r="20">
      <c r="A20" s="0" t="inlineStr">
        <is>
          <t xml:space="preserve">Quarterly quota</t>
        </is>
      </c>
      <c r="B20" s="0" t="inlineStr">
        <is>
          <t xml:space="preserve">Yuki Larsen</t>
        </is>
      </c>
      <c r="C20" s="6">
        <v>262000</v>
      </c>
      <c r="D20" s="6">
        <v>262000</v>
      </c>
      <c r="E20" s="6">
        <v>262000</v>
      </c>
      <c r="F20" s="6">
        <v>262000</v>
      </c>
      <c r="G20" s="6">
        <v>262000</v>
      </c>
      <c r="H20" s="6">
        <v>262000</v>
      </c>
      <c r="I20" s="6">
        <v>262000</v>
      </c>
    </row>
    <row r="21">
      <c r="A21" s="0" t="inlineStr">
        <is>
          <t xml:space="preserve">Quarterly quota</t>
        </is>
      </c>
      <c r="B21" s="0" t="inlineStr">
        <is>
          <t xml:space="preserve">Nikolai Sato</t>
        </is>
      </c>
      <c r="C21" s="6">
        <v>262000</v>
      </c>
      <c r="D21" s="6">
        <v>262000</v>
      </c>
      <c r="E21" s="6">
        <v>262000</v>
      </c>
      <c r="F21" s="6">
        <v>262000</v>
      </c>
      <c r="G21" s="6">
        <v>262000</v>
      </c>
      <c r="H21" s="6">
        <v>262000</v>
      </c>
      <c r="I21" s="6">
        <v>262000</v>
      </c>
    </row>
    <row r="22">
      <c r="A22" s="0" t="inlineStr">
        <is>
          <t xml:space="preserve">Quarterly quota</t>
        </is>
      </c>
      <c r="B22" s="0" t="inlineStr">
        <is>
          <t xml:space="preserve">Elena Silva</t>
        </is>
      </c>
      <c r="C22" s="6">
        <v>112000</v>
      </c>
      <c r="D22" s="6">
        <v>150000</v>
      </c>
      <c r="E22" s="6">
        <v>150000</v>
      </c>
      <c r="F22" s="6">
        <v>150000</v>
      </c>
      <c r="G22" s="6">
        <v>150000</v>
      </c>
      <c r="H22" s="6">
        <v>150000</v>
      </c>
      <c r="I22" s="6">
        <v>150000</v>
      </c>
    </row>
    <row r="23">
      <c r="A23" s="0" t="inlineStr">
        <is>
          <t xml:space="preserve">Quarterly quota</t>
        </is>
      </c>
      <c r="B23" s="0" t="inlineStr">
        <is>
          <t xml:space="preserve">Arjun Müller</t>
        </is>
      </c>
      <c r="C23" s="6">
        <v>150000</v>
      </c>
      <c r="D23" s="6">
        <v>150000</v>
      </c>
      <c r="E23" s="6">
        <v>150000</v>
      </c>
      <c r="F23" s="6">
        <v>150000</v>
      </c>
      <c r="G23" s="6">
        <v>150000</v>
      </c>
      <c r="H23" s="6">
        <v>150000</v>
      </c>
      <c r="I23" s="6">
        <v>150000</v>
      </c>
    </row>
    <row r="24">
      <c r="A24" s="0" t="inlineStr">
        <is>
          <t xml:space="preserve">Quarterly quota</t>
        </is>
      </c>
      <c r="B24" s="0" t="inlineStr">
        <is>
          <t xml:space="preserve">Nikolai Park</t>
        </is>
      </c>
      <c r="C24" s="6">
        <v>0</v>
      </c>
      <c r="D24" s="6">
        <v>0</v>
      </c>
      <c r="E24" s="6">
        <v>0</v>
      </c>
      <c r="F24" s="6">
        <v>0</v>
      </c>
      <c r="G24" s="6">
        <v>20000</v>
      </c>
      <c r="H24" s="6">
        <v>40000</v>
      </c>
      <c r="I24" s="6">
        <v>60000</v>
      </c>
    </row>
    <row r="25">
      <c r="A25" s="0" t="inlineStr">
        <is>
          <t xml:space="preserve">Quarterly quota</t>
        </is>
      </c>
      <c r="B25" s="0" t="inlineStr">
        <is>
          <t xml:space="preserve">Ingrid Dubois</t>
        </is>
      </c>
      <c r="C25" s="6">
        <v>80000</v>
      </c>
      <c r="D25" s="6">
        <v>80000</v>
      </c>
      <c r="E25" s="6">
        <v>80000</v>
      </c>
      <c r="F25" s="6">
        <v>80000</v>
      </c>
      <c r="G25" s="6">
        <v>80000</v>
      </c>
      <c r="H25" s="6">
        <v>80000</v>
      </c>
      <c r="I25" s="6">
        <v>80000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3" ySplit="1" topLeftCell="D2" activePane="bottomRight" state="frozen"/>
    </sheetView>
  </sheetViews>
  <cols>
    <col min="1" max="1" width="18" customWidth="1"/>
    <col min="2" max="2" width="18" customWidth="1"/>
    <col min="3" max="3" width="3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</cols>
  <sheetData>
    <row r="1">
      <c r="A1" s="1" t="inlineStr">
        <is>
          <t xml:space="preserve">line</t>
        </is>
      </c>
      <c r="B1" s="1" t="inlineStr">
        <is>
          <t xml:space="preserve">channel</t>
        </is>
      </c>
      <c r="C1" s="1" t="inlineStr">
        <is>
          <t xml:space="preserve">region</t>
        </is>
      </c>
      <c r="D1" s="1" t="inlineStr">
        <is>
          <t xml:space="preserve">Apr-25</t>
        </is>
      </c>
      <c r="E1" s="1" t="inlineStr">
        <is>
          <t xml:space="preserve">May-25</t>
        </is>
      </c>
      <c r="F1" s="1" t="inlineStr">
        <is>
          <t xml:space="preserve">Jun-25</t>
        </is>
      </c>
      <c r="G1" s="1" t="inlineStr">
        <is>
          <t xml:space="preserve">Jul-25</t>
        </is>
      </c>
      <c r="H1" s="1" t="inlineStr">
        <is>
          <t xml:space="preserve">Aug-25</t>
        </is>
      </c>
      <c r="I1" s="1" t="inlineStr">
        <is>
          <t xml:space="preserve">Sep-25</t>
        </is>
      </c>
      <c r="J1" s="1" t="inlineStr">
        <is>
          <t xml:space="preserve">Oct-25</t>
        </is>
      </c>
      <c r="K1" s="1" t="inlineStr">
        <is>
          <t xml:space="preserve">Nov-25</t>
        </is>
      </c>
      <c r="L1" s="1" t="inlineStr">
        <is>
          <t xml:space="preserve">Dec-25</t>
        </is>
      </c>
      <c r="M1" s="1" t="inlineStr">
        <is>
          <t xml:space="preserve">Jan-26</t>
        </is>
      </c>
      <c r="N1" s="1" t="inlineStr">
        <is>
          <t xml:space="preserve">Feb-26</t>
        </is>
      </c>
      <c r="O1" s="1" t="inlineStr">
        <is>
          <t xml:space="preserve">Mar-26</t>
        </is>
      </c>
      <c r="P1" s="1" t="inlineStr">
        <is>
          <t xml:space="preserve">Apr-26</t>
        </is>
      </c>
      <c r="Q1" s="1" t="inlineStr">
        <is>
          <t xml:space="preserve">May-26</t>
        </is>
      </c>
      <c r="R1" s="1" t="inlineStr">
        <is>
          <t xml:space="preserve">Jun-26</t>
        </is>
      </c>
      <c r="S1" s="1" t="inlineStr">
        <is>
          <t xml:space="preserve">Jul-26</t>
        </is>
      </c>
      <c r="T1" s="1" t="inlineStr">
        <is>
          <t xml:space="preserve">Aug-26</t>
        </is>
      </c>
      <c r="U1" s="1" t="inlineStr">
        <is>
          <t xml:space="preserve">Sep-26</t>
        </is>
      </c>
      <c r="V1" s="1" t="inlineStr">
        <is>
          <t xml:space="preserve">Oct-26</t>
        </is>
      </c>
      <c r="W1" s="1" t="inlineStr">
        <is>
          <t xml:space="preserve">Nov-26</t>
        </is>
      </c>
      <c r="X1" s="1" t="inlineStr">
        <is>
          <t xml:space="preserve">Dec-26</t>
        </is>
      </c>
    </row>
    <row r="2">
      <c r="A2" s="0" t="inlineStr">
        <is>
          <t xml:space="preserve">Spend</t>
        </is>
      </c>
      <c r="B2" s="0" t="inlineStr">
        <is>
          <t xml:space="preserve">Inbound (web &amp; content)</t>
        </is>
      </c>
      <c r="C2" s="0" t="inlineStr">
        <is>
          <t xml:space="preserve">AMER East</t>
        </is>
      </c>
      <c r="D2" s="4">
        <f>SUMIFS('Marketing spend and leads'!$E$2:$E$337,'Marketing spend and leads'!$B$2:$B$337,"inbound",'Marketing spend and leads'!$C$2:$C$337,"amer_east",'Marketing spend and leads'!$D$2:$D$337,"apr25")</f>
        <v>16750</v>
      </c>
      <c r="E2" s="4">
        <f>SUMIFS('Marketing spend and leads'!$E$2:$E$337,'Marketing spend and leads'!$B$2:$B$337,"inbound",'Marketing spend and leads'!$C$2:$C$337,"amer_east",'Marketing spend and leads'!$D$2:$D$337,"may25")</f>
        <v>15260</v>
      </c>
      <c r="F2" s="4">
        <f>SUMIFS('Marketing spend and leads'!$E$2:$E$337,'Marketing spend and leads'!$B$2:$B$337,"inbound",'Marketing spend and leads'!$C$2:$C$337,"amer_east",'Marketing spend and leads'!$D$2:$D$337,"jun25")</f>
        <v>18280</v>
      </c>
      <c r="G2" s="4">
        <f>SUMIFS('Marketing spend and leads'!$E$2:$E$337,'Marketing spend and leads'!$B$2:$B$337,"inbound",'Marketing spend and leads'!$C$2:$C$337,"amer_east",'Marketing spend and leads'!$D$2:$D$337,"jul25")</f>
        <v>14890</v>
      </c>
      <c r="H2" s="4">
        <f>SUMIFS('Marketing spend and leads'!$E$2:$E$337,'Marketing spend and leads'!$B$2:$B$337,"inbound",'Marketing spend and leads'!$C$2:$C$337,"amer_east",'Marketing spend and leads'!$D$2:$D$337,"aug25")</f>
        <v>14360</v>
      </c>
      <c r="I2" s="4">
        <f>SUMIFS('Marketing spend and leads'!$E$2:$E$337,'Marketing spend and leads'!$B$2:$B$337,"inbound",'Marketing spend and leads'!$C$2:$C$337,"amer_east",'Marketing spend and leads'!$D$2:$D$337,"sep25")</f>
        <v>15400</v>
      </c>
      <c r="J2" s="4">
        <f>SUMIFS('Marketing spend and leads'!$E$2:$E$337,'Marketing spend and leads'!$B$2:$B$337,"inbound",'Marketing spend and leads'!$C$2:$C$337,"amer_east",'Marketing spend and leads'!$D$2:$D$337,"oct25")</f>
        <v>11700</v>
      </c>
      <c r="K2" s="4">
        <f>SUMIFS('Marketing spend and leads'!$E$2:$E$337,'Marketing spend and leads'!$B$2:$B$337,"inbound",'Marketing spend and leads'!$C$2:$C$337,"amer_east",'Marketing spend and leads'!$D$2:$D$337,"nov25")</f>
        <v>12590</v>
      </c>
      <c r="L2" s="4">
        <f>SUMIFS('Marketing spend and leads'!$E$2:$E$337,'Marketing spend and leads'!$B$2:$B$337,"inbound",'Marketing spend and leads'!$C$2:$C$337,"amer_east",'Marketing spend and leads'!$D$2:$D$337,"dec25")</f>
        <v>16580</v>
      </c>
      <c r="M2" s="4">
        <f>SUMIFS('Marketing spend and leads'!$E$2:$E$337,'Marketing spend and leads'!$B$2:$B$337,"inbound",'Marketing spend and leads'!$C$2:$C$337,"amer_east",'Marketing spend and leads'!$D$2:$D$337,"jan26")</f>
        <v>13900</v>
      </c>
      <c r="N2" s="4">
        <f>SUMIFS('Marketing spend and leads'!$E$2:$E$337,'Marketing spend and leads'!$B$2:$B$337,"inbound",'Marketing spend and leads'!$C$2:$C$337,"amer_east",'Marketing spend and leads'!$D$2:$D$337,"feb26")</f>
        <v>15670</v>
      </c>
      <c r="O2" s="4">
        <f>SUMIFS('Marketing spend and leads'!$E$2:$E$337,'Marketing spend and leads'!$B$2:$B$337,"inbound",'Marketing spend and leads'!$C$2:$C$337,"amer_east",'Marketing spend and leads'!$D$2:$D$337,"mar26")</f>
        <v>19020</v>
      </c>
      <c r="P2" s="4">
        <f>SUMIFS('Marketing spend and leads'!$E$2:$E$337,'Marketing spend and leads'!$B$2:$B$337,"inbound",'Marketing spend and leads'!$C$2:$C$337,"amer_east",'Marketing spend and leads'!$D$2:$D$337,"apr26")</f>
        <v>16570</v>
      </c>
      <c r="Q2" s="4">
        <f>SUMIFS('Marketing spend and leads'!$E$2:$E$337,'Marketing spend and leads'!$B$2:$B$337,"inbound",'Marketing spend and leads'!$C$2:$C$337,"amer_east",'Marketing spend and leads'!$D$2:$D$337,"may26")</f>
        <v>17100</v>
      </c>
      <c r="R2" s="4">
        <f>SUMIFS('Marketing spend and leads'!$E$2:$E$337,'Marketing spend and leads'!$B$2:$B$337,"inbound",'Marketing spend and leads'!$C$2:$C$337,"amer_east",'Marketing spend and leads'!$D$2:$D$337,"jun26")</f>
        <v>16850</v>
      </c>
      <c r="S2" s="4">
        <f>SUMIFS('Marketing spend and leads'!$E$2:$E$337,'Marketing spend and leads'!$B$2:$B$337,"inbound",'Marketing spend and leads'!$C$2:$C$337,"amer_east",'Marketing spend and leads'!$D$2:$D$337,"jul26")</f>
        <v>13780</v>
      </c>
      <c r="T2" s="4">
        <f>SUMIFS('Marketing spend and leads'!$E$2:$E$337,'Marketing spend and leads'!$B$2:$B$337,"inbound",'Marketing spend and leads'!$C$2:$C$337,"amer_east",'Marketing spend and leads'!$D$2:$D$337,"aug26")</f>
        <v>11260</v>
      </c>
      <c r="U2" s="4">
        <f>SUMIFS('Marketing spend and leads'!$E$2:$E$337,'Marketing spend and leads'!$B$2:$B$337,"inbound",'Marketing spend and leads'!$C$2:$C$337,"amer_east",'Marketing spend and leads'!$D$2:$D$337,"sep26")</f>
        <v>16370</v>
      </c>
      <c r="V2" s="4">
        <f>SUMIFS('Marketing spend and leads'!$E$2:$E$337,'Marketing spend and leads'!$B$2:$B$337,"inbound",'Marketing spend and leads'!$C$2:$C$337,"amer_east",'Marketing spend and leads'!$D$2:$D$337,"oct26")</f>
        <v>11880</v>
      </c>
      <c r="W2" s="4">
        <f>SUMIFS('Marketing spend and leads'!$E$2:$E$337,'Marketing spend and leads'!$B$2:$B$337,"inbound",'Marketing spend and leads'!$C$2:$C$337,"amer_east",'Marketing spend and leads'!$D$2:$D$337,"nov26")</f>
        <v>11690</v>
      </c>
      <c r="X2" s="4">
        <f>SUMIFS('Marketing spend and leads'!$E$2:$E$337,'Marketing spend and leads'!$B$2:$B$337,"inbound",'Marketing spend and leads'!$C$2:$C$337,"amer_east",'Marketing spend and leads'!$D$2:$D$337,"dec26")</f>
        <v>14230</v>
      </c>
    </row>
    <row r="3">
      <c r="A3" s="0" t="inlineStr">
        <is>
          <t xml:space="preserve">Spend</t>
        </is>
      </c>
      <c r="B3" s="0" t="inlineStr">
        <is>
          <t xml:space="preserve">Inbound (web &amp; content)</t>
        </is>
      </c>
      <c r="C3" s="0" t="inlineStr">
        <is>
          <t xml:space="preserve">AMER West</t>
        </is>
      </c>
      <c r="D3" s="4">
        <f>SUMIFS('Marketing spend and leads'!$E$2:$E$337,'Marketing spend and leads'!$B$2:$B$337,"inbound",'Marketing spend and leads'!$C$2:$C$337,"amer_west",'Marketing spend and leads'!$D$2:$D$337,"apr25")</f>
        <v>13140</v>
      </c>
      <c r="E3" s="4">
        <f>SUMIFS('Marketing spend and leads'!$E$2:$E$337,'Marketing spend and leads'!$B$2:$B$337,"inbound",'Marketing spend and leads'!$C$2:$C$337,"amer_west",'Marketing spend and leads'!$D$2:$D$337,"may25")</f>
        <v>14960</v>
      </c>
      <c r="F3" s="4">
        <f>SUMIFS('Marketing spend and leads'!$E$2:$E$337,'Marketing spend and leads'!$B$2:$B$337,"inbound",'Marketing spend and leads'!$C$2:$C$337,"amer_west",'Marketing spend and leads'!$D$2:$D$337,"jun25")</f>
        <v>15350</v>
      </c>
      <c r="G3" s="4">
        <f>SUMIFS('Marketing spend and leads'!$E$2:$E$337,'Marketing spend and leads'!$B$2:$B$337,"inbound",'Marketing spend and leads'!$C$2:$C$337,"amer_west",'Marketing spend and leads'!$D$2:$D$337,"jul25")</f>
        <v>13600</v>
      </c>
      <c r="H3" s="4">
        <f>SUMIFS('Marketing spend and leads'!$E$2:$E$337,'Marketing spend and leads'!$B$2:$B$337,"inbound",'Marketing spend and leads'!$C$2:$C$337,"amer_west",'Marketing spend and leads'!$D$2:$D$337,"aug25")</f>
        <v>13620</v>
      </c>
      <c r="I3" s="4">
        <f>SUMIFS('Marketing spend and leads'!$E$2:$E$337,'Marketing spend and leads'!$B$2:$B$337,"inbound",'Marketing spend and leads'!$C$2:$C$337,"amer_west",'Marketing spend and leads'!$D$2:$D$337,"sep25")</f>
        <v>15970</v>
      </c>
      <c r="J3" s="4">
        <f>SUMIFS('Marketing spend and leads'!$E$2:$E$337,'Marketing spend and leads'!$B$2:$B$337,"inbound",'Marketing spend and leads'!$C$2:$C$337,"amer_west",'Marketing spend and leads'!$D$2:$D$337,"oct25")</f>
        <v>12830</v>
      </c>
      <c r="K3" s="4">
        <f>SUMIFS('Marketing spend and leads'!$E$2:$E$337,'Marketing spend and leads'!$B$2:$B$337,"inbound",'Marketing spend and leads'!$C$2:$C$337,"amer_west",'Marketing spend and leads'!$D$2:$D$337,"nov25")</f>
        <v>12660</v>
      </c>
      <c r="L3" s="4">
        <f>SUMIFS('Marketing spend and leads'!$E$2:$E$337,'Marketing spend and leads'!$B$2:$B$337,"inbound",'Marketing spend and leads'!$C$2:$C$337,"amer_west",'Marketing spend and leads'!$D$2:$D$337,"dec25")</f>
        <v>14440</v>
      </c>
      <c r="M3" s="4">
        <f>SUMIFS('Marketing spend and leads'!$E$2:$E$337,'Marketing spend and leads'!$B$2:$B$337,"inbound",'Marketing spend and leads'!$C$2:$C$337,"amer_west",'Marketing spend and leads'!$D$2:$D$337,"jan26")</f>
        <v>11500</v>
      </c>
      <c r="N3" s="4">
        <f>SUMIFS('Marketing spend and leads'!$E$2:$E$337,'Marketing spend and leads'!$B$2:$B$337,"inbound",'Marketing spend and leads'!$C$2:$C$337,"amer_west",'Marketing spend and leads'!$D$2:$D$337,"feb26")</f>
        <v>15890</v>
      </c>
      <c r="O3" s="4">
        <f>SUMIFS('Marketing spend and leads'!$E$2:$E$337,'Marketing spend and leads'!$B$2:$B$337,"inbound",'Marketing spend and leads'!$C$2:$C$337,"amer_west",'Marketing spend and leads'!$D$2:$D$337,"mar26")</f>
        <v>16430</v>
      </c>
      <c r="P3" s="4">
        <f>SUMIFS('Marketing spend and leads'!$E$2:$E$337,'Marketing spend and leads'!$B$2:$B$337,"inbound",'Marketing spend and leads'!$C$2:$C$337,"amer_west",'Marketing spend and leads'!$D$2:$D$337,"apr26")</f>
        <v>14570</v>
      </c>
      <c r="Q3" s="4">
        <f>SUMIFS('Marketing spend and leads'!$E$2:$E$337,'Marketing spend and leads'!$B$2:$B$337,"inbound",'Marketing spend and leads'!$C$2:$C$337,"amer_west",'Marketing spend and leads'!$D$2:$D$337,"may26")</f>
        <v>14000</v>
      </c>
      <c r="R3" s="4">
        <f>SUMIFS('Marketing spend and leads'!$E$2:$E$337,'Marketing spend and leads'!$B$2:$B$337,"inbound",'Marketing spend and leads'!$C$2:$C$337,"amer_west",'Marketing spend and leads'!$D$2:$D$337,"jun26")</f>
        <v>15310</v>
      </c>
      <c r="S3" s="4">
        <f>SUMIFS('Marketing spend and leads'!$E$2:$E$337,'Marketing spend and leads'!$B$2:$B$337,"inbound",'Marketing spend and leads'!$C$2:$C$337,"amer_west",'Marketing spend and leads'!$D$2:$D$337,"jul26")</f>
        <v>13320</v>
      </c>
      <c r="T3" s="4">
        <f>SUMIFS('Marketing spend and leads'!$E$2:$E$337,'Marketing spend and leads'!$B$2:$B$337,"inbound",'Marketing spend and leads'!$C$2:$C$337,"amer_west",'Marketing spend and leads'!$D$2:$D$337,"aug26")</f>
        <v>13150</v>
      </c>
      <c r="U3" s="4">
        <f>SUMIFS('Marketing spend and leads'!$E$2:$E$337,'Marketing spend and leads'!$B$2:$B$337,"inbound",'Marketing spend and leads'!$C$2:$C$337,"amer_west",'Marketing spend and leads'!$D$2:$D$337,"sep26")</f>
        <v>16820</v>
      </c>
      <c r="V3" s="4">
        <f>SUMIFS('Marketing spend and leads'!$E$2:$E$337,'Marketing spend and leads'!$B$2:$B$337,"inbound",'Marketing spend and leads'!$C$2:$C$337,"amer_west",'Marketing spend and leads'!$D$2:$D$337,"oct26")</f>
        <v>13720</v>
      </c>
      <c r="W3" s="4">
        <f>SUMIFS('Marketing spend and leads'!$E$2:$E$337,'Marketing spend and leads'!$B$2:$B$337,"inbound",'Marketing spend and leads'!$C$2:$C$337,"amer_west",'Marketing spend and leads'!$D$2:$D$337,"nov26")</f>
        <v>11900</v>
      </c>
      <c r="X3" s="4">
        <f>SUMIFS('Marketing spend and leads'!$E$2:$E$337,'Marketing spend and leads'!$B$2:$B$337,"inbound",'Marketing spend and leads'!$C$2:$C$337,"amer_west",'Marketing spend and leads'!$D$2:$D$337,"dec26")</f>
        <v>15630</v>
      </c>
    </row>
    <row r="4">
      <c r="A4" s="0" t="inlineStr">
        <is>
          <t xml:space="preserve">Spend</t>
        </is>
      </c>
      <c r="B4" s="0" t="inlineStr">
        <is>
          <t xml:space="preserve">Inbound (web &amp; content)</t>
        </is>
      </c>
      <c r="C4" s="0" t="inlineStr">
        <is>
          <t xml:space="preserve">EMEA</t>
        </is>
      </c>
      <c r="D4" s="4">
        <f>SUMIFS('Marketing spend and leads'!$E$2:$E$337,'Marketing spend and leads'!$B$2:$B$337,"inbound",'Marketing spend and leads'!$C$2:$C$337,"emea",'Marketing spend and leads'!$D$2:$D$337,"apr25")</f>
        <v>12470</v>
      </c>
      <c r="E4" s="4">
        <f>SUMIFS('Marketing spend and leads'!$E$2:$E$337,'Marketing spend and leads'!$B$2:$B$337,"inbound",'Marketing spend and leads'!$C$2:$C$337,"emea",'Marketing spend and leads'!$D$2:$D$337,"may25")</f>
        <v>13930</v>
      </c>
      <c r="F4" s="4">
        <f>SUMIFS('Marketing spend and leads'!$E$2:$E$337,'Marketing spend and leads'!$B$2:$B$337,"inbound",'Marketing spend and leads'!$C$2:$C$337,"emea",'Marketing spend and leads'!$D$2:$D$337,"jun25")</f>
        <v>14160</v>
      </c>
      <c r="G4" s="4">
        <f>SUMIFS('Marketing spend and leads'!$E$2:$E$337,'Marketing spend and leads'!$B$2:$B$337,"inbound",'Marketing spend and leads'!$C$2:$C$337,"emea",'Marketing spend and leads'!$D$2:$D$337,"jul25")</f>
        <v>11810</v>
      </c>
      <c r="H4" s="4">
        <f>SUMIFS('Marketing spend and leads'!$E$2:$E$337,'Marketing spend and leads'!$B$2:$B$337,"inbound",'Marketing spend and leads'!$C$2:$C$337,"emea",'Marketing spend and leads'!$D$2:$D$337,"aug25")</f>
        <v>10540</v>
      </c>
      <c r="I4" s="4">
        <f>SUMIFS('Marketing spend and leads'!$E$2:$E$337,'Marketing spend and leads'!$B$2:$B$337,"inbound",'Marketing spend and leads'!$C$2:$C$337,"emea",'Marketing spend and leads'!$D$2:$D$337,"sep25")</f>
        <v>12560</v>
      </c>
      <c r="J4" s="4">
        <f>SUMIFS('Marketing spend and leads'!$E$2:$E$337,'Marketing spend and leads'!$B$2:$B$337,"inbound",'Marketing spend and leads'!$C$2:$C$337,"emea",'Marketing spend and leads'!$D$2:$D$337,"oct25")</f>
        <v>10200</v>
      </c>
      <c r="K4" s="4">
        <f>SUMIFS('Marketing spend and leads'!$E$2:$E$337,'Marketing spend and leads'!$B$2:$B$337,"inbound",'Marketing spend and leads'!$C$2:$C$337,"emea",'Marketing spend and leads'!$D$2:$D$337,"nov25")</f>
        <v>9550</v>
      </c>
      <c r="L4" s="4">
        <f>SUMIFS('Marketing spend and leads'!$E$2:$E$337,'Marketing spend and leads'!$B$2:$B$337,"inbound",'Marketing spend and leads'!$C$2:$C$337,"emea",'Marketing spend and leads'!$D$2:$D$337,"dec25")</f>
        <v>12000</v>
      </c>
      <c r="M4" s="4">
        <f>SUMIFS('Marketing spend and leads'!$E$2:$E$337,'Marketing spend and leads'!$B$2:$B$337,"inbound",'Marketing spend and leads'!$C$2:$C$337,"emea",'Marketing spend and leads'!$D$2:$D$337,"jan26")</f>
        <v>13070</v>
      </c>
      <c r="N4" s="4">
        <f>SUMIFS('Marketing spend and leads'!$E$2:$E$337,'Marketing spend and leads'!$B$2:$B$337,"inbound",'Marketing spend and leads'!$C$2:$C$337,"emea",'Marketing spend and leads'!$D$2:$D$337,"feb26")</f>
        <v>11880</v>
      </c>
      <c r="O4" s="4">
        <f>SUMIFS('Marketing spend and leads'!$E$2:$E$337,'Marketing spend and leads'!$B$2:$B$337,"inbound",'Marketing spend and leads'!$C$2:$C$337,"emea",'Marketing spend and leads'!$D$2:$D$337,"mar26")</f>
        <v>15310</v>
      </c>
      <c r="P4" s="4">
        <f>SUMIFS('Marketing spend and leads'!$E$2:$E$337,'Marketing spend and leads'!$B$2:$B$337,"inbound",'Marketing spend and leads'!$C$2:$C$337,"emea",'Marketing spend and leads'!$D$2:$D$337,"apr26")</f>
        <v>10970</v>
      </c>
      <c r="Q4" s="4">
        <f>SUMIFS('Marketing spend and leads'!$E$2:$E$337,'Marketing spend and leads'!$B$2:$B$337,"inbound",'Marketing spend and leads'!$C$2:$C$337,"emea",'Marketing spend and leads'!$D$2:$D$337,"may26")</f>
        <v>11220</v>
      </c>
      <c r="R4" s="4">
        <f>SUMIFS('Marketing spend and leads'!$E$2:$E$337,'Marketing spend and leads'!$B$2:$B$337,"inbound",'Marketing spend and leads'!$C$2:$C$337,"emea",'Marketing spend and leads'!$D$2:$D$337,"jun26")</f>
        <v>13970</v>
      </c>
      <c r="S4" s="4">
        <f>SUMIFS('Marketing spend and leads'!$E$2:$E$337,'Marketing spend and leads'!$B$2:$B$337,"inbound",'Marketing spend and leads'!$C$2:$C$337,"emea",'Marketing spend and leads'!$D$2:$D$337,"jul26")</f>
        <v>10090</v>
      </c>
      <c r="T4" s="4">
        <f>SUMIFS('Marketing spend and leads'!$E$2:$E$337,'Marketing spend and leads'!$B$2:$B$337,"inbound",'Marketing spend and leads'!$C$2:$C$337,"emea",'Marketing spend and leads'!$D$2:$D$337,"aug26")</f>
        <v>9560</v>
      </c>
      <c r="U4" s="4">
        <f>SUMIFS('Marketing spend and leads'!$E$2:$E$337,'Marketing spend and leads'!$B$2:$B$337,"inbound",'Marketing spend and leads'!$C$2:$C$337,"emea",'Marketing spend and leads'!$D$2:$D$337,"sep26")</f>
        <v>13810</v>
      </c>
      <c r="V4" s="4">
        <f>SUMIFS('Marketing spend and leads'!$E$2:$E$337,'Marketing spend and leads'!$B$2:$B$337,"inbound",'Marketing spend and leads'!$C$2:$C$337,"emea",'Marketing spend and leads'!$D$2:$D$337,"oct26")</f>
        <v>10680</v>
      </c>
      <c r="W4" s="4">
        <f>SUMIFS('Marketing spend and leads'!$E$2:$E$337,'Marketing spend and leads'!$B$2:$B$337,"inbound",'Marketing spend and leads'!$C$2:$C$337,"emea",'Marketing spend and leads'!$D$2:$D$337,"nov26")</f>
        <v>9960</v>
      </c>
      <c r="X4" s="4">
        <f>SUMIFS('Marketing spend and leads'!$E$2:$E$337,'Marketing spend and leads'!$B$2:$B$337,"inbound",'Marketing spend and leads'!$C$2:$C$337,"emea",'Marketing spend and leads'!$D$2:$D$337,"dec26")</f>
        <v>12180</v>
      </c>
    </row>
    <row r="5">
      <c r="A5" s="0" t="inlineStr">
        <is>
          <t xml:space="preserve">Spend</t>
        </is>
      </c>
      <c r="B5" s="0" t="inlineStr">
        <is>
          <t xml:space="preserve">Inbound (web &amp; content)</t>
        </is>
      </c>
      <c r="C5" s="0" t="inlineStr">
        <is>
          <t xml:space="preserve">APAC</t>
        </is>
      </c>
      <c r="D5" s="4">
        <f>SUMIFS('Marketing spend and leads'!$E$2:$E$337,'Marketing spend and leads'!$B$2:$B$337,"inbound",'Marketing spend and leads'!$C$2:$C$337,"apac",'Marketing spend and leads'!$D$2:$D$337,"apr25")</f>
        <v>7710</v>
      </c>
      <c r="E5" s="4">
        <f>SUMIFS('Marketing spend and leads'!$E$2:$E$337,'Marketing spend and leads'!$B$2:$B$337,"inbound",'Marketing spend and leads'!$C$2:$C$337,"apac",'Marketing spend and leads'!$D$2:$D$337,"may25")</f>
        <v>8520</v>
      </c>
      <c r="F5" s="4">
        <f>SUMIFS('Marketing spend and leads'!$E$2:$E$337,'Marketing spend and leads'!$B$2:$B$337,"inbound",'Marketing spend and leads'!$C$2:$C$337,"apac",'Marketing spend and leads'!$D$2:$D$337,"jun25")</f>
        <v>9980</v>
      </c>
      <c r="G5" s="4">
        <f>SUMIFS('Marketing spend and leads'!$E$2:$E$337,'Marketing spend and leads'!$B$2:$B$337,"inbound",'Marketing spend and leads'!$C$2:$C$337,"apac",'Marketing spend and leads'!$D$2:$D$337,"jul25")</f>
        <v>7350</v>
      </c>
      <c r="H5" s="4">
        <f>SUMIFS('Marketing spend and leads'!$E$2:$E$337,'Marketing spend and leads'!$B$2:$B$337,"inbound",'Marketing spend and leads'!$C$2:$C$337,"apac",'Marketing spend and leads'!$D$2:$D$337,"aug25")</f>
        <v>6590</v>
      </c>
      <c r="I5" s="4">
        <f>SUMIFS('Marketing spend and leads'!$E$2:$E$337,'Marketing spend and leads'!$B$2:$B$337,"inbound",'Marketing spend and leads'!$C$2:$C$337,"apac",'Marketing spend and leads'!$D$2:$D$337,"sep25")</f>
        <v>7110</v>
      </c>
      <c r="J5" s="4">
        <f>SUMIFS('Marketing spend and leads'!$E$2:$E$337,'Marketing spend and leads'!$B$2:$B$337,"inbound",'Marketing spend and leads'!$C$2:$C$337,"apac",'Marketing spend and leads'!$D$2:$D$337,"oct25")</f>
        <v>6230</v>
      </c>
      <c r="K5" s="4">
        <f>SUMIFS('Marketing spend and leads'!$E$2:$E$337,'Marketing spend and leads'!$B$2:$B$337,"inbound",'Marketing spend and leads'!$C$2:$C$337,"apac",'Marketing spend and leads'!$D$2:$D$337,"nov25")</f>
        <v>6230</v>
      </c>
      <c r="L5" s="4">
        <f>SUMIFS('Marketing spend and leads'!$E$2:$E$337,'Marketing spend and leads'!$B$2:$B$337,"inbound",'Marketing spend and leads'!$C$2:$C$337,"apac",'Marketing spend and leads'!$D$2:$D$337,"dec25")</f>
        <v>7070</v>
      </c>
      <c r="M5" s="4">
        <f>SUMIFS('Marketing spend and leads'!$E$2:$E$337,'Marketing spend and leads'!$B$2:$B$337,"inbound",'Marketing spend and leads'!$C$2:$C$337,"apac",'Marketing spend and leads'!$D$2:$D$337,"jan26")</f>
        <v>6220</v>
      </c>
      <c r="N5" s="4">
        <f>SUMIFS('Marketing spend and leads'!$E$2:$E$337,'Marketing spend and leads'!$B$2:$B$337,"inbound",'Marketing spend and leads'!$C$2:$C$337,"apac",'Marketing spend and leads'!$D$2:$D$337,"feb26")</f>
        <v>7230</v>
      </c>
      <c r="O5" s="4">
        <f>SUMIFS('Marketing spend and leads'!$E$2:$E$337,'Marketing spend and leads'!$B$2:$B$337,"inbound",'Marketing spend and leads'!$C$2:$C$337,"apac",'Marketing spend and leads'!$D$2:$D$337,"mar26")</f>
        <v>9880</v>
      </c>
      <c r="P5" s="4">
        <f>SUMIFS('Marketing spend and leads'!$E$2:$E$337,'Marketing spend and leads'!$B$2:$B$337,"inbound",'Marketing spend and leads'!$C$2:$C$337,"apac",'Marketing spend and leads'!$D$2:$D$337,"apr26")</f>
        <v>7540</v>
      </c>
      <c r="Q5" s="4">
        <f>SUMIFS('Marketing spend and leads'!$E$2:$E$337,'Marketing spend and leads'!$B$2:$B$337,"inbound",'Marketing spend and leads'!$C$2:$C$337,"apac",'Marketing spend and leads'!$D$2:$D$337,"may26")</f>
        <v>6800</v>
      </c>
      <c r="R5" s="4">
        <f>SUMIFS('Marketing spend and leads'!$E$2:$E$337,'Marketing spend and leads'!$B$2:$B$337,"inbound",'Marketing spend and leads'!$C$2:$C$337,"apac",'Marketing spend and leads'!$D$2:$D$337,"jun26")</f>
        <v>8140</v>
      </c>
      <c r="S5" s="4">
        <f>SUMIFS('Marketing spend and leads'!$E$2:$E$337,'Marketing spend and leads'!$B$2:$B$337,"inbound",'Marketing spend and leads'!$C$2:$C$337,"apac",'Marketing spend and leads'!$D$2:$D$337,"jul26")</f>
        <v>7130</v>
      </c>
      <c r="T5" s="4">
        <f>SUMIFS('Marketing spend and leads'!$E$2:$E$337,'Marketing spend and leads'!$B$2:$B$337,"inbound",'Marketing spend and leads'!$C$2:$C$337,"apac",'Marketing spend and leads'!$D$2:$D$337,"aug26")</f>
        <v>7300</v>
      </c>
      <c r="U5" s="4">
        <f>SUMIFS('Marketing spend and leads'!$E$2:$E$337,'Marketing spend and leads'!$B$2:$B$337,"inbound",'Marketing spend and leads'!$C$2:$C$337,"apac",'Marketing spend and leads'!$D$2:$D$337,"sep26")</f>
        <v>8310</v>
      </c>
      <c r="V5" s="4">
        <f>SUMIFS('Marketing spend and leads'!$E$2:$E$337,'Marketing spend and leads'!$B$2:$B$337,"inbound",'Marketing spend and leads'!$C$2:$C$337,"apac",'Marketing spend and leads'!$D$2:$D$337,"oct26")</f>
        <v>5580</v>
      </c>
      <c r="W5" s="4">
        <f>SUMIFS('Marketing spend and leads'!$E$2:$E$337,'Marketing spend and leads'!$B$2:$B$337,"inbound",'Marketing spend and leads'!$C$2:$C$337,"apac",'Marketing spend and leads'!$D$2:$D$337,"nov26")</f>
        <v>6780</v>
      </c>
      <c r="X5" s="4">
        <f>SUMIFS('Marketing spend and leads'!$E$2:$E$337,'Marketing spend and leads'!$B$2:$B$337,"inbound",'Marketing spend and leads'!$C$2:$C$337,"apac",'Marketing spend and leads'!$D$2:$D$337,"dec26")</f>
        <v>8330</v>
      </c>
    </row>
    <row r="6">
      <c r="A6" s="0" t="inlineStr">
        <is>
          <t xml:space="preserve">Spend</t>
        </is>
      </c>
      <c r="B6" s="0" t="inlineStr">
        <is>
          <t xml:space="preserve">Paid digital</t>
        </is>
      </c>
      <c r="C6" s="0" t="inlineStr">
        <is>
          <t xml:space="preserve">AMER East</t>
        </is>
      </c>
      <c r="D6" s="4">
        <f>SUMIFS('Marketing spend and leads'!$E$2:$E$337,'Marketing spend and leads'!$B$2:$B$337,"paid",'Marketing spend and leads'!$C$2:$C$337,"amer_east",'Marketing spend and leads'!$D$2:$D$337,"apr25")</f>
        <v>43410</v>
      </c>
      <c r="E6" s="4">
        <f>SUMIFS('Marketing spend and leads'!$E$2:$E$337,'Marketing spend and leads'!$B$2:$B$337,"paid",'Marketing spend and leads'!$C$2:$C$337,"amer_east",'Marketing spend and leads'!$D$2:$D$337,"may25")</f>
        <v>49650</v>
      </c>
      <c r="F6" s="4">
        <f>SUMIFS('Marketing spend and leads'!$E$2:$E$337,'Marketing spend and leads'!$B$2:$B$337,"paid",'Marketing spend and leads'!$C$2:$C$337,"amer_east",'Marketing spend and leads'!$D$2:$D$337,"jun25")</f>
        <v>49550</v>
      </c>
      <c r="G6" s="4">
        <f>SUMIFS('Marketing spend and leads'!$E$2:$E$337,'Marketing spend and leads'!$B$2:$B$337,"paid",'Marketing spend and leads'!$C$2:$C$337,"amer_east",'Marketing spend and leads'!$D$2:$D$337,"jul25")</f>
        <v>45740</v>
      </c>
      <c r="H6" s="4">
        <f>SUMIFS('Marketing spend and leads'!$E$2:$E$337,'Marketing spend and leads'!$B$2:$B$337,"paid",'Marketing spend and leads'!$C$2:$C$337,"amer_east",'Marketing spend and leads'!$D$2:$D$337,"aug25")</f>
        <v>40450</v>
      </c>
      <c r="I6" s="4">
        <f>SUMIFS('Marketing spend and leads'!$E$2:$E$337,'Marketing spend and leads'!$B$2:$B$337,"paid",'Marketing spend and leads'!$C$2:$C$337,"amer_east",'Marketing spend and leads'!$D$2:$D$337,"sep25")</f>
        <v>46330</v>
      </c>
      <c r="J6" s="4">
        <f>SUMIFS('Marketing spend and leads'!$E$2:$E$337,'Marketing spend and leads'!$B$2:$B$337,"paid",'Marketing spend and leads'!$C$2:$C$337,"amer_east",'Marketing spend and leads'!$D$2:$D$337,"oct25")</f>
        <v>33950</v>
      </c>
      <c r="K6" s="4">
        <f>SUMIFS('Marketing spend and leads'!$E$2:$E$337,'Marketing spend and leads'!$B$2:$B$337,"paid",'Marketing spend and leads'!$C$2:$C$337,"amer_east",'Marketing spend and leads'!$D$2:$D$337,"nov25")</f>
        <v>36700</v>
      </c>
      <c r="L6" s="4">
        <f>SUMIFS('Marketing spend and leads'!$E$2:$E$337,'Marketing spend and leads'!$B$2:$B$337,"paid",'Marketing spend and leads'!$C$2:$C$337,"amer_east",'Marketing spend and leads'!$D$2:$D$337,"dec25")</f>
        <v>50550</v>
      </c>
      <c r="M6" s="4">
        <f>SUMIFS('Marketing spend and leads'!$E$2:$E$337,'Marketing spend and leads'!$B$2:$B$337,"paid",'Marketing spend and leads'!$C$2:$C$337,"amer_east",'Marketing spend and leads'!$D$2:$D$337,"jan26")</f>
        <v>43940</v>
      </c>
      <c r="N6" s="4">
        <f>SUMIFS('Marketing spend and leads'!$E$2:$E$337,'Marketing spend and leads'!$B$2:$B$337,"paid",'Marketing spend and leads'!$C$2:$C$337,"amer_east",'Marketing spend and leads'!$D$2:$D$337,"feb26")</f>
        <v>48570</v>
      </c>
      <c r="O6" s="4">
        <f>SUMIFS('Marketing spend and leads'!$E$2:$E$337,'Marketing spend and leads'!$B$2:$B$337,"paid",'Marketing spend and leads'!$C$2:$C$337,"amer_east",'Marketing spend and leads'!$D$2:$D$337,"mar26")</f>
        <v>50490</v>
      </c>
      <c r="P6" s="4">
        <f>SUMIFS('Marketing spend and leads'!$E$2:$E$337,'Marketing spend and leads'!$B$2:$B$337,"paid",'Marketing spend and leads'!$C$2:$C$337,"amer_east",'Marketing spend and leads'!$D$2:$D$337,"apr26")</f>
        <v>47850</v>
      </c>
      <c r="Q6" s="4">
        <f>SUMIFS('Marketing spend and leads'!$E$2:$E$337,'Marketing spend and leads'!$B$2:$B$337,"paid",'Marketing spend and leads'!$C$2:$C$337,"amer_east",'Marketing spend and leads'!$D$2:$D$337,"may26")</f>
        <v>50020</v>
      </c>
      <c r="R6" s="4">
        <f>SUMIFS('Marketing spend and leads'!$E$2:$E$337,'Marketing spend and leads'!$B$2:$B$337,"paid",'Marketing spend and leads'!$C$2:$C$337,"amer_east",'Marketing spend and leads'!$D$2:$D$337,"jun26")</f>
        <v>67180</v>
      </c>
      <c r="S6" s="4">
        <f>SUMIFS('Marketing spend and leads'!$E$2:$E$337,'Marketing spend and leads'!$B$2:$B$337,"paid",'Marketing spend and leads'!$C$2:$C$337,"amer_east",'Marketing spend and leads'!$D$2:$D$337,"jul26")</f>
        <v>49510</v>
      </c>
      <c r="T6" s="4">
        <f>SUMIFS('Marketing spend and leads'!$E$2:$E$337,'Marketing spend and leads'!$B$2:$B$337,"paid",'Marketing spend and leads'!$C$2:$C$337,"amer_east",'Marketing spend and leads'!$D$2:$D$337,"aug26")</f>
        <v>52980</v>
      </c>
      <c r="U6" s="4">
        <f>SUMIFS('Marketing spend and leads'!$E$2:$E$337,'Marketing spend and leads'!$B$2:$B$337,"paid",'Marketing spend and leads'!$C$2:$C$337,"amer_east",'Marketing spend and leads'!$D$2:$D$337,"sep26")</f>
        <v>46310</v>
      </c>
      <c r="V6" s="4">
        <f>SUMIFS('Marketing spend and leads'!$E$2:$E$337,'Marketing spend and leads'!$B$2:$B$337,"paid",'Marketing spend and leads'!$C$2:$C$337,"amer_east",'Marketing spend and leads'!$D$2:$D$337,"oct26")</f>
        <v>41740</v>
      </c>
      <c r="W6" s="4">
        <f>SUMIFS('Marketing spend and leads'!$E$2:$E$337,'Marketing spend and leads'!$B$2:$B$337,"paid",'Marketing spend and leads'!$C$2:$C$337,"amer_east",'Marketing spend and leads'!$D$2:$D$337,"nov26")</f>
        <v>43680</v>
      </c>
      <c r="X6" s="4">
        <f>SUMIFS('Marketing spend and leads'!$E$2:$E$337,'Marketing spend and leads'!$B$2:$B$337,"paid",'Marketing spend and leads'!$C$2:$C$337,"amer_east",'Marketing spend and leads'!$D$2:$D$337,"dec26")</f>
        <v>56450</v>
      </c>
    </row>
    <row r="7">
      <c r="A7" s="0" t="inlineStr">
        <is>
          <t xml:space="preserve">Spend</t>
        </is>
      </c>
      <c r="B7" s="0" t="inlineStr">
        <is>
          <t xml:space="preserve">Paid digital</t>
        </is>
      </c>
      <c r="C7" s="0" t="inlineStr">
        <is>
          <t xml:space="preserve">AMER West</t>
        </is>
      </c>
      <c r="D7" s="4">
        <f>SUMIFS('Marketing spend and leads'!$E$2:$E$337,'Marketing spend and leads'!$B$2:$B$337,"paid",'Marketing spend and leads'!$C$2:$C$337,"amer_west",'Marketing spend and leads'!$D$2:$D$337,"apr25")</f>
        <v>47250</v>
      </c>
      <c r="E7" s="4">
        <f>SUMIFS('Marketing spend and leads'!$E$2:$E$337,'Marketing spend and leads'!$B$2:$B$337,"paid",'Marketing spend and leads'!$C$2:$C$337,"amer_west",'Marketing spend and leads'!$D$2:$D$337,"may25")</f>
        <v>45330</v>
      </c>
      <c r="F7" s="4">
        <f>SUMIFS('Marketing spend and leads'!$E$2:$E$337,'Marketing spend and leads'!$B$2:$B$337,"paid",'Marketing spend and leads'!$C$2:$C$337,"amer_west",'Marketing spend and leads'!$D$2:$D$337,"jun25")</f>
        <v>46300</v>
      </c>
      <c r="G7" s="4">
        <f>SUMIFS('Marketing spend and leads'!$E$2:$E$337,'Marketing spend and leads'!$B$2:$B$337,"paid",'Marketing spend and leads'!$C$2:$C$337,"amer_west",'Marketing spend and leads'!$D$2:$D$337,"jul25")</f>
        <v>32670</v>
      </c>
      <c r="H7" s="4">
        <f>SUMIFS('Marketing spend and leads'!$E$2:$E$337,'Marketing spend and leads'!$B$2:$B$337,"paid",'Marketing spend and leads'!$C$2:$C$337,"amer_west",'Marketing spend and leads'!$D$2:$D$337,"aug25")</f>
        <v>36140</v>
      </c>
      <c r="I7" s="4">
        <f>SUMIFS('Marketing spend and leads'!$E$2:$E$337,'Marketing spend and leads'!$B$2:$B$337,"paid",'Marketing spend and leads'!$C$2:$C$337,"amer_west",'Marketing spend and leads'!$D$2:$D$337,"sep25")</f>
        <v>42220</v>
      </c>
      <c r="J7" s="4">
        <f>SUMIFS('Marketing spend and leads'!$E$2:$E$337,'Marketing spend and leads'!$B$2:$B$337,"paid",'Marketing spend and leads'!$C$2:$C$337,"amer_west",'Marketing spend and leads'!$D$2:$D$337,"oct25")</f>
        <v>36120</v>
      </c>
      <c r="K7" s="4">
        <f>SUMIFS('Marketing spend and leads'!$E$2:$E$337,'Marketing spend and leads'!$B$2:$B$337,"paid",'Marketing spend and leads'!$C$2:$C$337,"amer_west",'Marketing spend and leads'!$D$2:$D$337,"nov25")</f>
        <v>37400</v>
      </c>
      <c r="L7" s="4">
        <f>SUMIFS('Marketing spend and leads'!$E$2:$E$337,'Marketing spend and leads'!$B$2:$B$337,"paid",'Marketing spend and leads'!$C$2:$C$337,"amer_west",'Marketing spend and leads'!$D$2:$D$337,"dec25")</f>
        <v>45270</v>
      </c>
      <c r="M7" s="4">
        <f>SUMIFS('Marketing spend and leads'!$E$2:$E$337,'Marketing spend and leads'!$B$2:$B$337,"paid",'Marketing spend and leads'!$C$2:$C$337,"amer_west",'Marketing spend and leads'!$D$2:$D$337,"jan26")</f>
        <v>36970</v>
      </c>
      <c r="N7" s="4">
        <f>SUMIFS('Marketing spend and leads'!$E$2:$E$337,'Marketing spend and leads'!$B$2:$B$337,"paid",'Marketing spend and leads'!$C$2:$C$337,"amer_west",'Marketing spend and leads'!$D$2:$D$337,"feb26")</f>
        <v>42710</v>
      </c>
      <c r="O7" s="4">
        <f>SUMIFS('Marketing spend and leads'!$E$2:$E$337,'Marketing spend and leads'!$B$2:$B$337,"paid",'Marketing spend and leads'!$C$2:$C$337,"amer_west",'Marketing spend and leads'!$D$2:$D$337,"mar26")</f>
        <v>48420</v>
      </c>
      <c r="P7" s="4">
        <f>SUMIFS('Marketing spend and leads'!$E$2:$E$337,'Marketing spend and leads'!$B$2:$B$337,"paid",'Marketing spend and leads'!$C$2:$C$337,"amer_west",'Marketing spend and leads'!$D$2:$D$337,"apr26")</f>
        <v>48860</v>
      </c>
      <c r="Q7" s="4">
        <f>SUMIFS('Marketing spend and leads'!$E$2:$E$337,'Marketing spend and leads'!$B$2:$B$337,"paid",'Marketing spend and leads'!$C$2:$C$337,"amer_west",'Marketing spend and leads'!$D$2:$D$337,"may26")</f>
        <v>46780</v>
      </c>
      <c r="R7" s="4">
        <f>SUMIFS('Marketing spend and leads'!$E$2:$E$337,'Marketing spend and leads'!$B$2:$B$337,"paid",'Marketing spend and leads'!$C$2:$C$337,"amer_west",'Marketing spend and leads'!$D$2:$D$337,"jun26")</f>
        <v>59250</v>
      </c>
      <c r="S7" s="4">
        <f>SUMIFS('Marketing spend and leads'!$E$2:$E$337,'Marketing spend and leads'!$B$2:$B$337,"paid",'Marketing spend and leads'!$C$2:$C$337,"amer_west",'Marketing spend and leads'!$D$2:$D$337,"jul26")</f>
        <v>43710</v>
      </c>
      <c r="T7" s="4">
        <f>SUMIFS('Marketing spend and leads'!$E$2:$E$337,'Marketing spend and leads'!$B$2:$B$337,"paid",'Marketing spend and leads'!$C$2:$C$337,"amer_west",'Marketing spend and leads'!$D$2:$D$337,"aug26")</f>
        <v>42580</v>
      </c>
      <c r="U7" s="4">
        <f>SUMIFS('Marketing spend and leads'!$E$2:$E$337,'Marketing spend and leads'!$B$2:$B$337,"paid",'Marketing spend and leads'!$C$2:$C$337,"amer_west",'Marketing spend and leads'!$D$2:$D$337,"sep26")</f>
        <v>44280</v>
      </c>
      <c r="V7" s="4">
        <f>SUMIFS('Marketing spend and leads'!$E$2:$E$337,'Marketing spend and leads'!$B$2:$B$337,"paid",'Marketing spend and leads'!$C$2:$C$337,"amer_west",'Marketing spend and leads'!$D$2:$D$337,"oct26")</f>
        <v>38490</v>
      </c>
      <c r="W7" s="4">
        <f>SUMIFS('Marketing spend and leads'!$E$2:$E$337,'Marketing spend and leads'!$B$2:$B$337,"paid",'Marketing spend and leads'!$C$2:$C$337,"amer_west",'Marketing spend and leads'!$D$2:$D$337,"nov26")</f>
        <v>45450</v>
      </c>
      <c r="X7" s="4">
        <f>SUMIFS('Marketing spend and leads'!$E$2:$E$337,'Marketing spend and leads'!$B$2:$B$337,"paid",'Marketing spend and leads'!$C$2:$C$337,"amer_west",'Marketing spend and leads'!$D$2:$D$337,"dec26")</f>
        <v>55120</v>
      </c>
    </row>
    <row r="8">
      <c r="A8" s="0" t="inlineStr">
        <is>
          <t xml:space="preserve">Spend</t>
        </is>
      </c>
      <c r="B8" s="0" t="inlineStr">
        <is>
          <t xml:space="preserve">Paid digital</t>
        </is>
      </c>
      <c r="C8" s="0" t="inlineStr">
        <is>
          <t xml:space="preserve">EMEA</t>
        </is>
      </c>
      <c r="D8" s="4">
        <f>SUMIFS('Marketing spend and leads'!$E$2:$E$337,'Marketing spend and leads'!$B$2:$B$337,"paid",'Marketing spend and leads'!$C$2:$C$337,"emea",'Marketing spend and leads'!$D$2:$D$337,"apr25")</f>
        <v>42670</v>
      </c>
      <c r="E8" s="4">
        <f>SUMIFS('Marketing spend and leads'!$E$2:$E$337,'Marketing spend and leads'!$B$2:$B$337,"paid",'Marketing spend and leads'!$C$2:$C$337,"emea",'Marketing spend and leads'!$D$2:$D$337,"may25")</f>
        <v>37840</v>
      </c>
      <c r="F8" s="4">
        <f>SUMIFS('Marketing spend and leads'!$E$2:$E$337,'Marketing spend and leads'!$B$2:$B$337,"paid",'Marketing spend and leads'!$C$2:$C$337,"emea",'Marketing spend and leads'!$D$2:$D$337,"jun25")</f>
        <v>43000</v>
      </c>
      <c r="G8" s="4">
        <f>SUMIFS('Marketing spend and leads'!$E$2:$E$337,'Marketing spend and leads'!$B$2:$B$337,"paid",'Marketing spend and leads'!$C$2:$C$337,"emea",'Marketing spend and leads'!$D$2:$D$337,"jul25")</f>
        <v>35060</v>
      </c>
      <c r="H8" s="4">
        <f>SUMIFS('Marketing spend and leads'!$E$2:$E$337,'Marketing spend and leads'!$B$2:$B$337,"paid",'Marketing spend and leads'!$C$2:$C$337,"emea",'Marketing spend and leads'!$D$2:$D$337,"aug25")</f>
        <v>30100</v>
      </c>
      <c r="I8" s="4">
        <f>SUMIFS('Marketing spend and leads'!$E$2:$E$337,'Marketing spend and leads'!$B$2:$B$337,"paid",'Marketing spend and leads'!$C$2:$C$337,"emea",'Marketing spend and leads'!$D$2:$D$337,"sep25")</f>
        <v>38260</v>
      </c>
      <c r="J8" s="4">
        <f>SUMIFS('Marketing spend and leads'!$E$2:$E$337,'Marketing spend and leads'!$B$2:$B$337,"paid",'Marketing spend and leads'!$C$2:$C$337,"emea",'Marketing spend and leads'!$D$2:$D$337,"oct25")</f>
        <v>33480</v>
      </c>
      <c r="K8" s="4">
        <f>SUMIFS('Marketing spend and leads'!$E$2:$E$337,'Marketing spend and leads'!$B$2:$B$337,"paid",'Marketing spend and leads'!$C$2:$C$337,"emea",'Marketing spend and leads'!$D$2:$D$337,"nov25")</f>
        <v>33880</v>
      </c>
      <c r="L8" s="4">
        <f>SUMIFS('Marketing spend and leads'!$E$2:$E$337,'Marketing spend and leads'!$B$2:$B$337,"paid",'Marketing spend and leads'!$C$2:$C$337,"emea",'Marketing spend and leads'!$D$2:$D$337,"dec25")</f>
        <v>34000</v>
      </c>
      <c r="M8" s="4">
        <f>SUMIFS('Marketing spend and leads'!$E$2:$E$337,'Marketing spend and leads'!$B$2:$B$337,"paid",'Marketing spend and leads'!$C$2:$C$337,"emea",'Marketing spend and leads'!$D$2:$D$337,"jan26")</f>
        <v>28620</v>
      </c>
      <c r="N8" s="4">
        <f>SUMIFS('Marketing spend and leads'!$E$2:$E$337,'Marketing spend and leads'!$B$2:$B$337,"paid",'Marketing spend and leads'!$C$2:$C$337,"emea",'Marketing spend and leads'!$D$2:$D$337,"feb26")</f>
        <v>39170</v>
      </c>
      <c r="O8" s="4">
        <f>SUMIFS('Marketing spend and leads'!$E$2:$E$337,'Marketing spend and leads'!$B$2:$B$337,"paid",'Marketing spend and leads'!$C$2:$C$337,"emea",'Marketing spend and leads'!$D$2:$D$337,"mar26")</f>
        <v>40260</v>
      </c>
      <c r="P8" s="4">
        <f>SUMIFS('Marketing spend and leads'!$E$2:$E$337,'Marketing spend and leads'!$B$2:$B$337,"paid",'Marketing spend and leads'!$C$2:$C$337,"emea",'Marketing spend and leads'!$D$2:$D$337,"apr26")</f>
        <v>35460</v>
      </c>
      <c r="Q8" s="4">
        <f>SUMIFS('Marketing spend and leads'!$E$2:$E$337,'Marketing spend and leads'!$B$2:$B$337,"paid",'Marketing spend and leads'!$C$2:$C$337,"emea",'Marketing spend and leads'!$D$2:$D$337,"may26")</f>
        <v>38530</v>
      </c>
      <c r="R8" s="4">
        <f>SUMIFS('Marketing spend and leads'!$E$2:$E$337,'Marketing spend and leads'!$B$2:$B$337,"paid",'Marketing spend and leads'!$C$2:$C$337,"emea",'Marketing spend and leads'!$D$2:$D$337,"jun26")</f>
        <v>44020</v>
      </c>
      <c r="S8" s="4">
        <f>SUMIFS('Marketing spend and leads'!$E$2:$E$337,'Marketing spend and leads'!$B$2:$B$337,"paid",'Marketing spend and leads'!$C$2:$C$337,"emea",'Marketing spend and leads'!$D$2:$D$337,"jul26")</f>
        <v>35910</v>
      </c>
      <c r="T8" s="4">
        <f>SUMIFS('Marketing spend and leads'!$E$2:$E$337,'Marketing spend and leads'!$B$2:$B$337,"paid",'Marketing spend and leads'!$C$2:$C$337,"emea",'Marketing spend and leads'!$D$2:$D$337,"aug26")</f>
        <v>37530</v>
      </c>
      <c r="U8" s="4">
        <f>SUMIFS('Marketing spend and leads'!$E$2:$E$337,'Marketing spend and leads'!$B$2:$B$337,"paid",'Marketing spend and leads'!$C$2:$C$337,"emea",'Marketing spend and leads'!$D$2:$D$337,"sep26")</f>
        <v>33500</v>
      </c>
      <c r="V8" s="4">
        <f>SUMIFS('Marketing spend and leads'!$E$2:$E$337,'Marketing spend and leads'!$B$2:$B$337,"paid",'Marketing spend and leads'!$C$2:$C$337,"emea",'Marketing spend and leads'!$D$2:$D$337,"oct26")</f>
        <v>33590</v>
      </c>
      <c r="W8" s="4">
        <f>SUMIFS('Marketing spend and leads'!$E$2:$E$337,'Marketing spend and leads'!$B$2:$B$337,"paid",'Marketing spend and leads'!$C$2:$C$337,"emea",'Marketing spend and leads'!$D$2:$D$337,"nov26")</f>
        <v>37130</v>
      </c>
      <c r="X8" s="4">
        <f>SUMIFS('Marketing spend and leads'!$E$2:$E$337,'Marketing spend and leads'!$B$2:$B$337,"paid",'Marketing spend and leads'!$C$2:$C$337,"emea",'Marketing spend and leads'!$D$2:$D$337,"dec26")</f>
        <v>41960</v>
      </c>
    </row>
    <row r="9">
      <c r="A9" s="0" t="inlineStr">
        <is>
          <t xml:space="preserve">Spend</t>
        </is>
      </c>
      <c r="B9" s="0" t="inlineStr">
        <is>
          <t xml:space="preserve">Paid digital</t>
        </is>
      </c>
      <c r="C9" s="0" t="inlineStr">
        <is>
          <t xml:space="preserve">APAC</t>
        </is>
      </c>
      <c r="D9" s="4">
        <f>SUMIFS('Marketing spend and leads'!$E$2:$E$337,'Marketing spend and leads'!$B$2:$B$337,"paid",'Marketing spend and leads'!$C$2:$C$337,"apac",'Marketing spend and leads'!$D$2:$D$337,"apr25")</f>
        <v>22520</v>
      </c>
      <c r="E9" s="4">
        <f>SUMIFS('Marketing spend and leads'!$E$2:$E$337,'Marketing spend and leads'!$B$2:$B$337,"paid",'Marketing spend and leads'!$C$2:$C$337,"apac",'Marketing spend and leads'!$D$2:$D$337,"may25")</f>
        <v>25700</v>
      </c>
      <c r="F9" s="4">
        <f>SUMIFS('Marketing spend and leads'!$E$2:$E$337,'Marketing spend and leads'!$B$2:$B$337,"paid",'Marketing spend and leads'!$C$2:$C$337,"apac",'Marketing spend and leads'!$D$2:$D$337,"jun25")</f>
        <v>26660</v>
      </c>
      <c r="G9" s="4">
        <f>SUMIFS('Marketing spend and leads'!$E$2:$E$337,'Marketing spend and leads'!$B$2:$B$337,"paid",'Marketing spend and leads'!$C$2:$C$337,"apac",'Marketing spend and leads'!$D$2:$D$337,"jul25")</f>
        <v>19560</v>
      </c>
      <c r="H9" s="4">
        <f>SUMIFS('Marketing spend and leads'!$E$2:$E$337,'Marketing spend and leads'!$B$2:$B$337,"paid",'Marketing spend and leads'!$C$2:$C$337,"apac",'Marketing spend and leads'!$D$2:$D$337,"aug25")</f>
        <v>20650</v>
      </c>
      <c r="I9" s="4">
        <f>SUMIFS('Marketing spend and leads'!$E$2:$E$337,'Marketing spend and leads'!$B$2:$B$337,"paid",'Marketing spend and leads'!$C$2:$C$337,"apac",'Marketing spend and leads'!$D$2:$D$337,"sep25")</f>
        <v>22610</v>
      </c>
      <c r="J9" s="4">
        <f>SUMIFS('Marketing spend and leads'!$E$2:$E$337,'Marketing spend and leads'!$B$2:$B$337,"paid",'Marketing spend and leads'!$C$2:$C$337,"apac",'Marketing spend and leads'!$D$2:$D$337,"oct25")</f>
        <v>19490</v>
      </c>
      <c r="K9" s="4">
        <f>SUMIFS('Marketing spend and leads'!$E$2:$E$337,'Marketing spend and leads'!$B$2:$B$337,"paid",'Marketing spend and leads'!$C$2:$C$337,"apac",'Marketing spend and leads'!$D$2:$D$337,"nov25")</f>
        <v>18540</v>
      </c>
      <c r="L9" s="4">
        <f>SUMIFS('Marketing spend and leads'!$E$2:$E$337,'Marketing spend and leads'!$B$2:$B$337,"paid",'Marketing spend and leads'!$C$2:$C$337,"apac",'Marketing spend and leads'!$D$2:$D$337,"dec25")</f>
        <v>27990</v>
      </c>
      <c r="M9" s="4">
        <f>SUMIFS('Marketing spend and leads'!$E$2:$E$337,'Marketing spend and leads'!$B$2:$B$337,"paid",'Marketing spend and leads'!$C$2:$C$337,"apac",'Marketing spend and leads'!$D$2:$D$337,"jan26")</f>
        <v>20940</v>
      </c>
      <c r="N9" s="4">
        <f>SUMIFS('Marketing spend and leads'!$E$2:$E$337,'Marketing spend and leads'!$B$2:$B$337,"paid",'Marketing spend and leads'!$C$2:$C$337,"apac",'Marketing spend and leads'!$D$2:$D$337,"feb26")</f>
        <v>22600</v>
      </c>
      <c r="O9" s="4">
        <f>SUMIFS('Marketing spend and leads'!$E$2:$E$337,'Marketing spend and leads'!$B$2:$B$337,"paid",'Marketing spend and leads'!$C$2:$C$337,"apac",'Marketing spend and leads'!$D$2:$D$337,"mar26")</f>
        <v>26750</v>
      </c>
      <c r="P9" s="4">
        <f>SUMIFS('Marketing spend and leads'!$E$2:$E$337,'Marketing spend and leads'!$B$2:$B$337,"paid",'Marketing spend and leads'!$C$2:$C$337,"apac",'Marketing spend and leads'!$D$2:$D$337,"apr26")</f>
        <v>22350</v>
      </c>
      <c r="Q9" s="4">
        <f>SUMIFS('Marketing spend and leads'!$E$2:$E$337,'Marketing spend and leads'!$B$2:$B$337,"paid",'Marketing spend and leads'!$C$2:$C$337,"apac",'Marketing spend and leads'!$D$2:$D$337,"may26")</f>
        <v>28630</v>
      </c>
      <c r="R9" s="4">
        <f>SUMIFS('Marketing spend and leads'!$E$2:$E$337,'Marketing spend and leads'!$B$2:$B$337,"paid",'Marketing spend and leads'!$C$2:$C$337,"apac",'Marketing spend and leads'!$D$2:$D$337,"jun26")</f>
        <v>35030</v>
      </c>
      <c r="S9" s="4">
        <f>SUMIFS('Marketing spend and leads'!$E$2:$E$337,'Marketing spend and leads'!$B$2:$B$337,"paid",'Marketing spend and leads'!$C$2:$C$337,"apac",'Marketing spend and leads'!$D$2:$D$337,"jul26")</f>
        <v>25300</v>
      </c>
      <c r="T9" s="4">
        <f>SUMIFS('Marketing spend and leads'!$E$2:$E$337,'Marketing spend and leads'!$B$2:$B$337,"paid",'Marketing spend and leads'!$C$2:$C$337,"apac",'Marketing spend and leads'!$D$2:$D$337,"aug26")</f>
        <v>25030</v>
      </c>
      <c r="U9" s="4">
        <f>SUMIFS('Marketing spend and leads'!$E$2:$E$337,'Marketing spend and leads'!$B$2:$B$337,"paid",'Marketing spend and leads'!$C$2:$C$337,"apac",'Marketing spend and leads'!$D$2:$D$337,"sep26")</f>
        <v>25020</v>
      </c>
      <c r="V9" s="4">
        <f>SUMIFS('Marketing spend and leads'!$E$2:$E$337,'Marketing spend and leads'!$B$2:$B$337,"paid",'Marketing spend and leads'!$C$2:$C$337,"apac",'Marketing spend and leads'!$D$2:$D$337,"oct26")</f>
        <v>20990</v>
      </c>
      <c r="W9" s="4">
        <f>SUMIFS('Marketing spend and leads'!$E$2:$E$337,'Marketing spend and leads'!$B$2:$B$337,"paid",'Marketing spend and leads'!$C$2:$C$337,"apac",'Marketing spend and leads'!$D$2:$D$337,"nov26")</f>
        <v>20190</v>
      </c>
      <c r="X9" s="4">
        <f>SUMIFS('Marketing spend and leads'!$E$2:$E$337,'Marketing spend and leads'!$B$2:$B$337,"paid",'Marketing spend and leads'!$C$2:$C$337,"apac",'Marketing spend and leads'!$D$2:$D$337,"dec26")</f>
        <v>24590</v>
      </c>
    </row>
    <row r="10">
      <c r="A10" s="0" t="inlineStr">
        <is>
          <t xml:space="preserve">Spend</t>
        </is>
      </c>
      <c r="B10" s="0" t="inlineStr">
        <is>
          <t xml:space="preserve">Events &amp; field</t>
        </is>
      </c>
      <c r="C10" s="0" t="inlineStr">
        <is>
          <t xml:space="preserve">AMER East</t>
        </is>
      </c>
      <c r="D10" s="4">
        <f>SUMIFS('Marketing spend and leads'!$E$2:$E$337,'Marketing spend and leads'!$B$2:$B$337,"events",'Marketing spend and leads'!$C$2:$C$337,"amer_east",'Marketing spend and leads'!$D$2:$D$337,"apr25")</f>
        <v>13300</v>
      </c>
      <c r="E10" s="4">
        <f>SUMIFS('Marketing spend and leads'!$E$2:$E$337,'Marketing spend and leads'!$B$2:$B$337,"events",'Marketing spend and leads'!$C$2:$C$337,"amer_east",'Marketing spend and leads'!$D$2:$D$337,"may25")</f>
        <v>46650</v>
      </c>
      <c r="F10" s="4">
        <f>SUMIFS('Marketing spend and leads'!$E$2:$E$337,'Marketing spend and leads'!$B$2:$B$337,"events",'Marketing spend and leads'!$C$2:$C$337,"amer_east",'Marketing spend and leads'!$D$2:$D$337,"jun25")</f>
        <v>16050</v>
      </c>
      <c r="G10" s="4">
        <f>SUMIFS('Marketing spend and leads'!$E$2:$E$337,'Marketing spend and leads'!$B$2:$B$337,"events",'Marketing spend and leads'!$C$2:$C$337,"amer_east",'Marketing spend and leads'!$D$2:$D$337,"jul25")</f>
        <v>11280</v>
      </c>
      <c r="H10" s="4">
        <f>SUMIFS('Marketing spend and leads'!$E$2:$E$337,'Marketing spend and leads'!$B$2:$B$337,"events",'Marketing spend and leads'!$C$2:$C$337,"amer_east",'Marketing spend and leads'!$D$2:$D$337,"aug25")</f>
        <v>10470</v>
      </c>
      <c r="I10" s="4">
        <f>SUMIFS('Marketing spend and leads'!$E$2:$E$337,'Marketing spend and leads'!$B$2:$B$337,"events",'Marketing spend and leads'!$C$2:$C$337,"amer_east",'Marketing spend and leads'!$D$2:$D$337,"sep25")</f>
        <v>13060</v>
      </c>
      <c r="J10" s="4">
        <f>SUMIFS('Marketing spend and leads'!$E$2:$E$337,'Marketing spend and leads'!$B$2:$B$337,"events",'Marketing spend and leads'!$C$2:$C$337,"amer_east",'Marketing spend and leads'!$D$2:$D$337,"oct25")</f>
        <v>32830</v>
      </c>
      <c r="K10" s="4">
        <f>SUMIFS('Marketing spend and leads'!$E$2:$E$337,'Marketing spend and leads'!$B$2:$B$337,"events",'Marketing spend and leads'!$C$2:$C$337,"amer_east",'Marketing spend and leads'!$D$2:$D$337,"nov25")</f>
        <v>10710</v>
      </c>
      <c r="L10" s="4">
        <f>SUMIFS('Marketing spend and leads'!$E$2:$E$337,'Marketing spend and leads'!$B$2:$B$337,"events",'Marketing spend and leads'!$C$2:$C$337,"amer_east",'Marketing spend and leads'!$D$2:$D$337,"dec25")</f>
        <v>11960</v>
      </c>
      <c r="M10" s="4">
        <f>SUMIFS('Marketing spend and leads'!$E$2:$E$337,'Marketing spend and leads'!$B$2:$B$337,"events",'Marketing spend and leads'!$C$2:$C$337,"amer_east",'Marketing spend and leads'!$D$2:$D$337,"jan26")</f>
        <v>11490</v>
      </c>
      <c r="N10" s="4">
        <f>SUMIFS('Marketing spend and leads'!$E$2:$E$337,'Marketing spend and leads'!$B$2:$B$337,"events",'Marketing spend and leads'!$C$2:$C$337,"amer_east",'Marketing spend and leads'!$D$2:$D$337,"feb26")</f>
        <v>12850</v>
      </c>
      <c r="O10" s="4">
        <f>SUMIFS('Marketing spend and leads'!$E$2:$E$337,'Marketing spend and leads'!$B$2:$B$337,"events",'Marketing spend and leads'!$C$2:$C$337,"amer_east",'Marketing spend and leads'!$D$2:$D$337,"mar26")</f>
        <v>54480</v>
      </c>
      <c r="P10" s="4">
        <f>SUMIFS('Marketing spend and leads'!$E$2:$E$337,'Marketing spend and leads'!$B$2:$B$337,"events",'Marketing spend and leads'!$C$2:$C$337,"amer_east",'Marketing spend and leads'!$D$2:$D$337,"apr26")</f>
        <v>12310</v>
      </c>
      <c r="Q10" s="4">
        <f>SUMIFS('Marketing spend and leads'!$E$2:$E$337,'Marketing spend and leads'!$B$2:$B$337,"events",'Marketing spend and leads'!$C$2:$C$337,"amer_east",'Marketing spend and leads'!$D$2:$D$337,"may26")</f>
        <v>11750</v>
      </c>
      <c r="R10" s="4">
        <f>SUMIFS('Marketing spend and leads'!$E$2:$E$337,'Marketing spend and leads'!$B$2:$B$337,"events",'Marketing spend and leads'!$C$2:$C$337,"amer_east",'Marketing spend and leads'!$D$2:$D$337,"jun26")</f>
        <v>55190</v>
      </c>
      <c r="S10" s="4">
        <f>SUMIFS('Marketing spend and leads'!$E$2:$E$337,'Marketing spend and leads'!$B$2:$B$337,"events",'Marketing spend and leads'!$C$2:$C$337,"amer_east",'Marketing spend and leads'!$D$2:$D$337,"jul26")</f>
        <v>12850</v>
      </c>
      <c r="T10" s="4">
        <f>SUMIFS('Marketing spend and leads'!$E$2:$E$337,'Marketing spend and leads'!$B$2:$B$337,"events",'Marketing spend and leads'!$C$2:$C$337,"amer_east",'Marketing spend and leads'!$D$2:$D$337,"aug26")</f>
        <v>11780</v>
      </c>
      <c r="U10" s="4">
        <f>SUMIFS('Marketing spend and leads'!$E$2:$E$337,'Marketing spend and leads'!$B$2:$B$337,"events",'Marketing spend and leads'!$C$2:$C$337,"amer_east",'Marketing spend and leads'!$D$2:$D$337,"sep26")</f>
        <v>11940</v>
      </c>
      <c r="V10" s="4">
        <f>SUMIFS('Marketing spend and leads'!$E$2:$E$337,'Marketing spend and leads'!$B$2:$B$337,"events",'Marketing spend and leads'!$C$2:$C$337,"amer_east",'Marketing spend and leads'!$D$2:$D$337,"oct26")</f>
        <v>37790</v>
      </c>
      <c r="W10" s="4">
        <f>SUMIFS('Marketing spend and leads'!$E$2:$E$337,'Marketing spend and leads'!$B$2:$B$337,"events",'Marketing spend and leads'!$C$2:$C$337,"amer_east",'Marketing spend and leads'!$D$2:$D$337,"nov26")</f>
        <v>28970</v>
      </c>
      <c r="X10" s="4">
        <f>SUMIFS('Marketing spend and leads'!$E$2:$E$337,'Marketing spend and leads'!$B$2:$B$337,"events",'Marketing spend and leads'!$C$2:$C$337,"amer_east",'Marketing spend and leads'!$D$2:$D$337,"dec26")</f>
        <v>13090</v>
      </c>
    </row>
    <row r="11">
      <c r="A11" s="0" t="inlineStr">
        <is>
          <t xml:space="preserve">Spend</t>
        </is>
      </c>
      <c r="B11" s="0" t="inlineStr">
        <is>
          <t xml:space="preserve">Events &amp; field</t>
        </is>
      </c>
      <c r="C11" s="0" t="inlineStr">
        <is>
          <t xml:space="preserve">AMER West</t>
        </is>
      </c>
      <c r="D11" s="4">
        <f>SUMIFS('Marketing spend and leads'!$E$2:$E$337,'Marketing spend and leads'!$B$2:$B$337,"events",'Marketing spend and leads'!$C$2:$C$337,"amer_west",'Marketing spend and leads'!$D$2:$D$337,"apr25")</f>
        <v>10970</v>
      </c>
      <c r="E11" s="4">
        <f>SUMIFS('Marketing spend and leads'!$E$2:$E$337,'Marketing spend and leads'!$B$2:$B$337,"events",'Marketing spend and leads'!$C$2:$C$337,"amer_west",'Marketing spend and leads'!$D$2:$D$337,"may25")</f>
        <v>39840</v>
      </c>
      <c r="F11" s="4">
        <f>SUMIFS('Marketing spend and leads'!$E$2:$E$337,'Marketing spend and leads'!$B$2:$B$337,"events",'Marketing spend and leads'!$C$2:$C$337,"amer_west",'Marketing spend and leads'!$D$2:$D$337,"jun25")</f>
        <v>15330</v>
      </c>
      <c r="G11" s="4">
        <f>SUMIFS('Marketing spend and leads'!$E$2:$E$337,'Marketing spend and leads'!$B$2:$B$337,"events",'Marketing spend and leads'!$C$2:$C$337,"amer_west",'Marketing spend and leads'!$D$2:$D$337,"jul25")</f>
        <v>10830</v>
      </c>
      <c r="H11" s="4">
        <f>SUMIFS('Marketing spend and leads'!$E$2:$E$337,'Marketing spend and leads'!$B$2:$B$337,"events",'Marketing spend and leads'!$C$2:$C$337,"amer_west",'Marketing spend and leads'!$D$2:$D$337,"aug25")</f>
        <v>11040</v>
      </c>
      <c r="I11" s="4">
        <f>SUMIFS('Marketing spend and leads'!$E$2:$E$337,'Marketing spend and leads'!$B$2:$B$337,"events",'Marketing spend and leads'!$C$2:$C$337,"amer_west",'Marketing spend and leads'!$D$2:$D$337,"sep25")</f>
        <v>11200</v>
      </c>
      <c r="J11" s="4">
        <f>SUMIFS('Marketing spend and leads'!$E$2:$E$337,'Marketing spend and leads'!$B$2:$B$337,"events",'Marketing spend and leads'!$C$2:$C$337,"amer_west",'Marketing spend and leads'!$D$2:$D$337,"oct25")</f>
        <v>31770</v>
      </c>
      <c r="K11" s="4">
        <f>SUMIFS('Marketing spend and leads'!$E$2:$E$337,'Marketing spend and leads'!$B$2:$B$337,"events",'Marketing spend and leads'!$C$2:$C$337,"amer_west",'Marketing spend and leads'!$D$2:$D$337,"nov25")</f>
        <v>9440</v>
      </c>
      <c r="L11" s="4">
        <f>SUMIFS('Marketing spend and leads'!$E$2:$E$337,'Marketing spend and leads'!$B$2:$B$337,"events",'Marketing spend and leads'!$C$2:$C$337,"amer_west",'Marketing spend and leads'!$D$2:$D$337,"dec25")</f>
        <v>10350</v>
      </c>
      <c r="M11" s="4">
        <f>SUMIFS('Marketing spend and leads'!$E$2:$E$337,'Marketing spend and leads'!$B$2:$B$337,"events",'Marketing spend and leads'!$C$2:$C$337,"amer_west",'Marketing spend and leads'!$D$2:$D$337,"jan26")</f>
        <v>9970</v>
      </c>
      <c r="N11" s="4">
        <f>SUMIFS('Marketing spend and leads'!$E$2:$E$337,'Marketing spend and leads'!$B$2:$B$337,"events",'Marketing spend and leads'!$C$2:$C$337,"amer_west",'Marketing spend and leads'!$D$2:$D$337,"feb26")</f>
        <v>10850</v>
      </c>
      <c r="O11" s="4">
        <f>SUMIFS('Marketing spend and leads'!$E$2:$E$337,'Marketing spend and leads'!$B$2:$B$337,"events",'Marketing spend and leads'!$C$2:$C$337,"amer_west",'Marketing spend and leads'!$D$2:$D$337,"mar26")</f>
        <v>51650</v>
      </c>
      <c r="P11" s="4">
        <f>SUMIFS('Marketing spend and leads'!$E$2:$E$337,'Marketing spend and leads'!$B$2:$B$337,"events",'Marketing spend and leads'!$C$2:$C$337,"amer_west",'Marketing spend and leads'!$D$2:$D$337,"apr26")</f>
        <v>11450</v>
      </c>
      <c r="Q11" s="4">
        <f>SUMIFS('Marketing spend and leads'!$E$2:$E$337,'Marketing spend and leads'!$B$2:$B$337,"events",'Marketing spend and leads'!$C$2:$C$337,"amer_west",'Marketing spend and leads'!$D$2:$D$337,"may26")</f>
        <v>14010</v>
      </c>
      <c r="R11" s="4">
        <f>SUMIFS('Marketing spend and leads'!$E$2:$E$337,'Marketing spend and leads'!$B$2:$B$337,"events",'Marketing spend and leads'!$C$2:$C$337,"amer_west",'Marketing spend and leads'!$D$2:$D$337,"jun26")</f>
        <v>47340</v>
      </c>
      <c r="S11" s="4">
        <f>SUMIFS('Marketing spend and leads'!$E$2:$E$337,'Marketing spend and leads'!$B$2:$B$337,"events",'Marketing spend and leads'!$C$2:$C$337,"amer_west",'Marketing spend and leads'!$D$2:$D$337,"jul26")</f>
        <v>11260</v>
      </c>
      <c r="T11" s="4">
        <f>SUMIFS('Marketing spend and leads'!$E$2:$E$337,'Marketing spend and leads'!$B$2:$B$337,"events",'Marketing spend and leads'!$C$2:$C$337,"amer_west",'Marketing spend and leads'!$D$2:$D$337,"aug26")</f>
        <v>11380</v>
      </c>
      <c r="U11" s="4">
        <f>SUMIFS('Marketing spend and leads'!$E$2:$E$337,'Marketing spend and leads'!$B$2:$B$337,"events",'Marketing spend and leads'!$C$2:$C$337,"amer_west",'Marketing spend and leads'!$D$2:$D$337,"sep26")</f>
        <v>11420</v>
      </c>
      <c r="V11" s="4">
        <f>SUMIFS('Marketing spend and leads'!$E$2:$E$337,'Marketing spend and leads'!$B$2:$B$337,"events",'Marketing spend and leads'!$C$2:$C$337,"amer_west",'Marketing spend and leads'!$D$2:$D$337,"oct26")</f>
        <v>38460</v>
      </c>
      <c r="W11" s="4">
        <f>SUMIFS('Marketing spend and leads'!$E$2:$E$337,'Marketing spend and leads'!$B$2:$B$337,"events",'Marketing spend and leads'!$C$2:$C$337,"amer_west",'Marketing spend and leads'!$D$2:$D$337,"nov26")</f>
        <v>22810</v>
      </c>
      <c r="X11" s="4">
        <f>SUMIFS('Marketing spend and leads'!$E$2:$E$337,'Marketing spend and leads'!$B$2:$B$337,"events",'Marketing spend and leads'!$C$2:$C$337,"amer_west",'Marketing spend and leads'!$D$2:$D$337,"dec26")</f>
        <v>12400</v>
      </c>
    </row>
    <row r="12">
      <c r="A12" s="0" t="inlineStr">
        <is>
          <t xml:space="preserve">Spend</t>
        </is>
      </c>
      <c r="B12" s="0" t="inlineStr">
        <is>
          <t xml:space="preserve">Events &amp; field</t>
        </is>
      </c>
      <c r="C12" s="0" t="inlineStr">
        <is>
          <t xml:space="preserve">EMEA</t>
        </is>
      </c>
      <c r="D12" s="4">
        <f>SUMIFS('Marketing spend and leads'!$E$2:$E$337,'Marketing spend and leads'!$B$2:$B$337,"events",'Marketing spend and leads'!$C$2:$C$337,"emea",'Marketing spend and leads'!$D$2:$D$337,"apr25")</f>
        <v>9150</v>
      </c>
      <c r="E12" s="4">
        <f>SUMIFS('Marketing spend and leads'!$E$2:$E$337,'Marketing spend and leads'!$B$2:$B$337,"events",'Marketing spend and leads'!$C$2:$C$337,"emea",'Marketing spend and leads'!$D$2:$D$337,"may25")</f>
        <v>33060</v>
      </c>
      <c r="F12" s="4">
        <f>SUMIFS('Marketing spend and leads'!$E$2:$E$337,'Marketing spend and leads'!$B$2:$B$337,"events",'Marketing spend and leads'!$C$2:$C$337,"emea",'Marketing spend and leads'!$D$2:$D$337,"jun25")</f>
        <v>11150</v>
      </c>
      <c r="G12" s="4">
        <f>SUMIFS('Marketing spend and leads'!$E$2:$E$337,'Marketing spend and leads'!$B$2:$B$337,"events",'Marketing spend and leads'!$C$2:$C$337,"emea",'Marketing spend and leads'!$D$2:$D$337,"jul25")</f>
        <v>9570</v>
      </c>
      <c r="H12" s="4">
        <f>SUMIFS('Marketing spend and leads'!$E$2:$E$337,'Marketing spend and leads'!$B$2:$B$337,"events",'Marketing spend and leads'!$C$2:$C$337,"emea",'Marketing spend and leads'!$D$2:$D$337,"aug25")</f>
        <v>8610</v>
      </c>
      <c r="I12" s="4">
        <f>SUMIFS('Marketing spend and leads'!$E$2:$E$337,'Marketing spend and leads'!$B$2:$B$337,"events",'Marketing spend and leads'!$C$2:$C$337,"emea",'Marketing spend and leads'!$D$2:$D$337,"sep25")</f>
        <v>9940</v>
      </c>
      <c r="J12" s="4">
        <f>SUMIFS('Marketing spend and leads'!$E$2:$E$337,'Marketing spend and leads'!$B$2:$B$337,"events",'Marketing spend and leads'!$C$2:$C$337,"emea",'Marketing spend and leads'!$D$2:$D$337,"oct25")</f>
        <v>28990</v>
      </c>
      <c r="K12" s="4">
        <f>SUMIFS('Marketing spend and leads'!$E$2:$E$337,'Marketing spend and leads'!$B$2:$B$337,"events",'Marketing spend and leads'!$C$2:$C$337,"emea",'Marketing spend and leads'!$D$2:$D$337,"nov25")</f>
        <v>7040</v>
      </c>
      <c r="L12" s="4">
        <f>SUMIFS('Marketing spend and leads'!$E$2:$E$337,'Marketing spend and leads'!$B$2:$B$337,"events",'Marketing spend and leads'!$C$2:$C$337,"emea",'Marketing spend and leads'!$D$2:$D$337,"dec25")</f>
        <v>10360</v>
      </c>
      <c r="M12" s="4">
        <f>SUMIFS('Marketing spend and leads'!$E$2:$E$337,'Marketing spend and leads'!$B$2:$B$337,"events",'Marketing spend and leads'!$C$2:$C$337,"emea",'Marketing spend and leads'!$D$2:$D$337,"jan26")</f>
        <v>8710</v>
      </c>
      <c r="N12" s="4">
        <f>SUMIFS('Marketing spend and leads'!$E$2:$E$337,'Marketing spend and leads'!$B$2:$B$337,"events",'Marketing spend and leads'!$C$2:$C$337,"emea",'Marketing spend and leads'!$D$2:$D$337,"feb26")</f>
        <v>10390</v>
      </c>
      <c r="O12" s="4">
        <f>SUMIFS('Marketing spend and leads'!$E$2:$E$337,'Marketing spend and leads'!$B$2:$B$337,"events",'Marketing spend and leads'!$C$2:$C$337,"emea",'Marketing spend and leads'!$D$2:$D$337,"mar26")</f>
        <v>38750</v>
      </c>
      <c r="P12" s="4">
        <f>SUMIFS('Marketing spend and leads'!$E$2:$E$337,'Marketing spend and leads'!$B$2:$B$337,"events",'Marketing spend and leads'!$C$2:$C$337,"emea",'Marketing spend and leads'!$D$2:$D$337,"apr26")</f>
        <v>9790</v>
      </c>
      <c r="Q12" s="4">
        <f>SUMIFS('Marketing spend and leads'!$E$2:$E$337,'Marketing spend and leads'!$B$2:$B$337,"events",'Marketing spend and leads'!$C$2:$C$337,"emea",'Marketing spend and leads'!$D$2:$D$337,"may26")</f>
        <v>10630</v>
      </c>
      <c r="R12" s="4">
        <f>SUMIFS('Marketing spend and leads'!$E$2:$E$337,'Marketing spend and leads'!$B$2:$B$337,"events",'Marketing spend and leads'!$C$2:$C$337,"emea",'Marketing spend and leads'!$D$2:$D$337,"jun26")</f>
        <v>34480</v>
      </c>
      <c r="S12" s="4">
        <f>SUMIFS('Marketing spend and leads'!$E$2:$E$337,'Marketing spend and leads'!$B$2:$B$337,"events",'Marketing spend and leads'!$C$2:$C$337,"emea",'Marketing spend and leads'!$D$2:$D$337,"jul26")</f>
        <v>9280</v>
      </c>
      <c r="T12" s="4">
        <f>SUMIFS('Marketing spend and leads'!$E$2:$E$337,'Marketing spend and leads'!$B$2:$B$337,"events",'Marketing spend and leads'!$C$2:$C$337,"emea",'Marketing spend and leads'!$D$2:$D$337,"aug26")</f>
        <v>8330</v>
      </c>
      <c r="U12" s="4">
        <f>SUMIFS('Marketing spend and leads'!$E$2:$E$337,'Marketing spend and leads'!$B$2:$B$337,"events",'Marketing spend and leads'!$C$2:$C$337,"emea",'Marketing spend and leads'!$D$2:$D$337,"sep26")</f>
        <v>11300</v>
      </c>
      <c r="V12" s="4">
        <f>SUMIFS('Marketing spend and leads'!$E$2:$E$337,'Marketing spend and leads'!$B$2:$B$337,"events",'Marketing spend and leads'!$C$2:$C$337,"emea",'Marketing spend and leads'!$D$2:$D$337,"oct26")</f>
        <v>28670</v>
      </c>
      <c r="W12" s="4">
        <f>SUMIFS('Marketing spend and leads'!$E$2:$E$337,'Marketing spend and leads'!$B$2:$B$337,"events",'Marketing spend and leads'!$C$2:$C$337,"emea",'Marketing spend and leads'!$D$2:$D$337,"nov26")</f>
        <v>22580</v>
      </c>
      <c r="X12" s="4">
        <f>SUMIFS('Marketing spend and leads'!$E$2:$E$337,'Marketing spend and leads'!$B$2:$B$337,"events",'Marketing spend and leads'!$C$2:$C$337,"emea",'Marketing spend and leads'!$D$2:$D$337,"dec26")</f>
        <v>10290</v>
      </c>
    </row>
    <row r="13">
      <c r="A13" s="0" t="inlineStr">
        <is>
          <t xml:space="preserve">Spend</t>
        </is>
      </c>
      <c r="B13" s="0" t="inlineStr">
        <is>
          <t xml:space="preserve">Events &amp; field</t>
        </is>
      </c>
      <c r="C13" s="0" t="inlineStr">
        <is>
          <t xml:space="preserve">APAC</t>
        </is>
      </c>
      <c r="D13" s="4">
        <f>SUMIFS('Marketing spend and leads'!$E$2:$E$337,'Marketing spend and leads'!$B$2:$B$337,"events",'Marketing spend and leads'!$C$2:$C$337,"apac",'Marketing spend and leads'!$D$2:$D$337,"apr25")</f>
        <v>6300</v>
      </c>
      <c r="E13" s="4">
        <f>SUMIFS('Marketing spend and leads'!$E$2:$E$337,'Marketing spend and leads'!$B$2:$B$337,"events",'Marketing spend and leads'!$C$2:$C$337,"apac",'Marketing spend and leads'!$D$2:$D$337,"may25")</f>
        <v>21060</v>
      </c>
      <c r="F13" s="4">
        <f>SUMIFS('Marketing spend and leads'!$E$2:$E$337,'Marketing spend and leads'!$B$2:$B$337,"events",'Marketing spend and leads'!$C$2:$C$337,"apac",'Marketing spend and leads'!$D$2:$D$337,"jun25")</f>
        <v>7330</v>
      </c>
      <c r="G13" s="4">
        <f>SUMIFS('Marketing spend and leads'!$E$2:$E$337,'Marketing spend and leads'!$B$2:$B$337,"events",'Marketing spend and leads'!$C$2:$C$337,"apac",'Marketing spend and leads'!$D$2:$D$337,"jul25")</f>
        <v>7030</v>
      </c>
      <c r="H13" s="4">
        <f>SUMIFS('Marketing spend and leads'!$E$2:$E$337,'Marketing spend and leads'!$B$2:$B$337,"events",'Marketing spend and leads'!$C$2:$C$337,"apac",'Marketing spend and leads'!$D$2:$D$337,"aug25")</f>
        <v>5360</v>
      </c>
      <c r="I13" s="4">
        <f>SUMIFS('Marketing spend and leads'!$E$2:$E$337,'Marketing spend and leads'!$B$2:$B$337,"events",'Marketing spend and leads'!$C$2:$C$337,"apac",'Marketing spend and leads'!$D$2:$D$337,"sep25")</f>
        <v>5630</v>
      </c>
      <c r="J13" s="4">
        <f>SUMIFS('Marketing spend and leads'!$E$2:$E$337,'Marketing spend and leads'!$B$2:$B$337,"events",'Marketing spend and leads'!$C$2:$C$337,"apac",'Marketing spend and leads'!$D$2:$D$337,"oct25")</f>
        <v>19250</v>
      </c>
      <c r="K13" s="4">
        <f>SUMIFS('Marketing spend and leads'!$E$2:$E$337,'Marketing spend and leads'!$B$2:$B$337,"events",'Marketing spend and leads'!$C$2:$C$337,"apac",'Marketing spend and leads'!$D$2:$D$337,"nov25")</f>
        <v>5040</v>
      </c>
      <c r="L13" s="4">
        <f>SUMIFS('Marketing spend and leads'!$E$2:$E$337,'Marketing spend and leads'!$B$2:$B$337,"events",'Marketing spend and leads'!$C$2:$C$337,"apac",'Marketing spend and leads'!$D$2:$D$337,"dec25")</f>
        <v>7220</v>
      </c>
      <c r="M13" s="4">
        <f>SUMIFS('Marketing spend and leads'!$E$2:$E$337,'Marketing spend and leads'!$B$2:$B$337,"events",'Marketing spend and leads'!$C$2:$C$337,"apac",'Marketing spend and leads'!$D$2:$D$337,"jan26")</f>
        <v>5160</v>
      </c>
      <c r="N13" s="4">
        <f>SUMIFS('Marketing spend and leads'!$E$2:$E$337,'Marketing spend and leads'!$B$2:$B$337,"events",'Marketing spend and leads'!$C$2:$C$337,"apac",'Marketing spend and leads'!$D$2:$D$337,"feb26")</f>
        <v>5540</v>
      </c>
      <c r="O13" s="4">
        <f>SUMIFS('Marketing spend and leads'!$E$2:$E$337,'Marketing spend and leads'!$B$2:$B$337,"events",'Marketing spend and leads'!$C$2:$C$337,"apac",'Marketing spend and leads'!$D$2:$D$337,"mar26")</f>
        <v>24460</v>
      </c>
      <c r="P13" s="4">
        <f>SUMIFS('Marketing spend and leads'!$E$2:$E$337,'Marketing spend and leads'!$B$2:$B$337,"events",'Marketing spend and leads'!$C$2:$C$337,"apac",'Marketing spend and leads'!$D$2:$D$337,"apr26")</f>
        <v>5880</v>
      </c>
      <c r="Q13" s="4">
        <f>SUMIFS('Marketing spend and leads'!$E$2:$E$337,'Marketing spend and leads'!$B$2:$B$337,"events",'Marketing spend and leads'!$C$2:$C$337,"apac",'Marketing spend and leads'!$D$2:$D$337,"may26")</f>
        <v>6820</v>
      </c>
      <c r="R13" s="4">
        <f>SUMIFS('Marketing spend and leads'!$E$2:$E$337,'Marketing spend and leads'!$B$2:$B$337,"events",'Marketing spend and leads'!$C$2:$C$337,"apac",'Marketing spend and leads'!$D$2:$D$337,"jun26")</f>
        <v>23360</v>
      </c>
      <c r="S13" s="4">
        <f>SUMIFS('Marketing spend and leads'!$E$2:$E$337,'Marketing spend and leads'!$B$2:$B$337,"events",'Marketing spend and leads'!$C$2:$C$337,"apac",'Marketing spend and leads'!$D$2:$D$337,"jul26")</f>
        <v>6010</v>
      </c>
      <c r="T13" s="4">
        <f>SUMIFS('Marketing spend and leads'!$E$2:$E$337,'Marketing spend and leads'!$B$2:$B$337,"events",'Marketing spend and leads'!$C$2:$C$337,"apac",'Marketing spend and leads'!$D$2:$D$337,"aug26")</f>
        <v>5610</v>
      </c>
      <c r="U13" s="4">
        <f>SUMIFS('Marketing spend and leads'!$E$2:$E$337,'Marketing spend and leads'!$B$2:$B$337,"events",'Marketing spend and leads'!$C$2:$C$337,"apac",'Marketing spend and leads'!$D$2:$D$337,"sep26")</f>
        <v>6090</v>
      </c>
      <c r="V13" s="4">
        <f>SUMIFS('Marketing spend and leads'!$E$2:$E$337,'Marketing spend and leads'!$B$2:$B$337,"events",'Marketing spend and leads'!$C$2:$C$337,"apac",'Marketing spend and leads'!$D$2:$D$337,"oct26")</f>
        <v>19660</v>
      </c>
      <c r="W13" s="4">
        <f>SUMIFS('Marketing spend and leads'!$E$2:$E$337,'Marketing spend and leads'!$B$2:$B$337,"events",'Marketing spend and leads'!$C$2:$C$337,"apac",'Marketing spend and leads'!$D$2:$D$337,"nov26")</f>
        <v>13980</v>
      </c>
      <c r="X13" s="4">
        <f>SUMIFS('Marketing spend and leads'!$E$2:$E$337,'Marketing spend and leads'!$B$2:$B$337,"events",'Marketing spend and leads'!$C$2:$C$337,"apac",'Marketing spend and leads'!$D$2:$D$337,"dec26")</f>
        <v>6250</v>
      </c>
    </row>
    <row r="14">
      <c r="A14" s="0" t="inlineStr">
        <is>
          <t xml:space="preserve">Spend</t>
        </is>
      </c>
      <c r="B14" s="0" t="inlineStr">
        <is>
          <t xml:space="preserve">Partner</t>
        </is>
      </c>
      <c r="C14" s="0" t="inlineStr">
        <is>
          <t xml:space="preserve">AMER East</t>
        </is>
      </c>
      <c r="D14" s="4">
        <f>SUMIFS('Marketing spend and leads'!$E$2:$E$337,'Marketing spend and leads'!$B$2:$B$337,"partner",'Marketing spend and leads'!$C$2:$C$337,"amer_east",'Marketing spend and leads'!$D$2:$D$337,"apr25")</f>
        <v>6930</v>
      </c>
      <c r="E14" s="4">
        <f>SUMIFS('Marketing spend and leads'!$E$2:$E$337,'Marketing spend and leads'!$B$2:$B$337,"partner",'Marketing spend and leads'!$C$2:$C$337,"amer_east",'Marketing spend and leads'!$D$2:$D$337,"may25")</f>
        <v>5820</v>
      </c>
      <c r="F14" s="4">
        <f>SUMIFS('Marketing spend and leads'!$E$2:$E$337,'Marketing spend and leads'!$B$2:$B$337,"partner",'Marketing spend and leads'!$C$2:$C$337,"amer_east",'Marketing spend and leads'!$D$2:$D$337,"jun25")</f>
        <v>6070</v>
      </c>
      <c r="G14" s="4">
        <f>SUMIFS('Marketing spend and leads'!$E$2:$E$337,'Marketing spend and leads'!$B$2:$B$337,"partner",'Marketing spend and leads'!$C$2:$C$337,"amer_east",'Marketing spend and leads'!$D$2:$D$337,"jul25")</f>
        <v>5590</v>
      </c>
      <c r="H14" s="4">
        <f>SUMIFS('Marketing spend and leads'!$E$2:$E$337,'Marketing spend and leads'!$B$2:$B$337,"partner",'Marketing spend and leads'!$C$2:$C$337,"amer_east",'Marketing spend and leads'!$D$2:$D$337,"aug25")</f>
        <v>5000</v>
      </c>
      <c r="I14" s="4">
        <f>SUMIFS('Marketing spend and leads'!$E$2:$E$337,'Marketing spend and leads'!$B$2:$B$337,"partner",'Marketing spend and leads'!$C$2:$C$337,"amer_east",'Marketing spend and leads'!$D$2:$D$337,"sep25")</f>
        <v>5820</v>
      </c>
      <c r="J14" s="4">
        <f>SUMIFS('Marketing spend and leads'!$E$2:$E$337,'Marketing spend and leads'!$B$2:$B$337,"partner",'Marketing spend and leads'!$C$2:$C$337,"amer_east",'Marketing spend and leads'!$D$2:$D$337,"oct25")</f>
        <v>5060</v>
      </c>
      <c r="K14" s="4">
        <f>SUMIFS('Marketing spend and leads'!$E$2:$E$337,'Marketing spend and leads'!$B$2:$B$337,"partner",'Marketing spend and leads'!$C$2:$C$337,"amer_east",'Marketing spend and leads'!$D$2:$D$337,"nov25")</f>
        <v>4740</v>
      </c>
      <c r="L14" s="4">
        <f>SUMIFS('Marketing spend and leads'!$E$2:$E$337,'Marketing spend and leads'!$B$2:$B$337,"partner",'Marketing spend and leads'!$C$2:$C$337,"amer_east",'Marketing spend and leads'!$D$2:$D$337,"dec25")</f>
        <v>7030</v>
      </c>
      <c r="M14" s="4">
        <f>SUMIFS('Marketing spend and leads'!$E$2:$E$337,'Marketing spend and leads'!$B$2:$B$337,"partner",'Marketing spend and leads'!$C$2:$C$337,"amer_east",'Marketing spend and leads'!$D$2:$D$337,"jan26")</f>
        <v>5850</v>
      </c>
      <c r="N14" s="4">
        <f>SUMIFS('Marketing spend and leads'!$E$2:$E$337,'Marketing spend and leads'!$B$2:$B$337,"partner",'Marketing spend and leads'!$C$2:$C$337,"amer_east",'Marketing spend and leads'!$D$2:$D$337,"feb26")</f>
        <v>5320</v>
      </c>
      <c r="O14" s="4">
        <f>SUMIFS('Marketing spend and leads'!$E$2:$E$337,'Marketing spend and leads'!$B$2:$B$337,"partner",'Marketing spend and leads'!$C$2:$C$337,"amer_east",'Marketing spend and leads'!$D$2:$D$337,"mar26")</f>
        <v>6680</v>
      </c>
      <c r="P14" s="4">
        <f>SUMIFS('Marketing spend and leads'!$E$2:$E$337,'Marketing spend and leads'!$B$2:$B$337,"partner",'Marketing spend and leads'!$C$2:$C$337,"amer_east",'Marketing spend and leads'!$D$2:$D$337,"apr26")</f>
        <v>6580</v>
      </c>
      <c r="Q14" s="4">
        <f>SUMIFS('Marketing spend and leads'!$E$2:$E$337,'Marketing spend and leads'!$B$2:$B$337,"partner",'Marketing spend and leads'!$C$2:$C$337,"amer_east",'Marketing spend and leads'!$D$2:$D$337,"may26")</f>
        <v>5850</v>
      </c>
      <c r="R14" s="4">
        <f>SUMIFS('Marketing spend and leads'!$E$2:$E$337,'Marketing spend and leads'!$B$2:$B$337,"partner",'Marketing spend and leads'!$C$2:$C$337,"amer_east",'Marketing spend and leads'!$D$2:$D$337,"jun26")</f>
        <v>7370</v>
      </c>
      <c r="S14" s="4">
        <f>SUMIFS('Marketing spend and leads'!$E$2:$E$337,'Marketing spend and leads'!$B$2:$B$337,"partner",'Marketing spend and leads'!$C$2:$C$337,"amer_east",'Marketing spend and leads'!$D$2:$D$337,"jul26")</f>
        <v>5320</v>
      </c>
      <c r="T14" s="4">
        <f>SUMIFS('Marketing spend and leads'!$E$2:$E$337,'Marketing spend and leads'!$B$2:$B$337,"partner",'Marketing spend and leads'!$C$2:$C$337,"amer_east",'Marketing spend and leads'!$D$2:$D$337,"aug26")</f>
        <v>6210</v>
      </c>
      <c r="U14" s="4">
        <f>SUMIFS('Marketing spend and leads'!$E$2:$E$337,'Marketing spend and leads'!$B$2:$B$337,"partner",'Marketing spend and leads'!$C$2:$C$337,"amer_east",'Marketing spend and leads'!$D$2:$D$337,"sep26")</f>
        <v>6010</v>
      </c>
      <c r="V14" s="4">
        <f>SUMIFS('Marketing spend and leads'!$E$2:$E$337,'Marketing spend and leads'!$B$2:$B$337,"partner",'Marketing spend and leads'!$C$2:$C$337,"amer_east",'Marketing spend and leads'!$D$2:$D$337,"oct26")</f>
        <v>5370</v>
      </c>
      <c r="W14" s="4">
        <f>SUMIFS('Marketing spend and leads'!$E$2:$E$337,'Marketing spend and leads'!$B$2:$B$337,"partner",'Marketing spend and leads'!$C$2:$C$337,"amer_east",'Marketing spend and leads'!$D$2:$D$337,"nov26")</f>
        <v>5530</v>
      </c>
      <c r="X14" s="4">
        <f>SUMIFS('Marketing spend and leads'!$E$2:$E$337,'Marketing spend and leads'!$B$2:$B$337,"partner",'Marketing spend and leads'!$C$2:$C$337,"amer_east",'Marketing spend and leads'!$D$2:$D$337,"dec26")</f>
        <v>5420</v>
      </c>
    </row>
    <row r="15">
      <c r="A15" s="0" t="inlineStr">
        <is>
          <t xml:space="preserve">Spend</t>
        </is>
      </c>
      <c r="B15" s="0" t="inlineStr">
        <is>
          <t xml:space="preserve">Partner</t>
        </is>
      </c>
      <c r="C15" s="0" t="inlineStr">
        <is>
          <t xml:space="preserve">AMER West</t>
        </is>
      </c>
      <c r="D15" s="4">
        <f>SUMIFS('Marketing spend and leads'!$E$2:$E$337,'Marketing spend and leads'!$B$2:$B$337,"partner",'Marketing spend and leads'!$C$2:$C$337,"amer_west",'Marketing spend and leads'!$D$2:$D$337,"apr25")</f>
        <v>6350</v>
      </c>
      <c r="E15" s="4">
        <f>SUMIFS('Marketing spend and leads'!$E$2:$E$337,'Marketing spend and leads'!$B$2:$B$337,"partner",'Marketing spend and leads'!$C$2:$C$337,"amer_west",'Marketing spend and leads'!$D$2:$D$337,"may25")</f>
        <v>5280</v>
      </c>
      <c r="F15" s="4">
        <f>SUMIFS('Marketing spend and leads'!$E$2:$E$337,'Marketing spend and leads'!$B$2:$B$337,"partner",'Marketing spend and leads'!$C$2:$C$337,"amer_west",'Marketing spend and leads'!$D$2:$D$337,"jun25")</f>
        <v>6150</v>
      </c>
      <c r="G15" s="4">
        <f>SUMIFS('Marketing spend and leads'!$E$2:$E$337,'Marketing spend and leads'!$B$2:$B$337,"partner",'Marketing spend and leads'!$C$2:$C$337,"amer_west",'Marketing spend and leads'!$D$2:$D$337,"jul25")</f>
        <v>5810</v>
      </c>
      <c r="H15" s="4">
        <f>SUMIFS('Marketing spend and leads'!$E$2:$E$337,'Marketing spend and leads'!$B$2:$B$337,"partner",'Marketing spend and leads'!$C$2:$C$337,"amer_west",'Marketing spend and leads'!$D$2:$D$337,"aug25")</f>
        <v>5150</v>
      </c>
      <c r="I15" s="4">
        <f>SUMIFS('Marketing spend and leads'!$E$2:$E$337,'Marketing spend and leads'!$B$2:$B$337,"partner",'Marketing spend and leads'!$C$2:$C$337,"amer_west",'Marketing spend and leads'!$D$2:$D$337,"sep25")</f>
        <v>4940</v>
      </c>
      <c r="J15" s="4">
        <f>SUMIFS('Marketing spend and leads'!$E$2:$E$337,'Marketing spend and leads'!$B$2:$B$337,"partner",'Marketing spend and leads'!$C$2:$C$337,"amer_west",'Marketing spend and leads'!$D$2:$D$337,"oct25")</f>
        <v>4550</v>
      </c>
      <c r="K15" s="4">
        <f>SUMIFS('Marketing spend and leads'!$E$2:$E$337,'Marketing spend and leads'!$B$2:$B$337,"partner",'Marketing spend and leads'!$C$2:$C$337,"amer_west",'Marketing spend and leads'!$D$2:$D$337,"nov25")</f>
        <v>4730</v>
      </c>
      <c r="L15" s="4">
        <f>SUMIFS('Marketing spend and leads'!$E$2:$E$337,'Marketing spend and leads'!$B$2:$B$337,"partner",'Marketing spend and leads'!$C$2:$C$337,"amer_west",'Marketing spend and leads'!$D$2:$D$337,"dec25")</f>
        <v>5420</v>
      </c>
      <c r="M15" s="4">
        <f>SUMIFS('Marketing spend and leads'!$E$2:$E$337,'Marketing spend and leads'!$B$2:$B$337,"partner",'Marketing spend and leads'!$C$2:$C$337,"amer_west",'Marketing spend and leads'!$D$2:$D$337,"jan26")</f>
        <v>4980</v>
      </c>
      <c r="N15" s="4">
        <f>SUMIFS('Marketing spend and leads'!$E$2:$E$337,'Marketing spend and leads'!$B$2:$B$337,"partner",'Marketing spend and leads'!$C$2:$C$337,"amer_west",'Marketing spend and leads'!$D$2:$D$337,"feb26")</f>
        <v>5760</v>
      </c>
      <c r="O15" s="4">
        <f>SUMIFS('Marketing spend and leads'!$E$2:$E$337,'Marketing spend and leads'!$B$2:$B$337,"partner",'Marketing spend and leads'!$C$2:$C$337,"amer_west",'Marketing spend and leads'!$D$2:$D$337,"mar26")</f>
        <v>6780</v>
      </c>
      <c r="P15" s="4">
        <f>SUMIFS('Marketing spend and leads'!$E$2:$E$337,'Marketing spend and leads'!$B$2:$B$337,"partner",'Marketing spend and leads'!$C$2:$C$337,"amer_west",'Marketing spend and leads'!$D$2:$D$337,"apr26")</f>
        <v>5940</v>
      </c>
      <c r="Q15" s="4">
        <f>SUMIFS('Marketing spend and leads'!$E$2:$E$337,'Marketing spend and leads'!$B$2:$B$337,"partner",'Marketing spend and leads'!$C$2:$C$337,"amer_west",'Marketing spend and leads'!$D$2:$D$337,"may26")</f>
        <v>6080</v>
      </c>
      <c r="R15" s="4">
        <f>SUMIFS('Marketing spend and leads'!$E$2:$E$337,'Marketing spend and leads'!$B$2:$B$337,"partner",'Marketing spend and leads'!$C$2:$C$337,"amer_west",'Marketing spend and leads'!$D$2:$D$337,"jun26")</f>
        <v>6600</v>
      </c>
      <c r="S15" s="4">
        <f>SUMIFS('Marketing spend and leads'!$E$2:$E$337,'Marketing spend and leads'!$B$2:$B$337,"partner",'Marketing spend and leads'!$C$2:$C$337,"amer_west",'Marketing spend and leads'!$D$2:$D$337,"jul26")</f>
        <v>5420</v>
      </c>
      <c r="T15" s="4">
        <f>SUMIFS('Marketing spend and leads'!$E$2:$E$337,'Marketing spend and leads'!$B$2:$B$337,"partner",'Marketing spend and leads'!$C$2:$C$337,"amer_west",'Marketing spend and leads'!$D$2:$D$337,"aug26")</f>
        <v>5200</v>
      </c>
      <c r="U15" s="4">
        <f>SUMIFS('Marketing spend and leads'!$E$2:$E$337,'Marketing spend and leads'!$B$2:$B$337,"partner",'Marketing spend and leads'!$C$2:$C$337,"amer_west",'Marketing spend and leads'!$D$2:$D$337,"sep26")</f>
        <v>4650</v>
      </c>
      <c r="V15" s="4">
        <f>SUMIFS('Marketing spend and leads'!$E$2:$E$337,'Marketing spend and leads'!$B$2:$B$337,"partner",'Marketing spend and leads'!$C$2:$C$337,"amer_west",'Marketing spend and leads'!$D$2:$D$337,"oct26")</f>
        <v>4370</v>
      </c>
      <c r="W15" s="4">
        <f>SUMIFS('Marketing spend and leads'!$E$2:$E$337,'Marketing spend and leads'!$B$2:$B$337,"partner",'Marketing spend and leads'!$C$2:$C$337,"amer_west",'Marketing spend and leads'!$D$2:$D$337,"nov26")</f>
        <v>5010</v>
      </c>
      <c r="X15" s="4">
        <f>SUMIFS('Marketing spend and leads'!$E$2:$E$337,'Marketing spend and leads'!$B$2:$B$337,"partner",'Marketing spend and leads'!$C$2:$C$337,"amer_west",'Marketing spend and leads'!$D$2:$D$337,"dec26")</f>
        <v>5720</v>
      </c>
    </row>
    <row r="16">
      <c r="A16" s="0" t="inlineStr">
        <is>
          <t xml:space="preserve">Spend</t>
        </is>
      </c>
      <c r="B16" s="0" t="inlineStr">
        <is>
          <t xml:space="preserve">Partner</t>
        </is>
      </c>
      <c r="C16" s="0" t="inlineStr">
        <is>
          <t xml:space="preserve">EMEA</t>
        </is>
      </c>
      <c r="D16" s="4">
        <f>SUMIFS('Marketing spend and leads'!$E$2:$E$337,'Marketing spend and leads'!$B$2:$B$337,"partner",'Marketing spend and leads'!$C$2:$C$337,"emea",'Marketing spend and leads'!$D$2:$D$337,"apr25")</f>
        <v>5560</v>
      </c>
      <c r="E16" s="4">
        <f>SUMIFS('Marketing spend and leads'!$E$2:$E$337,'Marketing spend and leads'!$B$2:$B$337,"partner",'Marketing spend and leads'!$C$2:$C$337,"emea",'Marketing spend and leads'!$D$2:$D$337,"may25")</f>
        <v>5630</v>
      </c>
      <c r="F16" s="4">
        <f>SUMIFS('Marketing spend and leads'!$E$2:$E$337,'Marketing spend and leads'!$B$2:$B$337,"partner",'Marketing spend and leads'!$C$2:$C$337,"emea",'Marketing spend and leads'!$D$2:$D$337,"jun25")</f>
        <v>5300</v>
      </c>
      <c r="G16" s="4">
        <f>SUMIFS('Marketing spend and leads'!$E$2:$E$337,'Marketing spend and leads'!$B$2:$B$337,"partner",'Marketing spend and leads'!$C$2:$C$337,"emea",'Marketing spend and leads'!$D$2:$D$337,"jul25")</f>
        <v>4230</v>
      </c>
      <c r="H16" s="4">
        <f>SUMIFS('Marketing spend and leads'!$E$2:$E$337,'Marketing spend and leads'!$B$2:$B$337,"partner",'Marketing spend and leads'!$C$2:$C$337,"emea",'Marketing spend and leads'!$D$2:$D$337,"aug25")</f>
        <v>4250</v>
      </c>
      <c r="I16" s="4">
        <f>SUMIFS('Marketing spend and leads'!$E$2:$E$337,'Marketing spend and leads'!$B$2:$B$337,"partner",'Marketing spend and leads'!$C$2:$C$337,"emea",'Marketing spend and leads'!$D$2:$D$337,"sep25")</f>
        <v>4020</v>
      </c>
      <c r="J16" s="4">
        <f>SUMIFS('Marketing spend and leads'!$E$2:$E$337,'Marketing spend and leads'!$B$2:$B$337,"partner",'Marketing spend and leads'!$C$2:$C$337,"emea",'Marketing spend and leads'!$D$2:$D$337,"oct25")</f>
        <v>4080</v>
      </c>
      <c r="K16" s="4">
        <f>SUMIFS('Marketing spend and leads'!$E$2:$E$337,'Marketing spend and leads'!$B$2:$B$337,"partner",'Marketing spend and leads'!$C$2:$C$337,"emea",'Marketing spend and leads'!$D$2:$D$337,"nov25")</f>
        <v>4340</v>
      </c>
      <c r="L16" s="4">
        <f>SUMIFS('Marketing spend and leads'!$E$2:$E$337,'Marketing spend and leads'!$B$2:$B$337,"partner",'Marketing spend and leads'!$C$2:$C$337,"emea",'Marketing spend and leads'!$D$2:$D$337,"dec25")</f>
        <v>5100</v>
      </c>
      <c r="M16" s="4">
        <f>SUMIFS('Marketing spend and leads'!$E$2:$E$337,'Marketing spend and leads'!$B$2:$B$337,"partner",'Marketing spend and leads'!$C$2:$C$337,"emea",'Marketing spend and leads'!$D$2:$D$337,"jan26")</f>
        <v>5340</v>
      </c>
      <c r="N16" s="4">
        <f>SUMIFS('Marketing spend and leads'!$E$2:$E$337,'Marketing spend and leads'!$B$2:$B$337,"partner",'Marketing spend and leads'!$C$2:$C$337,"emea",'Marketing spend and leads'!$D$2:$D$337,"feb26")</f>
        <v>4790</v>
      </c>
      <c r="O16" s="4">
        <f>SUMIFS('Marketing spend and leads'!$E$2:$E$337,'Marketing spend and leads'!$B$2:$B$337,"partner",'Marketing spend and leads'!$C$2:$C$337,"emea",'Marketing spend and leads'!$D$2:$D$337,"mar26")</f>
        <v>5710</v>
      </c>
      <c r="P16" s="4">
        <f>SUMIFS('Marketing spend and leads'!$E$2:$E$337,'Marketing spend and leads'!$B$2:$B$337,"partner",'Marketing spend and leads'!$C$2:$C$337,"emea",'Marketing spend and leads'!$D$2:$D$337,"apr26")</f>
        <v>4810</v>
      </c>
      <c r="Q16" s="4">
        <f>SUMIFS('Marketing spend and leads'!$E$2:$E$337,'Marketing spend and leads'!$B$2:$B$337,"partner",'Marketing spend and leads'!$C$2:$C$337,"emea",'Marketing spend and leads'!$D$2:$D$337,"may26")</f>
        <v>5030</v>
      </c>
      <c r="R16" s="4">
        <f>SUMIFS('Marketing spend and leads'!$E$2:$E$337,'Marketing spend and leads'!$B$2:$B$337,"partner",'Marketing spend and leads'!$C$2:$C$337,"emea",'Marketing spend and leads'!$D$2:$D$337,"jun26")</f>
        <v>4960</v>
      </c>
      <c r="S16" s="4">
        <f>SUMIFS('Marketing spend and leads'!$E$2:$E$337,'Marketing spend and leads'!$B$2:$B$337,"partner",'Marketing spend and leads'!$C$2:$C$337,"emea",'Marketing spend and leads'!$D$2:$D$337,"jul26")</f>
        <v>4860</v>
      </c>
      <c r="T16" s="4">
        <f>SUMIFS('Marketing spend and leads'!$E$2:$E$337,'Marketing spend and leads'!$B$2:$B$337,"partner",'Marketing spend and leads'!$C$2:$C$337,"emea",'Marketing spend and leads'!$D$2:$D$337,"aug26")</f>
        <v>4070</v>
      </c>
      <c r="U16" s="4">
        <f>SUMIFS('Marketing spend and leads'!$E$2:$E$337,'Marketing spend and leads'!$B$2:$B$337,"partner",'Marketing spend and leads'!$C$2:$C$337,"emea",'Marketing spend and leads'!$D$2:$D$337,"sep26")</f>
        <v>5060</v>
      </c>
      <c r="V16" s="4">
        <f>SUMIFS('Marketing spend and leads'!$E$2:$E$337,'Marketing spend and leads'!$B$2:$B$337,"partner",'Marketing spend and leads'!$C$2:$C$337,"emea",'Marketing spend and leads'!$D$2:$D$337,"oct26")</f>
        <v>3690</v>
      </c>
      <c r="W16" s="4">
        <f>SUMIFS('Marketing spend and leads'!$E$2:$E$337,'Marketing spend and leads'!$B$2:$B$337,"partner",'Marketing spend and leads'!$C$2:$C$337,"emea",'Marketing spend and leads'!$D$2:$D$337,"nov26")</f>
        <v>3780</v>
      </c>
      <c r="X16" s="4">
        <f>SUMIFS('Marketing spend and leads'!$E$2:$E$337,'Marketing spend and leads'!$B$2:$B$337,"partner",'Marketing spend and leads'!$C$2:$C$337,"emea",'Marketing spend and leads'!$D$2:$D$337,"dec26")</f>
        <v>4820</v>
      </c>
    </row>
    <row r="17">
      <c r="A17" s="0" t="inlineStr">
        <is>
          <t xml:space="preserve">Spend</t>
        </is>
      </c>
      <c r="B17" s="0" t="inlineStr">
        <is>
          <t xml:space="preserve">Partner</t>
        </is>
      </c>
      <c r="C17" s="0" t="inlineStr">
        <is>
          <t xml:space="preserve">APAC</t>
        </is>
      </c>
      <c r="D17" s="4">
        <f>SUMIFS('Marketing spend and leads'!$E$2:$E$337,'Marketing spend and leads'!$B$2:$B$337,"partner",'Marketing spend and leads'!$C$2:$C$337,"apac",'Marketing spend and leads'!$D$2:$D$337,"apr25")</f>
        <v>2960</v>
      </c>
      <c r="E17" s="4">
        <f>SUMIFS('Marketing spend and leads'!$E$2:$E$337,'Marketing spend and leads'!$B$2:$B$337,"partner",'Marketing spend and leads'!$C$2:$C$337,"apac",'Marketing spend and leads'!$D$2:$D$337,"may25")</f>
        <v>2660</v>
      </c>
      <c r="F17" s="4">
        <f>SUMIFS('Marketing spend and leads'!$E$2:$E$337,'Marketing spend and leads'!$B$2:$B$337,"partner",'Marketing spend and leads'!$C$2:$C$337,"apac",'Marketing spend and leads'!$D$2:$D$337,"jun25")</f>
        <v>4090</v>
      </c>
      <c r="G17" s="4">
        <f>SUMIFS('Marketing spend and leads'!$E$2:$E$337,'Marketing spend and leads'!$B$2:$B$337,"partner",'Marketing spend and leads'!$C$2:$C$337,"apac",'Marketing spend and leads'!$D$2:$D$337,"jul25")</f>
        <v>2840</v>
      </c>
      <c r="H17" s="4">
        <f>SUMIFS('Marketing spend and leads'!$E$2:$E$337,'Marketing spend and leads'!$B$2:$B$337,"partner",'Marketing spend and leads'!$C$2:$C$337,"apac",'Marketing spend and leads'!$D$2:$D$337,"aug25")</f>
        <v>2600</v>
      </c>
      <c r="I17" s="4">
        <f>SUMIFS('Marketing spend and leads'!$E$2:$E$337,'Marketing spend and leads'!$B$2:$B$337,"partner",'Marketing spend and leads'!$C$2:$C$337,"apac",'Marketing spend and leads'!$D$2:$D$337,"sep25")</f>
        <v>2580</v>
      </c>
      <c r="J17" s="4">
        <f>SUMIFS('Marketing spend and leads'!$E$2:$E$337,'Marketing spend and leads'!$B$2:$B$337,"partner",'Marketing spend and leads'!$C$2:$C$337,"apac",'Marketing spend and leads'!$D$2:$D$337,"oct25")</f>
        <v>2490</v>
      </c>
      <c r="K17" s="4">
        <f>SUMIFS('Marketing spend and leads'!$E$2:$E$337,'Marketing spend and leads'!$B$2:$B$337,"partner",'Marketing spend and leads'!$C$2:$C$337,"apac",'Marketing spend and leads'!$D$2:$D$337,"nov25")</f>
        <v>2570</v>
      </c>
      <c r="L17" s="4">
        <f>SUMIFS('Marketing spend and leads'!$E$2:$E$337,'Marketing spend and leads'!$B$2:$B$337,"partner",'Marketing spend and leads'!$C$2:$C$337,"apac",'Marketing spend and leads'!$D$2:$D$337,"dec25")</f>
        <v>2670</v>
      </c>
      <c r="M17" s="4">
        <f>SUMIFS('Marketing spend and leads'!$E$2:$E$337,'Marketing spend and leads'!$B$2:$B$337,"partner",'Marketing spend and leads'!$C$2:$C$337,"apac",'Marketing spend and leads'!$D$2:$D$337,"jan26")</f>
        <v>3020</v>
      </c>
      <c r="N17" s="4">
        <f>SUMIFS('Marketing spend and leads'!$E$2:$E$337,'Marketing spend and leads'!$B$2:$B$337,"partner",'Marketing spend and leads'!$C$2:$C$337,"apac",'Marketing spend and leads'!$D$2:$D$337,"feb26")</f>
        <v>3220</v>
      </c>
      <c r="O17" s="4">
        <f>SUMIFS('Marketing spend and leads'!$E$2:$E$337,'Marketing spend and leads'!$B$2:$B$337,"partner",'Marketing spend and leads'!$C$2:$C$337,"apac",'Marketing spend and leads'!$D$2:$D$337,"mar26")</f>
        <v>3660</v>
      </c>
      <c r="P17" s="4">
        <f>SUMIFS('Marketing spend and leads'!$E$2:$E$337,'Marketing spend and leads'!$B$2:$B$337,"partner",'Marketing spend and leads'!$C$2:$C$337,"apac",'Marketing spend and leads'!$D$2:$D$337,"apr26")</f>
        <v>3230</v>
      </c>
      <c r="Q17" s="4">
        <f>SUMIFS('Marketing spend and leads'!$E$2:$E$337,'Marketing spend and leads'!$B$2:$B$337,"partner",'Marketing spend and leads'!$C$2:$C$337,"apac",'Marketing spend and leads'!$D$2:$D$337,"may26")</f>
        <v>3080</v>
      </c>
      <c r="R17" s="4">
        <f>SUMIFS('Marketing spend and leads'!$E$2:$E$337,'Marketing spend and leads'!$B$2:$B$337,"partner",'Marketing spend and leads'!$C$2:$C$337,"apac",'Marketing spend and leads'!$D$2:$D$337,"jun26")</f>
        <v>3310</v>
      </c>
      <c r="S17" s="4">
        <f>SUMIFS('Marketing spend and leads'!$E$2:$E$337,'Marketing spend and leads'!$B$2:$B$337,"partner",'Marketing spend and leads'!$C$2:$C$337,"apac",'Marketing spend and leads'!$D$2:$D$337,"jul26")</f>
        <v>2960</v>
      </c>
      <c r="T17" s="4">
        <f>SUMIFS('Marketing spend and leads'!$E$2:$E$337,'Marketing spend and leads'!$B$2:$B$337,"partner",'Marketing spend and leads'!$C$2:$C$337,"apac",'Marketing spend and leads'!$D$2:$D$337,"aug26")</f>
        <v>2690</v>
      </c>
      <c r="U17" s="4">
        <f>SUMIFS('Marketing spend and leads'!$E$2:$E$337,'Marketing spend and leads'!$B$2:$B$337,"partner",'Marketing spend and leads'!$C$2:$C$337,"apac",'Marketing spend and leads'!$D$2:$D$337,"sep26")</f>
        <v>3320</v>
      </c>
      <c r="V17" s="4">
        <f>SUMIFS('Marketing spend and leads'!$E$2:$E$337,'Marketing spend and leads'!$B$2:$B$337,"partner",'Marketing spend and leads'!$C$2:$C$337,"apac",'Marketing spend and leads'!$D$2:$D$337,"oct26")</f>
        <v>2430</v>
      </c>
      <c r="W17" s="4">
        <f>SUMIFS('Marketing spend and leads'!$E$2:$E$337,'Marketing spend and leads'!$B$2:$B$337,"partner",'Marketing spend and leads'!$C$2:$C$337,"apac",'Marketing spend and leads'!$D$2:$D$337,"nov26")</f>
        <v>2700</v>
      </c>
      <c r="X17" s="4">
        <f>SUMIFS('Marketing spend and leads'!$E$2:$E$337,'Marketing spend and leads'!$B$2:$B$337,"partner",'Marketing spend and leads'!$C$2:$C$337,"apac",'Marketing spend and leads'!$D$2:$D$337,"dec26")</f>
        <v>3100</v>
      </c>
    </row>
    <row r="18">
      <c r="A18" s="0" t="inlineStr">
        <is>
          <t xml:space="preserve">Spend</t>
        </is>
      </c>
      <c r="B18" s="0" t="inlineStr">
        <is>
          <t xml:space="preserve">Outbound (BDR)</t>
        </is>
      </c>
      <c r="C18" s="0" t="inlineStr">
        <is>
          <t xml:space="preserve">AMER East</t>
        </is>
      </c>
      <c r="D18" s="4">
        <f>SUMIFS('Marketing spend and leads'!$E$2:$E$337,'Marketing spend and leads'!$B$2:$B$337,"outbound",'Marketing spend and leads'!$C$2:$C$337,"amer_east",'Marketing spend and leads'!$D$2:$D$337,"apr25")</f>
        <v>0</v>
      </c>
      <c r="E18" s="4">
        <f>SUMIFS('Marketing spend and leads'!$E$2:$E$337,'Marketing spend and leads'!$B$2:$B$337,"outbound",'Marketing spend and leads'!$C$2:$C$337,"amer_east",'Marketing spend and leads'!$D$2:$D$337,"may25")</f>
        <v>0</v>
      </c>
      <c r="F18" s="4">
        <f>SUMIFS('Marketing spend and leads'!$E$2:$E$337,'Marketing spend and leads'!$B$2:$B$337,"outbound",'Marketing spend and leads'!$C$2:$C$337,"amer_east",'Marketing spend and leads'!$D$2:$D$337,"jun25")</f>
        <v>0</v>
      </c>
      <c r="G18" s="4">
        <f>SUMIFS('Marketing spend and leads'!$E$2:$E$337,'Marketing spend and leads'!$B$2:$B$337,"outbound",'Marketing spend and leads'!$C$2:$C$337,"amer_east",'Marketing spend and leads'!$D$2:$D$337,"jul25")</f>
        <v>0</v>
      </c>
      <c r="H18" s="4">
        <f>SUMIFS('Marketing spend and leads'!$E$2:$E$337,'Marketing spend and leads'!$B$2:$B$337,"outbound",'Marketing spend and leads'!$C$2:$C$337,"amer_east",'Marketing spend and leads'!$D$2:$D$337,"aug25")</f>
        <v>0</v>
      </c>
      <c r="I18" s="4">
        <f>SUMIFS('Marketing spend and leads'!$E$2:$E$337,'Marketing spend and leads'!$B$2:$B$337,"outbound",'Marketing spend and leads'!$C$2:$C$337,"amer_east",'Marketing spend and leads'!$D$2:$D$337,"sep25")</f>
        <v>0</v>
      </c>
      <c r="J18" s="4">
        <f>SUMIFS('Marketing spend and leads'!$E$2:$E$337,'Marketing spend and leads'!$B$2:$B$337,"outbound",'Marketing spend and leads'!$C$2:$C$337,"amer_east",'Marketing spend and leads'!$D$2:$D$337,"oct25")</f>
        <v>0</v>
      </c>
      <c r="K18" s="4">
        <f>SUMIFS('Marketing spend and leads'!$E$2:$E$337,'Marketing spend and leads'!$B$2:$B$337,"outbound",'Marketing spend and leads'!$C$2:$C$337,"amer_east",'Marketing spend and leads'!$D$2:$D$337,"nov25")</f>
        <v>0</v>
      </c>
      <c r="L18" s="4">
        <f>SUMIFS('Marketing spend and leads'!$E$2:$E$337,'Marketing spend and leads'!$B$2:$B$337,"outbound",'Marketing spend and leads'!$C$2:$C$337,"amer_east",'Marketing spend and leads'!$D$2:$D$337,"dec25")</f>
        <v>0</v>
      </c>
      <c r="M18" s="4">
        <f>SUMIFS('Marketing spend and leads'!$E$2:$E$337,'Marketing spend and leads'!$B$2:$B$337,"outbound",'Marketing spend and leads'!$C$2:$C$337,"amer_east",'Marketing spend and leads'!$D$2:$D$337,"jan26")</f>
        <v>0</v>
      </c>
      <c r="N18" s="4">
        <f>SUMIFS('Marketing spend and leads'!$E$2:$E$337,'Marketing spend and leads'!$B$2:$B$337,"outbound",'Marketing spend and leads'!$C$2:$C$337,"amer_east",'Marketing spend and leads'!$D$2:$D$337,"feb26")</f>
        <v>0</v>
      </c>
      <c r="O18" s="4">
        <f>SUMIFS('Marketing spend and leads'!$E$2:$E$337,'Marketing spend and leads'!$B$2:$B$337,"outbound",'Marketing spend and leads'!$C$2:$C$337,"amer_east",'Marketing spend and leads'!$D$2:$D$337,"mar26")</f>
        <v>0</v>
      </c>
      <c r="P18" s="4">
        <f>SUMIFS('Marketing spend and leads'!$E$2:$E$337,'Marketing spend and leads'!$B$2:$B$337,"outbound",'Marketing spend and leads'!$C$2:$C$337,"amer_east",'Marketing spend and leads'!$D$2:$D$337,"apr26")</f>
        <v>0</v>
      </c>
      <c r="Q18" s="4">
        <f>SUMIFS('Marketing spend and leads'!$E$2:$E$337,'Marketing spend and leads'!$B$2:$B$337,"outbound",'Marketing spend and leads'!$C$2:$C$337,"amer_east",'Marketing spend and leads'!$D$2:$D$337,"may26")</f>
        <v>0</v>
      </c>
      <c r="R18" s="4">
        <f>SUMIFS('Marketing spend and leads'!$E$2:$E$337,'Marketing spend and leads'!$B$2:$B$337,"outbound",'Marketing spend and leads'!$C$2:$C$337,"amer_east",'Marketing spend and leads'!$D$2:$D$337,"jun26")</f>
        <v>0</v>
      </c>
      <c r="S18" s="4">
        <f>SUMIFS('Marketing spend and leads'!$E$2:$E$337,'Marketing spend and leads'!$B$2:$B$337,"outbound",'Marketing spend and leads'!$C$2:$C$337,"amer_east",'Marketing spend and leads'!$D$2:$D$337,"jul26")</f>
        <v>0</v>
      </c>
      <c r="T18" s="4">
        <f>SUMIFS('Marketing spend and leads'!$E$2:$E$337,'Marketing spend and leads'!$B$2:$B$337,"outbound",'Marketing spend and leads'!$C$2:$C$337,"amer_east",'Marketing spend and leads'!$D$2:$D$337,"aug26")</f>
        <v>0</v>
      </c>
      <c r="U18" s="4">
        <f>SUMIFS('Marketing spend and leads'!$E$2:$E$337,'Marketing spend and leads'!$B$2:$B$337,"outbound",'Marketing spend and leads'!$C$2:$C$337,"amer_east",'Marketing spend and leads'!$D$2:$D$337,"sep26")</f>
        <v>0</v>
      </c>
      <c r="V18" s="4">
        <f>SUMIFS('Marketing spend and leads'!$E$2:$E$337,'Marketing spend and leads'!$B$2:$B$337,"outbound",'Marketing spend and leads'!$C$2:$C$337,"amer_east",'Marketing spend and leads'!$D$2:$D$337,"oct26")</f>
        <v>0</v>
      </c>
      <c r="W18" s="4">
        <f>SUMIFS('Marketing spend and leads'!$E$2:$E$337,'Marketing spend and leads'!$B$2:$B$337,"outbound",'Marketing spend and leads'!$C$2:$C$337,"amer_east",'Marketing spend and leads'!$D$2:$D$337,"nov26")</f>
        <v>0</v>
      </c>
      <c r="X18" s="4">
        <f>SUMIFS('Marketing spend and leads'!$E$2:$E$337,'Marketing spend and leads'!$B$2:$B$337,"outbound",'Marketing spend and leads'!$C$2:$C$337,"amer_east",'Marketing spend and leads'!$D$2:$D$337,"dec26")</f>
        <v>0</v>
      </c>
    </row>
    <row r="19">
      <c r="A19" s="0" t="inlineStr">
        <is>
          <t xml:space="preserve">Spend</t>
        </is>
      </c>
      <c r="B19" s="0" t="inlineStr">
        <is>
          <t xml:space="preserve">Outbound (BDR)</t>
        </is>
      </c>
      <c r="C19" s="0" t="inlineStr">
        <is>
          <t xml:space="preserve">AMER West</t>
        </is>
      </c>
      <c r="D19" s="4">
        <f>SUMIFS('Marketing spend and leads'!$E$2:$E$337,'Marketing spend and leads'!$B$2:$B$337,"outbound",'Marketing spend and leads'!$C$2:$C$337,"amer_west",'Marketing spend and leads'!$D$2:$D$337,"apr25")</f>
        <v>0</v>
      </c>
      <c r="E19" s="4">
        <f>SUMIFS('Marketing spend and leads'!$E$2:$E$337,'Marketing spend and leads'!$B$2:$B$337,"outbound",'Marketing spend and leads'!$C$2:$C$337,"amer_west",'Marketing spend and leads'!$D$2:$D$337,"may25")</f>
        <v>0</v>
      </c>
      <c r="F19" s="4">
        <f>SUMIFS('Marketing spend and leads'!$E$2:$E$337,'Marketing spend and leads'!$B$2:$B$337,"outbound",'Marketing spend and leads'!$C$2:$C$337,"amer_west",'Marketing spend and leads'!$D$2:$D$337,"jun25")</f>
        <v>0</v>
      </c>
      <c r="G19" s="4">
        <f>SUMIFS('Marketing spend and leads'!$E$2:$E$337,'Marketing spend and leads'!$B$2:$B$337,"outbound",'Marketing spend and leads'!$C$2:$C$337,"amer_west",'Marketing spend and leads'!$D$2:$D$337,"jul25")</f>
        <v>0</v>
      </c>
      <c r="H19" s="4">
        <f>SUMIFS('Marketing spend and leads'!$E$2:$E$337,'Marketing spend and leads'!$B$2:$B$337,"outbound",'Marketing spend and leads'!$C$2:$C$337,"amer_west",'Marketing spend and leads'!$D$2:$D$337,"aug25")</f>
        <v>0</v>
      </c>
      <c r="I19" s="4">
        <f>SUMIFS('Marketing spend and leads'!$E$2:$E$337,'Marketing spend and leads'!$B$2:$B$337,"outbound",'Marketing spend and leads'!$C$2:$C$337,"amer_west",'Marketing spend and leads'!$D$2:$D$337,"sep25")</f>
        <v>0</v>
      </c>
      <c r="J19" s="4">
        <f>SUMIFS('Marketing spend and leads'!$E$2:$E$337,'Marketing spend and leads'!$B$2:$B$337,"outbound",'Marketing spend and leads'!$C$2:$C$337,"amer_west",'Marketing spend and leads'!$D$2:$D$337,"oct25")</f>
        <v>0</v>
      </c>
      <c r="K19" s="4">
        <f>SUMIFS('Marketing spend and leads'!$E$2:$E$337,'Marketing spend and leads'!$B$2:$B$337,"outbound",'Marketing spend and leads'!$C$2:$C$337,"amer_west",'Marketing spend and leads'!$D$2:$D$337,"nov25")</f>
        <v>0</v>
      </c>
      <c r="L19" s="4">
        <f>SUMIFS('Marketing spend and leads'!$E$2:$E$337,'Marketing spend and leads'!$B$2:$B$337,"outbound",'Marketing spend and leads'!$C$2:$C$337,"amer_west",'Marketing spend and leads'!$D$2:$D$337,"dec25")</f>
        <v>0</v>
      </c>
      <c r="M19" s="4">
        <f>SUMIFS('Marketing spend and leads'!$E$2:$E$337,'Marketing spend and leads'!$B$2:$B$337,"outbound",'Marketing spend and leads'!$C$2:$C$337,"amer_west",'Marketing spend and leads'!$D$2:$D$337,"jan26")</f>
        <v>0</v>
      </c>
      <c r="N19" s="4">
        <f>SUMIFS('Marketing spend and leads'!$E$2:$E$337,'Marketing spend and leads'!$B$2:$B$337,"outbound",'Marketing spend and leads'!$C$2:$C$337,"amer_west",'Marketing spend and leads'!$D$2:$D$337,"feb26")</f>
        <v>0</v>
      </c>
      <c r="O19" s="4">
        <f>SUMIFS('Marketing spend and leads'!$E$2:$E$337,'Marketing spend and leads'!$B$2:$B$337,"outbound",'Marketing spend and leads'!$C$2:$C$337,"amer_west",'Marketing spend and leads'!$D$2:$D$337,"mar26")</f>
        <v>0</v>
      </c>
      <c r="P19" s="4">
        <f>SUMIFS('Marketing spend and leads'!$E$2:$E$337,'Marketing spend and leads'!$B$2:$B$337,"outbound",'Marketing spend and leads'!$C$2:$C$337,"amer_west",'Marketing spend and leads'!$D$2:$D$337,"apr26")</f>
        <v>0</v>
      </c>
      <c r="Q19" s="4">
        <f>SUMIFS('Marketing spend and leads'!$E$2:$E$337,'Marketing spend and leads'!$B$2:$B$337,"outbound",'Marketing spend and leads'!$C$2:$C$337,"amer_west",'Marketing spend and leads'!$D$2:$D$337,"may26")</f>
        <v>0</v>
      </c>
      <c r="R19" s="4">
        <f>SUMIFS('Marketing spend and leads'!$E$2:$E$337,'Marketing spend and leads'!$B$2:$B$337,"outbound",'Marketing spend and leads'!$C$2:$C$337,"amer_west",'Marketing spend and leads'!$D$2:$D$337,"jun26")</f>
        <v>0</v>
      </c>
      <c r="S19" s="4">
        <f>SUMIFS('Marketing spend and leads'!$E$2:$E$337,'Marketing spend and leads'!$B$2:$B$337,"outbound",'Marketing spend and leads'!$C$2:$C$337,"amer_west",'Marketing spend and leads'!$D$2:$D$337,"jul26")</f>
        <v>0</v>
      </c>
      <c r="T19" s="4">
        <f>SUMIFS('Marketing spend and leads'!$E$2:$E$337,'Marketing spend and leads'!$B$2:$B$337,"outbound",'Marketing spend and leads'!$C$2:$C$337,"amer_west",'Marketing spend and leads'!$D$2:$D$337,"aug26")</f>
        <v>0</v>
      </c>
      <c r="U19" s="4">
        <f>SUMIFS('Marketing spend and leads'!$E$2:$E$337,'Marketing spend and leads'!$B$2:$B$337,"outbound",'Marketing spend and leads'!$C$2:$C$337,"amer_west",'Marketing spend and leads'!$D$2:$D$337,"sep26")</f>
        <v>0</v>
      </c>
      <c r="V19" s="4">
        <f>SUMIFS('Marketing spend and leads'!$E$2:$E$337,'Marketing spend and leads'!$B$2:$B$337,"outbound",'Marketing spend and leads'!$C$2:$C$337,"amer_west",'Marketing spend and leads'!$D$2:$D$337,"oct26")</f>
        <v>0</v>
      </c>
      <c r="W19" s="4">
        <f>SUMIFS('Marketing spend and leads'!$E$2:$E$337,'Marketing spend and leads'!$B$2:$B$337,"outbound",'Marketing spend and leads'!$C$2:$C$337,"amer_west",'Marketing spend and leads'!$D$2:$D$337,"nov26")</f>
        <v>0</v>
      </c>
      <c r="X19" s="4">
        <f>SUMIFS('Marketing spend and leads'!$E$2:$E$337,'Marketing spend and leads'!$B$2:$B$337,"outbound",'Marketing spend and leads'!$C$2:$C$337,"amer_west",'Marketing spend and leads'!$D$2:$D$337,"dec26")</f>
        <v>0</v>
      </c>
    </row>
    <row r="20">
      <c r="A20" s="0" t="inlineStr">
        <is>
          <t xml:space="preserve">Spend</t>
        </is>
      </c>
      <c r="B20" s="0" t="inlineStr">
        <is>
          <t xml:space="preserve">Outbound (BDR)</t>
        </is>
      </c>
      <c r="C20" s="0" t="inlineStr">
        <is>
          <t xml:space="preserve">EMEA</t>
        </is>
      </c>
      <c r="D20" s="4">
        <f>SUMIFS('Marketing spend and leads'!$E$2:$E$337,'Marketing spend and leads'!$B$2:$B$337,"outbound",'Marketing spend and leads'!$C$2:$C$337,"emea",'Marketing spend and leads'!$D$2:$D$337,"apr25")</f>
        <v>0</v>
      </c>
      <c r="E20" s="4">
        <f>SUMIFS('Marketing spend and leads'!$E$2:$E$337,'Marketing spend and leads'!$B$2:$B$337,"outbound",'Marketing spend and leads'!$C$2:$C$337,"emea",'Marketing spend and leads'!$D$2:$D$337,"may25")</f>
        <v>0</v>
      </c>
      <c r="F20" s="4">
        <f>SUMIFS('Marketing spend and leads'!$E$2:$E$337,'Marketing spend and leads'!$B$2:$B$337,"outbound",'Marketing spend and leads'!$C$2:$C$337,"emea",'Marketing spend and leads'!$D$2:$D$337,"jun25")</f>
        <v>0</v>
      </c>
      <c r="G20" s="4">
        <f>SUMIFS('Marketing spend and leads'!$E$2:$E$337,'Marketing spend and leads'!$B$2:$B$337,"outbound",'Marketing spend and leads'!$C$2:$C$337,"emea",'Marketing spend and leads'!$D$2:$D$337,"jul25")</f>
        <v>0</v>
      </c>
      <c r="H20" s="4">
        <f>SUMIFS('Marketing spend and leads'!$E$2:$E$337,'Marketing spend and leads'!$B$2:$B$337,"outbound",'Marketing spend and leads'!$C$2:$C$337,"emea",'Marketing spend and leads'!$D$2:$D$337,"aug25")</f>
        <v>0</v>
      </c>
      <c r="I20" s="4">
        <f>SUMIFS('Marketing spend and leads'!$E$2:$E$337,'Marketing spend and leads'!$B$2:$B$337,"outbound",'Marketing spend and leads'!$C$2:$C$337,"emea",'Marketing spend and leads'!$D$2:$D$337,"sep25")</f>
        <v>0</v>
      </c>
      <c r="J20" s="4">
        <f>SUMIFS('Marketing spend and leads'!$E$2:$E$337,'Marketing spend and leads'!$B$2:$B$337,"outbound",'Marketing spend and leads'!$C$2:$C$337,"emea",'Marketing spend and leads'!$D$2:$D$337,"oct25")</f>
        <v>0</v>
      </c>
      <c r="K20" s="4">
        <f>SUMIFS('Marketing spend and leads'!$E$2:$E$337,'Marketing spend and leads'!$B$2:$B$337,"outbound",'Marketing spend and leads'!$C$2:$C$337,"emea",'Marketing spend and leads'!$D$2:$D$337,"nov25")</f>
        <v>0</v>
      </c>
      <c r="L20" s="4">
        <f>SUMIFS('Marketing spend and leads'!$E$2:$E$337,'Marketing spend and leads'!$B$2:$B$337,"outbound",'Marketing spend and leads'!$C$2:$C$337,"emea",'Marketing spend and leads'!$D$2:$D$337,"dec25")</f>
        <v>0</v>
      </c>
      <c r="M20" s="4">
        <f>SUMIFS('Marketing spend and leads'!$E$2:$E$337,'Marketing spend and leads'!$B$2:$B$337,"outbound",'Marketing spend and leads'!$C$2:$C$337,"emea",'Marketing spend and leads'!$D$2:$D$337,"jan26")</f>
        <v>0</v>
      </c>
      <c r="N20" s="4">
        <f>SUMIFS('Marketing spend and leads'!$E$2:$E$337,'Marketing spend and leads'!$B$2:$B$337,"outbound",'Marketing spend and leads'!$C$2:$C$337,"emea",'Marketing spend and leads'!$D$2:$D$337,"feb26")</f>
        <v>0</v>
      </c>
      <c r="O20" s="4">
        <f>SUMIFS('Marketing spend and leads'!$E$2:$E$337,'Marketing spend and leads'!$B$2:$B$337,"outbound",'Marketing spend and leads'!$C$2:$C$337,"emea",'Marketing spend and leads'!$D$2:$D$337,"mar26")</f>
        <v>0</v>
      </c>
      <c r="P20" s="4">
        <f>SUMIFS('Marketing spend and leads'!$E$2:$E$337,'Marketing spend and leads'!$B$2:$B$337,"outbound",'Marketing spend and leads'!$C$2:$C$337,"emea",'Marketing spend and leads'!$D$2:$D$337,"apr26")</f>
        <v>0</v>
      </c>
      <c r="Q20" s="4">
        <f>SUMIFS('Marketing spend and leads'!$E$2:$E$337,'Marketing spend and leads'!$B$2:$B$337,"outbound",'Marketing spend and leads'!$C$2:$C$337,"emea",'Marketing spend and leads'!$D$2:$D$337,"may26")</f>
        <v>0</v>
      </c>
      <c r="R20" s="4">
        <f>SUMIFS('Marketing spend and leads'!$E$2:$E$337,'Marketing spend and leads'!$B$2:$B$337,"outbound",'Marketing spend and leads'!$C$2:$C$337,"emea",'Marketing spend and leads'!$D$2:$D$337,"jun26")</f>
        <v>0</v>
      </c>
      <c r="S20" s="4">
        <f>SUMIFS('Marketing spend and leads'!$E$2:$E$337,'Marketing spend and leads'!$B$2:$B$337,"outbound",'Marketing spend and leads'!$C$2:$C$337,"emea",'Marketing spend and leads'!$D$2:$D$337,"jul26")</f>
        <v>0</v>
      </c>
      <c r="T20" s="4">
        <f>SUMIFS('Marketing spend and leads'!$E$2:$E$337,'Marketing spend and leads'!$B$2:$B$337,"outbound",'Marketing spend and leads'!$C$2:$C$337,"emea",'Marketing spend and leads'!$D$2:$D$337,"aug26")</f>
        <v>0</v>
      </c>
      <c r="U20" s="4">
        <f>SUMIFS('Marketing spend and leads'!$E$2:$E$337,'Marketing spend and leads'!$B$2:$B$337,"outbound",'Marketing spend and leads'!$C$2:$C$337,"emea",'Marketing spend and leads'!$D$2:$D$337,"sep26")</f>
        <v>0</v>
      </c>
      <c r="V20" s="4">
        <f>SUMIFS('Marketing spend and leads'!$E$2:$E$337,'Marketing spend and leads'!$B$2:$B$337,"outbound",'Marketing spend and leads'!$C$2:$C$337,"emea",'Marketing spend and leads'!$D$2:$D$337,"oct26")</f>
        <v>0</v>
      </c>
      <c r="W20" s="4">
        <f>SUMIFS('Marketing spend and leads'!$E$2:$E$337,'Marketing spend and leads'!$B$2:$B$337,"outbound",'Marketing spend and leads'!$C$2:$C$337,"emea",'Marketing spend and leads'!$D$2:$D$337,"nov26")</f>
        <v>0</v>
      </c>
      <c r="X20" s="4">
        <f>SUMIFS('Marketing spend and leads'!$E$2:$E$337,'Marketing spend and leads'!$B$2:$B$337,"outbound",'Marketing spend and leads'!$C$2:$C$337,"emea",'Marketing spend and leads'!$D$2:$D$337,"dec26")</f>
        <v>0</v>
      </c>
    </row>
    <row r="21">
      <c r="A21" s="0" t="inlineStr">
        <is>
          <t xml:space="preserve">Spend</t>
        </is>
      </c>
      <c r="B21" s="0" t="inlineStr">
        <is>
          <t xml:space="preserve">Outbound (BDR)</t>
        </is>
      </c>
      <c r="C21" s="0" t="inlineStr">
        <is>
          <t xml:space="preserve">APAC</t>
        </is>
      </c>
      <c r="D21" s="4">
        <f>SUMIFS('Marketing spend and leads'!$E$2:$E$337,'Marketing spend and leads'!$B$2:$B$337,"outbound",'Marketing spend and leads'!$C$2:$C$337,"apac",'Marketing spend and leads'!$D$2:$D$337,"apr25")</f>
        <v>0</v>
      </c>
      <c r="E21" s="4">
        <f>SUMIFS('Marketing spend and leads'!$E$2:$E$337,'Marketing spend and leads'!$B$2:$B$337,"outbound",'Marketing spend and leads'!$C$2:$C$337,"apac",'Marketing spend and leads'!$D$2:$D$337,"may25")</f>
        <v>0</v>
      </c>
      <c r="F21" s="4">
        <f>SUMIFS('Marketing spend and leads'!$E$2:$E$337,'Marketing spend and leads'!$B$2:$B$337,"outbound",'Marketing spend and leads'!$C$2:$C$337,"apac",'Marketing spend and leads'!$D$2:$D$337,"jun25")</f>
        <v>0</v>
      </c>
      <c r="G21" s="4">
        <f>SUMIFS('Marketing spend and leads'!$E$2:$E$337,'Marketing spend and leads'!$B$2:$B$337,"outbound",'Marketing spend and leads'!$C$2:$C$337,"apac",'Marketing spend and leads'!$D$2:$D$337,"jul25")</f>
        <v>0</v>
      </c>
      <c r="H21" s="4">
        <f>SUMIFS('Marketing spend and leads'!$E$2:$E$337,'Marketing spend and leads'!$B$2:$B$337,"outbound",'Marketing spend and leads'!$C$2:$C$337,"apac",'Marketing spend and leads'!$D$2:$D$337,"aug25")</f>
        <v>0</v>
      </c>
      <c r="I21" s="4">
        <f>SUMIFS('Marketing spend and leads'!$E$2:$E$337,'Marketing spend and leads'!$B$2:$B$337,"outbound",'Marketing spend and leads'!$C$2:$C$337,"apac",'Marketing spend and leads'!$D$2:$D$337,"sep25")</f>
        <v>0</v>
      </c>
      <c r="J21" s="4">
        <f>SUMIFS('Marketing spend and leads'!$E$2:$E$337,'Marketing spend and leads'!$B$2:$B$337,"outbound",'Marketing spend and leads'!$C$2:$C$337,"apac",'Marketing spend and leads'!$D$2:$D$337,"oct25")</f>
        <v>0</v>
      </c>
      <c r="K21" s="4">
        <f>SUMIFS('Marketing spend and leads'!$E$2:$E$337,'Marketing spend and leads'!$B$2:$B$337,"outbound",'Marketing spend and leads'!$C$2:$C$337,"apac",'Marketing spend and leads'!$D$2:$D$337,"nov25")</f>
        <v>0</v>
      </c>
      <c r="L21" s="4">
        <f>SUMIFS('Marketing spend and leads'!$E$2:$E$337,'Marketing spend and leads'!$B$2:$B$337,"outbound",'Marketing spend and leads'!$C$2:$C$337,"apac",'Marketing spend and leads'!$D$2:$D$337,"dec25")</f>
        <v>0</v>
      </c>
      <c r="M21" s="4">
        <f>SUMIFS('Marketing spend and leads'!$E$2:$E$337,'Marketing spend and leads'!$B$2:$B$337,"outbound",'Marketing spend and leads'!$C$2:$C$337,"apac",'Marketing spend and leads'!$D$2:$D$337,"jan26")</f>
        <v>0</v>
      </c>
      <c r="N21" s="4">
        <f>SUMIFS('Marketing spend and leads'!$E$2:$E$337,'Marketing spend and leads'!$B$2:$B$337,"outbound",'Marketing spend and leads'!$C$2:$C$337,"apac",'Marketing spend and leads'!$D$2:$D$337,"feb26")</f>
        <v>0</v>
      </c>
      <c r="O21" s="4">
        <f>SUMIFS('Marketing spend and leads'!$E$2:$E$337,'Marketing spend and leads'!$B$2:$B$337,"outbound",'Marketing spend and leads'!$C$2:$C$337,"apac",'Marketing spend and leads'!$D$2:$D$337,"mar26")</f>
        <v>0</v>
      </c>
      <c r="P21" s="4">
        <f>SUMIFS('Marketing spend and leads'!$E$2:$E$337,'Marketing spend and leads'!$B$2:$B$337,"outbound",'Marketing spend and leads'!$C$2:$C$337,"apac",'Marketing spend and leads'!$D$2:$D$337,"apr26")</f>
        <v>0</v>
      </c>
      <c r="Q21" s="4">
        <f>SUMIFS('Marketing spend and leads'!$E$2:$E$337,'Marketing spend and leads'!$B$2:$B$337,"outbound",'Marketing spend and leads'!$C$2:$C$337,"apac",'Marketing spend and leads'!$D$2:$D$337,"may26")</f>
        <v>0</v>
      </c>
      <c r="R21" s="4">
        <f>SUMIFS('Marketing spend and leads'!$E$2:$E$337,'Marketing spend and leads'!$B$2:$B$337,"outbound",'Marketing spend and leads'!$C$2:$C$337,"apac",'Marketing spend and leads'!$D$2:$D$337,"jun26")</f>
        <v>0</v>
      </c>
      <c r="S21" s="4">
        <f>SUMIFS('Marketing spend and leads'!$E$2:$E$337,'Marketing spend and leads'!$B$2:$B$337,"outbound",'Marketing spend and leads'!$C$2:$C$337,"apac",'Marketing spend and leads'!$D$2:$D$337,"jul26")</f>
        <v>0</v>
      </c>
      <c r="T21" s="4">
        <f>SUMIFS('Marketing spend and leads'!$E$2:$E$337,'Marketing spend and leads'!$B$2:$B$337,"outbound",'Marketing spend and leads'!$C$2:$C$337,"apac",'Marketing spend and leads'!$D$2:$D$337,"aug26")</f>
        <v>0</v>
      </c>
      <c r="U21" s="4">
        <f>SUMIFS('Marketing spend and leads'!$E$2:$E$337,'Marketing spend and leads'!$B$2:$B$337,"outbound",'Marketing spend and leads'!$C$2:$C$337,"apac",'Marketing spend and leads'!$D$2:$D$337,"sep26")</f>
        <v>0</v>
      </c>
      <c r="V21" s="4">
        <f>SUMIFS('Marketing spend and leads'!$E$2:$E$337,'Marketing spend and leads'!$B$2:$B$337,"outbound",'Marketing spend and leads'!$C$2:$C$337,"apac",'Marketing spend and leads'!$D$2:$D$337,"oct26")</f>
        <v>0</v>
      </c>
      <c r="W21" s="4">
        <f>SUMIFS('Marketing spend and leads'!$E$2:$E$337,'Marketing spend and leads'!$B$2:$B$337,"outbound",'Marketing spend and leads'!$C$2:$C$337,"apac",'Marketing spend and leads'!$D$2:$D$337,"nov26")</f>
        <v>0</v>
      </c>
      <c r="X21" s="4">
        <f>SUMIFS('Marketing spend and leads'!$E$2:$E$337,'Marketing spend and leads'!$B$2:$B$337,"outbound",'Marketing spend and leads'!$C$2:$C$337,"apac",'Marketing spend and leads'!$D$2:$D$337,"dec26")</f>
        <v>0</v>
      </c>
    </row>
    <row r="22">
      <c r="A22" s="0" t="inlineStr">
        <is>
          <t xml:space="preserve">Spend</t>
        </is>
      </c>
      <c r="B22" s="0" t="inlineStr">
        <is>
          <t xml:space="preserve">Customer referral</t>
        </is>
      </c>
      <c r="C22" s="0" t="inlineStr">
        <is>
          <t xml:space="preserve">AMER East</t>
        </is>
      </c>
      <c r="D22" s="4">
        <f>SUMIFS('Marketing spend and leads'!$E$2:$E$337,'Marketing spend and leads'!$B$2:$B$337,"referral",'Marketing spend and leads'!$C$2:$C$337,"amer_east",'Marketing spend and leads'!$D$2:$D$337,"apr25")</f>
        <v>0</v>
      </c>
      <c r="E22" s="4">
        <f>SUMIFS('Marketing spend and leads'!$E$2:$E$337,'Marketing spend and leads'!$B$2:$B$337,"referral",'Marketing spend and leads'!$C$2:$C$337,"amer_east",'Marketing spend and leads'!$D$2:$D$337,"may25")</f>
        <v>0</v>
      </c>
      <c r="F22" s="4">
        <f>SUMIFS('Marketing spend and leads'!$E$2:$E$337,'Marketing spend and leads'!$B$2:$B$337,"referral",'Marketing spend and leads'!$C$2:$C$337,"amer_east",'Marketing spend and leads'!$D$2:$D$337,"jun25")</f>
        <v>0</v>
      </c>
      <c r="G22" s="4">
        <f>SUMIFS('Marketing spend and leads'!$E$2:$E$337,'Marketing spend and leads'!$B$2:$B$337,"referral",'Marketing spend and leads'!$C$2:$C$337,"amer_east",'Marketing spend and leads'!$D$2:$D$337,"jul25")</f>
        <v>0</v>
      </c>
      <c r="H22" s="4">
        <f>SUMIFS('Marketing spend and leads'!$E$2:$E$337,'Marketing spend and leads'!$B$2:$B$337,"referral",'Marketing spend and leads'!$C$2:$C$337,"amer_east",'Marketing spend and leads'!$D$2:$D$337,"aug25")</f>
        <v>0</v>
      </c>
      <c r="I22" s="4">
        <f>SUMIFS('Marketing spend and leads'!$E$2:$E$337,'Marketing spend and leads'!$B$2:$B$337,"referral",'Marketing spend and leads'!$C$2:$C$337,"amer_east",'Marketing spend and leads'!$D$2:$D$337,"sep25")</f>
        <v>0</v>
      </c>
      <c r="J22" s="4">
        <f>SUMIFS('Marketing spend and leads'!$E$2:$E$337,'Marketing spend and leads'!$B$2:$B$337,"referral",'Marketing spend and leads'!$C$2:$C$337,"amer_east",'Marketing spend and leads'!$D$2:$D$337,"oct25")</f>
        <v>0</v>
      </c>
      <c r="K22" s="4">
        <f>SUMIFS('Marketing spend and leads'!$E$2:$E$337,'Marketing spend and leads'!$B$2:$B$337,"referral",'Marketing spend and leads'!$C$2:$C$337,"amer_east",'Marketing spend and leads'!$D$2:$D$337,"nov25")</f>
        <v>0</v>
      </c>
      <c r="L22" s="4">
        <f>SUMIFS('Marketing spend and leads'!$E$2:$E$337,'Marketing spend and leads'!$B$2:$B$337,"referral",'Marketing spend and leads'!$C$2:$C$337,"amer_east",'Marketing spend and leads'!$D$2:$D$337,"dec25")</f>
        <v>0</v>
      </c>
      <c r="M22" s="4">
        <f>SUMIFS('Marketing spend and leads'!$E$2:$E$337,'Marketing spend and leads'!$B$2:$B$337,"referral",'Marketing spend and leads'!$C$2:$C$337,"amer_east",'Marketing spend and leads'!$D$2:$D$337,"jan26")</f>
        <v>0</v>
      </c>
      <c r="N22" s="4">
        <f>SUMIFS('Marketing spend and leads'!$E$2:$E$337,'Marketing spend and leads'!$B$2:$B$337,"referral",'Marketing spend and leads'!$C$2:$C$337,"amer_east",'Marketing spend and leads'!$D$2:$D$337,"feb26")</f>
        <v>0</v>
      </c>
      <c r="O22" s="4">
        <f>SUMIFS('Marketing spend and leads'!$E$2:$E$337,'Marketing spend and leads'!$B$2:$B$337,"referral",'Marketing spend and leads'!$C$2:$C$337,"amer_east",'Marketing spend and leads'!$D$2:$D$337,"mar26")</f>
        <v>0</v>
      </c>
      <c r="P22" s="4">
        <f>SUMIFS('Marketing spend and leads'!$E$2:$E$337,'Marketing spend and leads'!$B$2:$B$337,"referral",'Marketing spend and leads'!$C$2:$C$337,"amer_east",'Marketing spend and leads'!$D$2:$D$337,"apr26")</f>
        <v>0</v>
      </c>
      <c r="Q22" s="4">
        <f>SUMIFS('Marketing spend and leads'!$E$2:$E$337,'Marketing spend and leads'!$B$2:$B$337,"referral",'Marketing spend and leads'!$C$2:$C$337,"amer_east",'Marketing spend and leads'!$D$2:$D$337,"may26")</f>
        <v>0</v>
      </c>
      <c r="R22" s="4">
        <f>SUMIFS('Marketing spend and leads'!$E$2:$E$337,'Marketing spend and leads'!$B$2:$B$337,"referral",'Marketing spend and leads'!$C$2:$C$337,"amer_east",'Marketing spend and leads'!$D$2:$D$337,"jun26")</f>
        <v>0</v>
      </c>
      <c r="S22" s="4">
        <f>SUMIFS('Marketing spend and leads'!$E$2:$E$337,'Marketing spend and leads'!$B$2:$B$337,"referral",'Marketing spend and leads'!$C$2:$C$337,"amer_east",'Marketing spend and leads'!$D$2:$D$337,"jul26")</f>
        <v>0</v>
      </c>
      <c r="T22" s="4">
        <f>SUMIFS('Marketing spend and leads'!$E$2:$E$337,'Marketing spend and leads'!$B$2:$B$337,"referral",'Marketing spend and leads'!$C$2:$C$337,"amer_east",'Marketing spend and leads'!$D$2:$D$337,"aug26")</f>
        <v>0</v>
      </c>
      <c r="U22" s="4">
        <f>SUMIFS('Marketing spend and leads'!$E$2:$E$337,'Marketing spend and leads'!$B$2:$B$337,"referral",'Marketing spend and leads'!$C$2:$C$337,"amer_east",'Marketing spend and leads'!$D$2:$D$337,"sep26")</f>
        <v>0</v>
      </c>
      <c r="V22" s="4">
        <f>SUMIFS('Marketing spend and leads'!$E$2:$E$337,'Marketing spend and leads'!$B$2:$B$337,"referral",'Marketing spend and leads'!$C$2:$C$337,"amer_east",'Marketing spend and leads'!$D$2:$D$337,"oct26")</f>
        <v>0</v>
      </c>
      <c r="W22" s="4">
        <f>SUMIFS('Marketing spend and leads'!$E$2:$E$337,'Marketing spend and leads'!$B$2:$B$337,"referral",'Marketing spend and leads'!$C$2:$C$337,"amer_east",'Marketing spend and leads'!$D$2:$D$337,"nov26")</f>
        <v>0</v>
      </c>
      <c r="X22" s="4">
        <f>SUMIFS('Marketing spend and leads'!$E$2:$E$337,'Marketing spend and leads'!$B$2:$B$337,"referral",'Marketing spend and leads'!$C$2:$C$337,"amer_east",'Marketing spend and leads'!$D$2:$D$337,"dec26")</f>
        <v>0</v>
      </c>
    </row>
    <row r="23">
      <c r="A23" s="0" t="inlineStr">
        <is>
          <t xml:space="preserve">Spend</t>
        </is>
      </c>
      <c r="B23" s="0" t="inlineStr">
        <is>
          <t xml:space="preserve">Customer referral</t>
        </is>
      </c>
      <c r="C23" s="0" t="inlineStr">
        <is>
          <t xml:space="preserve">AMER West</t>
        </is>
      </c>
      <c r="D23" s="4">
        <f>SUMIFS('Marketing spend and leads'!$E$2:$E$337,'Marketing spend and leads'!$B$2:$B$337,"referral",'Marketing spend and leads'!$C$2:$C$337,"amer_west",'Marketing spend and leads'!$D$2:$D$337,"apr25")</f>
        <v>0</v>
      </c>
      <c r="E23" s="4">
        <f>SUMIFS('Marketing spend and leads'!$E$2:$E$337,'Marketing spend and leads'!$B$2:$B$337,"referral",'Marketing spend and leads'!$C$2:$C$337,"amer_west",'Marketing spend and leads'!$D$2:$D$337,"may25")</f>
        <v>0</v>
      </c>
      <c r="F23" s="4">
        <f>SUMIFS('Marketing spend and leads'!$E$2:$E$337,'Marketing spend and leads'!$B$2:$B$337,"referral",'Marketing spend and leads'!$C$2:$C$337,"amer_west",'Marketing spend and leads'!$D$2:$D$337,"jun25")</f>
        <v>0</v>
      </c>
      <c r="G23" s="4">
        <f>SUMIFS('Marketing spend and leads'!$E$2:$E$337,'Marketing spend and leads'!$B$2:$B$337,"referral",'Marketing spend and leads'!$C$2:$C$337,"amer_west",'Marketing spend and leads'!$D$2:$D$337,"jul25")</f>
        <v>0</v>
      </c>
      <c r="H23" s="4">
        <f>SUMIFS('Marketing spend and leads'!$E$2:$E$337,'Marketing spend and leads'!$B$2:$B$337,"referral",'Marketing spend and leads'!$C$2:$C$337,"amer_west",'Marketing spend and leads'!$D$2:$D$337,"aug25")</f>
        <v>0</v>
      </c>
      <c r="I23" s="4">
        <f>SUMIFS('Marketing spend and leads'!$E$2:$E$337,'Marketing spend and leads'!$B$2:$B$337,"referral",'Marketing spend and leads'!$C$2:$C$337,"amer_west",'Marketing spend and leads'!$D$2:$D$337,"sep25")</f>
        <v>0</v>
      </c>
      <c r="J23" s="4">
        <f>SUMIFS('Marketing spend and leads'!$E$2:$E$337,'Marketing spend and leads'!$B$2:$B$337,"referral",'Marketing spend and leads'!$C$2:$C$337,"amer_west",'Marketing spend and leads'!$D$2:$D$337,"oct25")</f>
        <v>0</v>
      </c>
      <c r="K23" s="4">
        <f>SUMIFS('Marketing spend and leads'!$E$2:$E$337,'Marketing spend and leads'!$B$2:$B$337,"referral",'Marketing spend and leads'!$C$2:$C$337,"amer_west",'Marketing spend and leads'!$D$2:$D$337,"nov25")</f>
        <v>0</v>
      </c>
      <c r="L23" s="4">
        <f>SUMIFS('Marketing spend and leads'!$E$2:$E$337,'Marketing spend and leads'!$B$2:$B$337,"referral",'Marketing spend and leads'!$C$2:$C$337,"amer_west",'Marketing spend and leads'!$D$2:$D$337,"dec25")</f>
        <v>0</v>
      </c>
      <c r="M23" s="4">
        <f>SUMIFS('Marketing spend and leads'!$E$2:$E$337,'Marketing spend and leads'!$B$2:$B$337,"referral",'Marketing spend and leads'!$C$2:$C$337,"amer_west",'Marketing spend and leads'!$D$2:$D$337,"jan26")</f>
        <v>0</v>
      </c>
      <c r="N23" s="4">
        <f>SUMIFS('Marketing spend and leads'!$E$2:$E$337,'Marketing spend and leads'!$B$2:$B$337,"referral",'Marketing spend and leads'!$C$2:$C$337,"amer_west",'Marketing spend and leads'!$D$2:$D$337,"feb26")</f>
        <v>0</v>
      </c>
      <c r="O23" s="4">
        <f>SUMIFS('Marketing spend and leads'!$E$2:$E$337,'Marketing spend and leads'!$B$2:$B$337,"referral",'Marketing spend and leads'!$C$2:$C$337,"amer_west",'Marketing spend and leads'!$D$2:$D$337,"mar26")</f>
        <v>0</v>
      </c>
      <c r="P23" s="4">
        <f>SUMIFS('Marketing spend and leads'!$E$2:$E$337,'Marketing spend and leads'!$B$2:$B$337,"referral",'Marketing spend and leads'!$C$2:$C$337,"amer_west",'Marketing spend and leads'!$D$2:$D$337,"apr26")</f>
        <v>0</v>
      </c>
      <c r="Q23" s="4">
        <f>SUMIFS('Marketing spend and leads'!$E$2:$E$337,'Marketing spend and leads'!$B$2:$B$337,"referral",'Marketing spend and leads'!$C$2:$C$337,"amer_west",'Marketing spend and leads'!$D$2:$D$337,"may26")</f>
        <v>0</v>
      </c>
      <c r="R23" s="4">
        <f>SUMIFS('Marketing spend and leads'!$E$2:$E$337,'Marketing spend and leads'!$B$2:$B$337,"referral",'Marketing spend and leads'!$C$2:$C$337,"amer_west",'Marketing spend and leads'!$D$2:$D$337,"jun26")</f>
        <v>0</v>
      </c>
      <c r="S23" s="4">
        <f>SUMIFS('Marketing spend and leads'!$E$2:$E$337,'Marketing spend and leads'!$B$2:$B$337,"referral",'Marketing spend and leads'!$C$2:$C$337,"amer_west",'Marketing spend and leads'!$D$2:$D$337,"jul26")</f>
        <v>0</v>
      </c>
      <c r="T23" s="4">
        <f>SUMIFS('Marketing spend and leads'!$E$2:$E$337,'Marketing spend and leads'!$B$2:$B$337,"referral",'Marketing spend and leads'!$C$2:$C$337,"amer_west",'Marketing spend and leads'!$D$2:$D$337,"aug26")</f>
        <v>0</v>
      </c>
      <c r="U23" s="4">
        <f>SUMIFS('Marketing spend and leads'!$E$2:$E$337,'Marketing spend and leads'!$B$2:$B$337,"referral",'Marketing spend and leads'!$C$2:$C$337,"amer_west",'Marketing spend and leads'!$D$2:$D$337,"sep26")</f>
        <v>0</v>
      </c>
      <c r="V23" s="4">
        <f>SUMIFS('Marketing spend and leads'!$E$2:$E$337,'Marketing spend and leads'!$B$2:$B$337,"referral",'Marketing spend and leads'!$C$2:$C$337,"amer_west",'Marketing spend and leads'!$D$2:$D$337,"oct26")</f>
        <v>0</v>
      </c>
      <c r="W23" s="4">
        <f>SUMIFS('Marketing spend and leads'!$E$2:$E$337,'Marketing spend and leads'!$B$2:$B$337,"referral",'Marketing spend and leads'!$C$2:$C$337,"amer_west",'Marketing spend and leads'!$D$2:$D$337,"nov26")</f>
        <v>0</v>
      </c>
      <c r="X23" s="4">
        <f>SUMIFS('Marketing spend and leads'!$E$2:$E$337,'Marketing spend and leads'!$B$2:$B$337,"referral",'Marketing spend and leads'!$C$2:$C$337,"amer_west",'Marketing spend and leads'!$D$2:$D$337,"dec26")</f>
        <v>0</v>
      </c>
    </row>
    <row r="24">
      <c r="A24" s="0" t="inlineStr">
        <is>
          <t xml:space="preserve">Spend</t>
        </is>
      </c>
      <c r="B24" s="0" t="inlineStr">
        <is>
          <t xml:space="preserve">Customer referral</t>
        </is>
      </c>
      <c r="C24" s="0" t="inlineStr">
        <is>
          <t xml:space="preserve">EMEA</t>
        </is>
      </c>
      <c r="D24" s="4">
        <f>SUMIFS('Marketing spend and leads'!$E$2:$E$337,'Marketing spend and leads'!$B$2:$B$337,"referral",'Marketing spend and leads'!$C$2:$C$337,"emea",'Marketing spend and leads'!$D$2:$D$337,"apr25")</f>
        <v>0</v>
      </c>
      <c r="E24" s="4">
        <f>SUMIFS('Marketing spend and leads'!$E$2:$E$337,'Marketing spend and leads'!$B$2:$B$337,"referral",'Marketing spend and leads'!$C$2:$C$337,"emea",'Marketing spend and leads'!$D$2:$D$337,"may25")</f>
        <v>0</v>
      </c>
      <c r="F24" s="4">
        <f>SUMIFS('Marketing spend and leads'!$E$2:$E$337,'Marketing spend and leads'!$B$2:$B$337,"referral",'Marketing spend and leads'!$C$2:$C$337,"emea",'Marketing spend and leads'!$D$2:$D$337,"jun25")</f>
        <v>0</v>
      </c>
      <c r="G24" s="4">
        <f>SUMIFS('Marketing spend and leads'!$E$2:$E$337,'Marketing spend and leads'!$B$2:$B$337,"referral",'Marketing spend and leads'!$C$2:$C$337,"emea",'Marketing spend and leads'!$D$2:$D$337,"jul25")</f>
        <v>0</v>
      </c>
      <c r="H24" s="4">
        <f>SUMIFS('Marketing spend and leads'!$E$2:$E$337,'Marketing spend and leads'!$B$2:$B$337,"referral",'Marketing spend and leads'!$C$2:$C$337,"emea",'Marketing spend and leads'!$D$2:$D$337,"aug25")</f>
        <v>0</v>
      </c>
      <c r="I24" s="4">
        <f>SUMIFS('Marketing spend and leads'!$E$2:$E$337,'Marketing spend and leads'!$B$2:$B$337,"referral",'Marketing spend and leads'!$C$2:$C$337,"emea",'Marketing spend and leads'!$D$2:$D$337,"sep25")</f>
        <v>0</v>
      </c>
      <c r="J24" s="4">
        <f>SUMIFS('Marketing spend and leads'!$E$2:$E$337,'Marketing spend and leads'!$B$2:$B$337,"referral",'Marketing spend and leads'!$C$2:$C$337,"emea",'Marketing spend and leads'!$D$2:$D$337,"oct25")</f>
        <v>0</v>
      </c>
      <c r="K24" s="4">
        <f>SUMIFS('Marketing spend and leads'!$E$2:$E$337,'Marketing spend and leads'!$B$2:$B$337,"referral",'Marketing spend and leads'!$C$2:$C$337,"emea",'Marketing spend and leads'!$D$2:$D$337,"nov25")</f>
        <v>0</v>
      </c>
      <c r="L24" s="4">
        <f>SUMIFS('Marketing spend and leads'!$E$2:$E$337,'Marketing spend and leads'!$B$2:$B$337,"referral",'Marketing spend and leads'!$C$2:$C$337,"emea",'Marketing spend and leads'!$D$2:$D$337,"dec25")</f>
        <v>0</v>
      </c>
      <c r="M24" s="4">
        <f>SUMIFS('Marketing spend and leads'!$E$2:$E$337,'Marketing spend and leads'!$B$2:$B$337,"referral",'Marketing spend and leads'!$C$2:$C$337,"emea",'Marketing spend and leads'!$D$2:$D$337,"jan26")</f>
        <v>0</v>
      </c>
      <c r="N24" s="4">
        <f>SUMIFS('Marketing spend and leads'!$E$2:$E$337,'Marketing spend and leads'!$B$2:$B$337,"referral",'Marketing spend and leads'!$C$2:$C$337,"emea",'Marketing spend and leads'!$D$2:$D$337,"feb26")</f>
        <v>0</v>
      </c>
      <c r="O24" s="4">
        <f>SUMIFS('Marketing spend and leads'!$E$2:$E$337,'Marketing spend and leads'!$B$2:$B$337,"referral",'Marketing spend and leads'!$C$2:$C$337,"emea",'Marketing spend and leads'!$D$2:$D$337,"mar26")</f>
        <v>0</v>
      </c>
      <c r="P24" s="4">
        <f>SUMIFS('Marketing spend and leads'!$E$2:$E$337,'Marketing spend and leads'!$B$2:$B$337,"referral",'Marketing spend and leads'!$C$2:$C$337,"emea",'Marketing spend and leads'!$D$2:$D$337,"apr26")</f>
        <v>0</v>
      </c>
      <c r="Q24" s="4">
        <f>SUMIFS('Marketing spend and leads'!$E$2:$E$337,'Marketing spend and leads'!$B$2:$B$337,"referral",'Marketing spend and leads'!$C$2:$C$337,"emea",'Marketing spend and leads'!$D$2:$D$337,"may26")</f>
        <v>0</v>
      </c>
      <c r="R24" s="4">
        <f>SUMIFS('Marketing spend and leads'!$E$2:$E$337,'Marketing spend and leads'!$B$2:$B$337,"referral",'Marketing spend and leads'!$C$2:$C$337,"emea",'Marketing spend and leads'!$D$2:$D$337,"jun26")</f>
        <v>0</v>
      </c>
      <c r="S24" s="4">
        <f>SUMIFS('Marketing spend and leads'!$E$2:$E$337,'Marketing spend and leads'!$B$2:$B$337,"referral",'Marketing spend and leads'!$C$2:$C$337,"emea",'Marketing spend and leads'!$D$2:$D$337,"jul26")</f>
        <v>0</v>
      </c>
      <c r="T24" s="4">
        <f>SUMIFS('Marketing spend and leads'!$E$2:$E$337,'Marketing spend and leads'!$B$2:$B$337,"referral",'Marketing spend and leads'!$C$2:$C$337,"emea",'Marketing spend and leads'!$D$2:$D$337,"aug26")</f>
        <v>0</v>
      </c>
      <c r="U24" s="4">
        <f>SUMIFS('Marketing spend and leads'!$E$2:$E$337,'Marketing spend and leads'!$B$2:$B$337,"referral",'Marketing spend and leads'!$C$2:$C$337,"emea",'Marketing spend and leads'!$D$2:$D$337,"sep26")</f>
        <v>0</v>
      </c>
      <c r="V24" s="4">
        <f>SUMIFS('Marketing spend and leads'!$E$2:$E$337,'Marketing spend and leads'!$B$2:$B$337,"referral",'Marketing spend and leads'!$C$2:$C$337,"emea",'Marketing spend and leads'!$D$2:$D$337,"oct26")</f>
        <v>0</v>
      </c>
      <c r="W24" s="4">
        <f>SUMIFS('Marketing spend and leads'!$E$2:$E$337,'Marketing spend and leads'!$B$2:$B$337,"referral",'Marketing spend and leads'!$C$2:$C$337,"emea",'Marketing spend and leads'!$D$2:$D$337,"nov26")</f>
        <v>0</v>
      </c>
      <c r="X24" s="4">
        <f>SUMIFS('Marketing spend and leads'!$E$2:$E$337,'Marketing spend and leads'!$B$2:$B$337,"referral",'Marketing spend and leads'!$C$2:$C$337,"emea",'Marketing spend and leads'!$D$2:$D$337,"dec26")</f>
        <v>0</v>
      </c>
    </row>
    <row r="25">
      <c r="A25" s="0" t="inlineStr">
        <is>
          <t xml:space="preserve">Spend</t>
        </is>
      </c>
      <c r="B25" s="0" t="inlineStr">
        <is>
          <t xml:space="preserve">Customer referral</t>
        </is>
      </c>
      <c r="C25" s="0" t="inlineStr">
        <is>
          <t xml:space="preserve">APAC</t>
        </is>
      </c>
      <c r="D25" s="4">
        <f>SUMIFS('Marketing spend and leads'!$E$2:$E$337,'Marketing spend and leads'!$B$2:$B$337,"referral",'Marketing spend and leads'!$C$2:$C$337,"apac",'Marketing spend and leads'!$D$2:$D$337,"apr25")</f>
        <v>0</v>
      </c>
      <c r="E25" s="4">
        <f>SUMIFS('Marketing spend and leads'!$E$2:$E$337,'Marketing spend and leads'!$B$2:$B$337,"referral",'Marketing spend and leads'!$C$2:$C$337,"apac",'Marketing spend and leads'!$D$2:$D$337,"may25")</f>
        <v>0</v>
      </c>
      <c r="F25" s="4">
        <f>SUMIFS('Marketing spend and leads'!$E$2:$E$337,'Marketing spend and leads'!$B$2:$B$337,"referral",'Marketing spend and leads'!$C$2:$C$337,"apac",'Marketing spend and leads'!$D$2:$D$337,"jun25")</f>
        <v>0</v>
      </c>
      <c r="G25" s="4">
        <f>SUMIFS('Marketing spend and leads'!$E$2:$E$337,'Marketing spend and leads'!$B$2:$B$337,"referral",'Marketing spend and leads'!$C$2:$C$337,"apac",'Marketing spend and leads'!$D$2:$D$337,"jul25")</f>
        <v>0</v>
      </c>
      <c r="H25" s="4">
        <f>SUMIFS('Marketing spend and leads'!$E$2:$E$337,'Marketing spend and leads'!$B$2:$B$337,"referral",'Marketing spend and leads'!$C$2:$C$337,"apac",'Marketing spend and leads'!$D$2:$D$337,"aug25")</f>
        <v>0</v>
      </c>
      <c r="I25" s="4">
        <f>SUMIFS('Marketing spend and leads'!$E$2:$E$337,'Marketing spend and leads'!$B$2:$B$337,"referral",'Marketing spend and leads'!$C$2:$C$337,"apac",'Marketing spend and leads'!$D$2:$D$337,"sep25")</f>
        <v>0</v>
      </c>
      <c r="J25" s="4">
        <f>SUMIFS('Marketing spend and leads'!$E$2:$E$337,'Marketing spend and leads'!$B$2:$B$337,"referral",'Marketing spend and leads'!$C$2:$C$337,"apac",'Marketing spend and leads'!$D$2:$D$337,"oct25")</f>
        <v>0</v>
      </c>
      <c r="K25" s="4">
        <f>SUMIFS('Marketing spend and leads'!$E$2:$E$337,'Marketing spend and leads'!$B$2:$B$337,"referral",'Marketing spend and leads'!$C$2:$C$337,"apac",'Marketing spend and leads'!$D$2:$D$337,"nov25")</f>
        <v>0</v>
      </c>
      <c r="L25" s="4">
        <f>SUMIFS('Marketing spend and leads'!$E$2:$E$337,'Marketing spend and leads'!$B$2:$B$337,"referral",'Marketing spend and leads'!$C$2:$C$337,"apac",'Marketing spend and leads'!$D$2:$D$337,"dec25")</f>
        <v>0</v>
      </c>
      <c r="M25" s="4">
        <f>SUMIFS('Marketing spend and leads'!$E$2:$E$337,'Marketing spend and leads'!$B$2:$B$337,"referral",'Marketing spend and leads'!$C$2:$C$337,"apac",'Marketing spend and leads'!$D$2:$D$337,"jan26")</f>
        <v>0</v>
      </c>
      <c r="N25" s="4">
        <f>SUMIFS('Marketing spend and leads'!$E$2:$E$337,'Marketing spend and leads'!$B$2:$B$337,"referral",'Marketing spend and leads'!$C$2:$C$337,"apac",'Marketing spend and leads'!$D$2:$D$337,"feb26")</f>
        <v>0</v>
      </c>
      <c r="O25" s="4">
        <f>SUMIFS('Marketing spend and leads'!$E$2:$E$337,'Marketing spend and leads'!$B$2:$B$337,"referral",'Marketing spend and leads'!$C$2:$C$337,"apac",'Marketing spend and leads'!$D$2:$D$337,"mar26")</f>
        <v>0</v>
      </c>
      <c r="P25" s="4">
        <f>SUMIFS('Marketing spend and leads'!$E$2:$E$337,'Marketing spend and leads'!$B$2:$B$337,"referral",'Marketing spend and leads'!$C$2:$C$337,"apac",'Marketing spend and leads'!$D$2:$D$337,"apr26")</f>
        <v>0</v>
      </c>
      <c r="Q25" s="4">
        <f>SUMIFS('Marketing spend and leads'!$E$2:$E$337,'Marketing spend and leads'!$B$2:$B$337,"referral",'Marketing spend and leads'!$C$2:$C$337,"apac",'Marketing spend and leads'!$D$2:$D$337,"may26")</f>
        <v>0</v>
      </c>
      <c r="R25" s="4">
        <f>SUMIFS('Marketing spend and leads'!$E$2:$E$337,'Marketing spend and leads'!$B$2:$B$337,"referral",'Marketing spend and leads'!$C$2:$C$337,"apac",'Marketing spend and leads'!$D$2:$D$337,"jun26")</f>
        <v>0</v>
      </c>
      <c r="S25" s="4">
        <f>SUMIFS('Marketing spend and leads'!$E$2:$E$337,'Marketing spend and leads'!$B$2:$B$337,"referral",'Marketing spend and leads'!$C$2:$C$337,"apac",'Marketing spend and leads'!$D$2:$D$337,"jul26")</f>
        <v>0</v>
      </c>
      <c r="T25" s="4">
        <f>SUMIFS('Marketing spend and leads'!$E$2:$E$337,'Marketing spend and leads'!$B$2:$B$337,"referral",'Marketing spend and leads'!$C$2:$C$337,"apac",'Marketing spend and leads'!$D$2:$D$337,"aug26")</f>
        <v>0</v>
      </c>
      <c r="U25" s="4">
        <f>SUMIFS('Marketing spend and leads'!$E$2:$E$337,'Marketing spend and leads'!$B$2:$B$337,"referral",'Marketing spend and leads'!$C$2:$C$337,"apac",'Marketing spend and leads'!$D$2:$D$337,"sep26")</f>
        <v>0</v>
      </c>
      <c r="V25" s="4">
        <f>SUMIFS('Marketing spend and leads'!$E$2:$E$337,'Marketing spend and leads'!$B$2:$B$337,"referral",'Marketing spend and leads'!$C$2:$C$337,"apac",'Marketing spend and leads'!$D$2:$D$337,"oct26")</f>
        <v>0</v>
      </c>
      <c r="W25" s="4">
        <f>SUMIFS('Marketing spend and leads'!$E$2:$E$337,'Marketing spend and leads'!$B$2:$B$337,"referral",'Marketing spend and leads'!$C$2:$C$337,"apac",'Marketing spend and leads'!$D$2:$D$337,"nov26")</f>
        <v>0</v>
      </c>
      <c r="X25" s="4">
        <f>SUMIFS('Marketing spend and leads'!$E$2:$E$337,'Marketing spend and leads'!$B$2:$B$337,"referral",'Marketing spend and leads'!$C$2:$C$337,"apac",'Marketing spend and leads'!$D$2:$D$337,"dec26")</f>
        <v>0</v>
      </c>
    </row>
    <row r="26">
      <c r="A26" s="0" t="inlineStr">
        <is>
          <t xml:space="preserve">Leads</t>
        </is>
      </c>
      <c r="B26" s="0" t="inlineStr">
        <is>
          <t xml:space="preserve">Inbound (web &amp; content)</t>
        </is>
      </c>
      <c r="C26" s="0" t="inlineStr">
        <is>
          <t xml:space="preserve">AMER East</t>
        </is>
      </c>
      <c r="D26" s="4">
        <f>SUMIFS('Marketing spend and leads'!$F$2:$F$337,'Marketing spend and leads'!$B$2:$B$337,"inbound",'Marketing spend and leads'!$C$2:$C$337,"amer_east",'Marketing spend and leads'!$D$2:$D$337,"apr25")</f>
        <v>280</v>
      </c>
      <c r="E26" s="4">
        <f>SUMIFS('Marketing spend and leads'!$F$2:$F$337,'Marketing spend and leads'!$B$2:$B$337,"inbound",'Marketing spend and leads'!$C$2:$C$337,"amer_east",'Marketing spend and leads'!$D$2:$D$337,"may25")</f>
        <v>334</v>
      </c>
      <c r="F26" s="4">
        <f>SUMIFS('Marketing spend and leads'!$F$2:$F$337,'Marketing spend and leads'!$B$2:$B$337,"inbound",'Marketing spend and leads'!$C$2:$C$337,"amer_east",'Marketing spend and leads'!$D$2:$D$337,"jun25")</f>
        <v>398</v>
      </c>
      <c r="G26" s="4">
        <f>SUMIFS('Marketing spend and leads'!$F$2:$F$337,'Marketing spend and leads'!$B$2:$B$337,"inbound",'Marketing spend and leads'!$C$2:$C$337,"amer_east",'Marketing spend and leads'!$D$2:$D$337,"jul25")</f>
        <v>353</v>
      </c>
      <c r="H26" s="4">
        <f>SUMIFS('Marketing spend and leads'!$F$2:$F$337,'Marketing spend and leads'!$B$2:$B$337,"inbound",'Marketing spend and leads'!$C$2:$C$337,"amer_east",'Marketing spend and leads'!$D$2:$D$337,"aug25")</f>
        <v>313</v>
      </c>
      <c r="I26" s="4">
        <f>SUMIFS('Marketing spend and leads'!$F$2:$F$337,'Marketing spend and leads'!$B$2:$B$337,"inbound",'Marketing spend and leads'!$C$2:$C$337,"amer_east",'Marketing spend and leads'!$D$2:$D$337,"sep25")</f>
        <v>305</v>
      </c>
      <c r="J26" s="4">
        <f>SUMIFS('Marketing spend and leads'!$F$2:$F$337,'Marketing spend and leads'!$B$2:$B$337,"inbound",'Marketing spend and leads'!$C$2:$C$337,"amer_east",'Marketing spend and leads'!$D$2:$D$337,"oct25")</f>
        <v>289</v>
      </c>
      <c r="K26" s="4">
        <f>SUMIFS('Marketing spend and leads'!$F$2:$F$337,'Marketing spend and leads'!$B$2:$B$337,"inbound",'Marketing spend and leads'!$C$2:$C$337,"amer_east",'Marketing spend and leads'!$D$2:$D$337,"nov25")</f>
        <v>285</v>
      </c>
      <c r="L26" s="4">
        <f>SUMIFS('Marketing spend and leads'!$F$2:$F$337,'Marketing spend and leads'!$B$2:$B$337,"inbound",'Marketing spend and leads'!$C$2:$C$337,"amer_east",'Marketing spend and leads'!$D$2:$D$337,"dec25")</f>
        <v>350</v>
      </c>
      <c r="M26" s="4">
        <f>SUMIFS('Marketing spend and leads'!$F$2:$F$337,'Marketing spend and leads'!$B$2:$B$337,"inbound",'Marketing spend and leads'!$C$2:$C$337,"amer_east",'Marketing spend and leads'!$D$2:$D$337,"jan26")</f>
        <v>307</v>
      </c>
      <c r="N26" s="4">
        <f>SUMIFS('Marketing spend and leads'!$F$2:$F$337,'Marketing spend and leads'!$B$2:$B$337,"inbound",'Marketing spend and leads'!$C$2:$C$337,"amer_east",'Marketing spend and leads'!$D$2:$D$337,"feb26")</f>
        <v>276</v>
      </c>
      <c r="O26" s="4">
        <f>SUMIFS('Marketing spend and leads'!$F$2:$F$337,'Marketing spend and leads'!$B$2:$B$337,"inbound",'Marketing spend and leads'!$C$2:$C$337,"amer_east",'Marketing spend and leads'!$D$2:$D$337,"mar26")</f>
        <v>423</v>
      </c>
      <c r="P26" s="4">
        <f>SUMIFS('Marketing spend and leads'!$F$2:$F$337,'Marketing spend and leads'!$B$2:$B$337,"inbound",'Marketing spend and leads'!$C$2:$C$337,"amer_east",'Marketing spend and leads'!$D$2:$D$337,"apr26")</f>
        <v>524</v>
      </c>
      <c r="Q26" s="4">
        <f>SUMIFS('Marketing spend and leads'!$F$2:$F$337,'Marketing spend and leads'!$B$2:$B$337,"inbound",'Marketing spend and leads'!$C$2:$C$337,"amer_east",'Marketing spend and leads'!$D$2:$D$337,"may26")</f>
        <v>500</v>
      </c>
      <c r="R26" s="4">
        <f>SUMIFS('Marketing spend and leads'!$F$2:$F$337,'Marketing spend and leads'!$B$2:$B$337,"inbound",'Marketing spend and leads'!$C$2:$C$337,"amer_east",'Marketing spend and leads'!$D$2:$D$337,"jun26")</f>
        <v>357</v>
      </c>
      <c r="S26" s="4">
        <f>SUMIFS('Marketing spend and leads'!$F$2:$F$337,'Marketing spend and leads'!$B$2:$B$337,"inbound",'Marketing spend and leads'!$C$2:$C$337,"amer_east",'Marketing spend and leads'!$D$2:$D$337,"jul26")</f>
        <v>246</v>
      </c>
      <c r="T26" s="4">
        <f>SUMIFS('Marketing spend and leads'!$F$2:$F$337,'Marketing spend and leads'!$B$2:$B$337,"inbound",'Marketing spend and leads'!$C$2:$C$337,"amer_east",'Marketing spend and leads'!$D$2:$D$337,"aug26")</f>
        <v>325</v>
      </c>
      <c r="U26" s="4">
        <f>SUMIFS('Marketing spend and leads'!$F$2:$F$337,'Marketing spend and leads'!$B$2:$B$337,"inbound",'Marketing spend and leads'!$C$2:$C$337,"amer_east",'Marketing spend and leads'!$D$2:$D$337,"sep26")</f>
        <v>467</v>
      </c>
      <c r="V26" s="4">
        <f>SUMIFS('Marketing spend and leads'!$F$2:$F$337,'Marketing spend and leads'!$B$2:$B$337,"inbound",'Marketing spend and leads'!$C$2:$C$337,"amer_east",'Marketing spend and leads'!$D$2:$D$337,"oct26")</f>
        <v>299</v>
      </c>
      <c r="W26" s="4">
        <f>SUMIFS('Marketing spend and leads'!$F$2:$F$337,'Marketing spend and leads'!$B$2:$B$337,"inbound",'Marketing spend and leads'!$C$2:$C$337,"amer_east",'Marketing spend and leads'!$D$2:$D$337,"nov26")</f>
        <v>325</v>
      </c>
      <c r="X26" s="4">
        <f>SUMIFS('Marketing spend and leads'!$F$2:$F$337,'Marketing spend and leads'!$B$2:$B$337,"inbound",'Marketing spend and leads'!$C$2:$C$337,"amer_east",'Marketing spend and leads'!$D$2:$D$337,"dec26")</f>
        <v>284</v>
      </c>
    </row>
    <row r="27">
      <c r="A27" s="0" t="inlineStr">
        <is>
          <t xml:space="preserve">Leads</t>
        </is>
      </c>
      <c r="B27" s="0" t="inlineStr">
        <is>
          <t xml:space="preserve">Inbound (web &amp; content)</t>
        </is>
      </c>
      <c r="C27" s="0" t="inlineStr">
        <is>
          <t xml:space="preserve">AMER West</t>
        </is>
      </c>
      <c r="D27" s="4">
        <f>SUMIFS('Marketing spend and leads'!$F$2:$F$337,'Marketing spend and leads'!$B$2:$B$337,"inbound",'Marketing spend and leads'!$C$2:$C$337,"amer_west",'Marketing spend and leads'!$D$2:$D$337,"apr25")</f>
        <v>347</v>
      </c>
      <c r="E27" s="4">
        <f>SUMIFS('Marketing spend and leads'!$F$2:$F$337,'Marketing spend and leads'!$B$2:$B$337,"inbound",'Marketing spend and leads'!$C$2:$C$337,"amer_west",'Marketing spend and leads'!$D$2:$D$337,"may25")</f>
        <v>285</v>
      </c>
      <c r="F27" s="4">
        <f>SUMIFS('Marketing spend and leads'!$F$2:$F$337,'Marketing spend and leads'!$B$2:$B$337,"inbound",'Marketing spend and leads'!$C$2:$C$337,"amer_west",'Marketing spend and leads'!$D$2:$D$337,"jun25")</f>
        <v>304</v>
      </c>
      <c r="G27" s="4">
        <f>SUMIFS('Marketing spend and leads'!$F$2:$F$337,'Marketing spend and leads'!$B$2:$B$337,"inbound",'Marketing spend and leads'!$C$2:$C$337,"amer_west",'Marketing spend and leads'!$D$2:$D$337,"jul25")</f>
        <v>326</v>
      </c>
      <c r="H27" s="4">
        <f>SUMIFS('Marketing spend and leads'!$F$2:$F$337,'Marketing spend and leads'!$B$2:$B$337,"inbound",'Marketing spend and leads'!$C$2:$C$337,"amer_west",'Marketing spend and leads'!$D$2:$D$337,"aug25")</f>
        <v>306</v>
      </c>
      <c r="I27" s="4">
        <f>SUMIFS('Marketing spend and leads'!$F$2:$F$337,'Marketing spend and leads'!$B$2:$B$337,"inbound",'Marketing spend and leads'!$C$2:$C$337,"amer_west",'Marketing spend and leads'!$D$2:$D$337,"sep25")</f>
        <v>283</v>
      </c>
      <c r="J27" s="4">
        <f>SUMIFS('Marketing spend and leads'!$F$2:$F$337,'Marketing spend and leads'!$B$2:$B$337,"inbound",'Marketing spend and leads'!$C$2:$C$337,"amer_west",'Marketing spend and leads'!$D$2:$D$337,"oct25")</f>
        <v>278</v>
      </c>
      <c r="K27" s="4">
        <f>SUMIFS('Marketing spend and leads'!$F$2:$F$337,'Marketing spend and leads'!$B$2:$B$337,"inbound",'Marketing spend and leads'!$C$2:$C$337,"amer_west",'Marketing spend and leads'!$D$2:$D$337,"nov25")</f>
        <v>221</v>
      </c>
      <c r="L27" s="4">
        <f>SUMIFS('Marketing spend and leads'!$F$2:$F$337,'Marketing spend and leads'!$B$2:$B$337,"inbound",'Marketing spend and leads'!$C$2:$C$337,"amer_west",'Marketing spend and leads'!$D$2:$D$337,"dec25")</f>
        <v>362</v>
      </c>
      <c r="M27" s="4">
        <f>SUMIFS('Marketing spend and leads'!$F$2:$F$337,'Marketing spend and leads'!$B$2:$B$337,"inbound",'Marketing spend and leads'!$C$2:$C$337,"amer_west",'Marketing spend and leads'!$D$2:$D$337,"jan26")</f>
        <v>245</v>
      </c>
      <c r="N27" s="4">
        <f>SUMIFS('Marketing spend and leads'!$F$2:$F$337,'Marketing spend and leads'!$B$2:$B$337,"inbound",'Marketing spend and leads'!$C$2:$C$337,"amer_west",'Marketing spend and leads'!$D$2:$D$337,"feb26")</f>
        <v>326</v>
      </c>
      <c r="O27" s="4">
        <f>SUMIFS('Marketing spend and leads'!$F$2:$F$337,'Marketing spend and leads'!$B$2:$B$337,"inbound",'Marketing spend and leads'!$C$2:$C$337,"amer_west",'Marketing spend and leads'!$D$2:$D$337,"mar26")</f>
        <v>325</v>
      </c>
      <c r="P27" s="4">
        <f>SUMIFS('Marketing spend and leads'!$F$2:$F$337,'Marketing spend and leads'!$B$2:$B$337,"inbound",'Marketing spend and leads'!$C$2:$C$337,"amer_west",'Marketing spend and leads'!$D$2:$D$337,"apr26")</f>
        <v>364</v>
      </c>
      <c r="Q27" s="4">
        <f>SUMIFS('Marketing spend and leads'!$F$2:$F$337,'Marketing spend and leads'!$B$2:$B$337,"inbound",'Marketing spend and leads'!$C$2:$C$337,"amer_west",'Marketing spend and leads'!$D$2:$D$337,"may26")</f>
        <v>290</v>
      </c>
      <c r="R27" s="4">
        <f>SUMIFS('Marketing spend and leads'!$F$2:$F$337,'Marketing spend and leads'!$B$2:$B$337,"inbound",'Marketing spend and leads'!$C$2:$C$337,"amer_west",'Marketing spend and leads'!$D$2:$D$337,"jun26")</f>
        <v>302</v>
      </c>
      <c r="S27" s="4">
        <f>SUMIFS('Marketing spend and leads'!$F$2:$F$337,'Marketing spend and leads'!$B$2:$B$337,"inbound",'Marketing spend and leads'!$C$2:$C$337,"amer_west",'Marketing spend and leads'!$D$2:$D$337,"jul26")</f>
        <v>331</v>
      </c>
      <c r="T27" s="4">
        <f>SUMIFS('Marketing spend and leads'!$F$2:$F$337,'Marketing spend and leads'!$B$2:$B$337,"inbound",'Marketing spend and leads'!$C$2:$C$337,"amer_west",'Marketing spend and leads'!$D$2:$D$337,"aug26")</f>
        <v>240</v>
      </c>
      <c r="U27" s="4">
        <f>SUMIFS('Marketing spend and leads'!$F$2:$F$337,'Marketing spend and leads'!$B$2:$B$337,"inbound",'Marketing spend and leads'!$C$2:$C$337,"amer_west",'Marketing spend and leads'!$D$2:$D$337,"sep26")</f>
        <v>262</v>
      </c>
      <c r="V27" s="4">
        <f>SUMIFS('Marketing spend and leads'!$F$2:$F$337,'Marketing spend and leads'!$B$2:$B$337,"inbound",'Marketing spend and leads'!$C$2:$C$337,"amer_west",'Marketing spend and leads'!$D$2:$D$337,"oct26")</f>
        <v>204</v>
      </c>
      <c r="W27" s="4">
        <f>SUMIFS('Marketing spend and leads'!$F$2:$F$337,'Marketing spend and leads'!$B$2:$B$337,"inbound",'Marketing spend and leads'!$C$2:$C$337,"amer_west",'Marketing spend and leads'!$D$2:$D$337,"nov26")</f>
        <v>236</v>
      </c>
      <c r="X27" s="4">
        <f>SUMIFS('Marketing spend and leads'!$F$2:$F$337,'Marketing spend and leads'!$B$2:$B$337,"inbound",'Marketing spend and leads'!$C$2:$C$337,"amer_west",'Marketing spend and leads'!$D$2:$D$337,"dec26")</f>
        <v>317</v>
      </c>
    </row>
    <row r="28">
      <c r="A28" s="0" t="inlineStr">
        <is>
          <t xml:space="preserve">Leads</t>
        </is>
      </c>
      <c r="B28" s="0" t="inlineStr">
        <is>
          <t xml:space="preserve">Inbound (web &amp; content)</t>
        </is>
      </c>
      <c r="C28" s="0" t="inlineStr">
        <is>
          <t xml:space="preserve">EMEA</t>
        </is>
      </c>
      <c r="D28" s="4">
        <f>SUMIFS('Marketing spend and leads'!$F$2:$F$337,'Marketing spend and leads'!$B$2:$B$337,"inbound",'Marketing spend and leads'!$C$2:$C$337,"emea",'Marketing spend and leads'!$D$2:$D$337,"apr25")</f>
        <v>252</v>
      </c>
      <c r="E28" s="4">
        <f>SUMIFS('Marketing spend and leads'!$F$2:$F$337,'Marketing spend and leads'!$B$2:$B$337,"inbound",'Marketing spend and leads'!$C$2:$C$337,"emea",'Marketing spend and leads'!$D$2:$D$337,"may25")</f>
        <v>405</v>
      </c>
      <c r="F28" s="4">
        <f>SUMIFS('Marketing spend and leads'!$F$2:$F$337,'Marketing spend and leads'!$B$2:$B$337,"inbound",'Marketing spend and leads'!$C$2:$C$337,"emea",'Marketing spend and leads'!$D$2:$D$337,"jun25")</f>
        <v>345</v>
      </c>
      <c r="G28" s="4">
        <f>SUMIFS('Marketing spend and leads'!$F$2:$F$337,'Marketing spend and leads'!$B$2:$B$337,"inbound",'Marketing spend and leads'!$C$2:$C$337,"emea",'Marketing spend and leads'!$D$2:$D$337,"jul25")</f>
        <v>218</v>
      </c>
      <c r="H28" s="4">
        <f>SUMIFS('Marketing spend and leads'!$F$2:$F$337,'Marketing spend and leads'!$B$2:$B$337,"inbound",'Marketing spend and leads'!$C$2:$C$337,"emea",'Marketing spend and leads'!$D$2:$D$337,"aug25")</f>
        <v>188</v>
      </c>
      <c r="I28" s="4">
        <f>SUMIFS('Marketing spend and leads'!$F$2:$F$337,'Marketing spend and leads'!$B$2:$B$337,"inbound",'Marketing spend and leads'!$C$2:$C$337,"emea",'Marketing spend and leads'!$D$2:$D$337,"sep25")</f>
        <v>220</v>
      </c>
      <c r="J28" s="4">
        <f>SUMIFS('Marketing spend and leads'!$F$2:$F$337,'Marketing spend and leads'!$B$2:$B$337,"inbound",'Marketing spend and leads'!$C$2:$C$337,"emea",'Marketing spend and leads'!$D$2:$D$337,"oct25")</f>
        <v>247</v>
      </c>
      <c r="K28" s="4">
        <f>SUMIFS('Marketing spend and leads'!$F$2:$F$337,'Marketing spend and leads'!$B$2:$B$337,"inbound",'Marketing spend and leads'!$C$2:$C$337,"emea",'Marketing spend and leads'!$D$2:$D$337,"nov25")</f>
        <v>211</v>
      </c>
      <c r="L28" s="4">
        <f>SUMIFS('Marketing spend and leads'!$F$2:$F$337,'Marketing spend and leads'!$B$2:$B$337,"inbound",'Marketing spend and leads'!$C$2:$C$337,"emea",'Marketing spend and leads'!$D$2:$D$337,"dec25")</f>
        <v>353</v>
      </c>
      <c r="M28" s="4">
        <f>SUMIFS('Marketing spend and leads'!$F$2:$F$337,'Marketing spend and leads'!$B$2:$B$337,"inbound",'Marketing spend and leads'!$C$2:$C$337,"emea",'Marketing spend and leads'!$D$2:$D$337,"jan26")</f>
        <v>382</v>
      </c>
      <c r="N28" s="4">
        <f>SUMIFS('Marketing spend and leads'!$F$2:$F$337,'Marketing spend and leads'!$B$2:$B$337,"inbound",'Marketing spend and leads'!$C$2:$C$337,"emea",'Marketing spend and leads'!$D$2:$D$337,"feb26")</f>
        <v>256</v>
      </c>
      <c r="O28" s="4">
        <f>SUMIFS('Marketing spend and leads'!$F$2:$F$337,'Marketing spend and leads'!$B$2:$B$337,"inbound",'Marketing spend and leads'!$C$2:$C$337,"emea",'Marketing spend and leads'!$D$2:$D$337,"mar26")</f>
        <v>427</v>
      </c>
      <c r="P28" s="4">
        <f>SUMIFS('Marketing spend and leads'!$F$2:$F$337,'Marketing spend and leads'!$B$2:$B$337,"inbound",'Marketing spend and leads'!$C$2:$C$337,"emea",'Marketing spend and leads'!$D$2:$D$337,"apr26")</f>
        <v>300</v>
      </c>
      <c r="Q28" s="4">
        <f>SUMIFS('Marketing spend and leads'!$F$2:$F$337,'Marketing spend and leads'!$B$2:$B$337,"inbound",'Marketing spend and leads'!$C$2:$C$337,"emea",'Marketing spend and leads'!$D$2:$D$337,"may26")</f>
        <v>232</v>
      </c>
      <c r="R28" s="4">
        <f>SUMIFS('Marketing spend and leads'!$F$2:$F$337,'Marketing spend and leads'!$B$2:$B$337,"inbound",'Marketing spend and leads'!$C$2:$C$337,"emea",'Marketing spend and leads'!$D$2:$D$337,"jun26")</f>
        <v>302</v>
      </c>
      <c r="S28" s="4">
        <f>SUMIFS('Marketing spend and leads'!$F$2:$F$337,'Marketing spend and leads'!$B$2:$B$337,"inbound",'Marketing spend and leads'!$C$2:$C$337,"emea",'Marketing spend and leads'!$D$2:$D$337,"jul26")</f>
        <v>246</v>
      </c>
      <c r="T28" s="4">
        <f>SUMIFS('Marketing spend and leads'!$F$2:$F$337,'Marketing spend and leads'!$B$2:$B$337,"inbound",'Marketing spend and leads'!$C$2:$C$337,"emea",'Marketing spend and leads'!$D$2:$D$337,"aug26")</f>
        <v>196</v>
      </c>
      <c r="U28" s="4">
        <f>SUMIFS('Marketing spend and leads'!$F$2:$F$337,'Marketing spend and leads'!$B$2:$B$337,"inbound",'Marketing spend and leads'!$C$2:$C$337,"emea",'Marketing spend and leads'!$D$2:$D$337,"sep26")</f>
        <v>301</v>
      </c>
      <c r="V28" s="4">
        <f>SUMIFS('Marketing spend and leads'!$F$2:$F$337,'Marketing spend and leads'!$B$2:$B$337,"inbound",'Marketing spend and leads'!$C$2:$C$337,"emea",'Marketing spend and leads'!$D$2:$D$337,"oct26")</f>
        <v>223</v>
      </c>
      <c r="W28" s="4">
        <f>SUMIFS('Marketing spend and leads'!$F$2:$F$337,'Marketing spend and leads'!$B$2:$B$337,"inbound",'Marketing spend and leads'!$C$2:$C$337,"emea",'Marketing spend and leads'!$D$2:$D$337,"nov26")</f>
        <v>216</v>
      </c>
      <c r="X28" s="4">
        <f>SUMIFS('Marketing spend and leads'!$F$2:$F$337,'Marketing spend and leads'!$B$2:$B$337,"inbound",'Marketing spend and leads'!$C$2:$C$337,"emea",'Marketing spend and leads'!$D$2:$D$337,"dec26")</f>
        <v>307</v>
      </c>
    </row>
    <row r="29">
      <c r="A29" s="0" t="inlineStr">
        <is>
          <t xml:space="preserve">Leads</t>
        </is>
      </c>
      <c r="B29" s="0" t="inlineStr">
        <is>
          <t xml:space="preserve">Inbound (web &amp; content)</t>
        </is>
      </c>
      <c r="C29" s="0" t="inlineStr">
        <is>
          <t xml:space="preserve">APAC</t>
        </is>
      </c>
      <c r="D29" s="4">
        <f>SUMIFS('Marketing spend and leads'!$F$2:$F$337,'Marketing spend and leads'!$B$2:$B$337,"inbound",'Marketing spend and leads'!$C$2:$C$337,"apac",'Marketing spend and leads'!$D$2:$D$337,"apr25")</f>
        <v>228</v>
      </c>
      <c r="E29" s="4">
        <f>SUMIFS('Marketing spend and leads'!$F$2:$F$337,'Marketing spend and leads'!$B$2:$B$337,"inbound",'Marketing spend and leads'!$C$2:$C$337,"apac",'Marketing spend and leads'!$D$2:$D$337,"may25")</f>
        <v>163</v>
      </c>
      <c r="F29" s="4">
        <f>SUMIFS('Marketing spend and leads'!$F$2:$F$337,'Marketing spend and leads'!$B$2:$B$337,"inbound",'Marketing spend and leads'!$C$2:$C$337,"apac",'Marketing spend and leads'!$D$2:$D$337,"jun25")</f>
        <v>219</v>
      </c>
      <c r="G29" s="4">
        <f>SUMIFS('Marketing spend and leads'!$F$2:$F$337,'Marketing spend and leads'!$B$2:$B$337,"inbound",'Marketing spend and leads'!$C$2:$C$337,"apac",'Marketing spend and leads'!$D$2:$D$337,"jul25")</f>
        <v>252</v>
      </c>
      <c r="H29" s="4">
        <f>SUMIFS('Marketing spend and leads'!$F$2:$F$337,'Marketing spend and leads'!$B$2:$B$337,"inbound",'Marketing spend and leads'!$C$2:$C$337,"apac",'Marketing spend and leads'!$D$2:$D$337,"aug25")</f>
        <v>162</v>
      </c>
      <c r="I29" s="4">
        <f>SUMIFS('Marketing spend and leads'!$F$2:$F$337,'Marketing spend and leads'!$B$2:$B$337,"inbound",'Marketing spend and leads'!$C$2:$C$337,"apac",'Marketing spend and leads'!$D$2:$D$337,"sep25")</f>
        <v>176</v>
      </c>
      <c r="J29" s="4">
        <f>SUMIFS('Marketing spend and leads'!$F$2:$F$337,'Marketing spend and leads'!$B$2:$B$337,"inbound",'Marketing spend and leads'!$C$2:$C$337,"apac",'Marketing spend and leads'!$D$2:$D$337,"oct25")</f>
        <v>111</v>
      </c>
      <c r="K29" s="4">
        <f>SUMIFS('Marketing spend and leads'!$F$2:$F$337,'Marketing spend and leads'!$B$2:$B$337,"inbound",'Marketing spend and leads'!$C$2:$C$337,"apac",'Marketing spend and leads'!$D$2:$D$337,"nov25")</f>
        <v>135</v>
      </c>
      <c r="L29" s="4">
        <f>SUMIFS('Marketing spend and leads'!$F$2:$F$337,'Marketing spend and leads'!$B$2:$B$337,"inbound",'Marketing spend and leads'!$C$2:$C$337,"apac",'Marketing spend and leads'!$D$2:$D$337,"dec25")</f>
        <v>165</v>
      </c>
      <c r="M29" s="4">
        <f>SUMIFS('Marketing spend and leads'!$F$2:$F$337,'Marketing spend and leads'!$B$2:$B$337,"inbound",'Marketing spend and leads'!$C$2:$C$337,"apac",'Marketing spend and leads'!$D$2:$D$337,"jan26")</f>
        <v>125</v>
      </c>
      <c r="N29" s="4">
        <f>SUMIFS('Marketing spend and leads'!$F$2:$F$337,'Marketing spend and leads'!$B$2:$B$337,"inbound",'Marketing spend and leads'!$C$2:$C$337,"apac",'Marketing spend and leads'!$D$2:$D$337,"feb26")</f>
        <v>162</v>
      </c>
      <c r="O29" s="4">
        <f>SUMIFS('Marketing spend and leads'!$F$2:$F$337,'Marketing spend and leads'!$B$2:$B$337,"inbound",'Marketing spend and leads'!$C$2:$C$337,"apac",'Marketing spend and leads'!$D$2:$D$337,"mar26")</f>
        <v>342</v>
      </c>
      <c r="P29" s="4">
        <f>SUMIFS('Marketing spend and leads'!$F$2:$F$337,'Marketing spend and leads'!$B$2:$B$337,"inbound",'Marketing spend and leads'!$C$2:$C$337,"apac",'Marketing spend and leads'!$D$2:$D$337,"apr26")</f>
        <v>177</v>
      </c>
      <c r="Q29" s="4">
        <f>SUMIFS('Marketing spend and leads'!$F$2:$F$337,'Marketing spend and leads'!$B$2:$B$337,"inbound",'Marketing spend and leads'!$C$2:$C$337,"apac",'Marketing spend and leads'!$D$2:$D$337,"may26")</f>
        <v>146</v>
      </c>
      <c r="R29" s="4">
        <f>SUMIFS('Marketing spend and leads'!$F$2:$F$337,'Marketing spend and leads'!$B$2:$B$337,"inbound",'Marketing spend and leads'!$C$2:$C$337,"apac",'Marketing spend and leads'!$D$2:$D$337,"jun26")</f>
        <v>184</v>
      </c>
      <c r="S29" s="4">
        <f>SUMIFS('Marketing spend and leads'!$F$2:$F$337,'Marketing spend and leads'!$B$2:$B$337,"inbound",'Marketing spend and leads'!$C$2:$C$337,"apac",'Marketing spend and leads'!$D$2:$D$337,"jul26")</f>
        <v>143</v>
      </c>
      <c r="T29" s="4">
        <f>SUMIFS('Marketing spend and leads'!$F$2:$F$337,'Marketing spend and leads'!$B$2:$B$337,"inbound",'Marketing spend and leads'!$C$2:$C$337,"apac",'Marketing spend and leads'!$D$2:$D$337,"aug26")</f>
        <v>178</v>
      </c>
      <c r="U29" s="4">
        <f>SUMIFS('Marketing spend and leads'!$F$2:$F$337,'Marketing spend and leads'!$B$2:$B$337,"inbound",'Marketing spend and leads'!$C$2:$C$337,"apac",'Marketing spend and leads'!$D$2:$D$337,"sep26")</f>
        <v>344</v>
      </c>
      <c r="V29" s="4">
        <f>SUMIFS('Marketing spend and leads'!$F$2:$F$337,'Marketing spend and leads'!$B$2:$B$337,"inbound",'Marketing spend and leads'!$C$2:$C$337,"apac",'Marketing spend and leads'!$D$2:$D$337,"oct26")</f>
        <v>121</v>
      </c>
      <c r="W29" s="4">
        <f>SUMIFS('Marketing spend and leads'!$F$2:$F$337,'Marketing spend and leads'!$B$2:$B$337,"inbound",'Marketing spend and leads'!$C$2:$C$337,"apac",'Marketing spend and leads'!$D$2:$D$337,"nov26")</f>
        <v>149</v>
      </c>
      <c r="X29" s="4">
        <f>SUMIFS('Marketing spend and leads'!$F$2:$F$337,'Marketing spend and leads'!$B$2:$B$337,"inbound",'Marketing spend and leads'!$C$2:$C$337,"apac",'Marketing spend and leads'!$D$2:$D$337,"dec26")</f>
        <v>148</v>
      </c>
    </row>
    <row r="30">
      <c r="A30" s="0" t="inlineStr">
        <is>
          <t xml:space="preserve">Leads</t>
        </is>
      </c>
      <c r="B30" s="0" t="inlineStr">
        <is>
          <t xml:space="preserve">Paid digital</t>
        </is>
      </c>
      <c r="C30" s="0" t="inlineStr">
        <is>
          <t xml:space="preserve">AMER East</t>
        </is>
      </c>
      <c r="D30" s="4">
        <f>SUMIFS('Marketing spend and leads'!$F$2:$F$337,'Marketing spend and leads'!$B$2:$B$337,"paid",'Marketing spend and leads'!$C$2:$C$337,"amer_east",'Marketing spend and leads'!$D$2:$D$337,"apr25")</f>
        <v>370</v>
      </c>
      <c r="E30" s="4">
        <f>SUMIFS('Marketing spend and leads'!$F$2:$F$337,'Marketing spend and leads'!$B$2:$B$337,"paid",'Marketing spend and leads'!$C$2:$C$337,"amer_east",'Marketing spend and leads'!$D$2:$D$337,"may25")</f>
        <v>317</v>
      </c>
      <c r="F30" s="4">
        <f>SUMIFS('Marketing spend and leads'!$F$2:$F$337,'Marketing spend and leads'!$B$2:$B$337,"paid",'Marketing spend and leads'!$C$2:$C$337,"amer_east",'Marketing spend and leads'!$D$2:$D$337,"jun25")</f>
        <v>414</v>
      </c>
      <c r="G30" s="4">
        <f>SUMIFS('Marketing spend and leads'!$F$2:$F$337,'Marketing spend and leads'!$B$2:$B$337,"paid",'Marketing spend and leads'!$C$2:$C$337,"amer_east",'Marketing spend and leads'!$D$2:$D$337,"jul25")</f>
        <v>305</v>
      </c>
      <c r="H30" s="4">
        <f>SUMIFS('Marketing spend and leads'!$F$2:$F$337,'Marketing spend and leads'!$B$2:$B$337,"paid",'Marketing spend and leads'!$C$2:$C$337,"amer_east",'Marketing spend and leads'!$D$2:$D$337,"aug25")</f>
        <v>301</v>
      </c>
      <c r="I30" s="4">
        <f>SUMIFS('Marketing spend and leads'!$F$2:$F$337,'Marketing spend and leads'!$B$2:$B$337,"paid",'Marketing spend and leads'!$C$2:$C$337,"amer_east",'Marketing spend and leads'!$D$2:$D$337,"sep25")</f>
        <v>303</v>
      </c>
      <c r="J30" s="4">
        <f>SUMIFS('Marketing spend and leads'!$F$2:$F$337,'Marketing spend and leads'!$B$2:$B$337,"paid",'Marketing spend and leads'!$C$2:$C$337,"amer_east",'Marketing spend and leads'!$D$2:$D$337,"oct25")</f>
        <v>252</v>
      </c>
      <c r="K30" s="4">
        <f>SUMIFS('Marketing spend and leads'!$F$2:$F$337,'Marketing spend and leads'!$B$2:$B$337,"paid",'Marketing spend and leads'!$C$2:$C$337,"amer_east",'Marketing spend and leads'!$D$2:$D$337,"nov25")</f>
        <v>324</v>
      </c>
      <c r="L30" s="4">
        <f>SUMIFS('Marketing spend and leads'!$F$2:$F$337,'Marketing spend and leads'!$B$2:$B$337,"paid",'Marketing spend and leads'!$C$2:$C$337,"amer_east",'Marketing spend and leads'!$D$2:$D$337,"dec25")</f>
        <v>340</v>
      </c>
      <c r="M30" s="4">
        <f>SUMIFS('Marketing spend and leads'!$F$2:$F$337,'Marketing spend and leads'!$B$2:$B$337,"paid",'Marketing spend and leads'!$C$2:$C$337,"amer_east",'Marketing spend and leads'!$D$2:$D$337,"jan26")</f>
        <v>285</v>
      </c>
      <c r="N30" s="4">
        <f>SUMIFS('Marketing spend and leads'!$F$2:$F$337,'Marketing spend and leads'!$B$2:$B$337,"paid",'Marketing spend and leads'!$C$2:$C$337,"amer_east",'Marketing spend and leads'!$D$2:$D$337,"feb26")</f>
        <v>333</v>
      </c>
      <c r="O30" s="4">
        <f>SUMIFS('Marketing spend and leads'!$F$2:$F$337,'Marketing spend and leads'!$B$2:$B$337,"paid",'Marketing spend and leads'!$C$2:$C$337,"amer_east",'Marketing spend and leads'!$D$2:$D$337,"mar26")</f>
        <v>380</v>
      </c>
      <c r="P30" s="4">
        <f>SUMIFS('Marketing spend and leads'!$F$2:$F$337,'Marketing spend and leads'!$B$2:$B$337,"paid",'Marketing spend and leads'!$C$2:$C$337,"amer_east",'Marketing spend and leads'!$D$2:$D$337,"apr26")</f>
        <v>400</v>
      </c>
      <c r="Q30" s="4">
        <f>SUMIFS('Marketing spend and leads'!$F$2:$F$337,'Marketing spend and leads'!$B$2:$B$337,"paid",'Marketing spend and leads'!$C$2:$C$337,"amer_east",'Marketing spend and leads'!$D$2:$D$337,"may26")</f>
        <v>420</v>
      </c>
      <c r="R30" s="4">
        <f>SUMIFS('Marketing spend and leads'!$F$2:$F$337,'Marketing spend and leads'!$B$2:$B$337,"paid",'Marketing spend and leads'!$C$2:$C$337,"amer_east",'Marketing spend and leads'!$D$2:$D$337,"jun26")</f>
        <v>518</v>
      </c>
      <c r="S30" s="4">
        <f>SUMIFS('Marketing spend and leads'!$F$2:$F$337,'Marketing spend and leads'!$B$2:$B$337,"paid",'Marketing spend and leads'!$C$2:$C$337,"amer_east",'Marketing spend and leads'!$D$2:$D$337,"jul26")</f>
        <v>421</v>
      </c>
      <c r="T30" s="4">
        <f>SUMIFS('Marketing spend and leads'!$F$2:$F$337,'Marketing spend and leads'!$B$2:$B$337,"paid",'Marketing spend and leads'!$C$2:$C$337,"amer_east",'Marketing spend and leads'!$D$2:$D$337,"aug26")</f>
        <v>378</v>
      </c>
      <c r="U30" s="4">
        <f>SUMIFS('Marketing spend and leads'!$F$2:$F$337,'Marketing spend and leads'!$B$2:$B$337,"paid",'Marketing spend and leads'!$C$2:$C$337,"amer_east",'Marketing spend and leads'!$D$2:$D$337,"sep26")</f>
        <v>272</v>
      </c>
      <c r="V30" s="4">
        <f>SUMIFS('Marketing spend and leads'!$F$2:$F$337,'Marketing spend and leads'!$B$2:$B$337,"paid",'Marketing spend and leads'!$C$2:$C$337,"amer_east",'Marketing spend and leads'!$D$2:$D$337,"oct26")</f>
        <v>353</v>
      </c>
      <c r="W30" s="4">
        <f>SUMIFS('Marketing spend and leads'!$F$2:$F$337,'Marketing spend and leads'!$B$2:$B$337,"paid",'Marketing spend and leads'!$C$2:$C$337,"amer_east",'Marketing spend and leads'!$D$2:$D$337,"nov26")</f>
        <v>424</v>
      </c>
      <c r="X30" s="4">
        <f>SUMIFS('Marketing spend and leads'!$F$2:$F$337,'Marketing spend and leads'!$B$2:$B$337,"paid",'Marketing spend and leads'!$C$2:$C$337,"amer_east",'Marketing spend and leads'!$D$2:$D$337,"dec26")</f>
        <v>370</v>
      </c>
    </row>
    <row r="31">
      <c r="A31" s="0" t="inlineStr">
        <is>
          <t xml:space="preserve">Leads</t>
        </is>
      </c>
      <c r="B31" s="0" t="inlineStr">
        <is>
          <t xml:space="preserve">Paid digital</t>
        </is>
      </c>
      <c r="C31" s="0" t="inlineStr">
        <is>
          <t xml:space="preserve">AMER West</t>
        </is>
      </c>
      <c r="D31" s="4">
        <f>SUMIFS('Marketing spend and leads'!$F$2:$F$337,'Marketing spend and leads'!$B$2:$B$337,"paid",'Marketing spend and leads'!$C$2:$C$337,"amer_west",'Marketing spend and leads'!$D$2:$D$337,"apr25")</f>
        <v>249</v>
      </c>
      <c r="E31" s="4">
        <f>SUMIFS('Marketing spend and leads'!$F$2:$F$337,'Marketing spend and leads'!$B$2:$B$337,"paid",'Marketing spend and leads'!$C$2:$C$337,"amer_west",'Marketing spend and leads'!$D$2:$D$337,"may25")</f>
        <v>296</v>
      </c>
      <c r="F31" s="4">
        <f>SUMIFS('Marketing spend and leads'!$F$2:$F$337,'Marketing spend and leads'!$B$2:$B$337,"paid",'Marketing spend and leads'!$C$2:$C$337,"amer_west",'Marketing spend and leads'!$D$2:$D$337,"jun25")</f>
        <v>301</v>
      </c>
      <c r="G31" s="4">
        <f>SUMIFS('Marketing spend and leads'!$F$2:$F$337,'Marketing spend and leads'!$B$2:$B$337,"paid",'Marketing spend and leads'!$C$2:$C$337,"amer_west",'Marketing spend and leads'!$D$2:$D$337,"jul25")</f>
        <v>181</v>
      </c>
      <c r="H31" s="4">
        <f>SUMIFS('Marketing spend and leads'!$F$2:$F$337,'Marketing spend and leads'!$B$2:$B$337,"paid",'Marketing spend and leads'!$C$2:$C$337,"amer_west",'Marketing spend and leads'!$D$2:$D$337,"aug25")</f>
        <v>216</v>
      </c>
      <c r="I31" s="4">
        <f>SUMIFS('Marketing spend and leads'!$F$2:$F$337,'Marketing spend and leads'!$B$2:$B$337,"paid",'Marketing spend and leads'!$C$2:$C$337,"amer_west",'Marketing spend and leads'!$D$2:$D$337,"sep25")</f>
        <v>225</v>
      </c>
      <c r="J31" s="4">
        <f>SUMIFS('Marketing spend and leads'!$F$2:$F$337,'Marketing spend and leads'!$B$2:$B$337,"paid",'Marketing spend and leads'!$C$2:$C$337,"amer_west",'Marketing spend and leads'!$D$2:$D$337,"oct25")</f>
        <v>200</v>
      </c>
      <c r="K31" s="4">
        <f>SUMIFS('Marketing spend and leads'!$F$2:$F$337,'Marketing spend and leads'!$B$2:$B$337,"paid",'Marketing spend and leads'!$C$2:$C$337,"amer_west",'Marketing spend and leads'!$D$2:$D$337,"nov25")</f>
        <v>213</v>
      </c>
      <c r="L31" s="4">
        <f>SUMIFS('Marketing spend and leads'!$F$2:$F$337,'Marketing spend and leads'!$B$2:$B$337,"paid",'Marketing spend and leads'!$C$2:$C$337,"amer_west",'Marketing spend and leads'!$D$2:$D$337,"dec25")</f>
        <v>290</v>
      </c>
      <c r="M31" s="4">
        <f>SUMIFS('Marketing spend and leads'!$F$2:$F$337,'Marketing spend and leads'!$B$2:$B$337,"paid",'Marketing spend and leads'!$C$2:$C$337,"amer_west",'Marketing spend and leads'!$D$2:$D$337,"jan26")</f>
        <v>200</v>
      </c>
      <c r="N31" s="4">
        <f>SUMIFS('Marketing spend and leads'!$F$2:$F$337,'Marketing spend and leads'!$B$2:$B$337,"paid",'Marketing spend and leads'!$C$2:$C$337,"amer_west",'Marketing spend and leads'!$D$2:$D$337,"feb26")</f>
        <v>253</v>
      </c>
      <c r="O31" s="4">
        <f>SUMIFS('Marketing spend and leads'!$F$2:$F$337,'Marketing spend and leads'!$B$2:$B$337,"paid",'Marketing spend and leads'!$C$2:$C$337,"amer_west",'Marketing spend and leads'!$D$2:$D$337,"mar26")</f>
        <v>353</v>
      </c>
      <c r="P31" s="4">
        <f>SUMIFS('Marketing spend and leads'!$F$2:$F$337,'Marketing spend and leads'!$B$2:$B$337,"paid",'Marketing spend and leads'!$C$2:$C$337,"amer_west",'Marketing spend and leads'!$D$2:$D$337,"apr26")</f>
        <v>328</v>
      </c>
      <c r="Q31" s="4">
        <f>SUMIFS('Marketing spend and leads'!$F$2:$F$337,'Marketing spend and leads'!$B$2:$B$337,"paid",'Marketing spend and leads'!$C$2:$C$337,"amer_west",'Marketing spend and leads'!$D$2:$D$337,"may26")</f>
        <v>344</v>
      </c>
      <c r="R31" s="4">
        <f>SUMIFS('Marketing spend and leads'!$F$2:$F$337,'Marketing spend and leads'!$B$2:$B$337,"paid",'Marketing spend and leads'!$C$2:$C$337,"amer_west",'Marketing spend and leads'!$D$2:$D$337,"jun26")</f>
        <v>377</v>
      </c>
      <c r="S31" s="4">
        <f>SUMIFS('Marketing spend and leads'!$F$2:$F$337,'Marketing spend and leads'!$B$2:$B$337,"paid",'Marketing spend and leads'!$C$2:$C$337,"amer_west",'Marketing spend and leads'!$D$2:$D$337,"jul26")</f>
        <v>312</v>
      </c>
      <c r="T31" s="4">
        <f>SUMIFS('Marketing spend and leads'!$F$2:$F$337,'Marketing spend and leads'!$B$2:$B$337,"paid",'Marketing spend and leads'!$C$2:$C$337,"amer_west",'Marketing spend and leads'!$D$2:$D$337,"aug26")</f>
        <v>270</v>
      </c>
      <c r="U31" s="4">
        <f>SUMIFS('Marketing spend and leads'!$F$2:$F$337,'Marketing spend and leads'!$B$2:$B$337,"paid",'Marketing spend and leads'!$C$2:$C$337,"amer_west",'Marketing spend and leads'!$D$2:$D$337,"sep26")</f>
        <v>371</v>
      </c>
      <c r="V31" s="4">
        <f>SUMIFS('Marketing spend and leads'!$F$2:$F$337,'Marketing spend and leads'!$B$2:$B$337,"paid",'Marketing spend and leads'!$C$2:$C$337,"amer_west",'Marketing spend and leads'!$D$2:$D$337,"oct26")</f>
        <v>256</v>
      </c>
      <c r="W31" s="4">
        <f>SUMIFS('Marketing spend and leads'!$F$2:$F$337,'Marketing spend and leads'!$B$2:$B$337,"paid",'Marketing spend and leads'!$C$2:$C$337,"amer_west",'Marketing spend and leads'!$D$2:$D$337,"nov26")</f>
        <v>342</v>
      </c>
      <c r="X31" s="4">
        <f>SUMIFS('Marketing spend and leads'!$F$2:$F$337,'Marketing spend and leads'!$B$2:$B$337,"paid",'Marketing spend and leads'!$C$2:$C$337,"amer_west",'Marketing spend and leads'!$D$2:$D$337,"dec26")</f>
        <v>415</v>
      </c>
    </row>
    <row r="32">
      <c r="A32" s="0" t="inlineStr">
        <is>
          <t xml:space="preserve">Leads</t>
        </is>
      </c>
      <c r="B32" s="0" t="inlineStr">
        <is>
          <t xml:space="preserve">Paid digital</t>
        </is>
      </c>
      <c r="C32" s="0" t="inlineStr">
        <is>
          <t xml:space="preserve">EMEA</t>
        </is>
      </c>
      <c r="D32" s="4">
        <f>SUMIFS('Marketing spend and leads'!$F$2:$F$337,'Marketing spend and leads'!$B$2:$B$337,"paid",'Marketing spend and leads'!$C$2:$C$337,"emea",'Marketing spend and leads'!$D$2:$D$337,"apr25")</f>
        <v>332</v>
      </c>
      <c r="E32" s="4">
        <f>SUMIFS('Marketing spend and leads'!$F$2:$F$337,'Marketing spend and leads'!$B$2:$B$337,"paid",'Marketing spend and leads'!$C$2:$C$337,"emea",'Marketing spend and leads'!$D$2:$D$337,"may25")</f>
        <v>194</v>
      </c>
      <c r="F32" s="4">
        <f>SUMIFS('Marketing spend and leads'!$F$2:$F$337,'Marketing spend and leads'!$B$2:$B$337,"paid",'Marketing spend and leads'!$C$2:$C$337,"emea",'Marketing spend and leads'!$D$2:$D$337,"jun25")</f>
        <v>251</v>
      </c>
      <c r="G32" s="4">
        <f>SUMIFS('Marketing spend and leads'!$F$2:$F$337,'Marketing spend and leads'!$B$2:$B$337,"paid",'Marketing spend and leads'!$C$2:$C$337,"emea",'Marketing spend and leads'!$D$2:$D$337,"jul25")</f>
        <v>302</v>
      </c>
      <c r="H32" s="4">
        <f>SUMIFS('Marketing spend and leads'!$F$2:$F$337,'Marketing spend and leads'!$B$2:$B$337,"paid",'Marketing spend and leads'!$C$2:$C$337,"emea",'Marketing spend and leads'!$D$2:$D$337,"aug25")</f>
        <v>296</v>
      </c>
      <c r="I32" s="4">
        <f>SUMIFS('Marketing spend and leads'!$F$2:$F$337,'Marketing spend and leads'!$B$2:$B$337,"paid",'Marketing spend and leads'!$C$2:$C$337,"emea",'Marketing spend and leads'!$D$2:$D$337,"sep25")</f>
        <v>255</v>
      </c>
      <c r="J32" s="4">
        <f>SUMIFS('Marketing spend and leads'!$F$2:$F$337,'Marketing spend and leads'!$B$2:$B$337,"paid",'Marketing spend and leads'!$C$2:$C$337,"emea",'Marketing spend and leads'!$D$2:$D$337,"oct25")</f>
        <v>210</v>
      </c>
      <c r="K32" s="4">
        <f>SUMIFS('Marketing spend and leads'!$F$2:$F$337,'Marketing spend and leads'!$B$2:$B$337,"paid",'Marketing spend and leads'!$C$2:$C$337,"emea",'Marketing spend and leads'!$D$2:$D$337,"nov25")</f>
        <v>236</v>
      </c>
      <c r="L32" s="4">
        <f>SUMIFS('Marketing spend and leads'!$F$2:$F$337,'Marketing spend and leads'!$B$2:$B$337,"paid",'Marketing spend and leads'!$C$2:$C$337,"emea",'Marketing spend and leads'!$D$2:$D$337,"dec25")</f>
        <v>236</v>
      </c>
      <c r="M32" s="4">
        <f>SUMIFS('Marketing spend and leads'!$F$2:$F$337,'Marketing spend and leads'!$B$2:$B$337,"paid",'Marketing spend and leads'!$C$2:$C$337,"emea",'Marketing spend and leads'!$D$2:$D$337,"jan26")</f>
        <v>206</v>
      </c>
      <c r="N32" s="4">
        <f>SUMIFS('Marketing spend and leads'!$F$2:$F$337,'Marketing spend and leads'!$B$2:$B$337,"paid",'Marketing spend and leads'!$C$2:$C$337,"emea",'Marketing spend and leads'!$D$2:$D$337,"feb26")</f>
        <v>165</v>
      </c>
      <c r="O32" s="4">
        <f>SUMIFS('Marketing spend and leads'!$F$2:$F$337,'Marketing spend and leads'!$B$2:$B$337,"paid",'Marketing spend and leads'!$C$2:$C$337,"emea",'Marketing spend and leads'!$D$2:$D$337,"mar26")</f>
        <v>234</v>
      </c>
      <c r="P32" s="4">
        <f>SUMIFS('Marketing spend and leads'!$F$2:$F$337,'Marketing spend and leads'!$B$2:$B$337,"paid",'Marketing spend and leads'!$C$2:$C$337,"emea",'Marketing spend and leads'!$D$2:$D$337,"apr26")</f>
        <v>256</v>
      </c>
      <c r="Q32" s="4">
        <f>SUMIFS('Marketing spend and leads'!$F$2:$F$337,'Marketing spend and leads'!$B$2:$B$337,"paid",'Marketing spend and leads'!$C$2:$C$337,"emea",'Marketing spend and leads'!$D$2:$D$337,"may26")</f>
        <v>259</v>
      </c>
      <c r="R32" s="4">
        <f>SUMIFS('Marketing spend and leads'!$F$2:$F$337,'Marketing spend and leads'!$B$2:$B$337,"paid",'Marketing spend and leads'!$C$2:$C$337,"emea",'Marketing spend and leads'!$D$2:$D$337,"jun26")</f>
        <v>298</v>
      </c>
      <c r="S32" s="4">
        <f>SUMIFS('Marketing spend and leads'!$F$2:$F$337,'Marketing spend and leads'!$B$2:$B$337,"paid",'Marketing spend and leads'!$C$2:$C$337,"emea",'Marketing spend and leads'!$D$2:$D$337,"jul26")</f>
        <v>215</v>
      </c>
      <c r="T32" s="4">
        <f>SUMIFS('Marketing spend and leads'!$F$2:$F$337,'Marketing spend and leads'!$B$2:$B$337,"paid",'Marketing spend and leads'!$C$2:$C$337,"emea",'Marketing spend and leads'!$D$2:$D$337,"aug26")</f>
        <v>244</v>
      </c>
      <c r="U32" s="4">
        <f>SUMIFS('Marketing spend and leads'!$F$2:$F$337,'Marketing spend and leads'!$B$2:$B$337,"paid",'Marketing spend and leads'!$C$2:$C$337,"emea",'Marketing spend and leads'!$D$2:$D$337,"sep26")</f>
        <v>239</v>
      </c>
      <c r="V32" s="4">
        <f>SUMIFS('Marketing spend and leads'!$F$2:$F$337,'Marketing spend and leads'!$B$2:$B$337,"paid",'Marketing spend and leads'!$C$2:$C$337,"emea",'Marketing spend and leads'!$D$2:$D$337,"oct26")</f>
        <v>172</v>
      </c>
      <c r="W32" s="4">
        <f>SUMIFS('Marketing spend and leads'!$F$2:$F$337,'Marketing spend and leads'!$B$2:$B$337,"paid",'Marketing spend and leads'!$C$2:$C$337,"emea",'Marketing spend and leads'!$D$2:$D$337,"nov26")</f>
        <v>232</v>
      </c>
      <c r="X32" s="4">
        <f>SUMIFS('Marketing spend and leads'!$F$2:$F$337,'Marketing spend and leads'!$B$2:$B$337,"paid",'Marketing spend and leads'!$C$2:$C$337,"emea",'Marketing spend and leads'!$D$2:$D$337,"dec26")</f>
        <v>168</v>
      </c>
    </row>
    <row r="33">
      <c r="A33" s="0" t="inlineStr">
        <is>
          <t xml:space="preserve">Leads</t>
        </is>
      </c>
      <c r="B33" s="0" t="inlineStr">
        <is>
          <t xml:space="preserve">Paid digital</t>
        </is>
      </c>
      <c r="C33" s="0" t="inlineStr">
        <is>
          <t xml:space="preserve">APAC</t>
        </is>
      </c>
      <c r="D33" s="4">
        <f>SUMIFS('Marketing spend and leads'!$F$2:$F$337,'Marketing spend and leads'!$B$2:$B$337,"paid",'Marketing spend and leads'!$C$2:$C$337,"apac",'Marketing spend and leads'!$D$2:$D$337,"apr25")</f>
        <v>137</v>
      </c>
      <c r="E33" s="4">
        <f>SUMIFS('Marketing spend and leads'!$F$2:$F$337,'Marketing spend and leads'!$B$2:$B$337,"paid",'Marketing spend and leads'!$C$2:$C$337,"apac",'Marketing spend and leads'!$D$2:$D$337,"may25")</f>
        <v>129</v>
      </c>
      <c r="F33" s="4">
        <f>SUMIFS('Marketing spend and leads'!$F$2:$F$337,'Marketing spend and leads'!$B$2:$B$337,"paid",'Marketing spend and leads'!$C$2:$C$337,"apac",'Marketing spend and leads'!$D$2:$D$337,"jun25")</f>
        <v>147</v>
      </c>
      <c r="G33" s="4">
        <f>SUMIFS('Marketing spend and leads'!$F$2:$F$337,'Marketing spend and leads'!$B$2:$B$337,"paid",'Marketing spend and leads'!$C$2:$C$337,"apac",'Marketing spend and leads'!$D$2:$D$337,"jul25")</f>
        <v>142</v>
      </c>
      <c r="H33" s="4">
        <f>SUMIFS('Marketing spend and leads'!$F$2:$F$337,'Marketing spend and leads'!$B$2:$B$337,"paid",'Marketing spend and leads'!$C$2:$C$337,"apac",'Marketing spend and leads'!$D$2:$D$337,"aug25")</f>
        <v>106</v>
      </c>
      <c r="I33" s="4">
        <f>SUMIFS('Marketing spend and leads'!$F$2:$F$337,'Marketing spend and leads'!$B$2:$B$337,"paid",'Marketing spend and leads'!$C$2:$C$337,"apac",'Marketing spend and leads'!$D$2:$D$337,"sep25")</f>
        <v>130</v>
      </c>
      <c r="J33" s="4">
        <f>SUMIFS('Marketing spend and leads'!$F$2:$F$337,'Marketing spend and leads'!$B$2:$B$337,"paid",'Marketing spend and leads'!$C$2:$C$337,"apac",'Marketing spend and leads'!$D$2:$D$337,"oct25")</f>
        <v>118</v>
      </c>
      <c r="K33" s="4">
        <f>SUMIFS('Marketing spend and leads'!$F$2:$F$337,'Marketing spend and leads'!$B$2:$B$337,"paid",'Marketing spend and leads'!$C$2:$C$337,"apac",'Marketing spend and leads'!$D$2:$D$337,"nov25")</f>
        <v>115</v>
      </c>
      <c r="L33" s="4">
        <f>SUMIFS('Marketing spend and leads'!$F$2:$F$337,'Marketing spend and leads'!$B$2:$B$337,"paid",'Marketing spend and leads'!$C$2:$C$337,"apac",'Marketing spend and leads'!$D$2:$D$337,"dec25")</f>
        <v>143</v>
      </c>
      <c r="M33" s="4">
        <f>SUMIFS('Marketing spend and leads'!$F$2:$F$337,'Marketing spend and leads'!$B$2:$B$337,"paid",'Marketing spend and leads'!$C$2:$C$337,"apac",'Marketing spend and leads'!$D$2:$D$337,"jan26")</f>
        <v>129</v>
      </c>
      <c r="N33" s="4">
        <f>SUMIFS('Marketing spend and leads'!$F$2:$F$337,'Marketing spend and leads'!$B$2:$B$337,"paid",'Marketing spend and leads'!$C$2:$C$337,"apac",'Marketing spend and leads'!$D$2:$D$337,"feb26")</f>
        <v>230</v>
      </c>
      <c r="O33" s="4">
        <f>SUMIFS('Marketing spend and leads'!$F$2:$F$337,'Marketing spend and leads'!$B$2:$B$337,"paid",'Marketing spend and leads'!$C$2:$C$337,"apac",'Marketing spend and leads'!$D$2:$D$337,"mar26")</f>
        <v>240</v>
      </c>
      <c r="P33" s="4">
        <f>SUMIFS('Marketing spend and leads'!$F$2:$F$337,'Marketing spend and leads'!$B$2:$B$337,"paid",'Marketing spend and leads'!$C$2:$C$337,"apac",'Marketing spend and leads'!$D$2:$D$337,"apr26")</f>
        <v>115</v>
      </c>
      <c r="Q33" s="4">
        <f>SUMIFS('Marketing spend and leads'!$F$2:$F$337,'Marketing spend and leads'!$B$2:$B$337,"paid",'Marketing spend and leads'!$C$2:$C$337,"apac",'Marketing spend and leads'!$D$2:$D$337,"may26")</f>
        <v>183</v>
      </c>
      <c r="R33" s="4">
        <f>SUMIFS('Marketing spend and leads'!$F$2:$F$337,'Marketing spend and leads'!$B$2:$B$337,"paid",'Marketing spend and leads'!$C$2:$C$337,"apac",'Marketing spend and leads'!$D$2:$D$337,"jun26")</f>
        <v>279</v>
      </c>
      <c r="S33" s="4">
        <f>SUMIFS('Marketing spend and leads'!$F$2:$F$337,'Marketing spend and leads'!$B$2:$B$337,"paid",'Marketing spend and leads'!$C$2:$C$337,"apac",'Marketing spend and leads'!$D$2:$D$337,"jul26")</f>
        <v>185</v>
      </c>
      <c r="T33" s="4">
        <f>SUMIFS('Marketing spend and leads'!$F$2:$F$337,'Marketing spend and leads'!$B$2:$B$337,"paid",'Marketing spend and leads'!$C$2:$C$337,"apac",'Marketing spend and leads'!$D$2:$D$337,"aug26")</f>
        <v>170</v>
      </c>
      <c r="U33" s="4">
        <f>SUMIFS('Marketing spend and leads'!$F$2:$F$337,'Marketing spend and leads'!$B$2:$B$337,"paid",'Marketing spend and leads'!$C$2:$C$337,"apac",'Marketing spend and leads'!$D$2:$D$337,"sep26")</f>
        <v>143</v>
      </c>
      <c r="V33" s="4">
        <f>SUMIFS('Marketing spend and leads'!$F$2:$F$337,'Marketing spend and leads'!$B$2:$B$337,"paid",'Marketing spend and leads'!$C$2:$C$337,"apac",'Marketing spend and leads'!$D$2:$D$337,"oct26")</f>
        <v>154</v>
      </c>
      <c r="W33" s="4">
        <f>SUMIFS('Marketing spend and leads'!$F$2:$F$337,'Marketing spend and leads'!$B$2:$B$337,"paid",'Marketing spend and leads'!$C$2:$C$337,"apac",'Marketing spend and leads'!$D$2:$D$337,"nov26")</f>
        <v>116</v>
      </c>
      <c r="X33" s="4">
        <f>SUMIFS('Marketing spend and leads'!$F$2:$F$337,'Marketing spend and leads'!$B$2:$B$337,"paid",'Marketing spend and leads'!$C$2:$C$337,"apac",'Marketing spend and leads'!$D$2:$D$337,"dec26")</f>
        <v>156</v>
      </c>
    </row>
    <row r="34">
      <c r="A34" s="0" t="inlineStr">
        <is>
          <t xml:space="preserve">Leads</t>
        </is>
      </c>
      <c r="B34" s="0" t="inlineStr">
        <is>
          <t xml:space="preserve">Events &amp; field</t>
        </is>
      </c>
      <c r="C34" s="0" t="inlineStr">
        <is>
          <t xml:space="preserve">AMER East</t>
        </is>
      </c>
      <c r="D34" s="4">
        <f>SUMIFS('Marketing spend and leads'!$F$2:$F$337,'Marketing spend and leads'!$B$2:$B$337,"events",'Marketing spend and leads'!$C$2:$C$337,"amer_east",'Marketing spend and leads'!$D$2:$D$337,"apr25")</f>
        <v>27</v>
      </c>
      <c r="E34" s="4">
        <f>SUMIFS('Marketing spend and leads'!$F$2:$F$337,'Marketing spend and leads'!$B$2:$B$337,"events",'Marketing spend and leads'!$C$2:$C$337,"amer_east",'Marketing spend and leads'!$D$2:$D$337,"may25")</f>
        <v>113</v>
      </c>
      <c r="F34" s="4">
        <f>SUMIFS('Marketing spend and leads'!$F$2:$F$337,'Marketing spend and leads'!$B$2:$B$337,"events",'Marketing spend and leads'!$C$2:$C$337,"amer_east",'Marketing spend and leads'!$D$2:$D$337,"jun25")</f>
        <v>36</v>
      </c>
      <c r="G34" s="4">
        <f>SUMIFS('Marketing spend and leads'!$F$2:$F$337,'Marketing spend and leads'!$B$2:$B$337,"events",'Marketing spend and leads'!$C$2:$C$337,"amer_east",'Marketing spend and leads'!$D$2:$D$337,"jul25")</f>
        <v>25</v>
      </c>
      <c r="H34" s="4">
        <f>SUMIFS('Marketing spend and leads'!$F$2:$F$337,'Marketing spend and leads'!$B$2:$B$337,"events",'Marketing spend and leads'!$C$2:$C$337,"amer_east",'Marketing spend and leads'!$D$2:$D$337,"aug25")</f>
        <v>30</v>
      </c>
      <c r="I34" s="4">
        <f>SUMIFS('Marketing spend and leads'!$F$2:$F$337,'Marketing spend and leads'!$B$2:$B$337,"events",'Marketing spend and leads'!$C$2:$C$337,"amer_east",'Marketing spend and leads'!$D$2:$D$337,"sep25")</f>
        <v>26</v>
      </c>
      <c r="J34" s="4">
        <f>SUMIFS('Marketing spend and leads'!$F$2:$F$337,'Marketing spend and leads'!$B$2:$B$337,"events",'Marketing spend and leads'!$C$2:$C$337,"amer_east",'Marketing spend and leads'!$D$2:$D$337,"oct25")</f>
        <v>93</v>
      </c>
      <c r="K34" s="4">
        <f>SUMIFS('Marketing spend and leads'!$F$2:$F$337,'Marketing spend and leads'!$B$2:$B$337,"events",'Marketing spend and leads'!$C$2:$C$337,"amer_east",'Marketing spend and leads'!$D$2:$D$337,"nov25")</f>
        <v>28</v>
      </c>
      <c r="L34" s="4">
        <f>SUMIFS('Marketing spend and leads'!$F$2:$F$337,'Marketing spend and leads'!$B$2:$B$337,"events",'Marketing spend and leads'!$C$2:$C$337,"amer_east",'Marketing spend and leads'!$D$2:$D$337,"dec25")</f>
        <v>31</v>
      </c>
      <c r="M34" s="4">
        <f>SUMIFS('Marketing spend and leads'!$F$2:$F$337,'Marketing spend and leads'!$B$2:$B$337,"events",'Marketing spend and leads'!$C$2:$C$337,"amer_east",'Marketing spend and leads'!$D$2:$D$337,"jan26")</f>
        <v>30</v>
      </c>
      <c r="N34" s="4">
        <f>SUMIFS('Marketing spend and leads'!$F$2:$F$337,'Marketing spend and leads'!$B$2:$B$337,"events",'Marketing spend and leads'!$C$2:$C$337,"amer_east",'Marketing spend and leads'!$D$2:$D$337,"feb26")</f>
        <v>26</v>
      </c>
      <c r="O34" s="4">
        <f>SUMIFS('Marketing spend and leads'!$F$2:$F$337,'Marketing spend and leads'!$B$2:$B$337,"events",'Marketing spend and leads'!$C$2:$C$337,"amer_east",'Marketing spend and leads'!$D$2:$D$337,"mar26")</f>
        <v>138</v>
      </c>
      <c r="P34" s="4">
        <f>SUMIFS('Marketing spend and leads'!$F$2:$F$337,'Marketing spend and leads'!$B$2:$B$337,"events",'Marketing spend and leads'!$C$2:$C$337,"amer_east",'Marketing spend and leads'!$D$2:$D$337,"apr26")</f>
        <v>34</v>
      </c>
      <c r="Q34" s="4">
        <f>SUMIFS('Marketing spend and leads'!$F$2:$F$337,'Marketing spend and leads'!$B$2:$B$337,"events",'Marketing spend and leads'!$C$2:$C$337,"amer_east",'Marketing spend and leads'!$D$2:$D$337,"may26")</f>
        <v>28</v>
      </c>
      <c r="R34" s="4">
        <f>SUMIFS('Marketing spend and leads'!$F$2:$F$337,'Marketing spend and leads'!$B$2:$B$337,"events",'Marketing spend and leads'!$C$2:$C$337,"amer_east",'Marketing spend and leads'!$D$2:$D$337,"jun26")</f>
        <v>141</v>
      </c>
      <c r="S34" s="4">
        <f>SUMIFS('Marketing spend and leads'!$F$2:$F$337,'Marketing spend and leads'!$B$2:$B$337,"events",'Marketing spend and leads'!$C$2:$C$337,"amer_east",'Marketing spend and leads'!$D$2:$D$337,"jul26")</f>
        <v>33</v>
      </c>
      <c r="T34" s="4">
        <f>SUMIFS('Marketing spend and leads'!$F$2:$F$337,'Marketing spend and leads'!$B$2:$B$337,"events",'Marketing spend and leads'!$C$2:$C$337,"amer_east",'Marketing spend and leads'!$D$2:$D$337,"aug26")</f>
        <v>22</v>
      </c>
      <c r="U34" s="4">
        <f>SUMIFS('Marketing spend and leads'!$F$2:$F$337,'Marketing spend and leads'!$B$2:$B$337,"events",'Marketing spend and leads'!$C$2:$C$337,"amer_east",'Marketing spend and leads'!$D$2:$D$337,"sep26")</f>
        <v>35</v>
      </c>
      <c r="V34" s="4">
        <f>SUMIFS('Marketing spend and leads'!$F$2:$F$337,'Marketing spend and leads'!$B$2:$B$337,"events",'Marketing spend and leads'!$C$2:$C$337,"amer_east",'Marketing spend and leads'!$D$2:$D$337,"oct26")</f>
        <v>104</v>
      </c>
      <c r="W34" s="4">
        <f>SUMIFS('Marketing spend and leads'!$F$2:$F$337,'Marketing spend and leads'!$B$2:$B$337,"events",'Marketing spend and leads'!$C$2:$C$337,"amer_east",'Marketing spend and leads'!$D$2:$D$337,"nov26")</f>
        <v>77</v>
      </c>
      <c r="X34" s="4">
        <f>SUMIFS('Marketing spend and leads'!$F$2:$F$337,'Marketing spend and leads'!$B$2:$B$337,"events",'Marketing spend and leads'!$C$2:$C$337,"amer_east",'Marketing spend and leads'!$D$2:$D$337,"dec26")</f>
        <v>38</v>
      </c>
    </row>
    <row r="35">
      <c r="A35" s="0" t="inlineStr">
        <is>
          <t xml:space="preserve">Leads</t>
        </is>
      </c>
      <c r="B35" s="0" t="inlineStr">
        <is>
          <t xml:space="preserve">Events &amp; field</t>
        </is>
      </c>
      <c r="C35" s="0" t="inlineStr">
        <is>
          <t xml:space="preserve">AMER West</t>
        </is>
      </c>
      <c r="D35" s="4">
        <f>SUMIFS('Marketing spend and leads'!$F$2:$F$337,'Marketing spend and leads'!$B$2:$B$337,"events",'Marketing spend and leads'!$C$2:$C$337,"amer_west",'Marketing spend and leads'!$D$2:$D$337,"apr25")</f>
        <v>21</v>
      </c>
      <c r="E35" s="4">
        <f>SUMIFS('Marketing spend and leads'!$F$2:$F$337,'Marketing spend and leads'!$B$2:$B$337,"events",'Marketing spend and leads'!$C$2:$C$337,"amer_west",'Marketing spend and leads'!$D$2:$D$337,"may25")</f>
        <v>109</v>
      </c>
      <c r="F35" s="4">
        <f>SUMIFS('Marketing spend and leads'!$F$2:$F$337,'Marketing spend and leads'!$B$2:$B$337,"events",'Marketing spend and leads'!$C$2:$C$337,"amer_west",'Marketing spend and leads'!$D$2:$D$337,"jun25")</f>
        <v>46</v>
      </c>
      <c r="G35" s="4">
        <f>SUMIFS('Marketing spend and leads'!$F$2:$F$337,'Marketing spend and leads'!$B$2:$B$337,"events",'Marketing spend and leads'!$C$2:$C$337,"amer_west",'Marketing spend and leads'!$D$2:$D$337,"jul25")</f>
        <v>25</v>
      </c>
      <c r="H35" s="4">
        <f>SUMIFS('Marketing spend and leads'!$F$2:$F$337,'Marketing spend and leads'!$B$2:$B$337,"events",'Marketing spend and leads'!$C$2:$C$337,"amer_west",'Marketing spend and leads'!$D$2:$D$337,"aug25")</f>
        <v>31</v>
      </c>
      <c r="I35" s="4">
        <f>SUMIFS('Marketing spend and leads'!$F$2:$F$337,'Marketing spend and leads'!$B$2:$B$337,"events",'Marketing spend and leads'!$C$2:$C$337,"amer_west",'Marketing spend and leads'!$D$2:$D$337,"sep25")</f>
        <v>22</v>
      </c>
      <c r="J35" s="4">
        <f>SUMIFS('Marketing spend and leads'!$F$2:$F$337,'Marketing spend and leads'!$B$2:$B$337,"events",'Marketing spend and leads'!$C$2:$C$337,"amer_west",'Marketing spend and leads'!$D$2:$D$337,"oct25")</f>
        <v>71</v>
      </c>
      <c r="K35" s="4">
        <f>SUMIFS('Marketing spend and leads'!$F$2:$F$337,'Marketing spend and leads'!$B$2:$B$337,"events",'Marketing spend and leads'!$C$2:$C$337,"amer_west",'Marketing spend and leads'!$D$2:$D$337,"nov25")</f>
        <v>20</v>
      </c>
      <c r="L35" s="4">
        <f>SUMIFS('Marketing spend and leads'!$F$2:$F$337,'Marketing spend and leads'!$B$2:$B$337,"events",'Marketing spend and leads'!$C$2:$C$337,"amer_west",'Marketing spend and leads'!$D$2:$D$337,"dec25")</f>
        <v>28</v>
      </c>
      <c r="M35" s="4">
        <f>SUMIFS('Marketing spend and leads'!$F$2:$F$337,'Marketing spend and leads'!$B$2:$B$337,"events",'Marketing spend and leads'!$C$2:$C$337,"amer_west",'Marketing spend and leads'!$D$2:$D$337,"jan26")</f>
        <v>26</v>
      </c>
      <c r="N35" s="4">
        <f>SUMIFS('Marketing spend and leads'!$F$2:$F$337,'Marketing spend and leads'!$B$2:$B$337,"events",'Marketing spend and leads'!$C$2:$C$337,"amer_west",'Marketing spend and leads'!$D$2:$D$337,"feb26")</f>
        <v>23</v>
      </c>
      <c r="O35" s="4">
        <f>SUMIFS('Marketing spend and leads'!$F$2:$F$337,'Marketing spend and leads'!$B$2:$B$337,"events",'Marketing spend and leads'!$C$2:$C$337,"amer_west",'Marketing spend and leads'!$D$2:$D$337,"mar26")</f>
        <v>133</v>
      </c>
      <c r="P35" s="4">
        <f>SUMIFS('Marketing spend and leads'!$F$2:$F$337,'Marketing spend and leads'!$B$2:$B$337,"events",'Marketing spend and leads'!$C$2:$C$337,"amer_west",'Marketing spend and leads'!$D$2:$D$337,"apr26")</f>
        <v>32</v>
      </c>
      <c r="Q35" s="4">
        <f>SUMIFS('Marketing spend and leads'!$F$2:$F$337,'Marketing spend and leads'!$B$2:$B$337,"events",'Marketing spend and leads'!$C$2:$C$337,"amer_west",'Marketing spend and leads'!$D$2:$D$337,"may26")</f>
        <v>45</v>
      </c>
      <c r="R35" s="4">
        <f>SUMIFS('Marketing spend and leads'!$F$2:$F$337,'Marketing spend and leads'!$B$2:$B$337,"events",'Marketing spend and leads'!$C$2:$C$337,"amer_west",'Marketing spend and leads'!$D$2:$D$337,"jun26")</f>
        <v>119</v>
      </c>
      <c r="S35" s="4">
        <f>SUMIFS('Marketing spend and leads'!$F$2:$F$337,'Marketing spend and leads'!$B$2:$B$337,"events",'Marketing spend and leads'!$C$2:$C$337,"amer_west",'Marketing spend and leads'!$D$2:$D$337,"jul26")</f>
        <v>27</v>
      </c>
      <c r="T35" s="4">
        <f>SUMIFS('Marketing spend and leads'!$F$2:$F$337,'Marketing spend and leads'!$B$2:$B$337,"events",'Marketing spend and leads'!$C$2:$C$337,"amer_west",'Marketing spend and leads'!$D$2:$D$337,"aug26")</f>
        <v>28</v>
      </c>
      <c r="U35" s="4">
        <f>SUMIFS('Marketing spend and leads'!$F$2:$F$337,'Marketing spend and leads'!$B$2:$B$337,"events",'Marketing spend and leads'!$C$2:$C$337,"amer_west",'Marketing spend and leads'!$D$2:$D$337,"sep26")</f>
        <v>18</v>
      </c>
      <c r="V35" s="4">
        <f>SUMIFS('Marketing spend and leads'!$F$2:$F$337,'Marketing spend and leads'!$B$2:$B$337,"events",'Marketing spend and leads'!$C$2:$C$337,"amer_west",'Marketing spend and leads'!$D$2:$D$337,"oct26")</f>
        <v>106</v>
      </c>
      <c r="W35" s="4">
        <f>SUMIFS('Marketing spend and leads'!$F$2:$F$337,'Marketing spend and leads'!$B$2:$B$337,"events",'Marketing spend and leads'!$C$2:$C$337,"amer_west",'Marketing spend and leads'!$D$2:$D$337,"nov26")</f>
        <v>48</v>
      </c>
      <c r="X35" s="4">
        <f>SUMIFS('Marketing spend and leads'!$F$2:$F$337,'Marketing spend and leads'!$B$2:$B$337,"events",'Marketing spend and leads'!$C$2:$C$337,"amer_west",'Marketing spend and leads'!$D$2:$D$337,"dec26")</f>
        <v>38</v>
      </c>
    </row>
    <row r="36">
      <c r="A36" s="0" t="inlineStr">
        <is>
          <t xml:space="preserve">Leads</t>
        </is>
      </c>
      <c r="B36" s="0" t="inlineStr">
        <is>
          <t xml:space="preserve">Events &amp; field</t>
        </is>
      </c>
      <c r="C36" s="0" t="inlineStr">
        <is>
          <t xml:space="preserve">EMEA</t>
        </is>
      </c>
      <c r="D36" s="4">
        <f>SUMIFS('Marketing spend and leads'!$F$2:$F$337,'Marketing spend and leads'!$B$2:$B$337,"events",'Marketing spend and leads'!$C$2:$C$337,"emea",'Marketing spend and leads'!$D$2:$D$337,"apr25")</f>
        <v>16</v>
      </c>
      <c r="E36" s="4">
        <f>SUMIFS('Marketing spend and leads'!$F$2:$F$337,'Marketing spend and leads'!$B$2:$B$337,"events",'Marketing spend and leads'!$C$2:$C$337,"emea",'Marketing spend and leads'!$D$2:$D$337,"may25")</f>
        <v>95</v>
      </c>
      <c r="F36" s="4">
        <f>SUMIFS('Marketing spend and leads'!$F$2:$F$337,'Marketing spend and leads'!$B$2:$B$337,"events",'Marketing spend and leads'!$C$2:$C$337,"emea",'Marketing spend and leads'!$D$2:$D$337,"jun25")</f>
        <v>19</v>
      </c>
      <c r="G36" s="4">
        <f>SUMIFS('Marketing spend and leads'!$F$2:$F$337,'Marketing spend and leads'!$B$2:$B$337,"events",'Marketing spend and leads'!$C$2:$C$337,"emea",'Marketing spend and leads'!$D$2:$D$337,"jul25")</f>
        <v>22</v>
      </c>
      <c r="H36" s="4">
        <f>SUMIFS('Marketing spend and leads'!$F$2:$F$337,'Marketing spend and leads'!$B$2:$B$337,"events",'Marketing spend and leads'!$C$2:$C$337,"emea",'Marketing spend and leads'!$D$2:$D$337,"aug25")</f>
        <v>19</v>
      </c>
      <c r="I36" s="4">
        <f>SUMIFS('Marketing spend and leads'!$F$2:$F$337,'Marketing spend and leads'!$B$2:$B$337,"events",'Marketing spend and leads'!$C$2:$C$337,"emea",'Marketing spend and leads'!$D$2:$D$337,"sep25")</f>
        <v>22</v>
      </c>
      <c r="J36" s="4">
        <f>SUMIFS('Marketing spend and leads'!$F$2:$F$337,'Marketing spend and leads'!$B$2:$B$337,"events",'Marketing spend and leads'!$C$2:$C$337,"emea",'Marketing spend and leads'!$D$2:$D$337,"oct25")</f>
        <v>99</v>
      </c>
      <c r="K36" s="4">
        <f>SUMIFS('Marketing spend and leads'!$F$2:$F$337,'Marketing spend and leads'!$B$2:$B$337,"events",'Marketing spend and leads'!$C$2:$C$337,"emea",'Marketing spend and leads'!$D$2:$D$337,"nov25")</f>
        <v>18</v>
      </c>
      <c r="L36" s="4">
        <f>SUMIFS('Marketing spend and leads'!$F$2:$F$337,'Marketing spend and leads'!$B$2:$B$337,"events",'Marketing spend and leads'!$C$2:$C$337,"emea",'Marketing spend and leads'!$D$2:$D$337,"dec25")</f>
        <v>21</v>
      </c>
      <c r="M36" s="4">
        <f>SUMIFS('Marketing spend and leads'!$F$2:$F$337,'Marketing spend and leads'!$B$2:$B$337,"events",'Marketing spend and leads'!$C$2:$C$337,"emea",'Marketing spend and leads'!$D$2:$D$337,"jan26")</f>
        <v>19</v>
      </c>
      <c r="N36" s="4">
        <f>SUMIFS('Marketing spend and leads'!$F$2:$F$337,'Marketing spend and leads'!$B$2:$B$337,"events",'Marketing spend and leads'!$C$2:$C$337,"emea",'Marketing spend and leads'!$D$2:$D$337,"feb26")</f>
        <v>27</v>
      </c>
      <c r="O36" s="4">
        <f>SUMIFS('Marketing spend and leads'!$F$2:$F$337,'Marketing spend and leads'!$B$2:$B$337,"events",'Marketing spend and leads'!$C$2:$C$337,"emea",'Marketing spend and leads'!$D$2:$D$337,"mar26")</f>
        <v>82</v>
      </c>
      <c r="P36" s="4">
        <f>SUMIFS('Marketing spend and leads'!$F$2:$F$337,'Marketing spend and leads'!$B$2:$B$337,"events",'Marketing spend and leads'!$C$2:$C$337,"emea",'Marketing spend and leads'!$D$2:$D$337,"apr26")</f>
        <v>16</v>
      </c>
      <c r="Q36" s="4">
        <f>SUMIFS('Marketing spend and leads'!$F$2:$F$337,'Marketing spend and leads'!$B$2:$B$337,"events",'Marketing spend and leads'!$C$2:$C$337,"emea",'Marketing spend and leads'!$D$2:$D$337,"may26")</f>
        <v>29</v>
      </c>
      <c r="R36" s="4">
        <f>SUMIFS('Marketing spend and leads'!$F$2:$F$337,'Marketing spend and leads'!$B$2:$B$337,"events",'Marketing spend and leads'!$C$2:$C$337,"emea",'Marketing spend and leads'!$D$2:$D$337,"jun26")</f>
        <v>109</v>
      </c>
      <c r="S36" s="4">
        <f>SUMIFS('Marketing spend and leads'!$F$2:$F$337,'Marketing spend and leads'!$B$2:$B$337,"events",'Marketing spend and leads'!$C$2:$C$337,"emea",'Marketing spend and leads'!$D$2:$D$337,"jul26")</f>
        <v>22</v>
      </c>
      <c r="T36" s="4">
        <f>SUMIFS('Marketing spend and leads'!$F$2:$F$337,'Marketing spend and leads'!$B$2:$B$337,"events",'Marketing spend and leads'!$C$2:$C$337,"emea",'Marketing spend and leads'!$D$2:$D$337,"aug26")</f>
        <v>21</v>
      </c>
      <c r="U36" s="4">
        <f>SUMIFS('Marketing spend and leads'!$F$2:$F$337,'Marketing spend and leads'!$B$2:$B$337,"events",'Marketing spend and leads'!$C$2:$C$337,"emea",'Marketing spend and leads'!$D$2:$D$337,"sep26")</f>
        <v>28</v>
      </c>
      <c r="V36" s="4">
        <f>SUMIFS('Marketing spend and leads'!$F$2:$F$337,'Marketing spend and leads'!$B$2:$B$337,"events",'Marketing spend and leads'!$C$2:$C$337,"emea",'Marketing spend and leads'!$D$2:$D$337,"oct26")</f>
        <v>106</v>
      </c>
      <c r="W36" s="4">
        <f>SUMIFS('Marketing spend and leads'!$F$2:$F$337,'Marketing spend and leads'!$B$2:$B$337,"events",'Marketing spend and leads'!$C$2:$C$337,"emea",'Marketing spend and leads'!$D$2:$D$337,"nov26")</f>
        <v>63</v>
      </c>
      <c r="X36" s="4">
        <f>SUMIFS('Marketing spend and leads'!$F$2:$F$337,'Marketing spend and leads'!$B$2:$B$337,"events",'Marketing spend and leads'!$C$2:$C$337,"emea",'Marketing spend and leads'!$D$2:$D$337,"dec26")</f>
        <v>25</v>
      </c>
    </row>
    <row r="37">
      <c r="A37" s="0" t="inlineStr">
        <is>
          <t xml:space="preserve">Leads</t>
        </is>
      </c>
      <c r="B37" s="0" t="inlineStr">
        <is>
          <t xml:space="preserve">Events &amp; field</t>
        </is>
      </c>
      <c r="C37" s="0" t="inlineStr">
        <is>
          <t xml:space="preserve">APAC</t>
        </is>
      </c>
      <c r="D37" s="4">
        <f>SUMIFS('Marketing spend and leads'!$F$2:$F$337,'Marketing spend and leads'!$B$2:$B$337,"events",'Marketing spend and leads'!$C$2:$C$337,"apac",'Marketing spend and leads'!$D$2:$D$337,"apr25")</f>
        <v>22</v>
      </c>
      <c r="E37" s="4">
        <f>SUMIFS('Marketing spend and leads'!$F$2:$F$337,'Marketing spend and leads'!$B$2:$B$337,"events",'Marketing spend and leads'!$C$2:$C$337,"apac",'Marketing spend and leads'!$D$2:$D$337,"may25")</f>
        <v>60</v>
      </c>
      <c r="F37" s="4">
        <f>SUMIFS('Marketing spend and leads'!$F$2:$F$337,'Marketing spend and leads'!$B$2:$B$337,"events",'Marketing spend and leads'!$C$2:$C$337,"apac",'Marketing spend and leads'!$D$2:$D$337,"jun25")</f>
        <v>20</v>
      </c>
      <c r="G37" s="4">
        <f>SUMIFS('Marketing spend and leads'!$F$2:$F$337,'Marketing spend and leads'!$B$2:$B$337,"events",'Marketing spend and leads'!$C$2:$C$337,"apac",'Marketing spend and leads'!$D$2:$D$337,"jul25")</f>
        <v>14</v>
      </c>
      <c r="H37" s="4">
        <f>SUMIFS('Marketing spend and leads'!$F$2:$F$337,'Marketing spend and leads'!$B$2:$B$337,"events",'Marketing spend and leads'!$C$2:$C$337,"apac",'Marketing spend and leads'!$D$2:$D$337,"aug25")</f>
        <v>12</v>
      </c>
      <c r="I37" s="4">
        <f>SUMIFS('Marketing spend and leads'!$F$2:$F$337,'Marketing spend and leads'!$B$2:$B$337,"events",'Marketing spend and leads'!$C$2:$C$337,"apac",'Marketing spend and leads'!$D$2:$D$337,"sep25")</f>
        <v>15</v>
      </c>
      <c r="J37" s="4">
        <f>SUMIFS('Marketing spend and leads'!$F$2:$F$337,'Marketing spend and leads'!$B$2:$B$337,"events",'Marketing spend and leads'!$C$2:$C$337,"apac",'Marketing spend and leads'!$D$2:$D$337,"oct25")</f>
        <v>42</v>
      </c>
      <c r="K37" s="4">
        <f>SUMIFS('Marketing spend and leads'!$F$2:$F$337,'Marketing spend and leads'!$B$2:$B$337,"events",'Marketing spend and leads'!$C$2:$C$337,"apac",'Marketing spend and leads'!$D$2:$D$337,"nov25")</f>
        <v>11</v>
      </c>
      <c r="L37" s="4">
        <f>SUMIFS('Marketing spend and leads'!$F$2:$F$337,'Marketing spend and leads'!$B$2:$B$337,"events",'Marketing spend and leads'!$C$2:$C$337,"apac",'Marketing spend and leads'!$D$2:$D$337,"dec25")</f>
        <v>16</v>
      </c>
      <c r="M37" s="4">
        <f>SUMIFS('Marketing spend and leads'!$F$2:$F$337,'Marketing spend and leads'!$B$2:$B$337,"events",'Marketing spend and leads'!$C$2:$C$337,"apac",'Marketing spend and leads'!$D$2:$D$337,"jan26")</f>
        <v>12</v>
      </c>
      <c r="N37" s="4">
        <f>SUMIFS('Marketing spend and leads'!$F$2:$F$337,'Marketing spend and leads'!$B$2:$B$337,"events",'Marketing spend and leads'!$C$2:$C$337,"apac",'Marketing spend and leads'!$D$2:$D$337,"feb26")</f>
        <v>17</v>
      </c>
      <c r="O37" s="4">
        <f>SUMIFS('Marketing spend and leads'!$F$2:$F$337,'Marketing spend and leads'!$B$2:$B$337,"events",'Marketing spend and leads'!$C$2:$C$337,"apac",'Marketing spend and leads'!$D$2:$D$337,"mar26")</f>
        <v>63</v>
      </c>
      <c r="P37" s="4">
        <f>SUMIFS('Marketing spend and leads'!$F$2:$F$337,'Marketing spend and leads'!$B$2:$B$337,"events",'Marketing spend and leads'!$C$2:$C$337,"apac",'Marketing spend and leads'!$D$2:$D$337,"apr26")</f>
        <v>13</v>
      </c>
      <c r="Q37" s="4">
        <f>SUMIFS('Marketing spend and leads'!$F$2:$F$337,'Marketing spend and leads'!$B$2:$B$337,"events",'Marketing spend and leads'!$C$2:$C$337,"apac",'Marketing spend and leads'!$D$2:$D$337,"may26")</f>
        <v>17</v>
      </c>
      <c r="R37" s="4">
        <f>SUMIFS('Marketing spend and leads'!$F$2:$F$337,'Marketing spend and leads'!$B$2:$B$337,"events",'Marketing spend and leads'!$C$2:$C$337,"apac",'Marketing spend and leads'!$D$2:$D$337,"jun26")</f>
        <v>56</v>
      </c>
      <c r="S37" s="4">
        <f>SUMIFS('Marketing spend and leads'!$F$2:$F$337,'Marketing spend and leads'!$B$2:$B$337,"events",'Marketing spend and leads'!$C$2:$C$337,"apac",'Marketing spend and leads'!$D$2:$D$337,"jul26")</f>
        <v>16</v>
      </c>
      <c r="T37" s="4">
        <f>SUMIFS('Marketing spend and leads'!$F$2:$F$337,'Marketing spend and leads'!$B$2:$B$337,"events",'Marketing spend and leads'!$C$2:$C$337,"apac",'Marketing spend and leads'!$D$2:$D$337,"aug26")</f>
        <v>10</v>
      </c>
      <c r="U37" s="4">
        <f>SUMIFS('Marketing spend and leads'!$F$2:$F$337,'Marketing spend and leads'!$B$2:$B$337,"events",'Marketing spend and leads'!$C$2:$C$337,"apac",'Marketing spend and leads'!$D$2:$D$337,"sep26")</f>
        <v>16</v>
      </c>
      <c r="V37" s="4">
        <f>SUMIFS('Marketing spend and leads'!$F$2:$F$337,'Marketing spend and leads'!$B$2:$B$337,"events",'Marketing spend and leads'!$C$2:$C$337,"apac",'Marketing spend and leads'!$D$2:$D$337,"oct26")</f>
        <v>42</v>
      </c>
      <c r="W37" s="4">
        <f>SUMIFS('Marketing spend and leads'!$F$2:$F$337,'Marketing spend and leads'!$B$2:$B$337,"events",'Marketing spend and leads'!$C$2:$C$337,"apac",'Marketing spend and leads'!$D$2:$D$337,"nov26")</f>
        <v>32</v>
      </c>
      <c r="X37" s="4">
        <f>SUMIFS('Marketing spend and leads'!$F$2:$F$337,'Marketing spend and leads'!$B$2:$B$337,"events",'Marketing spend and leads'!$C$2:$C$337,"apac",'Marketing spend and leads'!$D$2:$D$337,"dec26")</f>
        <v>16</v>
      </c>
    </row>
    <row r="38">
      <c r="A38" s="0" t="inlineStr">
        <is>
          <t xml:space="preserve">Leads</t>
        </is>
      </c>
      <c r="B38" s="0" t="inlineStr">
        <is>
          <t xml:space="preserve">Partner</t>
        </is>
      </c>
      <c r="C38" s="0" t="inlineStr">
        <is>
          <t xml:space="preserve">AMER East</t>
        </is>
      </c>
      <c r="D38" s="4">
        <f>SUMIFS('Marketing spend and leads'!$F$2:$F$337,'Marketing spend and leads'!$B$2:$B$337,"partner",'Marketing spend and leads'!$C$2:$C$337,"amer_east",'Marketing spend and leads'!$D$2:$D$337,"apr25")</f>
        <v>31</v>
      </c>
      <c r="E38" s="4">
        <f>SUMIFS('Marketing spend and leads'!$F$2:$F$337,'Marketing spend and leads'!$B$2:$B$337,"partner",'Marketing spend and leads'!$C$2:$C$337,"amer_east",'Marketing spend and leads'!$D$2:$D$337,"may25")</f>
        <v>19</v>
      </c>
      <c r="F38" s="4">
        <f>SUMIFS('Marketing spend and leads'!$F$2:$F$337,'Marketing spend and leads'!$B$2:$B$337,"partner",'Marketing spend and leads'!$C$2:$C$337,"amer_east",'Marketing spend and leads'!$D$2:$D$337,"jun25")</f>
        <v>20</v>
      </c>
      <c r="G38" s="4">
        <f>SUMIFS('Marketing spend and leads'!$F$2:$F$337,'Marketing spend and leads'!$B$2:$B$337,"partner",'Marketing spend and leads'!$C$2:$C$337,"amer_east",'Marketing spend and leads'!$D$2:$D$337,"jul25")</f>
        <v>29</v>
      </c>
      <c r="H38" s="4">
        <f>SUMIFS('Marketing spend and leads'!$F$2:$F$337,'Marketing spend and leads'!$B$2:$B$337,"partner",'Marketing spend and leads'!$C$2:$C$337,"amer_east",'Marketing spend and leads'!$D$2:$D$337,"aug25")</f>
        <v>19</v>
      </c>
      <c r="I38" s="4">
        <f>SUMIFS('Marketing spend and leads'!$F$2:$F$337,'Marketing spend and leads'!$B$2:$B$337,"partner",'Marketing spend and leads'!$C$2:$C$337,"amer_east",'Marketing spend and leads'!$D$2:$D$337,"sep25")</f>
        <v>23</v>
      </c>
      <c r="J38" s="4">
        <f>SUMIFS('Marketing spend and leads'!$F$2:$F$337,'Marketing spend and leads'!$B$2:$B$337,"partner",'Marketing spend and leads'!$C$2:$C$337,"amer_east",'Marketing spend and leads'!$D$2:$D$337,"oct25")</f>
        <v>26</v>
      </c>
      <c r="K38" s="4">
        <f>SUMIFS('Marketing spend and leads'!$F$2:$F$337,'Marketing spend and leads'!$B$2:$B$337,"partner",'Marketing spend and leads'!$C$2:$C$337,"amer_east",'Marketing spend and leads'!$D$2:$D$337,"nov25")</f>
        <v>17</v>
      </c>
      <c r="L38" s="4">
        <f>SUMIFS('Marketing spend and leads'!$F$2:$F$337,'Marketing spend and leads'!$B$2:$B$337,"partner",'Marketing spend and leads'!$C$2:$C$337,"amer_east",'Marketing spend and leads'!$D$2:$D$337,"dec25")</f>
        <v>24</v>
      </c>
      <c r="M38" s="4">
        <f>SUMIFS('Marketing spend and leads'!$F$2:$F$337,'Marketing spend and leads'!$B$2:$B$337,"partner",'Marketing spend and leads'!$C$2:$C$337,"amer_east",'Marketing spend and leads'!$D$2:$D$337,"jan26")</f>
        <v>18</v>
      </c>
      <c r="N38" s="4">
        <f>SUMIFS('Marketing spend and leads'!$F$2:$F$337,'Marketing spend and leads'!$B$2:$B$337,"partner",'Marketing spend and leads'!$C$2:$C$337,"amer_east",'Marketing spend and leads'!$D$2:$D$337,"feb26")</f>
        <v>12</v>
      </c>
      <c r="O38" s="4">
        <f>SUMIFS('Marketing spend and leads'!$F$2:$F$337,'Marketing spend and leads'!$B$2:$B$337,"partner",'Marketing spend and leads'!$C$2:$C$337,"amer_east",'Marketing spend and leads'!$D$2:$D$337,"mar26")</f>
        <v>30</v>
      </c>
      <c r="P38" s="4">
        <f>SUMIFS('Marketing spend and leads'!$F$2:$F$337,'Marketing spend and leads'!$B$2:$B$337,"partner",'Marketing spend and leads'!$C$2:$C$337,"amer_east",'Marketing spend and leads'!$D$2:$D$337,"apr26")</f>
        <v>21</v>
      </c>
      <c r="Q38" s="4">
        <f>SUMIFS('Marketing spend and leads'!$F$2:$F$337,'Marketing spend and leads'!$B$2:$B$337,"partner",'Marketing spend and leads'!$C$2:$C$337,"amer_east",'Marketing spend and leads'!$D$2:$D$337,"may26")</f>
        <v>21</v>
      </c>
      <c r="R38" s="4">
        <f>SUMIFS('Marketing spend and leads'!$F$2:$F$337,'Marketing spend and leads'!$B$2:$B$337,"partner",'Marketing spend and leads'!$C$2:$C$337,"amer_east",'Marketing spend and leads'!$D$2:$D$337,"jun26")</f>
        <v>30</v>
      </c>
      <c r="S38" s="4">
        <f>SUMIFS('Marketing spend and leads'!$F$2:$F$337,'Marketing spend and leads'!$B$2:$B$337,"partner",'Marketing spend and leads'!$C$2:$C$337,"amer_east",'Marketing spend and leads'!$D$2:$D$337,"jul26")</f>
        <v>15</v>
      </c>
      <c r="T38" s="4">
        <f>SUMIFS('Marketing spend and leads'!$F$2:$F$337,'Marketing spend and leads'!$B$2:$B$337,"partner",'Marketing spend and leads'!$C$2:$C$337,"amer_east",'Marketing spend and leads'!$D$2:$D$337,"aug26")</f>
        <v>31</v>
      </c>
      <c r="U38" s="4">
        <f>SUMIFS('Marketing spend and leads'!$F$2:$F$337,'Marketing spend and leads'!$B$2:$B$337,"partner",'Marketing spend and leads'!$C$2:$C$337,"amer_east",'Marketing spend and leads'!$D$2:$D$337,"sep26")</f>
        <v>23</v>
      </c>
      <c r="V38" s="4">
        <f>SUMIFS('Marketing spend and leads'!$F$2:$F$337,'Marketing spend and leads'!$B$2:$B$337,"partner",'Marketing spend and leads'!$C$2:$C$337,"amer_east",'Marketing spend and leads'!$D$2:$D$337,"oct26")</f>
        <v>19</v>
      </c>
      <c r="W38" s="4">
        <f>SUMIFS('Marketing spend and leads'!$F$2:$F$337,'Marketing spend and leads'!$B$2:$B$337,"partner",'Marketing spend and leads'!$C$2:$C$337,"amer_east",'Marketing spend and leads'!$D$2:$D$337,"nov26")</f>
        <v>33</v>
      </c>
      <c r="X38" s="4">
        <f>SUMIFS('Marketing spend and leads'!$F$2:$F$337,'Marketing spend and leads'!$B$2:$B$337,"partner",'Marketing spend and leads'!$C$2:$C$337,"amer_east",'Marketing spend and leads'!$D$2:$D$337,"dec26")</f>
        <v>21</v>
      </c>
    </row>
    <row r="39">
      <c r="A39" s="0" t="inlineStr">
        <is>
          <t xml:space="preserve">Leads</t>
        </is>
      </c>
      <c r="B39" s="0" t="inlineStr">
        <is>
          <t xml:space="preserve">Partner</t>
        </is>
      </c>
      <c r="C39" s="0" t="inlineStr">
        <is>
          <t xml:space="preserve">AMER West</t>
        </is>
      </c>
      <c r="D39" s="4">
        <f>SUMIFS('Marketing spend and leads'!$F$2:$F$337,'Marketing spend and leads'!$B$2:$B$337,"partner",'Marketing spend and leads'!$C$2:$C$337,"amer_west",'Marketing spend and leads'!$D$2:$D$337,"apr25")</f>
        <v>28</v>
      </c>
      <c r="E39" s="4">
        <f>SUMIFS('Marketing spend and leads'!$F$2:$F$337,'Marketing spend and leads'!$B$2:$B$337,"partner",'Marketing spend and leads'!$C$2:$C$337,"amer_west",'Marketing spend and leads'!$D$2:$D$337,"may25")</f>
        <v>21</v>
      </c>
      <c r="F39" s="4">
        <f>SUMIFS('Marketing spend and leads'!$F$2:$F$337,'Marketing spend and leads'!$B$2:$B$337,"partner",'Marketing spend and leads'!$C$2:$C$337,"amer_west",'Marketing spend and leads'!$D$2:$D$337,"jun25")</f>
        <v>29</v>
      </c>
      <c r="G39" s="4">
        <f>SUMIFS('Marketing spend and leads'!$F$2:$F$337,'Marketing spend and leads'!$B$2:$B$337,"partner",'Marketing spend and leads'!$C$2:$C$337,"amer_west",'Marketing spend and leads'!$D$2:$D$337,"jul25")</f>
        <v>15</v>
      </c>
      <c r="H39" s="4">
        <f>SUMIFS('Marketing spend and leads'!$F$2:$F$337,'Marketing spend and leads'!$B$2:$B$337,"partner",'Marketing spend and leads'!$C$2:$C$337,"amer_west",'Marketing spend and leads'!$D$2:$D$337,"aug25")</f>
        <v>30</v>
      </c>
      <c r="I39" s="4">
        <f>SUMIFS('Marketing spend and leads'!$F$2:$F$337,'Marketing spend and leads'!$B$2:$B$337,"partner",'Marketing spend and leads'!$C$2:$C$337,"amer_west",'Marketing spend and leads'!$D$2:$D$337,"sep25")</f>
        <v>24</v>
      </c>
      <c r="J39" s="4">
        <f>SUMIFS('Marketing spend and leads'!$F$2:$F$337,'Marketing spend and leads'!$B$2:$B$337,"partner",'Marketing spend and leads'!$C$2:$C$337,"amer_west",'Marketing spend and leads'!$D$2:$D$337,"oct25")</f>
        <v>16</v>
      </c>
      <c r="K39" s="4">
        <f>SUMIFS('Marketing spend and leads'!$F$2:$F$337,'Marketing spend and leads'!$B$2:$B$337,"partner",'Marketing spend and leads'!$C$2:$C$337,"amer_west",'Marketing spend and leads'!$D$2:$D$337,"nov25")</f>
        <v>11</v>
      </c>
      <c r="L39" s="4">
        <f>SUMIFS('Marketing spend and leads'!$F$2:$F$337,'Marketing spend and leads'!$B$2:$B$337,"partner",'Marketing spend and leads'!$C$2:$C$337,"amer_west",'Marketing spend and leads'!$D$2:$D$337,"dec25")</f>
        <v>32</v>
      </c>
      <c r="M39" s="4">
        <f>SUMIFS('Marketing spend and leads'!$F$2:$F$337,'Marketing spend and leads'!$B$2:$B$337,"partner",'Marketing spend and leads'!$C$2:$C$337,"amer_west",'Marketing spend and leads'!$D$2:$D$337,"jan26")</f>
        <v>18</v>
      </c>
      <c r="N39" s="4">
        <f>SUMIFS('Marketing spend and leads'!$F$2:$F$337,'Marketing spend and leads'!$B$2:$B$337,"partner",'Marketing spend and leads'!$C$2:$C$337,"amer_west",'Marketing spend and leads'!$D$2:$D$337,"feb26")</f>
        <v>19</v>
      </c>
      <c r="O39" s="4">
        <f>SUMIFS('Marketing spend and leads'!$F$2:$F$337,'Marketing spend and leads'!$B$2:$B$337,"partner",'Marketing spend and leads'!$C$2:$C$337,"amer_west",'Marketing spend and leads'!$D$2:$D$337,"mar26")</f>
        <v>23</v>
      </c>
      <c r="P39" s="4">
        <f>SUMIFS('Marketing spend and leads'!$F$2:$F$337,'Marketing spend and leads'!$B$2:$B$337,"partner",'Marketing spend and leads'!$C$2:$C$337,"amer_west",'Marketing spend and leads'!$D$2:$D$337,"apr26")</f>
        <v>19</v>
      </c>
      <c r="Q39" s="4">
        <f>SUMIFS('Marketing spend and leads'!$F$2:$F$337,'Marketing spend and leads'!$B$2:$B$337,"partner",'Marketing spend and leads'!$C$2:$C$337,"amer_west",'Marketing spend and leads'!$D$2:$D$337,"may26")</f>
        <v>25</v>
      </c>
      <c r="R39" s="4">
        <f>SUMIFS('Marketing spend and leads'!$F$2:$F$337,'Marketing spend and leads'!$B$2:$B$337,"partner",'Marketing spend and leads'!$C$2:$C$337,"amer_west",'Marketing spend and leads'!$D$2:$D$337,"jun26")</f>
        <v>29</v>
      </c>
      <c r="S39" s="4">
        <f>SUMIFS('Marketing spend and leads'!$F$2:$F$337,'Marketing spend and leads'!$B$2:$B$337,"partner",'Marketing spend and leads'!$C$2:$C$337,"amer_west",'Marketing spend and leads'!$D$2:$D$337,"jul26")</f>
        <v>22</v>
      </c>
      <c r="T39" s="4">
        <f>SUMIFS('Marketing spend and leads'!$F$2:$F$337,'Marketing spend and leads'!$B$2:$B$337,"partner",'Marketing spend and leads'!$C$2:$C$337,"amer_west",'Marketing spend and leads'!$D$2:$D$337,"aug26")</f>
        <v>18</v>
      </c>
      <c r="U39" s="4">
        <f>SUMIFS('Marketing spend and leads'!$F$2:$F$337,'Marketing spend and leads'!$B$2:$B$337,"partner",'Marketing spend and leads'!$C$2:$C$337,"amer_west",'Marketing spend and leads'!$D$2:$D$337,"sep26")</f>
        <v>16</v>
      </c>
      <c r="V39" s="4">
        <f>SUMIFS('Marketing spend and leads'!$F$2:$F$337,'Marketing spend and leads'!$B$2:$B$337,"partner",'Marketing spend and leads'!$C$2:$C$337,"amer_west",'Marketing spend and leads'!$D$2:$D$337,"oct26")</f>
        <v>16</v>
      </c>
      <c r="W39" s="4">
        <f>SUMIFS('Marketing spend and leads'!$F$2:$F$337,'Marketing spend and leads'!$B$2:$B$337,"partner",'Marketing spend and leads'!$C$2:$C$337,"amer_west",'Marketing spend and leads'!$D$2:$D$337,"nov26")</f>
        <v>19</v>
      </c>
      <c r="X39" s="4">
        <f>SUMIFS('Marketing spend and leads'!$F$2:$F$337,'Marketing spend and leads'!$B$2:$B$337,"partner",'Marketing spend and leads'!$C$2:$C$337,"amer_west",'Marketing spend and leads'!$D$2:$D$337,"dec26")</f>
        <v>19</v>
      </c>
    </row>
    <row r="40">
      <c r="A40" s="0" t="inlineStr">
        <is>
          <t xml:space="preserve">Leads</t>
        </is>
      </c>
      <c r="B40" s="0" t="inlineStr">
        <is>
          <t xml:space="preserve">Partner</t>
        </is>
      </c>
      <c r="C40" s="0" t="inlineStr">
        <is>
          <t xml:space="preserve">EMEA</t>
        </is>
      </c>
      <c r="D40" s="4">
        <f>SUMIFS('Marketing spend and leads'!$F$2:$F$337,'Marketing spend and leads'!$B$2:$B$337,"partner",'Marketing spend and leads'!$C$2:$C$337,"emea",'Marketing spend and leads'!$D$2:$D$337,"apr25")</f>
        <v>19</v>
      </c>
      <c r="E40" s="4">
        <f>SUMIFS('Marketing spend and leads'!$F$2:$F$337,'Marketing spend and leads'!$B$2:$B$337,"partner",'Marketing spend and leads'!$C$2:$C$337,"emea",'Marketing spend and leads'!$D$2:$D$337,"may25")</f>
        <v>22</v>
      </c>
      <c r="F40" s="4">
        <f>SUMIFS('Marketing spend and leads'!$F$2:$F$337,'Marketing spend and leads'!$B$2:$B$337,"partner",'Marketing spend and leads'!$C$2:$C$337,"emea",'Marketing spend and leads'!$D$2:$D$337,"jun25")</f>
        <v>27</v>
      </c>
      <c r="G40" s="4">
        <f>SUMIFS('Marketing spend and leads'!$F$2:$F$337,'Marketing spend and leads'!$B$2:$B$337,"partner",'Marketing spend and leads'!$C$2:$C$337,"emea",'Marketing spend and leads'!$D$2:$D$337,"jul25")</f>
        <v>12</v>
      </c>
      <c r="H40" s="4">
        <f>SUMIFS('Marketing spend and leads'!$F$2:$F$337,'Marketing spend and leads'!$B$2:$B$337,"partner",'Marketing spend and leads'!$C$2:$C$337,"emea",'Marketing spend and leads'!$D$2:$D$337,"aug25")</f>
        <v>17</v>
      </c>
      <c r="I40" s="4">
        <f>SUMIFS('Marketing spend and leads'!$F$2:$F$337,'Marketing spend and leads'!$B$2:$B$337,"partner",'Marketing spend and leads'!$C$2:$C$337,"emea",'Marketing spend and leads'!$D$2:$D$337,"sep25")</f>
        <v>15</v>
      </c>
      <c r="J40" s="4">
        <f>SUMIFS('Marketing spend and leads'!$F$2:$F$337,'Marketing spend and leads'!$B$2:$B$337,"partner",'Marketing spend and leads'!$C$2:$C$337,"emea",'Marketing spend and leads'!$D$2:$D$337,"oct25")</f>
        <v>22</v>
      </c>
      <c r="K40" s="4">
        <f>SUMIFS('Marketing spend and leads'!$F$2:$F$337,'Marketing spend and leads'!$B$2:$B$337,"partner",'Marketing spend and leads'!$C$2:$C$337,"emea",'Marketing spend and leads'!$D$2:$D$337,"nov25")</f>
        <v>14</v>
      </c>
      <c r="L40" s="4">
        <f>SUMIFS('Marketing spend and leads'!$F$2:$F$337,'Marketing spend and leads'!$B$2:$B$337,"partner",'Marketing spend and leads'!$C$2:$C$337,"emea",'Marketing spend and leads'!$D$2:$D$337,"dec25")</f>
        <v>20</v>
      </c>
      <c r="M40" s="4">
        <f>SUMIFS('Marketing spend and leads'!$F$2:$F$337,'Marketing spend and leads'!$B$2:$B$337,"partner",'Marketing spend and leads'!$C$2:$C$337,"emea",'Marketing spend and leads'!$D$2:$D$337,"jan26")</f>
        <v>25</v>
      </c>
      <c r="N40" s="4">
        <f>SUMIFS('Marketing spend and leads'!$F$2:$F$337,'Marketing spend and leads'!$B$2:$B$337,"partner",'Marketing spend and leads'!$C$2:$C$337,"emea",'Marketing spend and leads'!$D$2:$D$337,"feb26")</f>
        <v>15</v>
      </c>
      <c r="O40" s="4">
        <f>SUMIFS('Marketing spend and leads'!$F$2:$F$337,'Marketing spend and leads'!$B$2:$B$337,"partner",'Marketing spend and leads'!$C$2:$C$337,"emea",'Marketing spend and leads'!$D$2:$D$337,"mar26")</f>
        <v>28</v>
      </c>
      <c r="P40" s="4">
        <f>SUMIFS('Marketing spend and leads'!$F$2:$F$337,'Marketing spend and leads'!$B$2:$B$337,"partner",'Marketing spend and leads'!$C$2:$C$337,"emea",'Marketing spend and leads'!$D$2:$D$337,"apr26")</f>
        <v>20</v>
      </c>
      <c r="Q40" s="4">
        <f>SUMIFS('Marketing spend and leads'!$F$2:$F$337,'Marketing spend and leads'!$B$2:$B$337,"partner",'Marketing spend and leads'!$C$2:$C$337,"emea",'Marketing spend and leads'!$D$2:$D$337,"may26")</f>
        <v>21</v>
      </c>
      <c r="R40" s="4">
        <f>SUMIFS('Marketing spend and leads'!$F$2:$F$337,'Marketing spend and leads'!$B$2:$B$337,"partner",'Marketing spend and leads'!$C$2:$C$337,"emea",'Marketing spend and leads'!$D$2:$D$337,"jun26")</f>
        <v>20</v>
      </c>
      <c r="S40" s="4">
        <f>SUMIFS('Marketing spend and leads'!$F$2:$F$337,'Marketing spend and leads'!$B$2:$B$337,"partner",'Marketing spend and leads'!$C$2:$C$337,"emea",'Marketing spend and leads'!$D$2:$D$337,"jul26")</f>
        <v>16</v>
      </c>
      <c r="T40" s="4">
        <f>SUMIFS('Marketing spend and leads'!$F$2:$F$337,'Marketing spend and leads'!$B$2:$B$337,"partner",'Marketing spend and leads'!$C$2:$C$337,"emea",'Marketing spend and leads'!$D$2:$D$337,"aug26")</f>
        <v>16</v>
      </c>
      <c r="U40" s="4">
        <f>SUMIFS('Marketing spend and leads'!$F$2:$F$337,'Marketing spend and leads'!$B$2:$B$337,"partner",'Marketing spend and leads'!$C$2:$C$337,"emea",'Marketing spend and leads'!$D$2:$D$337,"sep26")</f>
        <v>25</v>
      </c>
      <c r="V40" s="4">
        <f>SUMIFS('Marketing spend and leads'!$F$2:$F$337,'Marketing spend and leads'!$B$2:$B$337,"partner",'Marketing spend and leads'!$C$2:$C$337,"emea",'Marketing spend and leads'!$D$2:$D$337,"oct26")</f>
        <v>15</v>
      </c>
      <c r="W40" s="4">
        <f>SUMIFS('Marketing spend and leads'!$F$2:$F$337,'Marketing spend and leads'!$B$2:$B$337,"partner",'Marketing spend and leads'!$C$2:$C$337,"emea",'Marketing spend and leads'!$D$2:$D$337,"nov26")</f>
        <v>11</v>
      </c>
      <c r="X40" s="4">
        <f>SUMIFS('Marketing spend and leads'!$F$2:$F$337,'Marketing spend and leads'!$B$2:$B$337,"partner",'Marketing spend and leads'!$C$2:$C$337,"emea",'Marketing spend and leads'!$D$2:$D$337,"dec26")</f>
        <v>26</v>
      </c>
    </row>
    <row r="41">
      <c r="A41" s="0" t="inlineStr">
        <is>
          <t xml:space="preserve">Leads</t>
        </is>
      </c>
      <c r="B41" s="0" t="inlineStr">
        <is>
          <t xml:space="preserve">Partner</t>
        </is>
      </c>
      <c r="C41" s="0" t="inlineStr">
        <is>
          <t xml:space="preserve">APAC</t>
        </is>
      </c>
      <c r="D41" s="4">
        <f>SUMIFS('Marketing spend and leads'!$F$2:$F$337,'Marketing spend and leads'!$B$2:$B$337,"partner",'Marketing spend and leads'!$C$2:$C$337,"apac",'Marketing spend and leads'!$D$2:$D$337,"apr25")</f>
        <v>13</v>
      </c>
      <c r="E41" s="4">
        <f>SUMIFS('Marketing spend and leads'!$F$2:$F$337,'Marketing spend and leads'!$B$2:$B$337,"partner",'Marketing spend and leads'!$C$2:$C$337,"apac",'Marketing spend and leads'!$D$2:$D$337,"may25")</f>
        <v>11</v>
      </c>
      <c r="F41" s="4">
        <f>SUMIFS('Marketing spend and leads'!$F$2:$F$337,'Marketing spend and leads'!$B$2:$B$337,"partner",'Marketing spend and leads'!$C$2:$C$337,"apac",'Marketing spend and leads'!$D$2:$D$337,"jun25")</f>
        <v>14</v>
      </c>
      <c r="G41" s="4">
        <f>SUMIFS('Marketing spend and leads'!$F$2:$F$337,'Marketing spend and leads'!$B$2:$B$337,"partner",'Marketing spend and leads'!$C$2:$C$337,"apac",'Marketing spend and leads'!$D$2:$D$337,"jul25")</f>
        <v>8</v>
      </c>
      <c r="H41" s="4">
        <f>SUMIFS('Marketing spend and leads'!$F$2:$F$337,'Marketing spend and leads'!$B$2:$B$337,"partner",'Marketing spend and leads'!$C$2:$C$337,"apac",'Marketing spend and leads'!$D$2:$D$337,"aug25")</f>
        <v>12</v>
      </c>
      <c r="I41" s="4">
        <f>SUMIFS('Marketing spend and leads'!$F$2:$F$337,'Marketing spend and leads'!$B$2:$B$337,"partner",'Marketing spend and leads'!$C$2:$C$337,"apac",'Marketing spend and leads'!$D$2:$D$337,"sep25")</f>
        <v>9</v>
      </c>
      <c r="J41" s="4">
        <f>SUMIFS('Marketing spend and leads'!$F$2:$F$337,'Marketing spend and leads'!$B$2:$B$337,"partner",'Marketing spend and leads'!$C$2:$C$337,"apac",'Marketing spend and leads'!$D$2:$D$337,"oct25")</f>
        <v>11</v>
      </c>
      <c r="K41" s="4">
        <f>SUMIFS('Marketing spend and leads'!$F$2:$F$337,'Marketing spend and leads'!$B$2:$B$337,"partner",'Marketing spend and leads'!$C$2:$C$337,"apac",'Marketing spend and leads'!$D$2:$D$337,"nov25")</f>
        <v>12</v>
      </c>
      <c r="L41" s="4">
        <f>SUMIFS('Marketing spend and leads'!$F$2:$F$337,'Marketing spend and leads'!$B$2:$B$337,"partner",'Marketing spend and leads'!$C$2:$C$337,"apac",'Marketing spend and leads'!$D$2:$D$337,"dec25")</f>
        <v>13</v>
      </c>
      <c r="M41" s="4">
        <f>SUMIFS('Marketing spend and leads'!$F$2:$F$337,'Marketing spend and leads'!$B$2:$B$337,"partner",'Marketing spend and leads'!$C$2:$C$337,"apac",'Marketing spend and leads'!$D$2:$D$337,"jan26")</f>
        <v>8</v>
      </c>
      <c r="N41" s="4">
        <f>SUMIFS('Marketing spend and leads'!$F$2:$F$337,'Marketing spend and leads'!$B$2:$B$337,"partner",'Marketing spend and leads'!$C$2:$C$337,"apac",'Marketing spend and leads'!$D$2:$D$337,"feb26")</f>
        <v>11</v>
      </c>
      <c r="O41" s="4">
        <f>SUMIFS('Marketing spend and leads'!$F$2:$F$337,'Marketing spend and leads'!$B$2:$B$337,"partner",'Marketing spend and leads'!$C$2:$C$337,"apac",'Marketing spend and leads'!$D$2:$D$337,"mar26")</f>
        <v>11</v>
      </c>
      <c r="P41" s="4">
        <f>SUMIFS('Marketing spend and leads'!$F$2:$F$337,'Marketing spend and leads'!$B$2:$B$337,"partner",'Marketing spend and leads'!$C$2:$C$337,"apac",'Marketing spend and leads'!$D$2:$D$337,"apr26")</f>
        <v>9</v>
      </c>
      <c r="Q41" s="4">
        <f>SUMIFS('Marketing spend and leads'!$F$2:$F$337,'Marketing spend and leads'!$B$2:$B$337,"partner",'Marketing spend and leads'!$C$2:$C$337,"apac",'Marketing spend and leads'!$D$2:$D$337,"may26")</f>
        <v>12</v>
      </c>
      <c r="R41" s="4">
        <f>SUMIFS('Marketing spend and leads'!$F$2:$F$337,'Marketing spend and leads'!$B$2:$B$337,"partner",'Marketing spend and leads'!$C$2:$C$337,"apac",'Marketing spend and leads'!$D$2:$D$337,"jun26")</f>
        <v>16</v>
      </c>
      <c r="S41" s="4">
        <f>SUMIFS('Marketing spend and leads'!$F$2:$F$337,'Marketing spend and leads'!$B$2:$B$337,"partner",'Marketing spend and leads'!$C$2:$C$337,"apac",'Marketing spend and leads'!$D$2:$D$337,"jul26")</f>
        <v>11</v>
      </c>
      <c r="T41" s="4">
        <f>SUMIFS('Marketing spend and leads'!$F$2:$F$337,'Marketing spend and leads'!$B$2:$B$337,"partner",'Marketing spend and leads'!$C$2:$C$337,"apac",'Marketing spend and leads'!$D$2:$D$337,"aug26")</f>
        <v>10</v>
      </c>
      <c r="U41" s="4">
        <f>SUMIFS('Marketing spend and leads'!$F$2:$F$337,'Marketing spend and leads'!$B$2:$B$337,"partner",'Marketing spend and leads'!$C$2:$C$337,"apac",'Marketing spend and leads'!$D$2:$D$337,"sep26")</f>
        <v>11</v>
      </c>
      <c r="V41" s="4">
        <f>SUMIFS('Marketing spend and leads'!$F$2:$F$337,'Marketing spend and leads'!$B$2:$B$337,"partner",'Marketing spend and leads'!$C$2:$C$337,"apac",'Marketing spend and leads'!$D$2:$D$337,"oct26")</f>
        <v>9</v>
      </c>
      <c r="W41" s="4">
        <f>SUMIFS('Marketing spend and leads'!$F$2:$F$337,'Marketing spend and leads'!$B$2:$B$337,"partner",'Marketing spend and leads'!$C$2:$C$337,"apac",'Marketing spend and leads'!$D$2:$D$337,"nov26")</f>
        <v>11</v>
      </c>
      <c r="X41" s="4">
        <f>SUMIFS('Marketing spend and leads'!$F$2:$F$337,'Marketing spend and leads'!$B$2:$B$337,"partner",'Marketing spend and leads'!$C$2:$C$337,"apac",'Marketing spend and leads'!$D$2:$D$337,"dec26")</f>
        <v>9</v>
      </c>
    </row>
    <row r="42">
      <c r="A42" s="0" t="inlineStr">
        <is>
          <t xml:space="preserve">Leads</t>
        </is>
      </c>
      <c r="B42" s="0" t="inlineStr">
        <is>
          <t xml:space="preserve">Outbound (BDR)</t>
        </is>
      </c>
      <c r="C42" s="0" t="inlineStr">
        <is>
          <t xml:space="preserve">AMER East</t>
        </is>
      </c>
      <c r="D42" s="4">
        <f>SUMIFS('Marketing spend and leads'!$F$2:$F$337,'Marketing spend and leads'!$B$2:$B$337,"outbound",'Marketing spend and leads'!$C$2:$C$337,"amer_east",'Marketing spend and leads'!$D$2:$D$337,"apr25")</f>
        <v>0</v>
      </c>
      <c r="E42" s="4">
        <f>SUMIFS('Marketing spend and leads'!$F$2:$F$337,'Marketing spend and leads'!$B$2:$B$337,"outbound",'Marketing spend and leads'!$C$2:$C$337,"amer_east",'Marketing spend and leads'!$D$2:$D$337,"may25")</f>
        <v>0</v>
      </c>
      <c r="F42" s="4">
        <f>SUMIFS('Marketing spend and leads'!$F$2:$F$337,'Marketing spend and leads'!$B$2:$B$337,"outbound",'Marketing spend and leads'!$C$2:$C$337,"amer_east",'Marketing spend and leads'!$D$2:$D$337,"jun25")</f>
        <v>0</v>
      </c>
      <c r="G42" s="4">
        <f>SUMIFS('Marketing spend and leads'!$F$2:$F$337,'Marketing spend and leads'!$B$2:$B$337,"outbound",'Marketing spend and leads'!$C$2:$C$337,"amer_east",'Marketing spend and leads'!$D$2:$D$337,"jul25")</f>
        <v>0</v>
      </c>
      <c r="H42" s="4">
        <f>SUMIFS('Marketing spend and leads'!$F$2:$F$337,'Marketing spend and leads'!$B$2:$B$337,"outbound",'Marketing spend and leads'!$C$2:$C$337,"amer_east",'Marketing spend and leads'!$D$2:$D$337,"aug25")</f>
        <v>0</v>
      </c>
      <c r="I42" s="4">
        <f>SUMIFS('Marketing spend and leads'!$F$2:$F$337,'Marketing spend and leads'!$B$2:$B$337,"outbound",'Marketing spend and leads'!$C$2:$C$337,"amer_east",'Marketing spend and leads'!$D$2:$D$337,"sep25")</f>
        <v>0</v>
      </c>
      <c r="J42" s="4">
        <f>SUMIFS('Marketing spend and leads'!$F$2:$F$337,'Marketing spend and leads'!$B$2:$B$337,"outbound",'Marketing spend and leads'!$C$2:$C$337,"amer_east",'Marketing spend and leads'!$D$2:$D$337,"oct25")</f>
        <v>0</v>
      </c>
      <c r="K42" s="4">
        <f>SUMIFS('Marketing spend and leads'!$F$2:$F$337,'Marketing spend and leads'!$B$2:$B$337,"outbound",'Marketing spend and leads'!$C$2:$C$337,"amer_east",'Marketing spend and leads'!$D$2:$D$337,"nov25")</f>
        <v>0</v>
      </c>
      <c r="L42" s="4">
        <f>SUMIFS('Marketing spend and leads'!$F$2:$F$337,'Marketing spend and leads'!$B$2:$B$337,"outbound",'Marketing spend and leads'!$C$2:$C$337,"amer_east",'Marketing spend and leads'!$D$2:$D$337,"dec25")</f>
        <v>0</v>
      </c>
      <c r="M42" s="4">
        <f>SUMIFS('Marketing spend and leads'!$F$2:$F$337,'Marketing spend and leads'!$B$2:$B$337,"outbound",'Marketing spend and leads'!$C$2:$C$337,"amer_east",'Marketing spend and leads'!$D$2:$D$337,"jan26")</f>
        <v>0</v>
      </c>
      <c r="N42" s="4">
        <f>SUMIFS('Marketing spend and leads'!$F$2:$F$337,'Marketing spend and leads'!$B$2:$B$337,"outbound",'Marketing spend and leads'!$C$2:$C$337,"amer_east",'Marketing spend and leads'!$D$2:$D$337,"feb26")</f>
        <v>0</v>
      </c>
      <c r="O42" s="4">
        <f>SUMIFS('Marketing spend and leads'!$F$2:$F$337,'Marketing spend and leads'!$B$2:$B$337,"outbound",'Marketing spend and leads'!$C$2:$C$337,"amer_east",'Marketing spend and leads'!$D$2:$D$337,"mar26")</f>
        <v>0</v>
      </c>
      <c r="P42" s="4">
        <f>SUMIFS('Marketing spend and leads'!$F$2:$F$337,'Marketing spend and leads'!$B$2:$B$337,"outbound",'Marketing spend and leads'!$C$2:$C$337,"amer_east",'Marketing spend and leads'!$D$2:$D$337,"apr26")</f>
        <v>0</v>
      </c>
      <c r="Q42" s="4">
        <f>SUMIFS('Marketing spend and leads'!$F$2:$F$337,'Marketing spend and leads'!$B$2:$B$337,"outbound",'Marketing spend and leads'!$C$2:$C$337,"amer_east",'Marketing spend and leads'!$D$2:$D$337,"may26")</f>
        <v>0</v>
      </c>
      <c r="R42" s="4">
        <f>SUMIFS('Marketing spend and leads'!$F$2:$F$337,'Marketing spend and leads'!$B$2:$B$337,"outbound",'Marketing spend and leads'!$C$2:$C$337,"amer_east",'Marketing spend and leads'!$D$2:$D$337,"jun26")</f>
        <v>0</v>
      </c>
      <c r="S42" s="4">
        <f>SUMIFS('Marketing spend and leads'!$F$2:$F$337,'Marketing spend and leads'!$B$2:$B$337,"outbound",'Marketing spend and leads'!$C$2:$C$337,"amer_east",'Marketing spend and leads'!$D$2:$D$337,"jul26")</f>
        <v>0</v>
      </c>
      <c r="T42" s="4">
        <f>SUMIFS('Marketing spend and leads'!$F$2:$F$337,'Marketing spend and leads'!$B$2:$B$337,"outbound",'Marketing spend and leads'!$C$2:$C$337,"amer_east",'Marketing spend and leads'!$D$2:$D$337,"aug26")</f>
        <v>0</v>
      </c>
      <c r="U42" s="4">
        <f>SUMIFS('Marketing spend and leads'!$F$2:$F$337,'Marketing spend and leads'!$B$2:$B$337,"outbound",'Marketing spend and leads'!$C$2:$C$337,"amer_east",'Marketing spend and leads'!$D$2:$D$337,"sep26")</f>
        <v>0</v>
      </c>
      <c r="V42" s="4">
        <f>SUMIFS('Marketing spend and leads'!$F$2:$F$337,'Marketing spend and leads'!$B$2:$B$337,"outbound",'Marketing spend and leads'!$C$2:$C$337,"amer_east",'Marketing spend and leads'!$D$2:$D$337,"oct26")</f>
        <v>0</v>
      </c>
      <c r="W42" s="4">
        <f>SUMIFS('Marketing spend and leads'!$F$2:$F$337,'Marketing spend and leads'!$B$2:$B$337,"outbound",'Marketing spend and leads'!$C$2:$C$337,"amer_east",'Marketing spend and leads'!$D$2:$D$337,"nov26")</f>
        <v>0</v>
      </c>
      <c r="X42" s="4">
        <f>SUMIFS('Marketing spend and leads'!$F$2:$F$337,'Marketing spend and leads'!$B$2:$B$337,"outbound",'Marketing spend and leads'!$C$2:$C$337,"amer_east",'Marketing spend and leads'!$D$2:$D$337,"dec26")</f>
        <v>0</v>
      </c>
    </row>
    <row r="43">
      <c r="A43" s="0" t="inlineStr">
        <is>
          <t xml:space="preserve">Leads</t>
        </is>
      </c>
      <c r="B43" s="0" t="inlineStr">
        <is>
          <t xml:space="preserve">Outbound (BDR)</t>
        </is>
      </c>
      <c r="C43" s="0" t="inlineStr">
        <is>
          <t xml:space="preserve">AMER West</t>
        </is>
      </c>
      <c r="D43" s="4">
        <f>SUMIFS('Marketing spend and leads'!$F$2:$F$337,'Marketing spend and leads'!$B$2:$B$337,"outbound",'Marketing spend and leads'!$C$2:$C$337,"amer_west",'Marketing spend and leads'!$D$2:$D$337,"apr25")</f>
        <v>0</v>
      </c>
      <c r="E43" s="4">
        <f>SUMIFS('Marketing spend and leads'!$F$2:$F$337,'Marketing spend and leads'!$B$2:$B$337,"outbound",'Marketing spend and leads'!$C$2:$C$337,"amer_west",'Marketing spend and leads'!$D$2:$D$337,"may25")</f>
        <v>0</v>
      </c>
      <c r="F43" s="4">
        <f>SUMIFS('Marketing spend and leads'!$F$2:$F$337,'Marketing spend and leads'!$B$2:$B$337,"outbound",'Marketing spend and leads'!$C$2:$C$337,"amer_west",'Marketing spend and leads'!$D$2:$D$337,"jun25")</f>
        <v>0</v>
      </c>
      <c r="G43" s="4">
        <f>SUMIFS('Marketing spend and leads'!$F$2:$F$337,'Marketing spend and leads'!$B$2:$B$337,"outbound",'Marketing spend and leads'!$C$2:$C$337,"amer_west",'Marketing spend and leads'!$D$2:$D$337,"jul25")</f>
        <v>0</v>
      </c>
      <c r="H43" s="4">
        <f>SUMIFS('Marketing spend and leads'!$F$2:$F$337,'Marketing spend and leads'!$B$2:$B$337,"outbound",'Marketing spend and leads'!$C$2:$C$337,"amer_west",'Marketing spend and leads'!$D$2:$D$337,"aug25")</f>
        <v>0</v>
      </c>
      <c r="I43" s="4">
        <f>SUMIFS('Marketing spend and leads'!$F$2:$F$337,'Marketing spend and leads'!$B$2:$B$337,"outbound",'Marketing spend and leads'!$C$2:$C$337,"amer_west",'Marketing spend and leads'!$D$2:$D$337,"sep25")</f>
        <v>0</v>
      </c>
      <c r="J43" s="4">
        <f>SUMIFS('Marketing spend and leads'!$F$2:$F$337,'Marketing spend and leads'!$B$2:$B$337,"outbound",'Marketing spend and leads'!$C$2:$C$337,"amer_west",'Marketing spend and leads'!$D$2:$D$337,"oct25")</f>
        <v>0</v>
      </c>
      <c r="K43" s="4">
        <f>SUMIFS('Marketing spend and leads'!$F$2:$F$337,'Marketing spend and leads'!$B$2:$B$337,"outbound",'Marketing spend and leads'!$C$2:$C$337,"amer_west",'Marketing spend and leads'!$D$2:$D$337,"nov25")</f>
        <v>0</v>
      </c>
      <c r="L43" s="4">
        <f>SUMIFS('Marketing spend and leads'!$F$2:$F$337,'Marketing spend and leads'!$B$2:$B$337,"outbound",'Marketing spend and leads'!$C$2:$C$337,"amer_west",'Marketing spend and leads'!$D$2:$D$337,"dec25")</f>
        <v>0</v>
      </c>
      <c r="M43" s="4">
        <f>SUMIFS('Marketing spend and leads'!$F$2:$F$337,'Marketing spend and leads'!$B$2:$B$337,"outbound",'Marketing spend and leads'!$C$2:$C$337,"amer_west",'Marketing spend and leads'!$D$2:$D$337,"jan26")</f>
        <v>0</v>
      </c>
      <c r="N43" s="4">
        <f>SUMIFS('Marketing spend and leads'!$F$2:$F$337,'Marketing spend and leads'!$B$2:$B$337,"outbound",'Marketing spend and leads'!$C$2:$C$337,"amer_west",'Marketing spend and leads'!$D$2:$D$337,"feb26")</f>
        <v>0</v>
      </c>
      <c r="O43" s="4">
        <f>SUMIFS('Marketing spend and leads'!$F$2:$F$337,'Marketing spend and leads'!$B$2:$B$337,"outbound",'Marketing spend and leads'!$C$2:$C$337,"amer_west",'Marketing spend and leads'!$D$2:$D$337,"mar26")</f>
        <v>0</v>
      </c>
      <c r="P43" s="4">
        <f>SUMIFS('Marketing spend and leads'!$F$2:$F$337,'Marketing spend and leads'!$B$2:$B$337,"outbound",'Marketing spend and leads'!$C$2:$C$337,"amer_west",'Marketing spend and leads'!$D$2:$D$337,"apr26")</f>
        <v>0</v>
      </c>
      <c r="Q43" s="4">
        <f>SUMIFS('Marketing spend and leads'!$F$2:$F$337,'Marketing spend and leads'!$B$2:$B$337,"outbound",'Marketing spend and leads'!$C$2:$C$337,"amer_west",'Marketing spend and leads'!$D$2:$D$337,"may26")</f>
        <v>0</v>
      </c>
      <c r="R43" s="4">
        <f>SUMIFS('Marketing spend and leads'!$F$2:$F$337,'Marketing spend and leads'!$B$2:$B$337,"outbound",'Marketing spend and leads'!$C$2:$C$337,"amer_west",'Marketing spend and leads'!$D$2:$D$337,"jun26")</f>
        <v>0</v>
      </c>
      <c r="S43" s="4">
        <f>SUMIFS('Marketing spend and leads'!$F$2:$F$337,'Marketing spend and leads'!$B$2:$B$337,"outbound",'Marketing spend and leads'!$C$2:$C$337,"amer_west",'Marketing spend and leads'!$D$2:$D$337,"jul26")</f>
        <v>0</v>
      </c>
      <c r="T43" s="4">
        <f>SUMIFS('Marketing spend and leads'!$F$2:$F$337,'Marketing spend and leads'!$B$2:$B$337,"outbound",'Marketing spend and leads'!$C$2:$C$337,"amer_west",'Marketing spend and leads'!$D$2:$D$337,"aug26")</f>
        <v>0</v>
      </c>
      <c r="U43" s="4">
        <f>SUMIFS('Marketing spend and leads'!$F$2:$F$337,'Marketing spend and leads'!$B$2:$B$337,"outbound",'Marketing spend and leads'!$C$2:$C$337,"amer_west",'Marketing spend and leads'!$D$2:$D$337,"sep26")</f>
        <v>0</v>
      </c>
      <c r="V43" s="4">
        <f>SUMIFS('Marketing spend and leads'!$F$2:$F$337,'Marketing spend and leads'!$B$2:$B$337,"outbound",'Marketing spend and leads'!$C$2:$C$337,"amer_west",'Marketing spend and leads'!$D$2:$D$337,"oct26")</f>
        <v>0</v>
      </c>
      <c r="W43" s="4">
        <f>SUMIFS('Marketing spend and leads'!$F$2:$F$337,'Marketing spend and leads'!$B$2:$B$337,"outbound",'Marketing spend and leads'!$C$2:$C$337,"amer_west",'Marketing spend and leads'!$D$2:$D$337,"nov26")</f>
        <v>0</v>
      </c>
      <c r="X43" s="4">
        <f>SUMIFS('Marketing spend and leads'!$F$2:$F$337,'Marketing spend and leads'!$B$2:$B$337,"outbound",'Marketing spend and leads'!$C$2:$C$337,"amer_west",'Marketing spend and leads'!$D$2:$D$337,"dec26")</f>
        <v>0</v>
      </c>
    </row>
    <row r="44">
      <c r="A44" s="0" t="inlineStr">
        <is>
          <t xml:space="preserve">Leads</t>
        </is>
      </c>
      <c r="B44" s="0" t="inlineStr">
        <is>
          <t xml:space="preserve">Outbound (BDR)</t>
        </is>
      </c>
      <c r="C44" s="0" t="inlineStr">
        <is>
          <t xml:space="preserve">EMEA</t>
        </is>
      </c>
      <c r="D44" s="4">
        <f>SUMIFS('Marketing spend and leads'!$F$2:$F$337,'Marketing spend and leads'!$B$2:$B$337,"outbound",'Marketing spend and leads'!$C$2:$C$337,"emea",'Marketing spend and leads'!$D$2:$D$337,"apr25")</f>
        <v>0</v>
      </c>
      <c r="E44" s="4">
        <f>SUMIFS('Marketing spend and leads'!$F$2:$F$337,'Marketing spend and leads'!$B$2:$B$337,"outbound",'Marketing spend and leads'!$C$2:$C$337,"emea",'Marketing spend and leads'!$D$2:$D$337,"may25")</f>
        <v>0</v>
      </c>
      <c r="F44" s="4">
        <f>SUMIFS('Marketing spend and leads'!$F$2:$F$337,'Marketing spend and leads'!$B$2:$B$337,"outbound",'Marketing spend and leads'!$C$2:$C$337,"emea",'Marketing spend and leads'!$D$2:$D$337,"jun25")</f>
        <v>0</v>
      </c>
      <c r="G44" s="4">
        <f>SUMIFS('Marketing spend and leads'!$F$2:$F$337,'Marketing spend and leads'!$B$2:$B$337,"outbound",'Marketing spend and leads'!$C$2:$C$337,"emea",'Marketing spend and leads'!$D$2:$D$337,"jul25")</f>
        <v>0</v>
      </c>
      <c r="H44" s="4">
        <f>SUMIFS('Marketing spend and leads'!$F$2:$F$337,'Marketing spend and leads'!$B$2:$B$337,"outbound",'Marketing spend and leads'!$C$2:$C$337,"emea",'Marketing spend and leads'!$D$2:$D$337,"aug25")</f>
        <v>0</v>
      </c>
      <c r="I44" s="4">
        <f>SUMIFS('Marketing spend and leads'!$F$2:$F$337,'Marketing spend and leads'!$B$2:$B$337,"outbound",'Marketing spend and leads'!$C$2:$C$337,"emea",'Marketing spend and leads'!$D$2:$D$337,"sep25")</f>
        <v>0</v>
      </c>
      <c r="J44" s="4">
        <f>SUMIFS('Marketing spend and leads'!$F$2:$F$337,'Marketing spend and leads'!$B$2:$B$337,"outbound",'Marketing spend and leads'!$C$2:$C$337,"emea",'Marketing spend and leads'!$D$2:$D$337,"oct25")</f>
        <v>0</v>
      </c>
      <c r="K44" s="4">
        <f>SUMIFS('Marketing spend and leads'!$F$2:$F$337,'Marketing spend and leads'!$B$2:$B$337,"outbound",'Marketing spend and leads'!$C$2:$C$337,"emea",'Marketing spend and leads'!$D$2:$D$337,"nov25")</f>
        <v>0</v>
      </c>
      <c r="L44" s="4">
        <f>SUMIFS('Marketing spend and leads'!$F$2:$F$337,'Marketing spend and leads'!$B$2:$B$337,"outbound",'Marketing spend and leads'!$C$2:$C$337,"emea",'Marketing spend and leads'!$D$2:$D$337,"dec25")</f>
        <v>0</v>
      </c>
      <c r="M44" s="4">
        <f>SUMIFS('Marketing spend and leads'!$F$2:$F$337,'Marketing spend and leads'!$B$2:$B$337,"outbound",'Marketing spend and leads'!$C$2:$C$337,"emea",'Marketing spend and leads'!$D$2:$D$337,"jan26")</f>
        <v>0</v>
      </c>
      <c r="N44" s="4">
        <f>SUMIFS('Marketing spend and leads'!$F$2:$F$337,'Marketing spend and leads'!$B$2:$B$337,"outbound",'Marketing spend and leads'!$C$2:$C$337,"emea",'Marketing spend and leads'!$D$2:$D$337,"feb26")</f>
        <v>0</v>
      </c>
      <c r="O44" s="4">
        <f>SUMIFS('Marketing spend and leads'!$F$2:$F$337,'Marketing spend and leads'!$B$2:$B$337,"outbound",'Marketing spend and leads'!$C$2:$C$337,"emea",'Marketing spend and leads'!$D$2:$D$337,"mar26")</f>
        <v>0</v>
      </c>
      <c r="P44" s="4">
        <f>SUMIFS('Marketing spend and leads'!$F$2:$F$337,'Marketing spend and leads'!$B$2:$B$337,"outbound",'Marketing spend and leads'!$C$2:$C$337,"emea",'Marketing spend and leads'!$D$2:$D$337,"apr26")</f>
        <v>0</v>
      </c>
      <c r="Q44" s="4">
        <f>SUMIFS('Marketing spend and leads'!$F$2:$F$337,'Marketing spend and leads'!$B$2:$B$337,"outbound",'Marketing spend and leads'!$C$2:$C$337,"emea",'Marketing spend and leads'!$D$2:$D$337,"may26")</f>
        <v>0</v>
      </c>
      <c r="R44" s="4">
        <f>SUMIFS('Marketing spend and leads'!$F$2:$F$337,'Marketing spend and leads'!$B$2:$B$337,"outbound",'Marketing spend and leads'!$C$2:$C$337,"emea",'Marketing spend and leads'!$D$2:$D$337,"jun26")</f>
        <v>0</v>
      </c>
      <c r="S44" s="4">
        <f>SUMIFS('Marketing spend and leads'!$F$2:$F$337,'Marketing spend and leads'!$B$2:$B$337,"outbound",'Marketing spend and leads'!$C$2:$C$337,"emea",'Marketing spend and leads'!$D$2:$D$337,"jul26")</f>
        <v>0</v>
      </c>
      <c r="T44" s="4">
        <f>SUMIFS('Marketing spend and leads'!$F$2:$F$337,'Marketing spend and leads'!$B$2:$B$337,"outbound",'Marketing spend and leads'!$C$2:$C$337,"emea",'Marketing spend and leads'!$D$2:$D$337,"aug26")</f>
        <v>0</v>
      </c>
      <c r="U44" s="4">
        <f>SUMIFS('Marketing spend and leads'!$F$2:$F$337,'Marketing spend and leads'!$B$2:$B$337,"outbound",'Marketing spend and leads'!$C$2:$C$337,"emea",'Marketing spend and leads'!$D$2:$D$337,"sep26")</f>
        <v>0</v>
      </c>
      <c r="V44" s="4">
        <f>SUMIFS('Marketing spend and leads'!$F$2:$F$337,'Marketing spend and leads'!$B$2:$B$337,"outbound",'Marketing spend and leads'!$C$2:$C$337,"emea",'Marketing spend and leads'!$D$2:$D$337,"oct26")</f>
        <v>0</v>
      </c>
      <c r="W44" s="4">
        <f>SUMIFS('Marketing spend and leads'!$F$2:$F$337,'Marketing spend and leads'!$B$2:$B$337,"outbound",'Marketing spend and leads'!$C$2:$C$337,"emea",'Marketing spend and leads'!$D$2:$D$337,"nov26")</f>
        <v>0</v>
      </c>
      <c r="X44" s="4">
        <f>SUMIFS('Marketing spend and leads'!$F$2:$F$337,'Marketing spend and leads'!$B$2:$B$337,"outbound",'Marketing spend and leads'!$C$2:$C$337,"emea",'Marketing spend and leads'!$D$2:$D$337,"dec26")</f>
        <v>0</v>
      </c>
    </row>
    <row r="45">
      <c r="A45" s="0" t="inlineStr">
        <is>
          <t xml:space="preserve">Leads</t>
        </is>
      </c>
      <c r="B45" s="0" t="inlineStr">
        <is>
          <t xml:space="preserve">Outbound (BDR)</t>
        </is>
      </c>
      <c r="C45" s="0" t="inlineStr">
        <is>
          <t xml:space="preserve">APAC</t>
        </is>
      </c>
      <c r="D45" s="4">
        <f>SUMIFS('Marketing spend and leads'!$F$2:$F$337,'Marketing spend and leads'!$B$2:$B$337,"outbound",'Marketing spend and leads'!$C$2:$C$337,"apac",'Marketing spend and leads'!$D$2:$D$337,"apr25")</f>
        <v>0</v>
      </c>
      <c r="E45" s="4">
        <f>SUMIFS('Marketing spend and leads'!$F$2:$F$337,'Marketing spend and leads'!$B$2:$B$337,"outbound",'Marketing spend and leads'!$C$2:$C$337,"apac",'Marketing spend and leads'!$D$2:$D$337,"may25")</f>
        <v>0</v>
      </c>
      <c r="F45" s="4">
        <f>SUMIFS('Marketing spend and leads'!$F$2:$F$337,'Marketing spend and leads'!$B$2:$B$337,"outbound",'Marketing spend and leads'!$C$2:$C$337,"apac",'Marketing spend and leads'!$D$2:$D$337,"jun25")</f>
        <v>0</v>
      </c>
      <c r="G45" s="4">
        <f>SUMIFS('Marketing spend and leads'!$F$2:$F$337,'Marketing spend and leads'!$B$2:$B$337,"outbound",'Marketing spend and leads'!$C$2:$C$337,"apac",'Marketing spend and leads'!$D$2:$D$337,"jul25")</f>
        <v>0</v>
      </c>
      <c r="H45" s="4">
        <f>SUMIFS('Marketing spend and leads'!$F$2:$F$337,'Marketing spend and leads'!$B$2:$B$337,"outbound",'Marketing spend and leads'!$C$2:$C$337,"apac",'Marketing spend and leads'!$D$2:$D$337,"aug25")</f>
        <v>0</v>
      </c>
      <c r="I45" s="4">
        <f>SUMIFS('Marketing spend and leads'!$F$2:$F$337,'Marketing spend and leads'!$B$2:$B$337,"outbound",'Marketing spend and leads'!$C$2:$C$337,"apac",'Marketing spend and leads'!$D$2:$D$337,"sep25")</f>
        <v>0</v>
      </c>
      <c r="J45" s="4">
        <f>SUMIFS('Marketing spend and leads'!$F$2:$F$337,'Marketing spend and leads'!$B$2:$B$337,"outbound",'Marketing spend and leads'!$C$2:$C$337,"apac",'Marketing spend and leads'!$D$2:$D$337,"oct25")</f>
        <v>0</v>
      </c>
      <c r="K45" s="4">
        <f>SUMIFS('Marketing spend and leads'!$F$2:$F$337,'Marketing spend and leads'!$B$2:$B$337,"outbound",'Marketing spend and leads'!$C$2:$C$337,"apac",'Marketing spend and leads'!$D$2:$D$337,"nov25")</f>
        <v>0</v>
      </c>
      <c r="L45" s="4">
        <f>SUMIFS('Marketing spend and leads'!$F$2:$F$337,'Marketing spend and leads'!$B$2:$B$337,"outbound",'Marketing spend and leads'!$C$2:$C$337,"apac",'Marketing spend and leads'!$D$2:$D$337,"dec25")</f>
        <v>0</v>
      </c>
      <c r="M45" s="4">
        <f>SUMIFS('Marketing spend and leads'!$F$2:$F$337,'Marketing spend and leads'!$B$2:$B$337,"outbound",'Marketing spend and leads'!$C$2:$C$337,"apac",'Marketing spend and leads'!$D$2:$D$337,"jan26")</f>
        <v>0</v>
      </c>
      <c r="N45" s="4">
        <f>SUMIFS('Marketing spend and leads'!$F$2:$F$337,'Marketing spend and leads'!$B$2:$B$337,"outbound",'Marketing spend and leads'!$C$2:$C$337,"apac",'Marketing spend and leads'!$D$2:$D$337,"feb26")</f>
        <v>0</v>
      </c>
      <c r="O45" s="4">
        <f>SUMIFS('Marketing spend and leads'!$F$2:$F$337,'Marketing spend and leads'!$B$2:$B$337,"outbound",'Marketing spend and leads'!$C$2:$C$337,"apac",'Marketing spend and leads'!$D$2:$D$337,"mar26")</f>
        <v>0</v>
      </c>
      <c r="P45" s="4">
        <f>SUMIFS('Marketing spend and leads'!$F$2:$F$337,'Marketing spend and leads'!$B$2:$B$337,"outbound",'Marketing spend and leads'!$C$2:$C$337,"apac",'Marketing spend and leads'!$D$2:$D$337,"apr26")</f>
        <v>0</v>
      </c>
      <c r="Q45" s="4">
        <f>SUMIFS('Marketing spend and leads'!$F$2:$F$337,'Marketing spend and leads'!$B$2:$B$337,"outbound",'Marketing spend and leads'!$C$2:$C$337,"apac",'Marketing spend and leads'!$D$2:$D$337,"may26")</f>
        <v>0</v>
      </c>
      <c r="R45" s="4">
        <f>SUMIFS('Marketing spend and leads'!$F$2:$F$337,'Marketing spend and leads'!$B$2:$B$337,"outbound",'Marketing spend and leads'!$C$2:$C$337,"apac",'Marketing spend and leads'!$D$2:$D$337,"jun26")</f>
        <v>0</v>
      </c>
      <c r="S45" s="4">
        <f>SUMIFS('Marketing spend and leads'!$F$2:$F$337,'Marketing spend and leads'!$B$2:$B$337,"outbound",'Marketing spend and leads'!$C$2:$C$337,"apac",'Marketing spend and leads'!$D$2:$D$337,"jul26")</f>
        <v>0</v>
      </c>
      <c r="T45" s="4">
        <f>SUMIFS('Marketing spend and leads'!$F$2:$F$337,'Marketing spend and leads'!$B$2:$B$337,"outbound",'Marketing spend and leads'!$C$2:$C$337,"apac",'Marketing spend and leads'!$D$2:$D$337,"aug26")</f>
        <v>0</v>
      </c>
      <c r="U45" s="4">
        <f>SUMIFS('Marketing spend and leads'!$F$2:$F$337,'Marketing spend and leads'!$B$2:$B$337,"outbound",'Marketing spend and leads'!$C$2:$C$337,"apac",'Marketing spend and leads'!$D$2:$D$337,"sep26")</f>
        <v>0</v>
      </c>
      <c r="V45" s="4">
        <f>SUMIFS('Marketing spend and leads'!$F$2:$F$337,'Marketing spend and leads'!$B$2:$B$337,"outbound",'Marketing spend and leads'!$C$2:$C$337,"apac",'Marketing spend and leads'!$D$2:$D$337,"oct26")</f>
        <v>0</v>
      </c>
      <c r="W45" s="4">
        <f>SUMIFS('Marketing spend and leads'!$F$2:$F$337,'Marketing spend and leads'!$B$2:$B$337,"outbound",'Marketing spend and leads'!$C$2:$C$337,"apac",'Marketing spend and leads'!$D$2:$D$337,"nov26")</f>
        <v>0</v>
      </c>
      <c r="X45" s="4">
        <f>SUMIFS('Marketing spend and leads'!$F$2:$F$337,'Marketing spend and leads'!$B$2:$B$337,"outbound",'Marketing spend and leads'!$C$2:$C$337,"apac",'Marketing spend and leads'!$D$2:$D$337,"dec26")</f>
        <v>0</v>
      </c>
    </row>
    <row r="46">
      <c r="A46" s="0" t="inlineStr">
        <is>
          <t xml:space="preserve">Leads</t>
        </is>
      </c>
      <c r="B46" s="0" t="inlineStr">
        <is>
          <t xml:space="preserve">Customer referral</t>
        </is>
      </c>
      <c r="C46" s="0" t="inlineStr">
        <is>
          <t xml:space="preserve">AMER East</t>
        </is>
      </c>
      <c r="D46" s="4">
        <f>SUMIFS('Marketing spend and leads'!$F$2:$F$337,'Marketing spend and leads'!$B$2:$B$337,"referral",'Marketing spend and leads'!$C$2:$C$337,"amer_east",'Marketing spend and leads'!$D$2:$D$337,"apr25")</f>
        <v>0</v>
      </c>
      <c r="E46" s="4">
        <f>SUMIFS('Marketing spend and leads'!$F$2:$F$337,'Marketing spend and leads'!$B$2:$B$337,"referral",'Marketing spend and leads'!$C$2:$C$337,"amer_east",'Marketing spend and leads'!$D$2:$D$337,"may25")</f>
        <v>0</v>
      </c>
      <c r="F46" s="4">
        <f>SUMIFS('Marketing spend and leads'!$F$2:$F$337,'Marketing spend and leads'!$B$2:$B$337,"referral",'Marketing spend and leads'!$C$2:$C$337,"amer_east",'Marketing spend and leads'!$D$2:$D$337,"jun25")</f>
        <v>0</v>
      </c>
      <c r="G46" s="4">
        <f>SUMIFS('Marketing spend and leads'!$F$2:$F$337,'Marketing spend and leads'!$B$2:$B$337,"referral",'Marketing spend and leads'!$C$2:$C$337,"amer_east",'Marketing spend and leads'!$D$2:$D$337,"jul25")</f>
        <v>0</v>
      </c>
      <c r="H46" s="4">
        <f>SUMIFS('Marketing spend and leads'!$F$2:$F$337,'Marketing spend and leads'!$B$2:$B$337,"referral",'Marketing spend and leads'!$C$2:$C$337,"amer_east",'Marketing spend and leads'!$D$2:$D$337,"aug25")</f>
        <v>0</v>
      </c>
      <c r="I46" s="4">
        <f>SUMIFS('Marketing spend and leads'!$F$2:$F$337,'Marketing spend and leads'!$B$2:$B$337,"referral",'Marketing spend and leads'!$C$2:$C$337,"amer_east",'Marketing spend and leads'!$D$2:$D$337,"sep25")</f>
        <v>0</v>
      </c>
      <c r="J46" s="4">
        <f>SUMIFS('Marketing spend and leads'!$F$2:$F$337,'Marketing spend and leads'!$B$2:$B$337,"referral",'Marketing spend and leads'!$C$2:$C$337,"amer_east",'Marketing spend and leads'!$D$2:$D$337,"oct25")</f>
        <v>0</v>
      </c>
      <c r="K46" s="4">
        <f>SUMIFS('Marketing spend and leads'!$F$2:$F$337,'Marketing spend and leads'!$B$2:$B$337,"referral",'Marketing spend and leads'!$C$2:$C$337,"amer_east",'Marketing spend and leads'!$D$2:$D$337,"nov25")</f>
        <v>0</v>
      </c>
      <c r="L46" s="4">
        <f>SUMIFS('Marketing spend and leads'!$F$2:$F$337,'Marketing spend and leads'!$B$2:$B$337,"referral",'Marketing spend and leads'!$C$2:$C$337,"amer_east",'Marketing spend and leads'!$D$2:$D$337,"dec25")</f>
        <v>0</v>
      </c>
      <c r="M46" s="4">
        <f>SUMIFS('Marketing spend and leads'!$F$2:$F$337,'Marketing spend and leads'!$B$2:$B$337,"referral",'Marketing spend and leads'!$C$2:$C$337,"amer_east",'Marketing spend and leads'!$D$2:$D$337,"jan26")</f>
        <v>0</v>
      </c>
      <c r="N46" s="4">
        <f>SUMIFS('Marketing spend and leads'!$F$2:$F$337,'Marketing spend and leads'!$B$2:$B$337,"referral",'Marketing spend and leads'!$C$2:$C$337,"amer_east",'Marketing spend and leads'!$D$2:$D$337,"feb26")</f>
        <v>0</v>
      </c>
      <c r="O46" s="4">
        <f>SUMIFS('Marketing spend and leads'!$F$2:$F$337,'Marketing spend and leads'!$B$2:$B$337,"referral",'Marketing spend and leads'!$C$2:$C$337,"amer_east",'Marketing spend and leads'!$D$2:$D$337,"mar26")</f>
        <v>0</v>
      </c>
      <c r="P46" s="4">
        <f>SUMIFS('Marketing spend and leads'!$F$2:$F$337,'Marketing spend and leads'!$B$2:$B$337,"referral",'Marketing spend and leads'!$C$2:$C$337,"amer_east",'Marketing spend and leads'!$D$2:$D$337,"apr26")</f>
        <v>0</v>
      </c>
      <c r="Q46" s="4">
        <f>SUMIFS('Marketing spend and leads'!$F$2:$F$337,'Marketing spend and leads'!$B$2:$B$337,"referral",'Marketing spend and leads'!$C$2:$C$337,"amer_east",'Marketing spend and leads'!$D$2:$D$337,"may26")</f>
        <v>0</v>
      </c>
      <c r="R46" s="4">
        <f>SUMIFS('Marketing spend and leads'!$F$2:$F$337,'Marketing spend and leads'!$B$2:$B$337,"referral",'Marketing spend and leads'!$C$2:$C$337,"amer_east",'Marketing spend and leads'!$D$2:$D$337,"jun26")</f>
        <v>0</v>
      </c>
      <c r="S46" s="4">
        <f>SUMIFS('Marketing spend and leads'!$F$2:$F$337,'Marketing spend and leads'!$B$2:$B$337,"referral",'Marketing spend and leads'!$C$2:$C$337,"amer_east",'Marketing spend and leads'!$D$2:$D$337,"jul26")</f>
        <v>0</v>
      </c>
      <c r="T46" s="4">
        <f>SUMIFS('Marketing spend and leads'!$F$2:$F$337,'Marketing spend and leads'!$B$2:$B$337,"referral",'Marketing spend and leads'!$C$2:$C$337,"amer_east",'Marketing spend and leads'!$D$2:$D$337,"aug26")</f>
        <v>0</v>
      </c>
      <c r="U46" s="4">
        <f>SUMIFS('Marketing spend and leads'!$F$2:$F$337,'Marketing spend and leads'!$B$2:$B$337,"referral",'Marketing spend and leads'!$C$2:$C$337,"amer_east",'Marketing spend and leads'!$D$2:$D$337,"sep26")</f>
        <v>0</v>
      </c>
      <c r="V46" s="4">
        <f>SUMIFS('Marketing spend and leads'!$F$2:$F$337,'Marketing spend and leads'!$B$2:$B$337,"referral",'Marketing spend and leads'!$C$2:$C$337,"amer_east",'Marketing spend and leads'!$D$2:$D$337,"oct26")</f>
        <v>0</v>
      </c>
      <c r="W46" s="4">
        <f>SUMIFS('Marketing spend and leads'!$F$2:$F$337,'Marketing spend and leads'!$B$2:$B$337,"referral",'Marketing spend and leads'!$C$2:$C$337,"amer_east",'Marketing spend and leads'!$D$2:$D$337,"nov26")</f>
        <v>0</v>
      </c>
      <c r="X46" s="4">
        <f>SUMIFS('Marketing spend and leads'!$F$2:$F$337,'Marketing spend and leads'!$B$2:$B$337,"referral",'Marketing spend and leads'!$C$2:$C$337,"amer_east",'Marketing spend and leads'!$D$2:$D$337,"dec26")</f>
        <v>0</v>
      </c>
    </row>
    <row r="47">
      <c r="A47" s="0" t="inlineStr">
        <is>
          <t xml:space="preserve">Leads</t>
        </is>
      </c>
      <c r="B47" s="0" t="inlineStr">
        <is>
          <t xml:space="preserve">Customer referral</t>
        </is>
      </c>
      <c r="C47" s="0" t="inlineStr">
        <is>
          <t xml:space="preserve">AMER West</t>
        </is>
      </c>
      <c r="D47" s="4">
        <f>SUMIFS('Marketing spend and leads'!$F$2:$F$337,'Marketing spend and leads'!$B$2:$B$337,"referral",'Marketing spend and leads'!$C$2:$C$337,"amer_west",'Marketing spend and leads'!$D$2:$D$337,"apr25")</f>
        <v>0</v>
      </c>
      <c r="E47" s="4">
        <f>SUMIFS('Marketing spend and leads'!$F$2:$F$337,'Marketing spend and leads'!$B$2:$B$337,"referral",'Marketing spend and leads'!$C$2:$C$337,"amer_west",'Marketing spend and leads'!$D$2:$D$337,"may25")</f>
        <v>0</v>
      </c>
      <c r="F47" s="4">
        <f>SUMIFS('Marketing spend and leads'!$F$2:$F$337,'Marketing spend and leads'!$B$2:$B$337,"referral",'Marketing spend and leads'!$C$2:$C$337,"amer_west",'Marketing spend and leads'!$D$2:$D$337,"jun25")</f>
        <v>0</v>
      </c>
      <c r="G47" s="4">
        <f>SUMIFS('Marketing spend and leads'!$F$2:$F$337,'Marketing spend and leads'!$B$2:$B$337,"referral",'Marketing spend and leads'!$C$2:$C$337,"amer_west",'Marketing spend and leads'!$D$2:$D$337,"jul25")</f>
        <v>0</v>
      </c>
      <c r="H47" s="4">
        <f>SUMIFS('Marketing spend and leads'!$F$2:$F$337,'Marketing spend and leads'!$B$2:$B$337,"referral",'Marketing spend and leads'!$C$2:$C$337,"amer_west",'Marketing spend and leads'!$D$2:$D$337,"aug25")</f>
        <v>0</v>
      </c>
      <c r="I47" s="4">
        <f>SUMIFS('Marketing spend and leads'!$F$2:$F$337,'Marketing spend and leads'!$B$2:$B$337,"referral",'Marketing spend and leads'!$C$2:$C$337,"amer_west",'Marketing spend and leads'!$D$2:$D$337,"sep25")</f>
        <v>0</v>
      </c>
      <c r="J47" s="4">
        <f>SUMIFS('Marketing spend and leads'!$F$2:$F$337,'Marketing spend and leads'!$B$2:$B$337,"referral",'Marketing spend and leads'!$C$2:$C$337,"amer_west",'Marketing spend and leads'!$D$2:$D$337,"oct25")</f>
        <v>0</v>
      </c>
      <c r="K47" s="4">
        <f>SUMIFS('Marketing spend and leads'!$F$2:$F$337,'Marketing spend and leads'!$B$2:$B$337,"referral",'Marketing spend and leads'!$C$2:$C$337,"amer_west",'Marketing spend and leads'!$D$2:$D$337,"nov25")</f>
        <v>0</v>
      </c>
      <c r="L47" s="4">
        <f>SUMIFS('Marketing spend and leads'!$F$2:$F$337,'Marketing spend and leads'!$B$2:$B$337,"referral",'Marketing spend and leads'!$C$2:$C$337,"amer_west",'Marketing spend and leads'!$D$2:$D$337,"dec25")</f>
        <v>0</v>
      </c>
      <c r="M47" s="4">
        <f>SUMIFS('Marketing spend and leads'!$F$2:$F$337,'Marketing spend and leads'!$B$2:$B$337,"referral",'Marketing spend and leads'!$C$2:$C$337,"amer_west",'Marketing spend and leads'!$D$2:$D$337,"jan26")</f>
        <v>0</v>
      </c>
      <c r="N47" s="4">
        <f>SUMIFS('Marketing spend and leads'!$F$2:$F$337,'Marketing spend and leads'!$B$2:$B$337,"referral",'Marketing spend and leads'!$C$2:$C$337,"amer_west",'Marketing spend and leads'!$D$2:$D$337,"feb26")</f>
        <v>0</v>
      </c>
      <c r="O47" s="4">
        <f>SUMIFS('Marketing spend and leads'!$F$2:$F$337,'Marketing spend and leads'!$B$2:$B$337,"referral",'Marketing spend and leads'!$C$2:$C$337,"amer_west",'Marketing spend and leads'!$D$2:$D$337,"mar26")</f>
        <v>0</v>
      </c>
      <c r="P47" s="4">
        <f>SUMIFS('Marketing spend and leads'!$F$2:$F$337,'Marketing spend and leads'!$B$2:$B$337,"referral",'Marketing spend and leads'!$C$2:$C$337,"amer_west",'Marketing spend and leads'!$D$2:$D$337,"apr26")</f>
        <v>0</v>
      </c>
      <c r="Q47" s="4">
        <f>SUMIFS('Marketing spend and leads'!$F$2:$F$337,'Marketing spend and leads'!$B$2:$B$337,"referral",'Marketing spend and leads'!$C$2:$C$337,"amer_west",'Marketing spend and leads'!$D$2:$D$337,"may26")</f>
        <v>0</v>
      </c>
      <c r="R47" s="4">
        <f>SUMIFS('Marketing spend and leads'!$F$2:$F$337,'Marketing spend and leads'!$B$2:$B$337,"referral",'Marketing spend and leads'!$C$2:$C$337,"amer_west",'Marketing spend and leads'!$D$2:$D$337,"jun26")</f>
        <v>0</v>
      </c>
      <c r="S47" s="4">
        <f>SUMIFS('Marketing spend and leads'!$F$2:$F$337,'Marketing spend and leads'!$B$2:$B$337,"referral",'Marketing spend and leads'!$C$2:$C$337,"amer_west",'Marketing spend and leads'!$D$2:$D$337,"jul26")</f>
        <v>0</v>
      </c>
      <c r="T47" s="4">
        <f>SUMIFS('Marketing spend and leads'!$F$2:$F$337,'Marketing spend and leads'!$B$2:$B$337,"referral",'Marketing spend and leads'!$C$2:$C$337,"amer_west",'Marketing spend and leads'!$D$2:$D$337,"aug26")</f>
        <v>0</v>
      </c>
      <c r="U47" s="4">
        <f>SUMIFS('Marketing spend and leads'!$F$2:$F$337,'Marketing spend and leads'!$B$2:$B$337,"referral",'Marketing spend and leads'!$C$2:$C$337,"amer_west",'Marketing spend and leads'!$D$2:$D$337,"sep26")</f>
        <v>0</v>
      </c>
      <c r="V47" s="4">
        <f>SUMIFS('Marketing spend and leads'!$F$2:$F$337,'Marketing spend and leads'!$B$2:$B$337,"referral",'Marketing spend and leads'!$C$2:$C$337,"amer_west",'Marketing spend and leads'!$D$2:$D$337,"oct26")</f>
        <v>0</v>
      </c>
      <c r="W47" s="4">
        <f>SUMIFS('Marketing spend and leads'!$F$2:$F$337,'Marketing spend and leads'!$B$2:$B$337,"referral",'Marketing spend and leads'!$C$2:$C$337,"amer_west",'Marketing spend and leads'!$D$2:$D$337,"nov26")</f>
        <v>0</v>
      </c>
      <c r="X47" s="4">
        <f>SUMIFS('Marketing spend and leads'!$F$2:$F$337,'Marketing spend and leads'!$B$2:$B$337,"referral",'Marketing spend and leads'!$C$2:$C$337,"amer_west",'Marketing spend and leads'!$D$2:$D$337,"dec26")</f>
        <v>0</v>
      </c>
    </row>
    <row r="48">
      <c r="A48" s="0" t="inlineStr">
        <is>
          <t xml:space="preserve">Leads</t>
        </is>
      </c>
      <c r="B48" s="0" t="inlineStr">
        <is>
          <t xml:space="preserve">Customer referral</t>
        </is>
      </c>
      <c r="C48" s="0" t="inlineStr">
        <is>
          <t xml:space="preserve">EMEA</t>
        </is>
      </c>
      <c r="D48" s="4">
        <f>SUMIFS('Marketing spend and leads'!$F$2:$F$337,'Marketing spend and leads'!$B$2:$B$337,"referral",'Marketing spend and leads'!$C$2:$C$337,"emea",'Marketing spend and leads'!$D$2:$D$337,"apr25")</f>
        <v>0</v>
      </c>
      <c r="E48" s="4">
        <f>SUMIFS('Marketing spend and leads'!$F$2:$F$337,'Marketing spend and leads'!$B$2:$B$337,"referral",'Marketing spend and leads'!$C$2:$C$337,"emea",'Marketing spend and leads'!$D$2:$D$337,"may25")</f>
        <v>0</v>
      </c>
      <c r="F48" s="4">
        <f>SUMIFS('Marketing spend and leads'!$F$2:$F$337,'Marketing spend and leads'!$B$2:$B$337,"referral",'Marketing spend and leads'!$C$2:$C$337,"emea",'Marketing spend and leads'!$D$2:$D$337,"jun25")</f>
        <v>0</v>
      </c>
      <c r="G48" s="4">
        <f>SUMIFS('Marketing spend and leads'!$F$2:$F$337,'Marketing spend and leads'!$B$2:$B$337,"referral",'Marketing spend and leads'!$C$2:$C$337,"emea",'Marketing spend and leads'!$D$2:$D$337,"jul25")</f>
        <v>0</v>
      </c>
      <c r="H48" s="4">
        <f>SUMIFS('Marketing spend and leads'!$F$2:$F$337,'Marketing spend and leads'!$B$2:$B$337,"referral",'Marketing spend and leads'!$C$2:$C$337,"emea",'Marketing spend and leads'!$D$2:$D$337,"aug25")</f>
        <v>0</v>
      </c>
      <c r="I48" s="4">
        <f>SUMIFS('Marketing spend and leads'!$F$2:$F$337,'Marketing spend and leads'!$B$2:$B$337,"referral",'Marketing spend and leads'!$C$2:$C$337,"emea",'Marketing spend and leads'!$D$2:$D$337,"sep25")</f>
        <v>0</v>
      </c>
      <c r="J48" s="4">
        <f>SUMIFS('Marketing spend and leads'!$F$2:$F$337,'Marketing spend and leads'!$B$2:$B$337,"referral",'Marketing spend and leads'!$C$2:$C$337,"emea",'Marketing spend and leads'!$D$2:$D$337,"oct25")</f>
        <v>0</v>
      </c>
      <c r="K48" s="4">
        <f>SUMIFS('Marketing spend and leads'!$F$2:$F$337,'Marketing spend and leads'!$B$2:$B$337,"referral",'Marketing spend and leads'!$C$2:$C$337,"emea",'Marketing spend and leads'!$D$2:$D$337,"nov25")</f>
        <v>0</v>
      </c>
      <c r="L48" s="4">
        <f>SUMIFS('Marketing spend and leads'!$F$2:$F$337,'Marketing spend and leads'!$B$2:$B$337,"referral",'Marketing spend and leads'!$C$2:$C$337,"emea",'Marketing spend and leads'!$D$2:$D$337,"dec25")</f>
        <v>0</v>
      </c>
      <c r="M48" s="4">
        <f>SUMIFS('Marketing spend and leads'!$F$2:$F$337,'Marketing spend and leads'!$B$2:$B$337,"referral",'Marketing spend and leads'!$C$2:$C$337,"emea",'Marketing spend and leads'!$D$2:$D$337,"jan26")</f>
        <v>0</v>
      </c>
      <c r="N48" s="4">
        <f>SUMIFS('Marketing spend and leads'!$F$2:$F$337,'Marketing spend and leads'!$B$2:$B$337,"referral",'Marketing spend and leads'!$C$2:$C$337,"emea",'Marketing spend and leads'!$D$2:$D$337,"feb26")</f>
        <v>0</v>
      </c>
      <c r="O48" s="4">
        <f>SUMIFS('Marketing spend and leads'!$F$2:$F$337,'Marketing spend and leads'!$B$2:$B$337,"referral",'Marketing spend and leads'!$C$2:$C$337,"emea",'Marketing spend and leads'!$D$2:$D$337,"mar26")</f>
        <v>0</v>
      </c>
      <c r="P48" s="4">
        <f>SUMIFS('Marketing spend and leads'!$F$2:$F$337,'Marketing spend and leads'!$B$2:$B$337,"referral",'Marketing spend and leads'!$C$2:$C$337,"emea",'Marketing spend and leads'!$D$2:$D$337,"apr26")</f>
        <v>0</v>
      </c>
      <c r="Q48" s="4">
        <f>SUMIFS('Marketing spend and leads'!$F$2:$F$337,'Marketing spend and leads'!$B$2:$B$337,"referral",'Marketing spend and leads'!$C$2:$C$337,"emea",'Marketing spend and leads'!$D$2:$D$337,"may26")</f>
        <v>0</v>
      </c>
      <c r="R48" s="4">
        <f>SUMIFS('Marketing spend and leads'!$F$2:$F$337,'Marketing spend and leads'!$B$2:$B$337,"referral",'Marketing spend and leads'!$C$2:$C$337,"emea",'Marketing spend and leads'!$D$2:$D$337,"jun26")</f>
        <v>0</v>
      </c>
      <c r="S48" s="4">
        <f>SUMIFS('Marketing spend and leads'!$F$2:$F$337,'Marketing spend and leads'!$B$2:$B$337,"referral",'Marketing spend and leads'!$C$2:$C$337,"emea",'Marketing spend and leads'!$D$2:$D$337,"jul26")</f>
        <v>0</v>
      </c>
      <c r="T48" s="4">
        <f>SUMIFS('Marketing spend and leads'!$F$2:$F$337,'Marketing spend and leads'!$B$2:$B$337,"referral",'Marketing spend and leads'!$C$2:$C$337,"emea",'Marketing spend and leads'!$D$2:$D$337,"aug26")</f>
        <v>0</v>
      </c>
      <c r="U48" s="4">
        <f>SUMIFS('Marketing spend and leads'!$F$2:$F$337,'Marketing spend and leads'!$B$2:$B$337,"referral",'Marketing spend and leads'!$C$2:$C$337,"emea",'Marketing spend and leads'!$D$2:$D$337,"sep26")</f>
        <v>0</v>
      </c>
      <c r="V48" s="4">
        <f>SUMIFS('Marketing spend and leads'!$F$2:$F$337,'Marketing spend and leads'!$B$2:$B$337,"referral",'Marketing spend and leads'!$C$2:$C$337,"emea",'Marketing spend and leads'!$D$2:$D$337,"oct26")</f>
        <v>0</v>
      </c>
      <c r="W48" s="4">
        <f>SUMIFS('Marketing spend and leads'!$F$2:$F$337,'Marketing spend and leads'!$B$2:$B$337,"referral",'Marketing spend and leads'!$C$2:$C$337,"emea",'Marketing spend and leads'!$D$2:$D$337,"nov26")</f>
        <v>0</v>
      </c>
      <c r="X48" s="4">
        <f>SUMIFS('Marketing spend and leads'!$F$2:$F$337,'Marketing spend and leads'!$B$2:$B$337,"referral",'Marketing spend and leads'!$C$2:$C$337,"emea",'Marketing spend and leads'!$D$2:$D$337,"dec26")</f>
        <v>0</v>
      </c>
    </row>
    <row r="49">
      <c r="A49" s="0" t="inlineStr">
        <is>
          <t xml:space="preserve">Leads</t>
        </is>
      </c>
      <c r="B49" s="0" t="inlineStr">
        <is>
          <t xml:space="preserve">Customer referral</t>
        </is>
      </c>
      <c r="C49" s="0" t="inlineStr">
        <is>
          <t xml:space="preserve">APAC</t>
        </is>
      </c>
      <c r="D49" s="4">
        <f>SUMIFS('Marketing spend and leads'!$F$2:$F$337,'Marketing spend and leads'!$B$2:$B$337,"referral",'Marketing spend and leads'!$C$2:$C$337,"apac",'Marketing spend and leads'!$D$2:$D$337,"apr25")</f>
        <v>0</v>
      </c>
      <c r="E49" s="4">
        <f>SUMIFS('Marketing spend and leads'!$F$2:$F$337,'Marketing spend and leads'!$B$2:$B$337,"referral",'Marketing spend and leads'!$C$2:$C$337,"apac",'Marketing spend and leads'!$D$2:$D$337,"may25")</f>
        <v>0</v>
      </c>
      <c r="F49" s="4">
        <f>SUMIFS('Marketing spend and leads'!$F$2:$F$337,'Marketing spend and leads'!$B$2:$B$337,"referral",'Marketing spend and leads'!$C$2:$C$337,"apac",'Marketing spend and leads'!$D$2:$D$337,"jun25")</f>
        <v>0</v>
      </c>
      <c r="G49" s="4">
        <f>SUMIFS('Marketing spend and leads'!$F$2:$F$337,'Marketing spend and leads'!$B$2:$B$337,"referral",'Marketing spend and leads'!$C$2:$C$337,"apac",'Marketing spend and leads'!$D$2:$D$337,"jul25")</f>
        <v>0</v>
      </c>
      <c r="H49" s="4">
        <f>SUMIFS('Marketing spend and leads'!$F$2:$F$337,'Marketing spend and leads'!$B$2:$B$337,"referral",'Marketing spend and leads'!$C$2:$C$337,"apac",'Marketing spend and leads'!$D$2:$D$337,"aug25")</f>
        <v>0</v>
      </c>
      <c r="I49" s="4">
        <f>SUMIFS('Marketing spend and leads'!$F$2:$F$337,'Marketing spend and leads'!$B$2:$B$337,"referral",'Marketing spend and leads'!$C$2:$C$337,"apac",'Marketing spend and leads'!$D$2:$D$337,"sep25")</f>
        <v>0</v>
      </c>
      <c r="J49" s="4">
        <f>SUMIFS('Marketing spend and leads'!$F$2:$F$337,'Marketing spend and leads'!$B$2:$B$337,"referral",'Marketing spend and leads'!$C$2:$C$337,"apac",'Marketing spend and leads'!$D$2:$D$337,"oct25")</f>
        <v>0</v>
      </c>
      <c r="K49" s="4">
        <f>SUMIFS('Marketing spend and leads'!$F$2:$F$337,'Marketing spend and leads'!$B$2:$B$337,"referral",'Marketing spend and leads'!$C$2:$C$337,"apac",'Marketing spend and leads'!$D$2:$D$337,"nov25")</f>
        <v>0</v>
      </c>
      <c r="L49" s="4">
        <f>SUMIFS('Marketing spend and leads'!$F$2:$F$337,'Marketing spend and leads'!$B$2:$B$337,"referral",'Marketing spend and leads'!$C$2:$C$337,"apac",'Marketing spend and leads'!$D$2:$D$337,"dec25")</f>
        <v>0</v>
      </c>
      <c r="M49" s="4">
        <f>SUMIFS('Marketing spend and leads'!$F$2:$F$337,'Marketing spend and leads'!$B$2:$B$337,"referral",'Marketing spend and leads'!$C$2:$C$337,"apac",'Marketing spend and leads'!$D$2:$D$337,"jan26")</f>
        <v>0</v>
      </c>
      <c r="N49" s="4">
        <f>SUMIFS('Marketing spend and leads'!$F$2:$F$337,'Marketing spend and leads'!$B$2:$B$337,"referral",'Marketing spend and leads'!$C$2:$C$337,"apac",'Marketing spend and leads'!$D$2:$D$337,"feb26")</f>
        <v>0</v>
      </c>
      <c r="O49" s="4">
        <f>SUMIFS('Marketing spend and leads'!$F$2:$F$337,'Marketing spend and leads'!$B$2:$B$337,"referral",'Marketing spend and leads'!$C$2:$C$337,"apac",'Marketing spend and leads'!$D$2:$D$337,"mar26")</f>
        <v>0</v>
      </c>
      <c r="P49" s="4">
        <f>SUMIFS('Marketing spend and leads'!$F$2:$F$337,'Marketing spend and leads'!$B$2:$B$337,"referral",'Marketing spend and leads'!$C$2:$C$337,"apac",'Marketing spend and leads'!$D$2:$D$337,"apr26")</f>
        <v>0</v>
      </c>
      <c r="Q49" s="4">
        <f>SUMIFS('Marketing spend and leads'!$F$2:$F$337,'Marketing spend and leads'!$B$2:$B$337,"referral",'Marketing spend and leads'!$C$2:$C$337,"apac",'Marketing spend and leads'!$D$2:$D$337,"may26")</f>
        <v>0</v>
      </c>
      <c r="R49" s="4">
        <f>SUMIFS('Marketing spend and leads'!$F$2:$F$337,'Marketing spend and leads'!$B$2:$B$337,"referral",'Marketing spend and leads'!$C$2:$C$337,"apac",'Marketing spend and leads'!$D$2:$D$337,"jun26")</f>
        <v>0</v>
      </c>
      <c r="S49" s="4">
        <f>SUMIFS('Marketing spend and leads'!$F$2:$F$337,'Marketing spend and leads'!$B$2:$B$337,"referral",'Marketing spend and leads'!$C$2:$C$337,"apac",'Marketing spend and leads'!$D$2:$D$337,"jul26")</f>
        <v>0</v>
      </c>
      <c r="T49" s="4">
        <f>SUMIFS('Marketing spend and leads'!$F$2:$F$337,'Marketing spend and leads'!$B$2:$B$337,"referral",'Marketing spend and leads'!$C$2:$C$337,"apac",'Marketing spend and leads'!$D$2:$D$337,"aug26")</f>
        <v>0</v>
      </c>
      <c r="U49" s="4">
        <f>SUMIFS('Marketing spend and leads'!$F$2:$F$337,'Marketing spend and leads'!$B$2:$B$337,"referral",'Marketing spend and leads'!$C$2:$C$337,"apac",'Marketing spend and leads'!$D$2:$D$337,"sep26")</f>
        <v>0</v>
      </c>
      <c r="V49" s="4">
        <f>SUMIFS('Marketing spend and leads'!$F$2:$F$337,'Marketing spend and leads'!$B$2:$B$337,"referral",'Marketing spend and leads'!$C$2:$C$337,"apac",'Marketing spend and leads'!$D$2:$D$337,"oct26")</f>
        <v>0</v>
      </c>
      <c r="W49" s="4">
        <f>SUMIFS('Marketing spend and leads'!$F$2:$F$337,'Marketing spend and leads'!$B$2:$B$337,"referral",'Marketing spend and leads'!$C$2:$C$337,"apac",'Marketing spend and leads'!$D$2:$D$337,"nov26")</f>
        <v>0</v>
      </c>
      <c r="X49" s="4">
        <f>SUMIFS('Marketing spend and leads'!$F$2:$F$337,'Marketing spend and leads'!$B$2:$B$337,"referral",'Marketing spend and leads'!$C$2:$C$337,"apac",'Marketing spend and leads'!$D$2:$D$337,"dec26")</f>
        <v>0</v>
      </c>
    </row>
    <row r="50">
      <c r="A50" s="0" t="inlineStr">
        <is>
          <t xml:space="preserve">MQLs</t>
        </is>
      </c>
      <c r="B50" s="0" t="inlineStr">
        <is>
          <t xml:space="preserve">Inbound (web &amp; content)</t>
        </is>
      </c>
      <c r="C50" s="0" t="inlineStr">
        <is>
          <t xml:space="preserve">AMER East</t>
        </is>
      </c>
      <c r="D50" s="4">
        <f>SUMIFS('Marketing spend and leads'!$G$2:$G$337,'Marketing spend and leads'!$B$2:$B$337,"inbound",'Marketing spend and leads'!$C$2:$C$337,"amer_east",'Marketing spend and leads'!$D$2:$D$337,"apr25")</f>
        <v>43</v>
      </c>
      <c r="E50" s="4">
        <f>SUMIFS('Marketing spend and leads'!$G$2:$G$337,'Marketing spend and leads'!$B$2:$B$337,"inbound",'Marketing spend and leads'!$C$2:$C$337,"amer_east",'Marketing spend and leads'!$D$2:$D$337,"may25")</f>
        <v>53</v>
      </c>
      <c r="F50" s="4">
        <f>SUMIFS('Marketing spend and leads'!$G$2:$G$337,'Marketing spend and leads'!$B$2:$B$337,"inbound",'Marketing spend and leads'!$C$2:$C$337,"amer_east",'Marketing spend and leads'!$D$2:$D$337,"jun25")</f>
        <v>69</v>
      </c>
      <c r="G50" s="4">
        <f>SUMIFS('Marketing spend and leads'!$G$2:$G$337,'Marketing spend and leads'!$B$2:$B$337,"inbound",'Marketing spend and leads'!$C$2:$C$337,"amer_east",'Marketing spend and leads'!$D$2:$D$337,"jul25")</f>
        <v>64</v>
      </c>
      <c r="H50" s="4">
        <f>SUMIFS('Marketing spend and leads'!$G$2:$G$337,'Marketing spend and leads'!$B$2:$B$337,"inbound",'Marketing spend and leads'!$C$2:$C$337,"amer_east",'Marketing spend and leads'!$D$2:$D$337,"aug25")</f>
        <v>48</v>
      </c>
      <c r="I50" s="4">
        <f>SUMIFS('Marketing spend and leads'!$G$2:$G$337,'Marketing spend and leads'!$B$2:$B$337,"inbound",'Marketing spend and leads'!$C$2:$C$337,"amer_east",'Marketing spend and leads'!$D$2:$D$337,"sep25")</f>
        <v>55</v>
      </c>
      <c r="J50" s="4">
        <f>SUMIFS('Marketing spend and leads'!$G$2:$G$337,'Marketing spend and leads'!$B$2:$B$337,"inbound",'Marketing spend and leads'!$C$2:$C$337,"amer_east",'Marketing spend and leads'!$D$2:$D$337,"oct25")</f>
        <v>51</v>
      </c>
      <c r="K50" s="4">
        <f>SUMIFS('Marketing spend and leads'!$G$2:$G$337,'Marketing spend and leads'!$B$2:$B$337,"inbound",'Marketing spend and leads'!$C$2:$C$337,"amer_east",'Marketing spend and leads'!$D$2:$D$337,"nov25")</f>
        <v>46</v>
      </c>
      <c r="L50" s="4">
        <f>SUMIFS('Marketing spend and leads'!$G$2:$G$337,'Marketing spend and leads'!$B$2:$B$337,"inbound",'Marketing spend and leads'!$C$2:$C$337,"amer_east",'Marketing spend and leads'!$D$2:$D$337,"dec25")</f>
        <v>50</v>
      </c>
      <c r="M50" s="4">
        <f>SUMIFS('Marketing spend and leads'!$G$2:$G$337,'Marketing spend and leads'!$B$2:$B$337,"inbound",'Marketing spend and leads'!$C$2:$C$337,"amer_east",'Marketing spend and leads'!$D$2:$D$337,"jan26")</f>
        <v>43</v>
      </c>
      <c r="N50" s="4">
        <f>SUMIFS('Marketing spend and leads'!$G$2:$G$337,'Marketing spend and leads'!$B$2:$B$337,"inbound",'Marketing spend and leads'!$C$2:$C$337,"amer_east",'Marketing spend and leads'!$D$2:$D$337,"feb26")</f>
        <v>48</v>
      </c>
      <c r="O50" s="4">
        <f>SUMIFS('Marketing spend and leads'!$G$2:$G$337,'Marketing spend and leads'!$B$2:$B$337,"inbound",'Marketing spend and leads'!$C$2:$C$337,"amer_east",'Marketing spend and leads'!$D$2:$D$337,"mar26")</f>
        <v>66</v>
      </c>
      <c r="P50" s="4">
        <f>SUMIFS('Marketing spend and leads'!$G$2:$G$337,'Marketing spend and leads'!$B$2:$B$337,"inbound",'Marketing spend and leads'!$C$2:$C$337,"amer_east",'Marketing spend and leads'!$D$2:$D$337,"apr26")</f>
        <v>76</v>
      </c>
      <c r="Q50" s="4">
        <f>SUMIFS('Marketing spend and leads'!$G$2:$G$337,'Marketing spend and leads'!$B$2:$B$337,"inbound",'Marketing spend and leads'!$C$2:$C$337,"amer_east",'Marketing spend and leads'!$D$2:$D$337,"may26")</f>
        <v>70</v>
      </c>
      <c r="R50" s="4">
        <f>SUMIFS('Marketing spend and leads'!$G$2:$G$337,'Marketing spend and leads'!$B$2:$B$337,"inbound",'Marketing spend and leads'!$C$2:$C$337,"amer_east",'Marketing spend and leads'!$D$2:$D$337,"jun26")</f>
        <v>60</v>
      </c>
      <c r="S50" s="4">
        <f>SUMIFS('Marketing spend and leads'!$G$2:$G$337,'Marketing spend and leads'!$B$2:$B$337,"inbound",'Marketing spend and leads'!$C$2:$C$337,"amer_east",'Marketing spend and leads'!$D$2:$D$337,"jul26")</f>
        <v>48</v>
      </c>
      <c r="T50" s="4">
        <f>SUMIFS('Marketing spend and leads'!$G$2:$G$337,'Marketing spend and leads'!$B$2:$B$337,"inbound",'Marketing spend and leads'!$C$2:$C$337,"amer_east",'Marketing spend and leads'!$D$2:$D$337,"aug26")</f>
        <v>48</v>
      </c>
      <c r="U50" s="4">
        <f>SUMIFS('Marketing spend and leads'!$G$2:$G$337,'Marketing spend and leads'!$B$2:$B$337,"inbound",'Marketing spend and leads'!$C$2:$C$337,"amer_east",'Marketing spend and leads'!$D$2:$D$337,"sep26")</f>
        <v>71</v>
      </c>
      <c r="V50" s="4">
        <f>SUMIFS('Marketing spend and leads'!$G$2:$G$337,'Marketing spend and leads'!$B$2:$B$337,"inbound",'Marketing spend and leads'!$C$2:$C$337,"amer_east",'Marketing spend and leads'!$D$2:$D$337,"oct26")</f>
        <v>52</v>
      </c>
      <c r="W50" s="4">
        <f>SUMIFS('Marketing spend and leads'!$G$2:$G$337,'Marketing spend and leads'!$B$2:$B$337,"inbound",'Marketing spend and leads'!$C$2:$C$337,"amer_east",'Marketing spend and leads'!$D$2:$D$337,"nov26")</f>
        <v>53</v>
      </c>
      <c r="X50" s="4">
        <f>SUMIFS('Marketing spend and leads'!$G$2:$G$337,'Marketing spend and leads'!$B$2:$B$337,"inbound",'Marketing spend and leads'!$C$2:$C$337,"amer_east",'Marketing spend and leads'!$D$2:$D$337,"dec26")</f>
        <v>48</v>
      </c>
    </row>
    <row r="51">
      <c r="A51" s="0" t="inlineStr">
        <is>
          <t xml:space="preserve">MQLs</t>
        </is>
      </c>
      <c r="B51" s="0" t="inlineStr">
        <is>
          <t xml:space="preserve">Inbound (web &amp; content)</t>
        </is>
      </c>
      <c r="C51" s="0" t="inlineStr">
        <is>
          <t xml:space="preserve">AMER West</t>
        </is>
      </c>
      <c r="D51" s="4">
        <f>SUMIFS('Marketing spend and leads'!$G$2:$G$337,'Marketing spend and leads'!$B$2:$B$337,"inbound",'Marketing spend and leads'!$C$2:$C$337,"amer_west",'Marketing spend and leads'!$D$2:$D$337,"apr25")</f>
        <v>46</v>
      </c>
      <c r="E51" s="4">
        <f>SUMIFS('Marketing spend and leads'!$G$2:$G$337,'Marketing spend and leads'!$B$2:$B$337,"inbound",'Marketing spend and leads'!$C$2:$C$337,"amer_west",'Marketing spend and leads'!$D$2:$D$337,"may25")</f>
        <v>38</v>
      </c>
      <c r="F51" s="4">
        <f>SUMIFS('Marketing spend and leads'!$G$2:$G$337,'Marketing spend and leads'!$B$2:$B$337,"inbound",'Marketing spend and leads'!$C$2:$C$337,"amer_west",'Marketing spend and leads'!$D$2:$D$337,"jun25")</f>
        <v>49</v>
      </c>
      <c r="G51" s="4">
        <f>SUMIFS('Marketing spend and leads'!$G$2:$G$337,'Marketing spend and leads'!$B$2:$B$337,"inbound",'Marketing spend and leads'!$C$2:$C$337,"amer_west",'Marketing spend and leads'!$D$2:$D$337,"jul25")</f>
        <v>53</v>
      </c>
      <c r="H51" s="4">
        <f>SUMIFS('Marketing spend and leads'!$G$2:$G$337,'Marketing spend and leads'!$B$2:$B$337,"inbound",'Marketing spend and leads'!$C$2:$C$337,"amer_west",'Marketing spend and leads'!$D$2:$D$337,"aug25")</f>
        <v>49</v>
      </c>
      <c r="I51" s="4">
        <f>SUMIFS('Marketing spend and leads'!$G$2:$G$337,'Marketing spend and leads'!$B$2:$B$337,"inbound",'Marketing spend and leads'!$C$2:$C$337,"amer_west",'Marketing spend and leads'!$D$2:$D$337,"sep25")</f>
        <v>34</v>
      </c>
      <c r="J51" s="4">
        <f>SUMIFS('Marketing spend and leads'!$G$2:$G$337,'Marketing spend and leads'!$B$2:$B$337,"inbound",'Marketing spend and leads'!$C$2:$C$337,"amer_west",'Marketing spend and leads'!$D$2:$D$337,"oct25")</f>
        <v>38</v>
      </c>
      <c r="K51" s="4">
        <f>SUMIFS('Marketing spend and leads'!$G$2:$G$337,'Marketing spend and leads'!$B$2:$B$337,"inbound",'Marketing spend and leads'!$C$2:$C$337,"amer_west",'Marketing spend and leads'!$D$2:$D$337,"nov25")</f>
        <v>38</v>
      </c>
      <c r="L51" s="4">
        <f>SUMIFS('Marketing spend and leads'!$G$2:$G$337,'Marketing spend and leads'!$B$2:$B$337,"inbound",'Marketing spend and leads'!$C$2:$C$337,"amer_west",'Marketing spend and leads'!$D$2:$D$337,"dec25")</f>
        <v>64</v>
      </c>
      <c r="M51" s="4">
        <f>SUMIFS('Marketing spend and leads'!$G$2:$G$337,'Marketing spend and leads'!$B$2:$B$337,"inbound",'Marketing spend and leads'!$C$2:$C$337,"amer_west",'Marketing spend and leads'!$D$2:$D$337,"jan26")</f>
        <v>34</v>
      </c>
      <c r="N51" s="4">
        <f>SUMIFS('Marketing spend and leads'!$G$2:$G$337,'Marketing spend and leads'!$B$2:$B$337,"inbound",'Marketing spend and leads'!$C$2:$C$337,"amer_west",'Marketing spend and leads'!$D$2:$D$337,"feb26")</f>
        <v>49</v>
      </c>
      <c r="O51" s="4">
        <f>SUMIFS('Marketing spend and leads'!$G$2:$G$337,'Marketing spend and leads'!$B$2:$B$337,"inbound",'Marketing spend and leads'!$C$2:$C$337,"amer_west",'Marketing spend and leads'!$D$2:$D$337,"mar26")</f>
        <v>52</v>
      </c>
      <c r="P51" s="4">
        <f>SUMIFS('Marketing spend and leads'!$G$2:$G$337,'Marketing spend and leads'!$B$2:$B$337,"inbound",'Marketing spend and leads'!$C$2:$C$337,"amer_west",'Marketing spend and leads'!$D$2:$D$337,"apr26")</f>
        <v>68</v>
      </c>
      <c r="Q51" s="4">
        <f>SUMIFS('Marketing spend and leads'!$G$2:$G$337,'Marketing spend and leads'!$B$2:$B$337,"inbound",'Marketing spend and leads'!$C$2:$C$337,"amer_west",'Marketing spend and leads'!$D$2:$D$337,"may26")</f>
        <v>51</v>
      </c>
      <c r="R51" s="4">
        <f>SUMIFS('Marketing spend and leads'!$G$2:$G$337,'Marketing spend and leads'!$B$2:$B$337,"inbound",'Marketing spend and leads'!$C$2:$C$337,"amer_west",'Marketing spend and leads'!$D$2:$D$337,"jun26")</f>
        <v>50</v>
      </c>
      <c r="S51" s="4">
        <f>SUMIFS('Marketing spend and leads'!$G$2:$G$337,'Marketing spend and leads'!$B$2:$B$337,"inbound",'Marketing spend and leads'!$C$2:$C$337,"amer_west",'Marketing spend and leads'!$D$2:$D$337,"jul26")</f>
        <v>69</v>
      </c>
      <c r="T51" s="4">
        <f>SUMIFS('Marketing spend and leads'!$G$2:$G$337,'Marketing spend and leads'!$B$2:$B$337,"inbound",'Marketing spend and leads'!$C$2:$C$337,"amer_west",'Marketing spend and leads'!$D$2:$D$337,"aug26")</f>
        <v>44</v>
      </c>
      <c r="U51" s="4">
        <f>SUMIFS('Marketing spend and leads'!$G$2:$G$337,'Marketing spend and leads'!$B$2:$B$337,"inbound",'Marketing spend and leads'!$C$2:$C$337,"amer_west",'Marketing spend and leads'!$D$2:$D$337,"sep26")</f>
        <v>49</v>
      </c>
      <c r="V51" s="4">
        <f>SUMIFS('Marketing spend and leads'!$G$2:$G$337,'Marketing spend and leads'!$B$2:$B$337,"inbound",'Marketing spend and leads'!$C$2:$C$337,"amer_west",'Marketing spend and leads'!$D$2:$D$337,"oct26")</f>
        <v>34</v>
      </c>
      <c r="W51" s="4">
        <f>SUMIFS('Marketing spend and leads'!$G$2:$G$337,'Marketing spend and leads'!$B$2:$B$337,"inbound",'Marketing spend and leads'!$C$2:$C$337,"amer_west",'Marketing spend and leads'!$D$2:$D$337,"nov26")</f>
        <v>28</v>
      </c>
      <c r="X51" s="4">
        <f>SUMIFS('Marketing spend and leads'!$G$2:$G$337,'Marketing spend and leads'!$B$2:$B$337,"inbound",'Marketing spend and leads'!$C$2:$C$337,"amer_west",'Marketing spend and leads'!$D$2:$D$337,"dec26")</f>
        <v>63</v>
      </c>
    </row>
    <row r="52">
      <c r="A52" s="0" t="inlineStr">
        <is>
          <t xml:space="preserve">MQLs</t>
        </is>
      </c>
      <c r="B52" s="0" t="inlineStr">
        <is>
          <t xml:space="preserve">Inbound (web &amp; content)</t>
        </is>
      </c>
      <c r="C52" s="0" t="inlineStr">
        <is>
          <t xml:space="preserve">EMEA</t>
        </is>
      </c>
      <c r="D52" s="4">
        <f>SUMIFS('Marketing spend and leads'!$G$2:$G$337,'Marketing spend and leads'!$B$2:$B$337,"inbound",'Marketing spend and leads'!$C$2:$C$337,"emea",'Marketing spend and leads'!$D$2:$D$337,"apr25")</f>
        <v>34</v>
      </c>
      <c r="E52" s="4">
        <f>SUMIFS('Marketing spend and leads'!$G$2:$G$337,'Marketing spend and leads'!$B$2:$B$337,"inbound",'Marketing spend and leads'!$C$2:$C$337,"emea",'Marketing spend and leads'!$D$2:$D$337,"may25")</f>
        <v>64</v>
      </c>
      <c r="F52" s="4">
        <f>SUMIFS('Marketing spend and leads'!$G$2:$G$337,'Marketing spend and leads'!$B$2:$B$337,"inbound",'Marketing spend and leads'!$C$2:$C$337,"emea",'Marketing spend and leads'!$D$2:$D$337,"jun25")</f>
        <v>49</v>
      </c>
      <c r="G52" s="4">
        <f>SUMIFS('Marketing spend and leads'!$G$2:$G$337,'Marketing spend and leads'!$B$2:$B$337,"inbound",'Marketing spend and leads'!$C$2:$C$337,"emea",'Marketing spend and leads'!$D$2:$D$337,"jul25")</f>
        <v>37</v>
      </c>
      <c r="H52" s="4">
        <f>SUMIFS('Marketing spend and leads'!$G$2:$G$337,'Marketing spend and leads'!$B$2:$B$337,"inbound",'Marketing spend and leads'!$C$2:$C$337,"emea",'Marketing spend and leads'!$D$2:$D$337,"aug25")</f>
        <v>24</v>
      </c>
      <c r="I52" s="4">
        <f>SUMIFS('Marketing spend and leads'!$G$2:$G$337,'Marketing spend and leads'!$B$2:$B$337,"inbound",'Marketing spend and leads'!$C$2:$C$337,"emea",'Marketing spend and leads'!$D$2:$D$337,"sep25")</f>
        <v>43</v>
      </c>
      <c r="J52" s="4">
        <f>SUMIFS('Marketing spend and leads'!$G$2:$G$337,'Marketing spend and leads'!$B$2:$B$337,"inbound",'Marketing spend and leads'!$C$2:$C$337,"emea",'Marketing spend and leads'!$D$2:$D$337,"oct25")</f>
        <v>38</v>
      </c>
      <c r="K52" s="4">
        <f>SUMIFS('Marketing spend and leads'!$G$2:$G$337,'Marketing spend and leads'!$B$2:$B$337,"inbound",'Marketing spend and leads'!$C$2:$C$337,"emea",'Marketing spend and leads'!$D$2:$D$337,"nov25")</f>
        <v>35</v>
      </c>
      <c r="L52" s="4">
        <f>SUMIFS('Marketing spend and leads'!$G$2:$G$337,'Marketing spend and leads'!$B$2:$B$337,"inbound",'Marketing spend and leads'!$C$2:$C$337,"emea",'Marketing spend and leads'!$D$2:$D$337,"dec25")</f>
        <v>62</v>
      </c>
      <c r="M52" s="4">
        <f>SUMIFS('Marketing spend and leads'!$G$2:$G$337,'Marketing spend and leads'!$B$2:$B$337,"inbound",'Marketing spend and leads'!$C$2:$C$337,"emea",'Marketing spend and leads'!$D$2:$D$337,"jan26")</f>
        <v>61</v>
      </c>
      <c r="N52" s="4">
        <f>SUMIFS('Marketing spend and leads'!$G$2:$G$337,'Marketing spend and leads'!$B$2:$B$337,"inbound",'Marketing spend and leads'!$C$2:$C$337,"emea",'Marketing spend and leads'!$D$2:$D$337,"feb26")</f>
        <v>39</v>
      </c>
      <c r="O52" s="4">
        <f>SUMIFS('Marketing spend and leads'!$G$2:$G$337,'Marketing spend and leads'!$B$2:$B$337,"inbound",'Marketing spend and leads'!$C$2:$C$337,"emea",'Marketing spend and leads'!$D$2:$D$337,"mar26")</f>
        <v>70</v>
      </c>
      <c r="P52" s="4">
        <f>SUMIFS('Marketing spend and leads'!$G$2:$G$337,'Marketing spend and leads'!$B$2:$B$337,"inbound",'Marketing spend and leads'!$C$2:$C$337,"emea",'Marketing spend and leads'!$D$2:$D$337,"apr26")</f>
        <v>51</v>
      </c>
      <c r="Q52" s="4">
        <f>SUMIFS('Marketing spend and leads'!$G$2:$G$337,'Marketing spend and leads'!$B$2:$B$337,"inbound",'Marketing spend and leads'!$C$2:$C$337,"emea",'Marketing spend and leads'!$D$2:$D$337,"may26")</f>
        <v>36</v>
      </c>
      <c r="R52" s="4">
        <f>SUMIFS('Marketing spend and leads'!$G$2:$G$337,'Marketing spend and leads'!$B$2:$B$337,"inbound",'Marketing spend and leads'!$C$2:$C$337,"emea",'Marketing spend and leads'!$D$2:$D$337,"jun26")</f>
        <v>57</v>
      </c>
      <c r="S52" s="4">
        <f>SUMIFS('Marketing spend and leads'!$G$2:$G$337,'Marketing spend and leads'!$B$2:$B$337,"inbound",'Marketing spend and leads'!$C$2:$C$337,"emea",'Marketing spend and leads'!$D$2:$D$337,"jul26")</f>
        <v>36</v>
      </c>
      <c r="T52" s="4">
        <f>SUMIFS('Marketing spend and leads'!$G$2:$G$337,'Marketing spend and leads'!$B$2:$B$337,"inbound",'Marketing spend and leads'!$C$2:$C$337,"emea",'Marketing spend and leads'!$D$2:$D$337,"aug26")</f>
        <v>37</v>
      </c>
      <c r="U52" s="4">
        <f>SUMIFS('Marketing spend and leads'!$G$2:$G$337,'Marketing spend and leads'!$B$2:$B$337,"inbound",'Marketing spend and leads'!$C$2:$C$337,"emea",'Marketing spend and leads'!$D$2:$D$337,"sep26")</f>
        <v>44</v>
      </c>
      <c r="V52" s="4">
        <f>SUMIFS('Marketing spend and leads'!$G$2:$G$337,'Marketing spend and leads'!$B$2:$B$337,"inbound",'Marketing spend and leads'!$C$2:$C$337,"emea",'Marketing spend and leads'!$D$2:$D$337,"oct26")</f>
        <v>42</v>
      </c>
      <c r="W52" s="4">
        <f>SUMIFS('Marketing spend and leads'!$G$2:$G$337,'Marketing spend and leads'!$B$2:$B$337,"inbound",'Marketing spend and leads'!$C$2:$C$337,"emea",'Marketing spend and leads'!$D$2:$D$337,"nov26")</f>
        <v>47</v>
      </c>
      <c r="X52" s="4">
        <f>SUMIFS('Marketing spend and leads'!$G$2:$G$337,'Marketing spend and leads'!$B$2:$B$337,"inbound",'Marketing spend and leads'!$C$2:$C$337,"emea",'Marketing spend and leads'!$D$2:$D$337,"dec26")</f>
        <v>42</v>
      </c>
    </row>
    <row r="53">
      <c r="A53" s="0" t="inlineStr">
        <is>
          <t xml:space="preserve">MQLs</t>
        </is>
      </c>
      <c r="B53" s="0" t="inlineStr">
        <is>
          <t xml:space="preserve">Inbound (web &amp; content)</t>
        </is>
      </c>
      <c r="C53" s="0" t="inlineStr">
        <is>
          <t xml:space="preserve">APAC</t>
        </is>
      </c>
      <c r="D53" s="4">
        <f>SUMIFS('Marketing spend and leads'!$G$2:$G$337,'Marketing spend and leads'!$B$2:$B$337,"inbound",'Marketing spend and leads'!$C$2:$C$337,"apac",'Marketing spend and leads'!$D$2:$D$337,"apr25")</f>
        <v>31</v>
      </c>
      <c r="E53" s="4">
        <f>SUMIFS('Marketing spend and leads'!$G$2:$G$337,'Marketing spend and leads'!$B$2:$B$337,"inbound",'Marketing spend and leads'!$C$2:$C$337,"apac",'Marketing spend and leads'!$D$2:$D$337,"may25")</f>
        <v>32</v>
      </c>
      <c r="F53" s="4">
        <f>SUMIFS('Marketing spend and leads'!$G$2:$G$337,'Marketing spend and leads'!$B$2:$B$337,"inbound",'Marketing spend and leads'!$C$2:$C$337,"apac",'Marketing spend and leads'!$D$2:$D$337,"jun25")</f>
        <v>35</v>
      </c>
      <c r="G53" s="4">
        <f>SUMIFS('Marketing spend and leads'!$G$2:$G$337,'Marketing spend and leads'!$B$2:$B$337,"inbound",'Marketing spend and leads'!$C$2:$C$337,"apac",'Marketing spend and leads'!$D$2:$D$337,"jul25")</f>
        <v>45</v>
      </c>
      <c r="H53" s="4">
        <f>SUMIFS('Marketing spend and leads'!$G$2:$G$337,'Marketing spend and leads'!$B$2:$B$337,"inbound",'Marketing spend and leads'!$C$2:$C$337,"apac",'Marketing spend and leads'!$D$2:$D$337,"aug25")</f>
        <v>27</v>
      </c>
      <c r="I53" s="4">
        <f>SUMIFS('Marketing spend and leads'!$G$2:$G$337,'Marketing spend and leads'!$B$2:$B$337,"inbound",'Marketing spend and leads'!$C$2:$C$337,"apac",'Marketing spend and leads'!$D$2:$D$337,"sep25")</f>
        <v>27</v>
      </c>
      <c r="J53" s="4">
        <f>SUMIFS('Marketing spend and leads'!$G$2:$G$337,'Marketing spend and leads'!$B$2:$B$337,"inbound",'Marketing spend and leads'!$C$2:$C$337,"apac",'Marketing spend and leads'!$D$2:$D$337,"oct25")</f>
        <v>25</v>
      </c>
      <c r="K53" s="4">
        <f>SUMIFS('Marketing spend and leads'!$G$2:$G$337,'Marketing spend and leads'!$B$2:$B$337,"inbound",'Marketing spend and leads'!$C$2:$C$337,"apac",'Marketing spend and leads'!$D$2:$D$337,"nov25")</f>
        <v>17</v>
      </c>
      <c r="L53" s="4">
        <f>SUMIFS('Marketing spend and leads'!$G$2:$G$337,'Marketing spend and leads'!$B$2:$B$337,"inbound",'Marketing spend and leads'!$C$2:$C$337,"apac",'Marketing spend and leads'!$D$2:$D$337,"dec25")</f>
        <v>21</v>
      </c>
      <c r="M53" s="4">
        <f>SUMIFS('Marketing spend and leads'!$G$2:$G$337,'Marketing spend and leads'!$B$2:$B$337,"inbound",'Marketing spend and leads'!$C$2:$C$337,"apac",'Marketing spend and leads'!$D$2:$D$337,"jan26")</f>
        <v>22</v>
      </c>
      <c r="N53" s="4">
        <f>SUMIFS('Marketing spend and leads'!$G$2:$G$337,'Marketing spend and leads'!$B$2:$B$337,"inbound",'Marketing spend and leads'!$C$2:$C$337,"apac",'Marketing spend and leads'!$D$2:$D$337,"feb26")</f>
        <v>30</v>
      </c>
      <c r="O53" s="4">
        <f>SUMIFS('Marketing spend and leads'!$G$2:$G$337,'Marketing spend and leads'!$B$2:$B$337,"inbound",'Marketing spend and leads'!$C$2:$C$337,"apac",'Marketing spend and leads'!$D$2:$D$337,"mar26")</f>
        <v>65</v>
      </c>
      <c r="P53" s="4">
        <f>SUMIFS('Marketing spend and leads'!$G$2:$G$337,'Marketing spend and leads'!$B$2:$B$337,"inbound",'Marketing spend and leads'!$C$2:$C$337,"apac",'Marketing spend and leads'!$D$2:$D$337,"apr26")</f>
        <v>23</v>
      </c>
      <c r="Q53" s="4">
        <f>SUMIFS('Marketing spend and leads'!$G$2:$G$337,'Marketing spend and leads'!$B$2:$B$337,"inbound",'Marketing spend and leads'!$C$2:$C$337,"apac",'Marketing spend and leads'!$D$2:$D$337,"may26")</f>
        <v>24</v>
      </c>
      <c r="R53" s="4">
        <f>SUMIFS('Marketing spend and leads'!$G$2:$G$337,'Marketing spend and leads'!$B$2:$B$337,"inbound",'Marketing spend and leads'!$C$2:$C$337,"apac",'Marketing spend and leads'!$D$2:$D$337,"jun26")</f>
        <v>29</v>
      </c>
      <c r="S53" s="4">
        <f>SUMIFS('Marketing spend and leads'!$G$2:$G$337,'Marketing spend and leads'!$B$2:$B$337,"inbound",'Marketing spend and leads'!$C$2:$C$337,"apac",'Marketing spend and leads'!$D$2:$D$337,"jul26")</f>
        <v>26</v>
      </c>
      <c r="T53" s="4">
        <f>SUMIFS('Marketing spend and leads'!$G$2:$G$337,'Marketing spend and leads'!$B$2:$B$337,"inbound",'Marketing spend and leads'!$C$2:$C$337,"apac",'Marketing spend and leads'!$D$2:$D$337,"aug26")</f>
        <v>33</v>
      </c>
      <c r="U53" s="4">
        <f>SUMIFS('Marketing spend and leads'!$G$2:$G$337,'Marketing spend and leads'!$B$2:$B$337,"inbound",'Marketing spend and leads'!$C$2:$C$337,"apac",'Marketing spend and leads'!$D$2:$D$337,"sep26")</f>
        <v>53</v>
      </c>
      <c r="V53" s="4">
        <f>SUMIFS('Marketing spend and leads'!$G$2:$G$337,'Marketing spend and leads'!$B$2:$B$337,"inbound",'Marketing spend and leads'!$C$2:$C$337,"apac",'Marketing spend and leads'!$D$2:$D$337,"oct26")</f>
        <v>21</v>
      </c>
      <c r="W53" s="4">
        <f>SUMIFS('Marketing spend and leads'!$G$2:$G$337,'Marketing spend and leads'!$B$2:$B$337,"inbound",'Marketing spend and leads'!$C$2:$C$337,"apac",'Marketing spend and leads'!$D$2:$D$337,"nov26")</f>
        <v>25</v>
      </c>
      <c r="X53" s="4">
        <f>SUMIFS('Marketing spend and leads'!$G$2:$G$337,'Marketing spend and leads'!$B$2:$B$337,"inbound",'Marketing spend and leads'!$C$2:$C$337,"apac",'Marketing spend and leads'!$D$2:$D$337,"dec26")</f>
        <v>32</v>
      </c>
    </row>
    <row r="54">
      <c r="A54" s="0" t="inlineStr">
        <is>
          <t xml:space="preserve">MQLs</t>
        </is>
      </c>
      <c r="B54" s="0" t="inlineStr">
        <is>
          <t xml:space="preserve">Paid digital</t>
        </is>
      </c>
      <c r="C54" s="0" t="inlineStr">
        <is>
          <t xml:space="preserve">AMER East</t>
        </is>
      </c>
      <c r="D54" s="4">
        <f>SUMIFS('Marketing spend and leads'!$G$2:$G$337,'Marketing spend and leads'!$B$2:$B$337,"paid",'Marketing spend and leads'!$C$2:$C$337,"amer_east",'Marketing spend and leads'!$D$2:$D$337,"apr25")</f>
        <v>43</v>
      </c>
      <c r="E54" s="4">
        <f>SUMIFS('Marketing spend and leads'!$G$2:$G$337,'Marketing spend and leads'!$B$2:$B$337,"paid",'Marketing spend and leads'!$C$2:$C$337,"amer_east",'Marketing spend and leads'!$D$2:$D$337,"may25")</f>
        <v>45</v>
      </c>
      <c r="F54" s="4">
        <f>SUMIFS('Marketing spend and leads'!$G$2:$G$337,'Marketing spend and leads'!$B$2:$B$337,"paid",'Marketing spend and leads'!$C$2:$C$337,"amer_east",'Marketing spend and leads'!$D$2:$D$337,"jun25")</f>
        <v>47</v>
      </c>
      <c r="G54" s="4">
        <f>SUMIFS('Marketing spend and leads'!$G$2:$G$337,'Marketing spend and leads'!$B$2:$B$337,"paid",'Marketing spend and leads'!$C$2:$C$337,"amer_east",'Marketing spend and leads'!$D$2:$D$337,"jul25")</f>
        <v>34</v>
      </c>
      <c r="H54" s="4">
        <f>SUMIFS('Marketing spend and leads'!$G$2:$G$337,'Marketing spend and leads'!$B$2:$B$337,"paid",'Marketing spend and leads'!$C$2:$C$337,"amer_east",'Marketing spend and leads'!$D$2:$D$337,"aug25")</f>
        <v>36</v>
      </c>
      <c r="I54" s="4">
        <f>SUMIFS('Marketing spend and leads'!$G$2:$G$337,'Marketing spend and leads'!$B$2:$B$337,"paid",'Marketing spend and leads'!$C$2:$C$337,"amer_east",'Marketing spend and leads'!$D$2:$D$337,"sep25")</f>
        <v>25</v>
      </c>
      <c r="J54" s="4">
        <f>SUMIFS('Marketing spend and leads'!$G$2:$G$337,'Marketing spend and leads'!$B$2:$B$337,"paid",'Marketing spend and leads'!$C$2:$C$337,"amer_east",'Marketing spend and leads'!$D$2:$D$337,"oct25")</f>
        <v>24</v>
      </c>
      <c r="K54" s="4">
        <f>SUMIFS('Marketing spend and leads'!$G$2:$G$337,'Marketing spend and leads'!$B$2:$B$337,"paid",'Marketing spend and leads'!$C$2:$C$337,"amer_east",'Marketing spend and leads'!$D$2:$D$337,"nov25")</f>
        <v>32</v>
      </c>
      <c r="L54" s="4">
        <f>SUMIFS('Marketing spend and leads'!$G$2:$G$337,'Marketing spend and leads'!$B$2:$B$337,"paid",'Marketing spend and leads'!$C$2:$C$337,"amer_east",'Marketing spend and leads'!$D$2:$D$337,"dec25")</f>
        <v>35</v>
      </c>
      <c r="M54" s="4">
        <f>SUMIFS('Marketing spend and leads'!$G$2:$G$337,'Marketing spend and leads'!$B$2:$B$337,"paid",'Marketing spend and leads'!$C$2:$C$337,"amer_east",'Marketing spend and leads'!$D$2:$D$337,"jan26")</f>
        <v>37</v>
      </c>
      <c r="N54" s="4">
        <f>SUMIFS('Marketing spend and leads'!$G$2:$G$337,'Marketing spend and leads'!$B$2:$B$337,"paid",'Marketing spend and leads'!$C$2:$C$337,"amer_east",'Marketing spend and leads'!$D$2:$D$337,"feb26")</f>
        <v>33</v>
      </c>
      <c r="O54" s="4">
        <f>SUMIFS('Marketing spend and leads'!$G$2:$G$337,'Marketing spend and leads'!$B$2:$B$337,"paid",'Marketing spend and leads'!$C$2:$C$337,"amer_east",'Marketing spend and leads'!$D$2:$D$337,"mar26")</f>
        <v>44</v>
      </c>
      <c r="P54" s="4">
        <f>SUMIFS('Marketing spend and leads'!$G$2:$G$337,'Marketing spend and leads'!$B$2:$B$337,"paid",'Marketing spend and leads'!$C$2:$C$337,"amer_east",'Marketing spend and leads'!$D$2:$D$337,"apr26")</f>
        <v>38</v>
      </c>
      <c r="Q54" s="4">
        <f>SUMIFS('Marketing spend and leads'!$G$2:$G$337,'Marketing spend and leads'!$B$2:$B$337,"paid",'Marketing spend and leads'!$C$2:$C$337,"amer_east",'Marketing spend and leads'!$D$2:$D$337,"may26")</f>
        <v>54</v>
      </c>
      <c r="R54" s="4">
        <f>SUMIFS('Marketing spend and leads'!$G$2:$G$337,'Marketing spend and leads'!$B$2:$B$337,"paid",'Marketing spend and leads'!$C$2:$C$337,"amer_east",'Marketing spend and leads'!$D$2:$D$337,"jun26")</f>
        <v>62</v>
      </c>
      <c r="S54" s="4">
        <f>SUMIFS('Marketing spend and leads'!$G$2:$G$337,'Marketing spend and leads'!$B$2:$B$337,"paid",'Marketing spend and leads'!$C$2:$C$337,"amer_east",'Marketing spend and leads'!$D$2:$D$337,"jul26")</f>
        <v>49</v>
      </c>
      <c r="T54" s="4">
        <f>SUMIFS('Marketing spend and leads'!$G$2:$G$337,'Marketing spend and leads'!$B$2:$B$337,"paid",'Marketing spend and leads'!$C$2:$C$337,"amer_east",'Marketing spend and leads'!$D$2:$D$337,"aug26")</f>
        <v>47</v>
      </c>
      <c r="U54" s="4">
        <f>SUMIFS('Marketing spend and leads'!$G$2:$G$337,'Marketing spend and leads'!$B$2:$B$337,"paid",'Marketing spend and leads'!$C$2:$C$337,"amer_east",'Marketing spend and leads'!$D$2:$D$337,"sep26")</f>
        <v>34</v>
      </c>
      <c r="V54" s="4">
        <f>SUMIFS('Marketing spend and leads'!$G$2:$G$337,'Marketing spend and leads'!$B$2:$B$337,"paid",'Marketing spend and leads'!$C$2:$C$337,"amer_east",'Marketing spend and leads'!$D$2:$D$337,"oct26")</f>
        <v>31</v>
      </c>
      <c r="W54" s="4">
        <f>SUMIFS('Marketing spend and leads'!$G$2:$G$337,'Marketing spend and leads'!$B$2:$B$337,"paid",'Marketing spend and leads'!$C$2:$C$337,"amer_east",'Marketing spend and leads'!$D$2:$D$337,"nov26")</f>
        <v>51</v>
      </c>
      <c r="X54" s="4">
        <f>SUMIFS('Marketing spend and leads'!$G$2:$G$337,'Marketing spend and leads'!$B$2:$B$337,"paid",'Marketing spend and leads'!$C$2:$C$337,"amer_east",'Marketing spend and leads'!$D$2:$D$337,"dec26")</f>
        <v>33</v>
      </c>
    </row>
    <row r="55">
      <c r="A55" s="0" t="inlineStr">
        <is>
          <t xml:space="preserve">MQLs</t>
        </is>
      </c>
      <c r="B55" s="0" t="inlineStr">
        <is>
          <t xml:space="preserve">Paid digital</t>
        </is>
      </c>
      <c r="C55" s="0" t="inlineStr">
        <is>
          <t xml:space="preserve">AMER West</t>
        </is>
      </c>
      <c r="D55" s="4">
        <f>SUMIFS('Marketing spend and leads'!$G$2:$G$337,'Marketing spend and leads'!$B$2:$B$337,"paid",'Marketing spend and leads'!$C$2:$C$337,"amer_west",'Marketing spend and leads'!$D$2:$D$337,"apr25")</f>
        <v>33</v>
      </c>
      <c r="E55" s="4">
        <f>SUMIFS('Marketing spend and leads'!$G$2:$G$337,'Marketing spend and leads'!$B$2:$B$337,"paid",'Marketing spend and leads'!$C$2:$C$337,"amer_west",'Marketing spend and leads'!$D$2:$D$337,"may25")</f>
        <v>21</v>
      </c>
      <c r="F55" s="4">
        <f>SUMIFS('Marketing spend and leads'!$G$2:$G$337,'Marketing spend and leads'!$B$2:$B$337,"paid",'Marketing spend and leads'!$C$2:$C$337,"amer_west",'Marketing spend and leads'!$D$2:$D$337,"jun25")</f>
        <v>36</v>
      </c>
      <c r="G55" s="4">
        <f>SUMIFS('Marketing spend and leads'!$G$2:$G$337,'Marketing spend and leads'!$B$2:$B$337,"paid",'Marketing spend and leads'!$C$2:$C$337,"amer_west",'Marketing spend and leads'!$D$2:$D$337,"jul25")</f>
        <v>16</v>
      </c>
      <c r="H55" s="4">
        <f>SUMIFS('Marketing spend and leads'!$G$2:$G$337,'Marketing spend and leads'!$B$2:$B$337,"paid",'Marketing spend and leads'!$C$2:$C$337,"amer_west",'Marketing spend and leads'!$D$2:$D$337,"aug25")</f>
        <v>31</v>
      </c>
      <c r="I55" s="4">
        <f>SUMIFS('Marketing spend and leads'!$G$2:$G$337,'Marketing spend and leads'!$B$2:$B$337,"paid",'Marketing spend and leads'!$C$2:$C$337,"amer_west",'Marketing spend and leads'!$D$2:$D$337,"sep25")</f>
        <v>26</v>
      </c>
      <c r="J55" s="4">
        <f>SUMIFS('Marketing spend and leads'!$G$2:$G$337,'Marketing spend and leads'!$B$2:$B$337,"paid",'Marketing spend and leads'!$C$2:$C$337,"amer_west",'Marketing spend and leads'!$D$2:$D$337,"oct25")</f>
        <v>25</v>
      </c>
      <c r="K55" s="4">
        <f>SUMIFS('Marketing spend and leads'!$G$2:$G$337,'Marketing spend and leads'!$B$2:$B$337,"paid",'Marketing spend and leads'!$C$2:$C$337,"amer_west",'Marketing spend and leads'!$D$2:$D$337,"nov25")</f>
        <v>19</v>
      </c>
      <c r="L55" s="4">
        <f>SUMIFS('Marketing spend and leads'!$G$2:$G$337,'Marketing spend and leads'!$B$2:$B$337,"paid",'Marketing spend and leads'!$C$2:$C$337,"amer_west",'Marketing spend and leads'!$D$2:$D$337,"dec25")</f>
        <v>36</v>
      </c>
      <c r="M55" s="4">
        <f>SUMIFS('Marketing spend and leads'!$G$2:$G$337,'Marketing spend and leads'!$B$2:$B$337,"paid",'Marketing spend and leads'!$C$2:$C$337,"amer_west",'Marketing spend and leads'!$D$2:$D$337,"jan26")</f>
        <v>18</v>
      </c>
      <c r="N55" s="4">
        <f>SUMIFS('Marketing spend and leads'!$G$2:$G$337,'Marketing spend and leads'!$B$2:$B$337,"paid",'Marketing spend and leads'!$C$2:$C$337,"amer_west",'Marketing spend and leads'!$D$2:$D$337,"feb26")</f>
        <v>23</v>
      </c>
      <c r="O55" s="4">
        <f>SUMIFS('Marketing spend and leads'!$G$2:$G$337,'Marketing spend and leads'!$B$2:$B$337,"paid",'Marketing spend and leads'!$C$2:$C$337,"amer_west",'Marketing spend and leads'!$D$2:$D$337,"mar26")</f>
        <v>37</v>
      </c>
      <c r="P55" s="4">
        <f>SUMIFS('Marketing spend and leads'!$G$2:$G$337,'Marketing spend and leads'!$B$2:$B$337,"paid",'Marketing spend and leads'!$C$2:$C$337,"amer_west",'Marketing spend and leads'!$D$2:$D$337,"apr26")</f>
        <v>33</v>
      </c>
      <c r="Q55" s="4">
        <f>SUMIFS('Marketing spend and leads'!$G$2:$G$337,'Marketing spend and leads'!$B$2:$B$337,"paid",'Marketing spend and leads'!$C$2:$C$337,"amer_west",'Marketing spend and leads'!$D$2:$D$337,"may26")</f>
        <v>30</v>
      </c>
      <c r="R55" s="4">
        <f>SUMIFS('Marketing spend and leads'!$G$2:$G$337,'Marketing spend and leads'!$B$2:$B$337,"paid",'Marketing spend and leads'!$C$2:$C$337,"amer_west",'Marketing spend and leads'!$D$2:$D$337,"jun26")</f>
        <v>47</v>
      </c>
      <c r="S55" s="4">
        <f>SUMIFS('Marketing spend and leads'!$G$2:$G$337,'Marketing spend and leads'!$B$2:$B$337,"paid",'Marketing spend and leads'!$C$2:$C$337,"amer_west",'Marketing spend and leads'!$D$2:$D$337,"jul26")</f>
        <v>38</v>
      </c>
      <c r="T55" s="4">
        <f>SUMIFS('Marketing spend and leads'!$G$2:$G$337,'Marketing spend and leads'!$B$2:$B$337,"paid",'Marketing spend and leads'!$C$2:$C$337,"amer_west",'Marketing spend and leads'!$D$2:$D$337,"aug26")</f>
        <v>26</v>
      </c>
      <c r="U55" s="4">
        <f>SUMIFS('Marketing spend and leads'!$G$2:$G$337,'Marketing spend and leads'!$B$2:$B$337,"paid",'Marketing spend and leads'!$C$2:$C$337,"amer_west",'Marketing spend and leads'!$D$2:$D$337,"sep26")</f>
        <v>44</v>
      </c>
      <c r="V55" s="4">
        <f>SUMIFS('Marketing spend and leads'!$G$2:$G$337,'Marketing spend and leads'!$B$2:$B$337,"paid",'Marketing spend and leads'!$C$2:$C$337,"amer_west",'Marketing spend and leads'!$D$2:$D$337,"oct26")</f>
        <v>29</v>
      </c>
      <c r="W55" s="4">
        <f>SUMIFS('Marketing spend and leads'!$G$2:$G$337,'Marketing spend and leads'!$B$2:$B$337,"paid",'Marketing spend and leads'!$C$2:$C$337,"amer_west",'Marketing spend and leads'!$D$2:$D$337,"nov26")</f>
        <v>29</v>
      </c>
      <c r="X55" s="4">
        <f>SUMIFS('Marketing spend and leads'!$G$2:$G$337,'Marketing spend and leads'!$B$2:$B$337,"paid",'Marketing spend and leads'!$C$2:$C$337,"amer_west",'Marketing spend and leads'!$D$2:$D$337,"dec26")</f>
        <v>46</v>
      </c>
    </row>
    <row r="56">
      <c r="A56" s="0" t="inlineStr">
        <is>
          <t xml:space="preserve">MQLs</t>
        </is>
      </c>
      <c r="B56" s="0" t="inlineStr">
        <is>
          <t xml:space="preserve">Paid digital</t>
        </is>
      </c>
      <c r="C56" s="0" t="inlineStr">
        <is>
          <t xml:space="preserve">EMEA</t>
        </is>
      </c>
      <c r="D56" s="4">
        <f>SUMIFS('Marketing spend and leads'!$G$2:$G$337,'Marketing spend and leads'!$B$2:$B$337,"paid",'Marketing spend and leads'!$C$2:$C$337,"emea",'Marketing spend and leads'!$D$2:$D$337,"apr25")</f>
        <v>41</v>
      </c>
      <c r="E56" s="4">
        <f>SUMIFS('Marketing spend and leads'!$G$2:$G$337,'Marketing spend and leads'!$B$2:$B$337,"paid",'Marketing spend and leads'!$C$2:$C$337,"emea",'Marketing spend and leads'!$D$2:$D$337,"may25")</f>
        <v>18</v>
      </c>
      <c r="F56" s="4">
        <f>SUMIFS('Marketing spend and leads'!$G$2:$G$337,'Marketing spend and leads'!$B$2:$B$337,"paid",'Marketing spend and leads'!$C$2:$C$337,"emea",'Marketing spend and leads'!$D$2:$D$337,"jun25")</f>
        <v>38</v>
      </c>
      <c r="G56" s="4">
        <f>SUMIFS('Marketing spend and leads'!$G$2:$G$337,'Marketing spend and leads'!$B$2:$B$337,"paid",'Marketing spend and leads'!$C$2:$C$337,"emea",'Marketing spend and leads'!$D$2:$D$337,"jul25")</f>
        <v>28</v>
      </c>
      <c r="H56" s="4">
        <f>SUMIFS('Marketing spend and leads'!$G$2:$G$337,'Marketing spend and leads'!$B$2:$B$337,"paid",'Marketing spend and leads'!$C$2:$C$337,"emea",'Marketing spend and leads'!$D$2:$D$337,"aug25")</f>
        <v>25</v>
      </c>
      <c r="I56" s="4">
        <f>SUMIFS('Marketing spend and leads'!$G$2:$G$337,'Marketing spend and leads'!$B$2:$B$337,"paid",'Marketing spend and leads'!$C$2:$C$337,"emea",'Marketing spend and leads'!$D$2:$D$337,"sep25")</f>
        <v>22</v>
      </c>
      <c r="J56" s="4">
        <f>SUMIFS('Marketing spend and leads'!$G$2:$G$337,'Marketing spend and leads'!$B$2:$B$337,"paid",'Marketing spend and leads'!$C$2:$C$337,"emea",'Marketing spend and leads'!$D$2:$D$337,"oct25")</f>
        <v>29</v>
      </c>
      <c r="K56" s="4">
        <f>SUMIFS('Marketing spend and leads'!$G$2:$G$337,'Marketing spend and leads'!$B$2:$B$337,"paid",'Marketing spend and leads'!$C$2:$C$337,"emea",'Marketing spend and leads'!$D$2:$D$337,"nov25")</f>
        <v>19</v>
      </c>
      <c r="L56" s="4">
        <f>SUMIFS('Marketing spend and leads'!$G$2:$G$337,'Marketing spend and leads'!$B$2:$B$337,"paid",'Marketing spend and leads'!$C$2:$C$337,"emea",'Marketing spend and leads'!$D$2:$D$337,"dec25")</f>
        <v>28</v>
      </c>
      <c r="M56" s="4">
        <f>SUMIFS('Marketing spend and leads'!$G$2:$G$337,'Marketing spend and leads'!$B$2:$B$337,"paid",'Marketing spend and leads'!$C$2:$C$337,"emea",'Marketing spend and leads'!$D$2:$D$337,"jan26")</f>
        <v>24</v>
      </c>
      <c r="N56" s="4">
        <f>SUMIFS('Marketing spend and leads'!$G$2:$G$337,'Marketing spend and leads'!$B$2:$B$337,"paid",'Marketing spend and leads'!$C$2:$C$337,"emea",'Marketing spend and leads'!$D$2:$D$337,"feb26")</f>
        <v>18</v>
      </c>
      <c r="O56" s="4">
        <f>SUMIFS('Marketing spend and leads'!$G$2:$G$337,'Marketing spend and leads'!$B$2:$B$337,"paid",'Marketing spend and leads'!$C$2:$C$337,"emea",'Marketing spend and leads'!$D$2:$D$337,"mar26")</f>
        <v>22</v>
      </c>
      <c r="P56" s="4">
        <f>SUMIFS('Marketing spend and leads'!$G$2:$G$337,'Marketing spend and leads'!$B$2:$B$337,"paid",'Marketing spend and leads'!$C$2:$C$337,"emea",'Marketing spend and leads'!$D$2:$D$337,"apr26")</f>
        <v>26</v>
      </c>
      <c r="Q56" s="4">
        <f>SUMIFS('Marketing spend and leads'!$G$2:$G$337,'Marketing spend and leads'!$B$2:$B$337,"paid",'Marketing spend and leads'!$C$2:$C$337,"emea",'Marketing spend and leads'!$D$2:$D$337,"may26")</f>
        <v>28</v>
      </c>
      <c r="R56" s="4">
        <f>SUMIFS('Marketing spend and leads'!$G$2:$G$337,'Marketing spend and leads'!$B$2:$B$337,"paid",'Marketing spend and leads'!$C$2:$C$337,"emea",'Marketing spend and leads'!$D$2:$D$337,"jun26")</f>
        <v>32</v>
      </c>
      <c r="S56" s="4">
        <f>SUMIFS('Marketing spend and leads'!$G$2:$G$337,'Marketing spend and leads'!$B$2:$B$337,"paid",'Marketing spend and leads'!$C$2:$C$337,"emea",'Marketing spend and leads'!$D$2:$D$337,"jul26")</f>
        <v>22</v>
      </c>
      <c r="T56" s="4">
        <f>SUMIFS('Marketing spend and leads'!$G$2:$G$337,'Marketing spend and leads'!$B$2:$B$337,"paid",'Marketing spend and leads'!$C$2:$C$337,"emea",'Marketing spend and leads'!$D$2:$D$337,"aug26")</f>
        <v>22</v>
      </c>
      <c r="U56" s="4">
        <f>SUMIFS('Marketing spend and leads'!$G$2:$G$337,'Marketing spend and leads'!$B$2:$B$337,"paid",'Marketing spend and leads'!$C$2:$C$337,"emea",'Marketing spend and leads'!$D$2:$D$337,"sep26")</f>
        <v>26</v>
      </c>
      <c r="V56" s="4">
        <f>SUMIFS('Marketing spend and leads'!$G$2:$G$337,'Marketing spend and leads'!$B$2:$B$337,"paid",'Marketing spend and leads'!$C$2:$C$337,"emea",'Marketing spend and leads'!$D$2:$D$337,"oct26")</f>
        <v>19</v>
      </c>
      <c r="W56" s="4">
        <f>SUMIFS('Marketing spend and leads'!$G$2:$G$337,'Marketing spend and leads'!$B$2:$B$337,"paid",'Marketing spend and leads'!$C$2:$C$337,"emea",'Marketing spend and leads'!$D$2:$D$337,"nov26")</f>
        <v>21</v>
      </c>
      <c r="X56" s="4">
        <f>SUMIFS('Marketing spend and leads'!$G$2:$G$337,'Marketing spend and leads'!$B$2:$B$337,"paid",'Marketing spend and leads'!$C$2:$C$337,"emea",'Marketing spend and leads'!$D$2:$D$337,"dec26")</f>
        <v>14</v>
      </c>
    </row>
    <row r="57">
      <c r="A57" s="0" t="inlineStr">
        <is>
          <t xml:space="preserve">MQLs</t>
        </is>
      </c>
      <c r="B57" s="0" t="inlineStr">
        <is>
          <t xml:space="preserve">Paid digital</t>
        </is>
      </c>
      <c r="C57" s="0" t="inlineStr">
        <is>
          <t xml:space="preserve">APAC</t>
        </is>
      </c>
      <c r="D57" s="4">
        <f>SUMIFS('Marketing spend and leads'!$G$2:$G$337,'Marketing spend and leads'!$B$2:$B$337,"paid",'Marketing spend and leads'!$C$2:$C$337,"apac",'Marketing spend and leads'!$D$2:$D$337,"apr25")</f>
        <v>12</v>
      </c>
      <c r="E57" s="4">
        <f>SUMIFS('Marketing spend and leads'!$G$2:$G$337,'Marketing spend and leads'!$B$2:$B$337,"paid",'Marketing spend and leads'!$C$2:$C$337,"apac",'Marketing spend and leads'!$D$2:$D$337,"may25")</f>
        <v>9</v>
      </c>
      <c r="F57" s="4">
        <f>SUMIFS('Marketing spend and leads'!$G$2:$G$337,'Marketing spend and leads'!$B$2:$B$337,"paid",'Marketing spend and leads'!$C$2:$C$337,"apac",'Marketing spend and leads'!$D$2:$D$337,"jun25")</f>
        <v>20</v>
      </c>
      <c r="G57" s="4">
        <f>SUMIFS('Marketing spend and leads'!$G$2:$G$337,'Marketing spend and leads'!$B$2:$B$337,"paid",'Marketing spend and leads'!$C$2:$C$337,"apac",'Marketing spend and leads'!$D$2:$D$337,"jul25")</f>
        <v>9</v>
      </c>
      <c r="H57" s="4">
        <f>SUMIFS('Marketing spend and leads'!$G$2:$G$337,'Marketing spend and leads'!$B$2:$B$337,"paid",'Marketing spend and leads'!$C$2:$C$337,"apac",'Marketing spend and leads'!$D$2:$D$337,"aug25")</f>
        <v>14</v>
      </c>
      <c r="I57" s="4">
        <f>SUMIFS('Marketing spend and leads'!$G$2:$G$337,'Marketing spend and leads'!$B$2:$B$337,"paid",'Marketing spend and leads'!$C$2:$C$337,"apac",'Marketing spend and leads'!$D$2:$D$337,"sep25")</f>
        <v>15</v>
      </c>
      <c r="J57" s="4">
        <f>SUMIFS('Marketing spend and leads'!$G$2:$G$337,'Marketing spend and leads'!$B$2:$B$337,"paid",'Marketing spend and leads'!$C$2:$C$337,"apac",'Marketing spend and leads'!$D$2:$D$337,"oct25")</f>
        <v>18</v>
      </c>
      <c r="K57" s="4">
        <f>SUMIFS('Marketing spend and leads'!$G$2:$G$337,'Marketing spend and leads'!$B$2:$B$337,"paid",'Marketing spend and leads'!$C$2:$C$337,"apac",'Marketing spend and leads'!$D$2:$D$337,"nov25")</f>
        <v>6</v>
      </c>
      <c r="L57" s="4">
        <f>SUMIFS('Marketing spend and leads'!$G$2:$G$337,'Marketing spend and leads'!$B$2:$B$337,"paid",'Marketing spend and leads'!$C$2:$C$337,"apac",'Marketing spend and leads'!$D$2:$D$337,"dec25")</f>
        <v>25</v>
      </c>
      <c r="M57" s="4">
        <f>SUMIFS('Marketing spend and leads'!$G$2:$G$337,'Marketing spend and leads'!$B$2:$B$337,"paid",'Marketing spend and leads'!$C$2:$C$337,"apac",'Marketing spend and leads'!$D$2:$D$337,"jan26")</f>
        <v>13</v>
      </c>
      <c r="N57" s="4">
        <f>SUMIFS('Marketing spend and leads'!$G$2:$G$337,'Marketing spend and leads'!$B$2:$B$337,"paid",'Marketing spend and leads'!$C$2:$C$337,"apac",'Marketing spend and leads'!$D$2:$D$337,"feb26")</f>
        <v>27</v>
      </c>
      <c r="O57" s="4">
        <f>SUMIFS('Marketing spend and leads'!$G$2:$G$337,'Marketing spend and leads'!$B$2:$B$337,"paid",'Marketing spend and leads'!$C$2:$C$337,"apac",'Marketing spend and leads'!$D$2:$D$337,"mar26")</f>
        <v>17</v>
      </c>
      <c r="P57" s="4">
        <f>SUMIFS('Marketing spend and leads'!$G$2:$G$337,'Marketing spend and leads'!$B$2:$B$337,"paid",'Marketing spend and leads'!$C$2:$C$337,"apac",'Marketing spend and leads'!$D$2:$D$337,"apr26")</f>
        <v>11</v>
      </c>
      <c r="Q57" s="4">
        <f>SUMIFS('Marketing spend and leads'!$G$2:$G$337,'Marketing spend and leads'!$B$2:$B$337,"paid",'Marketing spend and leads'!$C$2:$C$337,"apac",'Marketing spend and leads'!$D$2:$D$337,"may26")</f>
        <v>27</v>
      </c>
      <c r="R57" s="4">
        <f>SUMIFS('Marketing spend and leads'!$G$2:$G$337,'Marketing spend and leads'!$B$2:$B$337,"paid",'Marketing spend and leads'!$C$2:$C$337,"apac",'Marketing spend and leads'!$D$2:$D$337,"jun26")</f>
        <v>42</v>
      </c>
      <c r="S57" s="4">
        <f>SUMIFS('Marketing spend and leads'!$G$2:$G$337,'Marketing spend and leads'!$B$2:$B$337,"paid",'Marketing spend and leads'!$C$2:$C$337,"apac",'Marketing spend and leads'!$D$2:$D$337,"jul26")</f>
        <v>22</v>
      </c>
      <c r="T57" s="4">
        <f>SUMIFS('Marketing spend and leads'!$G$2:$G$337,'Marketing spend and leads'!$B$2:$B$337,"paid",'Marketing spend and leads'!$C$2:$C$337,"apac",'Marketing spend and leads'!$D$2:$D$337,"aug26")</f>
        <v>16</v>
      </c>
      <c r="U57" s="4">
        <f>SUMIFS('Marketing spend and leads'!$G$2:$G$337,'Marketing spend and leads'!$B$2:$B$337,"paid",'Marketing spend and leads'!$C$2:$C$337,"apac",'Marketing spend and leads'!$D$2:$D$337,"sep26")</f>
        <v>15</v>
      </c>
      <c r="V57" s="4">
        <f>SUMIFS('Marketing spend and leads'!$G$2:$G$337,'Marketing spend and leads'!$B$2:$B$337,"paid",'Marketing spend and leads'!$C$2:$C$337,"apac",'Marketing spend and leads'!$D$2:$D$337,"oct26")</f>
        <v>15</v>
      </c>
      <c r="W57" s="4">
        <f>SUMIFS('Marketing spend and leads'!$G$2:$G$337,'Marketing spend and leads'!$B$2:$B$337,"paid",'Marketing spend and leads'!$C$2:$C$337,"apac",'Marketing spend and leads'!$D$2:$D$337,"nov26")</f>
        <v>20</v>
      </c>
      <c r="X57" s="4">
        <f>SUMIFS('Marketing spend and leads'!$G$2:$G$337,'Marketing spend and leads'!$B$2:$B$337,"paid",'Marketing spend and leads'!$C$2:$C$337,"apac",'Marketing spend and leads'!$D$2:$D$337,"dec26")</f>
        <v>20</v>
      </c>
    </row>
    <row r="58">
      <c r="A58" s="0" t="inlineStr">
        <is>
          <t xml:space="preserve">MQLs</t>
        </is>
      </c>
      <c r="B58" s="0" t="inlineStr">
        <is>
          <t xml:space="preserve">Events &amp; field</t>
        </is>
      </c>
      <c r="C58" s="0" t="inlineStr">
        <is>
          <t xml:space="preserve">AMER East</t>
        </is>
      </c>
      <c r="D58" s="4">
        <f>SUMIFS('Marketing spend and leads'!$G$2:$G$337,'Marketing spend and leads'!$B$2:$B$337,"events",'Marketing spend and leads'!$C$2:$C$337,"amer_east",'Marketing spend and leads'!$D$2:$D$337,"apr25")</f>
        <v>4</v>
      </c>
      <c r="E58" s="4">
        <f>SUMIFS('Marketing spend and leads'!$G$2:$G$337,'Marketing spend and leads'!$B$2:$B$337,"events",'Marketing spend and leads'!$C$2:$C$337,"amer_east",'Marketing spend and leads'!$D$2:$D$337,"may25")</f>
        <v>37</v>
      </c>
      <c r="F58" s="4">
        <f>SUMIFS('Marketing spend and leads'!$G$2:$G$337,'Marketing spend and leads'!$B$2:$B$337,"events",'Marketing spend and leads'!$C$2:$C$337,"amer_east",'Marketing spend and leads'!$D$2:$D$337,"jun25")</f>
        <v>16</v>
      </c>
      <c r="G58" s="4">
        <f>SUMIFS('Marketing spend and leads'!$G$2:$G$337,'Marketing spend and leads'!$B$2:$B$337,"events",'Marketing spend and leads'!$C$2:$C$337,"amer_east",'Marketing spend and leads'!$D$2:$D$337,"jul25")</f>
        <v>6</v>
      </c>
      <c r="H58" s="4">
        <f>SUMIFS('Marketing spend and leads'!$G$2:$G$337,'Marketing spend and leads'!$B$2:$B$337,"events",'Marketing spend and leads'!$C$2:$C$337,"amer_east",'Marketing spend and leads'!$D$2:$D$337,"aug25")</f>
        <v>10</v>
      </c>
      <c r="I58" s="4">
        <f>SUMIFS('Marketing spend and leads'!$G$2:$G$337,'Marketing spend and leads'!$B$2:$B$337,"events",'Marketing spend and leads'!$C$2:$C$337,"amer_east",'Marketing spend and leads'!$D$2:$D$337,"sep25")</f>
        <v>6</v>
      </c>
      <c r="J58" s="4">
        <f>SUMIFS('Marketing spend and leads'!$G$2:$G$337,'Marketing spend and leads'!$B$2:$B$337,"events",'Marketing spend and leads'!$C$2:$C$337,"amer_east",'Marketing spend and leads'!$D$2:$D$337,"oct25")</f>
        <v>29</v>
      </c>
      <c r="K58" s="4">
        <f>SUMIFS('Marketing spend and leads'!$G$2:$G$337,'Marketing spend and leads'!$B$2:$B$337,"events",'Marketing spend and leads'!$C$2:$C$337,"amer_east",'Marketing spend and leads'!$D$2:$D$337,"nov25")</f>
        <v>5</v>
      </c>
      <c r="L58" s="4">
        <f>SUMIFS('Marketing spend and leads'!$G$2:$G$337,'Marketing spend and leads'!$B$2:$B$337,"events",'Marketing spend and leads'!$C$2:$C$337,"amer_east",'Marketing spend and leads'!$D$2:$D$337,"dec25")</f>
        <v>14</v>
      </c>
      <c r="M58" s="4">
        <f>SUMIFS('Marketing spend and leads'!$G$2:$G$337,'Marketing spend and leads'!$B$2:$B$337,"events",'Marketing spend and leads'!$C$2:$C$337,"amer_east",'Marketing spend and leads'!$D$2:$D$337,"jan26")</f>
        <v>7</v>
      </c>
      <c r="N58" s="4">
        <f>SUMIFS('Marketing spend and leads'!$G$2:$G$337,'Marketing spend and leads'!$B$2:$B$337,"events",'Marketing spend and leads'!$C$2:$C$337,"amer_east",'Marketing spend and leads'!$D$2:$D$337,"feb26")</f>
        <v>9</v>
      </c>
      <c r="O58" s="4">
        <f>SUMIFS('Marketing spend and leads'!$G$2:$G$337,'Marketing spend and leads'!$B$2:$B$337,"events",'Marketing spend and leads'!$C$2:$C$337,"amer_east",'Marketing spend and leads'!$D$2:$D$337,"mar26")</f>
        <v>52</v>
      </c>
      <c r="P58" s="4">
        <f>SUMIFS('Marketing spend and leads'!$G$2:$G$337,'Marketing spend and leads'!$B$2:$B$337,"events",'Marketing spend and leads'!$C$2:$C$337,"amer_east",'Marketing spend and leads'!$D$2:$D$337,"apr26")</f>
        <v>11</v>
      </c>
      <c r="Q58" s="4">
        <f>SUMIFS('Marketing spend and leads'!$G$2:$G$337,'Marketing spend and leads'!$B$2:$B$337,"events",'Marketing spend and leads'!$C$2:$C$337,"amer_east",'Marketing spend and leads'!$D$2:$D$337,"may26")</f>
        <v>10</v>
      </c>
      <c r="R58" s="4">
        <f>SUMIFS('Marketing spend and leads'!$G$2:$G$337,'Marketing spend and leads'!$B$2:$B$337,"events",'Marketing spend and leads'!$C$2:$C$337,"amer_east",'Marketing spend and leads'!$D$2:$D$337,"jun26")</f>
        <v>47</v>
      </c>
      <c r="S58" s="4">
        <f>SUMIFS('Marketing spend and leads'!$G$2:$G$337,'Marketing spend and leads'!$B$2:$B$337,"events",'Marketing spend and leads'!$C$2:$C$337,"amer_east",'Marketing spend and leads'!$D$2:$D$337,"jul26")</f>
        <v>12</v>
      </c>
      <c r="T58" s="4">
        <f>SUMIFS('Marketing spend and leads'!$G$2:$G$337,'Marketing spend and leads'!$B$2:$B$337,"events",'Marketing spend and leads'!$C$2:$C$337,"amer_east",'Marketing spend and leads'!$D$2:$D$337,"aug26")</f>
        <v>6</v>
      </c>
      <c r="U58" s="4">
        <f>SUMIFS('Marketing spend and leads'!$G$2:$G$337,'Marketing spend and leads'!$B$2:$B$337,"events",'Marketing spend and leads'!$C$2:$C$337,"amer_east",'Marketing spend and leads'!$D$2:$D$337,"sep26")</f>
        <v>10</v>
      </c>
      <c r="V58" s="4">
        <f>SUMIFS('Marketing spend and leads'!$G$2:$G$337,'Marketing spend and leads'!$B$2:$B$337,"events",'Marketing spend and leads'!$C$2:$C$337,"amer_east",'Marketing spend and leads'!$D$2:$D$337,"oct26")</f>
        <v>32</v>
      </c>
      <c r="W58" s="4">
        <f>SUMIFS('Marketing spend and leads'!$G$2:$G$337,'Marketing spend and leads'!$B$2:$B$337,"events",'Marketing spend and leads'!$C$2:$C$337,"amer_east",'Marketing spend and leads'!$D$2:$D$337,"nov26")</f>
        <v>23</v>
      </c>
      <c r="X58" s="4">
        <f>SUMIFS('Marketing spend and leads'!$G$2:$G$337,'Marketing spend and leads'!$B$2:$B$337,"events",'Marketing spend and leads'!$C$2:$C$337,"amer_east",'Marketing spend and leads'!$D$2:$D$337,"dec26")</f>
        <v>14</v>
      </c>
    </row>
    <row r="59">
      <c r="A59" s="0" t="inlineStr">
        <is>
          <t xml:space="preserve">MQLs</t>
        </is>
      </c>
      <c r="B59" s="0" t="inlineStr">
        <is>
          <t xml:space="preserve">Events &amp; field</t>
        </is>
      </c>
      <c r="C59" s="0" t="inlineStr">
        <is>
          <t xml:space="preserve">AMER West</t>
        </is>
      </c>
      <c r="D59" s="4">
        <f>SUMIFS('Marketing spend and leads'!$G$2:$G$337,'Marketing spend and leads'!$B$2:$B$337,"events",'Marketing spend and leads'!$C$2:$C$337,"amer_west",'Marketing spend and leads'!$D$2:$D$337,"apr25")</f>
        <v>4</v>
      </c>
      <c r="E59" s="4">
        <f>SUMIFS('Marketing spend and leads'!$G$2:$G$337,'Marketing spend and leads'!$B$2:$B$337,"events",'Marketing spend and leads'!$C$2:$C$337,"amer_west",'Marketing spend and leads'!$D$2:$D$337,"may25")</f>
        <v>36</v>
      </c>
      <c r="F59" s="4">
        <f>SUMIFS('Marketing spend and leads'!$G$2:$G$337,'Marketing spend and leads'!$B$2:$B$337,"events",'Marketing spend and leads'!$C$2:$C$337,"amer_west",'Marketing spend and leads'!$D$2:$D$337,"jun25")</f>
        <v>15</v>
      </c>
      <c r="G59" s="4">
        <f>SUMIFS('Marketing spend and leads'!$G$2:$G$337,'Marketing spend and leads'!$B$2:$B$337,"events",'Marketing spend and leads'!$C$2:$C$337,"amer_west",'Marketing spend and leads'!$D$2:$D$337,"jul25")</f>
        <v>9</v>
      </c>
      <c r="H59" s="4">
        <f>SUMIFS('Marketing spend and leads'!$G$2:$G$337,'Marketing spend and leads'!$B$2:$B$337,"events",'Marketing spend and leads'!$C$2:$C$337,"amer_west",'Marketing spend and leads'!$D$2:$D$337,"aug25")</f>
        <v>16</v>
      </c>
      <c r="I59" s="4">
        <f>SUMIFS('Marketing spend and leads'!$G$2:$G$337,'Marketing spend and leads'!$B$2:$B$337,"events",'Marketing spend and leads'!$C$2:$C$337,"amer_west",'Marketing spend and leads'!$D$2:$D$337,"sep25")</f>
        <v>10</v>
      </c>
      <c r="J59" s="4">
        <f>SUMIFS('Marketing spend and leads'!$G$2:$G$337,'Marketing spend and leads'!$B$2:$B$337,"events",'Marketing spend and leads'!$C$2:$C$337,"amer_west",'Marketing spend and leads'!$D$2:$D$337,"oct25")</f>
        <v>27</v>
      </c>
      <c r="K59" s="4">
        <f>SUMIFS('Marketing spend and leads'!$G$2:$G$337,'Marketing spend and leads'!$B$2:$B$337,"events",'Marketing spend and leads'!$C$2:$C$337,"amer_west",'Marketing spend and leads'!$D$2:$D$337,"nov25")</f>
        <v>7</v>
      </c>
      <c r="L59" s="4">
        <f>SUMIFS('Marketing spend and leads'!$G$2:$G$337,'Marketing spend and leads'!$B$2:$B$337,"events",'Marketing spend and leads'!$C$2:$C$337,"amer_west",'Marketing spend and leads'!$D$2:$D$337,"dec25")</f>
        <v>5</v>
      </c>
      <c r="M59" s="4">
        <f>SUMIFS('Marketing spend and leads'!$G$2:$G$337,'Marketing spend and leads'!$B$2:$B$337,"events",'Marketing spend and leads'!$C$2:$C$337,"amer_west",'Marketing spend and leads'!$D$2:$D$337,"jan26")</f>
        <v>6</v>
      </c>
      <c r="N59" s="4">
        <f>SUMIFS('Marketing spend and leads'!$G$2:$G$337,'Marketing spend and leads'!$B$2:$B$337,"events",'Marketing spend and leads'!$C$2:$C$337,"amer_west",'Marketing spend and leads'!$D$2:$D$337,"feb26")</f>
        <v>11</v>
      </c>
      <c r="O59" s="4">
        <f>SUMIFS('Marketing spend and leads'!$G$2:$G$337,'Marketing spend and leads'!$B$2:$B$337,"events",'Marketing spend and leads'!$C$2:$C$337,"amer_west",'Marketing spend and leads'!$D$2:$D$337,"mar26")</f>
        <v>33</v>
      </c>
      <c r="P59" s="4">
        <f>SUMIFS('Marketing spend and leads'!$G$2:$G$337,'Marketing spend and leads'!$B$2:$B$337,"events",'Marketing spend and leads'!$C$2:$C$337,"amer_west",'Marketing spend and leads'!$D$2:$D$337,"apr26")</f>
        <v>8</v>
      </c>
      <c r="Q59" s="4">
        <f>SUMIFS('Marketing spend and leads'!$G$2:$G$337,'Marketing spend and leads'!$B$2:$B$337,"events",'Marketing spend and leads'!$C$2:$C$337,"amer_west",'Marketing spend and leads'!$D$2:$D$337,"may26")</f>
        <v>16</v>
      </c>
      <c r="R59" s="4">
        <f>SUMIFS('Marketing spend and leads'!$G$2:$G$337,'Marketing spend and leads'!$B$2:$B$337,"events",'Marketing spend and leads'!$C$2:$C$337,"amer_west",'Marketing spend and leads'!$D$2:$D$337,"jun26")</f>
        <v>42</v>
      </c>
      <c r="S59" s="4">
        <f>SUMIFS('Marketing spend and leads'!$G$2:$G$337,'Marketing spend and leads'!$B$2:$B$337,"events",'Marketing spend and leads'!$C$2:$C$337,"amer_west",'Marketing spend and leads'!$D$2:$D$337,"jul26")</f>
        <v>9</v>
      </c>
      <c r="T59" s="4">
        <f>SUMIFS('Marketing spend and leads'!$G$2:$G$337,'Marketing spend and leads'!$B$2:$B$337,"events",'Marketing spend and leads'!$C$2:$C$337,"amer_west",'Marketing spend and leads'!$D$2:$D$337,"aug26")</f>
        <v>8</v>
      </c>
      <c r="U59" s="4">
        <f>SUMIFS('Marketing spend and leads'!$G$2:$G$337,'Marketing spend and leads'!$B$2:$B$337,"events",'Marketing spend and leads'!$C$2:$C$337,"amer_west",'Marketing spend and leads'!$D$2:$D$337,"sep26")</f>
        <v>4</v>
      </c>
      <c r="V59" s="4">
        <f>SUMIFS('Marketing spend and leads'!$G$2:$G$337,'Marketing spend and leads'!$B$2:$B$337,"events",'Marketing spend and leads'!$C$2:$C$337,"amer_west",'Marketing spend and leads'!$D$2:$D$337,"oct26")</f>
        <v>37</v>
      </c>
      <c r="W59" s="4">
        <f>SUMIFS('Marketing spend and leads'!$G$2:$G$337,'Marketing spend and leads'!$B$2:$B$337,"events",'Marketing spend and leads'!$C$2:$C$337,"amer_west",'Marketing spend and leads'!$D$2:$D$337,"nov26")</f>
        <v>24</v>
      </c>
      <c r="X59" s="4">
        <f>SUMIFS('Marketing spend and leads'!$G$2:$G$337,'Marketing spend and leads'!$B$2:$B$337,"events",'Marketing spend and leads'!$C$2:$C$337,"amer_west",'Marketing spend and leads'!$D$2:$D$337,"dec26")</f>
        <v>18</v>
      </c>
    </row>
    <row r="60">
      <c r="A60" s="0" t="inlineStr">
        <is>
          <t xml:space="preserve">MQLs</t>
        </is>
      </c>
      <c r="B60" s="0" t="inlineStr">
        <is>
          <t xml:space="preserve">Events &amp; field</t>
        </is>
      </c>
      <c r="C60" s="0" t="inlineStr">
        <is>
          <t xml:space="preserve">EMEA</t>
        </is>
      </c>
      <c r="D60" s="4">
        <f>SUMIFS('Marketing spend and leads'!$G$2:$G$337,'Marketing spend and leads'!$B$2:$B$337,"events",'Marketing spend and leads'!$C$2:$C$337,"emea",'Marketing spend and leads'!$D$2:$D$337,"apr25")</f>
        <v>8</v>
      </c>
      <c r="E60" s="4">
        <f>SUMIFS('Marketing spend and leads'!$G$2:$G$337,'Marketing spend and leads'!$B$2:$B$337,"events",'Marketing spend and leads'!$C$2:$C$337,"emea",'Marketing spend and leads'!$D$2:$D$337,"may25")</f>
        <v>30</v>
      </c>
      <c r="F60" s="4">
        <f>SUMIFS('Marketing spend and leads'!$G$2:$G$337,'Marketing spend and leads'!$B$2:$B$337,"events",'Marketing spend and leads'!$C$2:$C$337,"emea",'Marketing spend and leads'!$D$2:$D$337,"jun25")</f>
        <v>7</v>
      </c>
      <c r="G60" s="4">
        <f>SUMIFS('Marketing spend and leads'!$G$2:$G$337,'Marketing spend and leads'!$B$2:$B$337,"events",'Marketing spend and leads'!$C$2:$C$337,"emea",'Marketing spend and leads'!$D$2:$D$337,"jul25")</f>
        <v>11</v>
      </c>
      <c r="H60" s="4">
        <f>SUMIFS('Marketing spend and leads'!$G$2:$G$337,'Marketing spend and leads'!$B$2:$B$337,"events",'Marketing spend and leads'!$C$2:$C$337,"emea",'Marketing spend and leads'!$D$2:$D$337,"aug25")</f>
        <v>7</v>
      </c>
      <c r="I60" s="4">
        <f>SUMIFS('Marketing spend and leads'!$G$2:$G$337,'Marketing spend and leads'!$B$2:$B$337,"events",'Marketing spend and leads'!$C$2:$C$337,"emea",'Marketing spend and leads'!$D$2:$D$337,"sep25")</f>
        <v>6</v>
      </c>
      <c r="J60" s="4">
        <f>SUMIFS('Marketing spend and leads'!$G$2:$G$337,'Marketing spend and leads'!$B$2:$B$337,"events",'Marketing spend and leads'!$C$2:$C$337,"emea",'Marketing spend and leads'!$D$2:$D$337,"oct25")</f>
        <v>31</v>
      </c>
      <c r="K60" s="4">
        <f>SUMIFS('Marketing spend and leads'!$G$2:$G$337,'Marketing spend and leads'!$B$2:$B$337,"events",'Marketing spend and leads'!$C$2:$C$337,"emea",'Marketing spend and leads'!$D$2:$D$337,"nov25")</f>
        <v>7</v>
      </c>
      <c r="L60" s="4">
        <f>SUMIFS('Marketing spend and leads'!$G$2:$G$337,'Marketing spend and leads'!$B$2:$B$337,"events",'Marketing spend and leads'!$C$2:$C$337,"emea",'Marketing spend and leads'!$D$2:$D$337,"dec25")</f>
        <v>7</v>
      </c>
      <c r="M60" s="4">
        <f>SUMIFS('Marketing spend and leads'!$G$2:$G$337,'Marketing spend and leads'!$B$2:$B$337,"events",'Marketing spend and leads'!$C$2:$C$337,"emea",'Marketing spend and leads'!$D$2:$D$337,"jan26")</f>
        <v>8</v>
      </c>
      <c r="N60" s="4">
        <f>SUMIFS('Marketing spend and leads'!$G$2:$G$337,'Marketing spend and leads'!$B$2:$B$337,"events",'Marketing spend and leads'!$C$2:$C$337,"emea",'Marketing spend and leads'!$D$2:$D$337,"feb26")</f>
        <v>7</v>
      </c>
      <c r="O60" s="4">
        <f>SUMIFS('Marketing spend and leads'!$G$2:$G$337,'Marketing spend and leads'!$B$2:$B$337,"events",'Marketing spend and leads'!$C$2:$C$337,"emea",'Marketing spend and leads'!$D$2:$D$337,"mar26")</f>
        <v>23</v>
      </c>
      <c r="P60" s="4">
        <f>SUMIFS('Marketing spend and leads'!$G$2:$G$337,'Marketing spend and leads'!$B$2:$B$337,"events",'Marketing spend and leads'!$C$2:$C$337,"emea",'Marketing spend and leads'!$D$2:$D$337,"apr26")</f>
        <v>10</v>
      </c>
      <c r="Q60" s="4">
        <f>SUMIFS('Marketing spend and leads'!$G$2:$G$337,'Marketing spend and leads'!$B$2:$B$337,"events",'Marketing spend and leads'!$C$2:$C$337,"emea",'Marketing spend and leads'!$D$2:$D$337,"may26")</f>
        <v>10</v>
      </c>
      <c r="R60" s="4">
        <f>SUMIFS('Marketing spend and leads'!$G$2:$G$337,'Marketing spend and leads'!$B$2:$B$337,"events",'Marketing spend and leads'!$C$2:$C$337,"emea",'Marketing spend and leads'!$D$2:$D$337,"jun26")</f>
        <v>36</v>
      </c>
      <c r="S60" s="4">
        <f>SUMIFS('Marketing spend and leads'!$G$2:$G$337,'Marketing spend and leads'!$B$2:$B$337,"events",'Marketing spend and leads'!$C$2:$C$337,"emea",'Marketing spend and leads'!$D$2:$D$337,"jul26")</f>
        <v>9</v>
      </c>
      <c r="T60" s="4">
        <f>SUMIFS('Marketing spend and leads'!$G$2:$G$337,'Marketing spend and leads'!$B$2:$B$337,"events",'Marketing spend and leads'!$C$2:$C$337,"emea",'Marketing spend and leads'!$D$2:$D$337,"aug26")</f>
        <v>4</v>
      </c>
      <c r="U60" s="4">
        <f>SUMIFS('Marketing spend and leads'!$G$2:$G$337,'Marketing spend and leads'!$B$2:$B$337,"events",'Marketing spend and leads'!$C$2:$C$337,"emea",'Marketing spend and leads'!$D$2:$D$337,"sep26")</f>
        <v>9</v>
      </c>
      <c r="V60" s="4">
        <f>SUMIFS('Marketing spend and leads'!$G$2:$G$337,'Marketing spend and leads'!$B$2:$B$337,"events",'Marketing spend and leads'!$C$2:$C$337,"emea",'Marketing spend and leads'!$D$2:$D$337,"oct26")</f>
        <v>40</v>
      </c>
      <c r="W60" s="4">
        <f>SUMIFS('Marketing spend and leads'!$G$2:$G$337,'Marketing spend and leads'!$B$2:$B$337,"events",'Marketing spend and leads'!$C$2:$C$337,"emea",'Marketing spend and leads'!$D$2:$D$337,"nov26")</f>
        <v>25</v>
      </c>
      <c r="X60" s="4">
        <f>SUMIFS('Marketing spend and leads'!$G$2:$G$337,'Marketing spend and leads'!$B$2:$B$337,"events",'Marketing spend and leads'!$C$2:$C$337,"emea",'Marketing spend and leads'!$D$2:$D$337,"dec26")</f>
        <v>9</v>
      </c>
    </row>
    <row r="61">
      <c r="A61" s="0" t="inlineStr">
        <is>
          <t xml:space="preserve">MQLs</t>
        </is>
      </c>
      <c r="B61" s="0" t="inlineStr">
        <is>
          <t xml:space="preserve">Events &amp; field</t>
        </is>
      </c>
      <c r="C61" s="0" t="inlineStr">
        <is>
          <t xml:space="preserve">APAC</t>
        </is>
      </c>
      <c r="D61" s="4">
        <f>SUMIFS('Marketing spend and leads'!$G$2:$G$337,'Marketing spend and leads'!$B$2:$B$337,"events",'Marketing spend and leads'!$C$2:$C$337,"apac",'Marketing spend and leads'!$D$2:$D$337,"apr25")</f>
        <v>6</v>
      </c>
      <c r="E61" s="4">
        <f>SUMIFS('Marketing spend and leads'!$G$2:$G$337,'Marketing spend and leads'!$B$2:$B$337,"events",'Marketing spend and leads'!$C$2:$C$337,"apac",'Marketing spend and leads'!$D$2:$D$337,"may25")</f>
        <v>26</v>
      </c>
      <c r="F61" s="4">
        <f>SUMIFS('Marketing spend and leads'!$G$2:$G$337,'Marketing spend and leads'!$B$2:$B$337,"events",'Marketing spend and leads'!$C$2:$C$337,"apac",'Marketing spend and leads'!$D$2:$D$337,"jun25")</f>
        <v>4</v>
      </c>
      <c r="G61" s="4">
        <f>SUMIFS('Marketing spend and leads'!$G$2:$G$337,'Marketing spend and leads'!$B$2:$B$337,"events",'Marketing spend and leads'!$C$2:$C$337,"apac",'Marketing spend and leads'!$D$2:$D$337,"jul25")</f>
        <v>6</v>
      </c>
      <c r="H61" s="4">
        <f>SUMIFS('Marketing spend and leads'!$G$2:$G$337,'Marketing spend and leads'!$B$2:$B$337,"events",'Marketing spend and leads'!$C$2:$C$337,"apac",'Marketing spend and leads'!$D$2:$D$337,"aug25")</f>
        <v>3</v>
      </c>
      <c r="I61" s="4">
        <f>SUMIFS('Marketing spend and leads'!$G$2:$G$337,'Marketing spend and leads'!$B$2:$B$337,"events",'Marketing spend and leads'!$C$2:$C$337,"apac",'Marketing spend and leads'!$D$2:$D$337,"sep25")</f>
        <v>6</v>
      </c>
      <c r="J61" s="4">
        <f>SUMIFS('Marketing spend and leads'!$G$2:$G$337,'Marketing spend and leads'!$B$2:$B$337,"events",'Marketing spend and leads'!$C$2:$C$337,"apac",'Marketing spend and leads'!$D$2:$D$337,"oct25")</f>
        <v>13</v>
      </c>
      <c r="K61" s="4">
        <f>SUMIFS('Marketing spend and leads'!$G$2:$G$337,'Marketing spend and leads'!$B$2:$B$337,"events",'Marketing spend and leads'!$C$2:$C$337,"apac",'Marketing spend and leads'!$D$2:$D$337,"nov25")</f>
        <v>5</v>
      </c>
      <c r="L61" s="4">
        <f>SUMIFS('Marketing spend and leads'!$G$2:$G$337,'Marketing spend and leads'!$B$2:$B$337,"events",'Marketing spend and leads'!$C$2:$C$337,"apac",'Marketing spend and leads'!$D$2:$D$337,"dec25")</f>
        <v>4</v>
      </c>
      <c r="M61" s="4">
        <f>SUMIFS('Marketing spend and leads'!$G$2:$G$337,'Marketing spend and leads'!$B$2:$B$337,"events",'Marketing spend and leads'!$C$2:$C$337,"apac",'Marketing spend and leads'!$D$2:$D$337,"jan26")</f>
        <v>5</v>
      </c>
      <c r="N61" s="4">
        <f>SUMIFS('Marketing spend and leads'!$G$2:$G$337,'Marketing spend and leads'!$B$2:$B$337,"events",'Marketing spend and leads'!$C$2:$C$337,"apac",'Marketing spend and leads'!$D$2:$D$337,"feb26")</f>
        <v>8</v>
      </c>
      <c r="O61" s="4">
        <f>SUMIFS('Marketing spend and leads'!$G$2:$G$337,'Marketing spend and leads'!$B$2:$B$337,"events",'Marketing spend and leads'!$C$2:$C$337,"apac",'Marketing spend and leads'!$D$2:$D$337,"mar26")</f>
        <v>23</v>
      </c>
      <c r="P61" s="4">
        <f>SUMIFS('Marketing spend and leads'!$G$2:$G$337,'Marketing spend and leads'!$B$2:$B$337,"events",'Marketing spend and leads'!$C$2:$C$337,"apac",'Marketing spend and leads'!$D$2:$D$337,"apr26")</f>
        <v>5</v>
      </c>
      <c r="Q61" s="4">
        <f>SUMIFS('Marketing spend and leads'!$G$2:$G$337,'Marketing spend and leads'!$B$2:$B$337,"events",'Marketing spend and leads'!$C$2:$C$337,"apac",'Marketing spend and leads'!$D$2:$D$337,"may26")</f>
        <v>5</v>
      </c>
      <c r="R61" s="4">
        <f>SUMIFS('Marketing spend and leads'!$G$2:$G$337,'Marketing spend and leads'!$B$2:$B$337,"events",'Marketing spend and leads'!$C$2:$C$337,"apac",'Marketing spend and leads'!$D$2:$D$337,"jun26")</f>
        <v>21</v>
      </c>
      <c r="S61" s="4">
        <f>SUMIFS('Marketing spend and leads'!$G$2:$G$337,'Marketing spend and leads'!$B$2:$B$337,"events",'Marketing spend and leads'!$C$2:$C$337,"apac",'Marketing spend and leads'!$D$2:$D$337,"jul26")</f>
        <v>6</v>
      </c>
      <c r="T61" s="4">
        <f>SUMIFS('Marketing spend and leads'!$G$2:$G$337,'Marketing spend and leads'!$B$2:$B$337,"events",'Marketing spend and leads'!$C$2:$C$337,"apac",'Marketing spend and leads'!$D$2:$D$337,"aug26")</f>
        <v>5</v>
      </c>
      <c r="U61" s="4">
        <f>SUMIFS('Marketing spend and leads'!$G$2:$G$337,'Marketing spend and leads'!$B$2:$B$337,"events",'Marketing spend and leads'!$C$2:$C$337,"apac",'Marketing spend and leads'!$D$2:$D$337,"sep26")</f>
        <v>7</v>
      </c>
      <c r="V61" s="4">
        <f>SUMIFS('Marketing spend and leads'!$G$2:$G$337,'Marketing spend and leads'!$B$2:$B$337,"events",'Marketing spend and leads'!$C$2:$C$337,"apac",'Marketing spend and leads'!$D$2:$D$337,"oct26")</f>
        <v>8</v>
      </c>
      <c r="W61" s="4">
        <f>SUMIFS('Marketing spend and leads'!$G$2:$G$337,'Marketing spend and leads'!$B$2:$B$337,"events",'Marketing spend and leads'!$C$2:$C$337,"apac",'Marketing spend and leads'!$D$2:$D$337,"nov26")</f>
        <v>17</v>
      </c>
      <c r="X61" s="4">
        <f>SUMIFS('Marketing spend and leads'!$G$2:$G$337,'Marketing spend and leads'!$B$2:$B$337,"events",'Marketing spend and leads'!$C$2:$C$337,"apac",'Marketing spend and leads'!$D$2:$D$337,"dec26")</f>
        <v>8</v>
      </c>
    </row>
    <row r="62">
      <c r="A62" s="0" t="inlineStr">
        <is>
          <t xml:space="preserve">MQLs</t>
        </is>
      </c>
      <c r="B62" s="0" t="inlineStr">
        <is>
          <t xml:space="preserve">Partner</t>
        </is>
      </c>
      <c r="C62" s="0" t="inlineStr">
        <is>
          <t xml:space="preserve">AMER East</t>
        </is>
      </c>
      <c r="D62" s="4">
        <f>SUMIFS('Marketing spend and leads'!$G$2:$G$337,'Marketing spend and leads'!$B$2:$B$337,"partner",'Marketing spend and leads'!$C$2:$C$337,"amer_east",'Marketing spend and leads'!$D$2:$D$337,"apr25")</f>
        <v>16</v>
      </c>
      <c r="E62" s="4">
        <f>SUMIFS('Marketing spend and leads'!$G$2:$G$337,'Marketing spend and leads'!$B$2:$B$337,"partner",'Marketing spend and leads'!$C$2:$C$337,"amer_east",'Marketing spend and leads'!$D$2:$D$337,"may25")</f>
        <v>10</v>
      </c>
      <c r="F62" s="4">
        <f>SUMIFS('Marketing spend and leads'!$G$2:$G$337,'Marketing spend and leads'!$B$2:$B$337,"partner",'Marketing spend and leads'!$C$2:$C$337,"amer_east",'Marketing spend and leads'!$D$2:$D$337,"jun25")</f>
        <v>7</v>
      </c>
      <c r="G62" s="4">
        <f>SUMIFS('Marketing spend and leads'!$G$2:$G$337,'Marketing spend and leads'!$B$2:$B$337,"partner",'Marketing spend and leads'!$C$2:$C$337,"amer_east",'Marketing spend and leads'!$D$2:$D$337,"jul25")</f>
        <v>10</v>
      </c>
      <c r="H62" s="4">
        <f>SUMIFS('Marketing spend and leads'!$G$2:$G$337,'Marketing spend and leads'!$B$2:$B$337,"partner",'Marketing spend and leads'!$C$2:$C$337,"amer_east",'Marketing spend and leads'!$D$2:$D$337,"aug25")</f>
        <v>9</v>
      </c>
      <c r="I62" s="4">
        <f>SUMIFS('Marketing spend and leads'!$G$2:$G$337,'Marketing spend and leads'!$B$2:$B$337,"partner",'Marketing spend and leads'!$C$2:$C$337,"amer_east",'Marketing spend and leads'!$D$2:$D$337,"sep25")</f>
        <v>9</v>
      </c>
      <c r="J62" s="4">
        <f>SUMIFS('Marketing spend and leads'!$G$2:$G$337,'Marketing spend and leads'!$B$2:$B$337,"partner",'Marketing spend and leads'!$C$2:$C$337,"amer_east",'Marketing spend and leads'!$D$2:$D$337,"oct25")</f>
        <v>7</v>
      </c>
      <c r="K62" s="4">
        <f>SUMIFS('Marketing spend and leads'!$G$2:$G$337,'Marketing spend and leads'!$B$2:$B$337,"partner",'Marketing spend and leads'!$C$2:$C$337,"amer_east",'Marketing spend and leads'!$D$2:$D$337,"nov25")</f>
        <v>8</v>
      </c>
      <c r="L62" s="4">
        <f>SUMIFS('Marketing spend and leads'!$G$2:$G$337,'Marketing spend and leads'!$B$2:$B$337,"partner",'Marketing spend and leads'!$C$2:$C$337,"amer_east",'Marketing spend and leads'!$D$2:$D$337,"dec25")</f>
        <v>6</v>
      </c>
      <c r="M62" s="4">
        <f>SUMIFS('Marketing spend and leads'!$G$2:$G$337,'Marketing spend and leads'!$B$2:$B$337,"partner",'Marketing spend and leads'!$C$2:$C$337,"amer_east",'Marketing spend and leads'!$D$2:$D$337,"jan26")</f>
        <v>5</v>
      </c>
      <c r="N62" s="4">
        <f>SUMIFS('Marketing spend and leads'!$G$2:$G$337,'Marketing spend and leads'!$B$2:$B$337,"partner",'Marketing spend and leads'!$C$2:$C$337,"amer_east",'Marketing spend and leads'!$D$2:$D$337,"feb26")</f>
        <v>5</v>
      </c>
      <c r="O62" s="4">
        <f>SUMIFS('Marketing spend and leads'!$G$2:$G$337,'Marketing spend and leads'!$B$2:$B$337,"partner",'Marketing spend and leads'!$C$2:$C$337,"amer_east",'Marketing spend and leads'!$D$2:$D$337,"mar26")</f>
        <v>10</v>
      </c>
      <c r="P62" s="4">
        <f>SUMIFS('Marketing spend and leads'!$G$2:$G$337,'Marketing spend and leads'!$B$2:$B$337,"partner",'Marketing spend and leads'!$C$2:$C$337,"amer_east",'Marketing spend and leads'!$D$2:$D$337,"apr26")</f>
        <v>8</v>
      </c>
      <c r="Q62" s="4">
        <f>SUMIFS('Marketing spend and leads'!$G$2:$G$337,'Marketing spend and leads'!$B$2:$B$337,"partner",'Marketing spend and leads'!$C$2:$C$337,"amer_east",'Marketing spend and leads'!$D$2:$D$337,"may26")</f>
        <v>9</v>
      </c>
      <c r="R62" s="4">
        <f>SUMIFS('Marketing spend and leads'!$G$2:$G$337,'Marketing spend and leads'!$B$2:$B$337,"partner",'Marketing spend and leads'!$C$2:$C$337,"amer_east",'Marketing spend and leads'!$D$2:$D$337,"jun26")</f>
        <v>11</v>
      </c>
      <c r="S62" s="4">
        <f>SUMIFS('Marketing spend and leads'!$G$2:$G$337,'Marketing spend and leads'!$B$2:$B$337,"partner",'Marketing spend and leads'!$C$2:$C$337,"amer_east",'Marketing spend and leads'!$D$2:$D$337,"jul26")</f>
        <v>3</v>
      </c>
      <c r="T62" s="4">
        <f>SUMIFS('Marketing spend and leads'!$G$2:$G$337,'Marketing spend and leads'!$B$2:$B$337,"partner",'Marketing spend and leads'!$C$2:$C$337,"amer_east",'Marketing spend and leads'!$D$2:$D$337,"aug26")</f>
        <v>7</v>
      </c>
      <c r="U62" s="4">
        <f>SUMIFS('Marketing spend and leads'!$G$2:$G$337,'Marketing spend and leads'!$B$2:$B$337,"partner",'Marketing spend and leads'!$C$2:$C$337,"amer_east",'Marketing spend and leads'!$D$2:$D$337,"sep26")</f>
        <v>11</v>
      </c>
      <c r="V62" s="4">
        <f>SUMIFS('Marketing spend and leads'!$G$2:$G$337,'Marketing spend and leads'!$B$2:$B$337,"partner",'Marketing spend and leads'!$C$2:$C$337,"amer_east",'Marketing spend and leads'!$D$2:$D$337,"oct26")</f>
        <v>10</v>
      </c>
      <c r="W62" s="4">
        <f>SUMIFS('Marketing spend and leads'!$G$2:$G$337,'Marketing spend and leads'!$B$2:$B$337,"partner",'Marketing spend and leads'!$C$2:$C$337,"amer_east",'Marketing spend and leads'!$D$2:$D$337,"nov26")</f>
        <v>11</v>
      </c>
      <c r="X62" s="4">
        <f>SUMIFS('Marketing spend and leads'!$G$2:$G$337,'Marketing spend and leads'!$B$2:$B$337,"partner",'Marketing spend and leads'!$C$2:$C$337,"amer_east",'Marketing spend and leads'!$D$2:$D$337,"dec26")</f>
        <v>4</v>
      </c>
    </row>
    <row r="63">
      <c r="A63" s="0" t="inlineStr">
        <is>
          <t xml:space="preserve">MQLs</t>
        </is>
      </c>
      <c r="B63" s="0" t="inlineStr">
        <is>
          <t xml:space="preserve">Partner</t>
        </is>
      </c>
      <c r="C63" s="0" t="inlineStr">
        <is>
          <t xml:space="preserve">AMER West</t>
        </is>
      </c>
      <c r="D63" s="4">
        <f>SUMIFS('Marketing spend and leads'!$G$2:$G$337,'Marketing spend and leads'!$B$2:$B$337,"partner",'Marketing spend and leads'!$C$2:$C$337,"amer_west",'Marketing spend and leads'!$D$2:$D$337,"apr25")</f>
        <v>13</v>
      </c>
      <c r="E63" s="4">
        <f>SUMIFS('Marketing spend and leads'!$G$2:$G$337,'Marketing spend and leads'!$B$2:$B$337,"partner",'Marketing spend and leads'!$C$2:$C$337,"amer_west",'Marketing spend and leads'!$D$2:$D$337,"may25")</f>
        <v>7</v>
      </c>
      <c r="F63" s="4">
        <f>SUMIFS('Marketing spend and leads'!$G$2:$G$337,'Marketing spend and leads'!$B$2:$B$337,"partner",'Marketing spend and leads'!$C$2:$C$337,"amer_west",'Marketing spend and leads'!$D$2:$D$337,"jun25")</f>
        <v>14</v>
      </c>
      <c r="G63" s="4">
        <f>SUMIFS('Marketing spend and leads'!$G$2:$G$337,'Marketing spend and leads'!$B$2:$B$337,"partner",'Marketing spend and leads'!$C$2:$C$337,"amer_west",'Marketing spend and leads'!$D$2:$D$337,"jul25")</f>
        <v>5</v>
      </c>
      <c r="H63" s="4">
        <f>SUMIFS('Marketing spend and leads'!$G$2:$G$337,'Marketing spend and leads'!$B$2:$B$337,"partner",'Marketing spend and leads'!$C$2:$C$337,"amer_west",'Marketing spend and leads'!$D$2:$D$337,"aug25")</f>
        <v>10</v>
      </c>
      <c r="I63" s="4">
        <f>SUMIFS('Marketing spend and leads'!$G$2:$G$337,'Marketing spend and leads'!$B$2:$B$337,"partner",'Marketing spend and leads'!$C$2:$C$337,"amer_west",'Marketing spend and leads'!$D$2:$D$337,"sep25")</f>
        <v>11</v>
      </c>
      <c r="J63" s="4">
        <f>SUMIFS('Marketing spend and leads'!$G$2:$G$337,'Marketing spend and leads'!$B$2:$B$337,"partner",'Marketing spend and leads'!$C$2:$C$337,"amer_west",'Marketing spend and leads'!$D$2:$D$337,"oct25")</f>
        <v>4</v>
      </c>
      <c r="K63" s="4">
        <f>SUMIFS('Marketing spend and leads'!$G$2:$G$337,'Marketing spend and leads'!$B$2:$B$337,"partner",'Marketing spend and leads'!$C$2:$C$337,"amer_west",'Marketing spend and leads'!$D$2:$D$337,"nov25")</f>
        <v>4</v>
      </c>
      <c r="L63" s="4">
        <f>SUMIFS('Marketing spend and leads'!$G$2:$G$337,'Marketing spend and leads'!$B$2:$B$337,"partner",'Marketing spend and leads'!$C$2:$C$337,"amer_west",'Marketing spend and leads'!$D$2:$D$337,"dec25")</f>
        <v>13</v>
      </c>
      <c r="M63" s="4">
        <f>SUMIFS('Marketing spend and leads'!$G$2:$G$337,'Marketing spend and leads'!$B$2:$B$337,"partner",'Marketing spend and leads'!$C$2:$C$337,"amer_west",'Marketing spend and leads'!$D$2:$D$337,"jan26")</f>
        <v>5</v>
      </c>
      <c r="N63" s="4">
        <f>SUMIFS('Marketing spend and leads'!$G$2:$G$337,'Marketing spend and leads'!$B$2:$B$337,"partner",'Marketing spend and leads'!$C$2:$C$337,"amer_west",'Marketing spend and leads'!$D$2:$D$337,"feb26")</f>
        <v>9</v>
      </c>
      <c r="O63" s="4">
        <f>SUMIFS('Marketing spend and leads'!$G$2:$G$337,'Marketing spend and leads'!$B$2:$B$337,"partner",'Marketing spend and leads'!$C$2:$C$337,"amer_west",'Marketing spend and leads'!$D$2:$D$337,"mar26")</f>
        <v>7</v>
      </c>
      <c r="P63" s="4">
        <f>SUMIFS('Marketing spend and leads'!$G$2:$G$337,'Marketing spend and leads'!$B$2:$B$337,"partner",'Marketing spend and leads'!$C$2:$C$337,"amer_west",'Marketing spend and leads'!$D$2:$D$337,"apr26")</f>
        <v>7</v>
      </c>
      <c r="Q63" s="4">
        <f>SUMIFS('Marketing spend and leads'!$G$2:$G$337,'Marketing spend and leads'!$B$2:$B$337,"partner",'Marketing spend and leads'!$C$2:$C$337,"amer_west",'Marketing spend and leads'!$D$2:$D$337,"may26")</f>
        <v>14</v>
      </c>
      <c r="R63" s="4">
        <f>SUMIFS('Marketing spend and leads'!$G$2:$G$337,'Marketing spend and leads'!$B$2:$B$337,"partner",'Marketing spend and leads'!$C$2:$C$337,"amer_west",'Marketing spend and leads'!$D$2:$D$337,"jun26")</f>
        <v>12</v>
      </c>
      <c r="S63" s="4">
        <f>SUMIFS('Marketing spend and leads'!$G$2:$G$337,'Marketing spend and leads'!$B$2:$B$337,"partner",'Marketing spend and leads'!$C$2:$C$337,"amer_west",'Marketing spend and leads'!$D$2:$D$337,"jul26")</f>
        <v>7</v>
      </c>
      <c r="T63" s="4">
        <f>SUMIFS('Marketing spend and leads'!$G$2:$G$337,'Marketing spend and leads'!$B$2:$B$337,"partner",'Marketing spend and leads'!$C$2:$C$337,"amer_west",'Marketing spend and leads'!$D$2:$D$337,"aug26")</f>
        <v>2</v>
      </c>
      <c r="U63" s="4">
        <f>SUMIFS('Marketing spend and leads'!$G$2:$G$337,'Marketing spend and leads'!$B$2:$B$337,"partner",'Marketing spend and leads'!$C$2:$C$337,"amer_west",'Marketing spend and leads'!$D$2:$D$337,"sep26")</f>
        <v>4</v>
      </c>
      <c r="V63" s="4">
        <f>SUMIFS('Marketing spend and leads'!$G$2:$G$337,'Marketing spend and leads'!$B$2:$B$337,"partner",'Marketing spend and leads'!$C$2:$C$337,"amer_west",'Marketing spend and leads'!$D$2:$D$337,"oct26")</f>
        <v>5</v>
      </c>
      <c r="W63" s="4">
        <f>SUMIFS('Marketing spend and leads'!$G$2:$G$337,'Marketing spend and leads'!$B$2:$B$337,"partner",'Marketing spend and leads'!$C$2:$C$337,"amer_west",'Marketing spend and leads'!$D$2:$D$337,"nov26")</f>
        <v>8</v>
      </c>
      <c r="X63" s="4">
        <f>SUMIFS('Marketing spend and leads'!$G$2:$G$337,'Marketing spend and leads'!$B$2:$B$337,"partner",'Marketing spend and leads'!$C$2:$C$337,"amer_west",'Marketing spend and leads'!$D$2:$D$337,"dec26")</f>
        <v>14</v>
      </c>
    </row>
    <row r="64">
      <c r="A64" s="0" t="inlineStr">
        <is>
          <t xml:space="preserve">MQLs</t>
        </is>
      </c>
      <c r="B64" s="0" t="inlineStr">
        <is>
          <t xml:space="preserve">Partner</t>
        </is>
      </c>
      <c r="C64" s="0" t="inlineStr">
        <is>
          <t xml:space="preserve">EMEA</t>
        </is>
      </c>
      <c r="D64" s="4">
        <f>SUMIFS('Marketing spend and leads'!$G$2:$G$337,'Marketing spend and leads'!$B$2:$B$337,"partner",'Marketing spend and leads'!$C$2:$C$337,"emea",'Marketing spend and leads'!$D$2:$D$337,"apr25")</f>
        <v>9</v>
      </c>
      <c r="E64" s="4">
        <f>SUMIFS('Marketing spend and leads'!$G$2:$G$337,'Marketing spend and leads'!$B$2:$B$337,"partner",'Marketing spend and leads'!$C$2:$C$337,"emea",'Marketing spend and leads'!$D$2:$D$337,"may25")</f>
        <v>14</v>
      </c>
      <c r="F64" s="4">
        <f>SUMIFS('Marketing spend and leads'!$G$2:$G$337,'Marketing spend and leads'!$B$2:$B$337,"partner",'Marketing spend and leads'!$C$2:$C$337,"emea",'Marketing spend and leads'!$D$2:$D$337,"jun25")</f>
        <v>13</v>
      </c>
      <c r="G64" s="4">
        <f>SUMIFS('Marketing spend and leads'!$G$2:$G$337,'Marketing spend and leads'!$B$2:$B$337,"partner",'Marketing spend and leads'!$C$2:$C$337,"emea",'Marketing spend and leads'!$D$2:$D$337,"jul25")</f>
        <v>7</v>
      </c>
      <c r="H64" s="4">
        <f>SUMIFS('Marketing spend and leads'!$G$2:$G$337,'Marketing spend and leads'!$B$2:$B$337,"partner",'Marketing spend and leads'!$C$2:$C$337,"emea",'Marketing spend and leads'!$D$2:$D$337,"aug25")</f>
        <v>6</v>
      </c>
      <c r="I64" s="4">
        <f>SUMIFS('Marketing spend and leads'!$G$2:$G$337,'Marketing spend and leads'!$B$2:$B$337,"partner",'Marketing spend and leads'!$C$2:$C$337,"emea",'Marketing spend and leads'!$D$2:$D$337,"sep25")</f>
        <v>6</v>
      </c>
      <c r="J64" s="4">
        <f>SUMIFS('Marketing spend and leads'!$G$2:$G$337,'Marketing spend and leads'!$B$2:$B$337,"partner",'Marketing spend and leads'!$C$2:$C$337,"emea",'Marketing spend and leads'!$D$2:$D$337,"oct25")</f>
        <v>6</v>
      </c>
      <c r="K64" s="4">
        <f>SUMIFS('Marketing spend and leads'!$G$2:$G$337,'Marketing spend and leads'!$B$2:$B$337,"partner",'Marketing spend and leads'!$C$2:$C$337,"emea",'Marketing spend and leads'!$D$2:$D$337,"nov25")</f>
        <v>4</v>
      </c>
      <c r="L64" s="4">
        <f>SUMIFS('Marketing spend and leads'!$G$2:$G$337,'Marketing spend and leads'!$B$2:$B$337,"partner",'Marketing spend and leads'!$C$2:$C$337,"emea",'Marketing spend and leads'!$D$2:$D$337,"dec25")</f>
        <v>10</v>
      </c>
      <c r="M64" s="4">
        <f>SUMIFS('Marketing spend and leads'!$G$2:$G$337,'Marketing spend and leads'!$B$2:$B$337,"partner",'Marketing spend and leads'!$C$2:$C$337,"emea",'Marketing spend and leads'!$D$2:$D$337,"jan26")</f>
        <v>6</v>
      </c>
      <c r="N64" s="4">
        <f>SUMIFS('Marketing spend and leads'!$G$2:$G$337,'Marketing spend and leads'!$B$2:$B$337,"partner",'Marketing spend and leads'!$C$2:$C$337,"emea",'Marketing spend and leads'!$D$2:$D$337,"feb26")</f>
        <v>7</v>
      </c>
      <c r="O64" s="4">
        <f>SUMIFS('Marketing spend and leads'!$G$2:$G$337,'Marketing spend and leads'!$B$2:$B$337,"partner",'Marketing spend and leads'!$C$2:$C$337,"emea",'Marketing spend and leads'!$D$2:$D$337,"mar26")</f>
        <v>12</v>
      </c>
      <c r="P64" s="4">
        <f>SUMIFS('Marketing spend and leads'!$G$2:$G$337,'Marketing spend and leads'!$B$2:$B$337,"partner",'Marketing spend and leads'!$C$2:$C$337,"emea",'Marketing spend and leads'!$D$2:$D$337,"apr26")</f>
        <v>10</v>
      </c>
      <c r="Q64" s="4">
        <f>SUMIFS('Marketing spend and leads'!$G$2:$G$337,'Marketing spend and leads'!$B$2:$B$337,"partner",'Marketing spend and leads'!$C$2:$C$337,"emea",'Marketing spend and leads'!$D$2:$D$337,"may26")</f>
        <v>7</v>
      </c>
      <c r="R64" s="4">
        <f>SUMIFS('Marketing spend and leads'!$G$2:$G$337,'Marketing spend and leads'!$B$2:$B$337,"partner",'Marketing spend and leads'!$C$2:$C$337,"emea",'Marketing spend and leads'!$D$2:$D$337,"jun26")</f>
        <v>7</v>
      </c>
      <c r="S64" s="4">
        <f>SUMIFS('Marketing spend and leads'!$G$2:$G$337,'Marketing spend and leads'!$B$2:$B$337,"partner",'Marketing spend and leads'!$C$2:$C$337,"emea",'Marketing spend and leads'!$D$2:$D$337,"jul26")</f>
        <v>4</v>
      </c>
      <c r="T64" s="4">
        <f>SUMIFS('Marketing spend and leads'!$G$2:$G$337,'Marketing spend and leads'!$B$2:$B$337,"partner",'Marketing spend and leads'!$C$2:$C$337,"emea",'Marketing spend and leads'!$D$2:$D$337,"aug26")</f>
        <v>5</v>
      </c>
      <c r="U64" s="4">
        <f>SUMIFS('Marketing spend and leads'!$G$2:$G$337,'Marketing spend and leads'!$B$2:$B$337,"partner",'Marketing spend and leads'!$C$2:$C$337,"emea",'Marketing spend and leads'!$D$2:$D$337,"sep26")</f>
        <v>7</v>
      </c>
      <c r="V64" s="4">
        <f>SUMIFS('Marketing spend and leads'!$G$2:$G$337,'Marketing spend and leads'!$B$2:$B$337,"partner",'Marketing spend and leads'!$C$2:$C$337,"emea",'Marketing spend and leads'!$D$2:$D$337,"oct26")</f>
        <v>5</v>
      </c>
      <c r="W64" s="4">
        <f>SUMIFS('Marketing spend and leads'!$G$2:$G$337,'Marketing spend and leads'!$B$2:$B$337,"partner",'Marketing spend and leads'!$C$2:$C$337,"emea",'Marketing spend and leads'!$D$2:$D$337,"nov26")</f>
        <v>5</v>
      </c>
      <c r="X64" s="4">
        <f>SUMIFS('Marketing spend and leads'!$G$2:$G$337,'Marketing spend and leads'!$B$2:$B$337,"partner",'Marketing spend and leads'!$C$2:$C$337,"emea",'Marketing spend and leads'!$D$2:$D$337,"dec26")</f>
        <v>10</v>
      </c>
    </row>
    <row r="65">
      <c r="A65" s="0" t="inlineStr">
        <is>
          <t xml:space="preserve">MQLs</t>
        </is>
      </c>
      <c r="B65" s="0" t="inlineStr">
        <is>
          <t xml:space="preserve">Partner</t>
        </is>
      </c>
      <c r="C65" s="0" t="inlineStr">
        <is>
          <t xml:space="preserve">APAC</t>
        </is>
      </c>
      <c r="D65" s="4">
        <f>SUMIFS('Marketing spend and leads'!$G$2:$G$337,'Marketing spend and leads'!$B$2:$B$337,"partner",'Marketing spend and leads'!$C$2:$C$337,"apac",'Marketing spend and leads'!$D$2:$D$337,"apr25")</f>
        <v>5</v>
      </c>
      <c r="E65" s="4">
        <f>SUMIFS('Marketing spend and leads'!$G$2:$G$337,'Marketing spend and leads'!$B$2:$B$337,"partner",'Marketing spend and leads'!$C$2:$C$337,"apac",'Marketing spend and leads'!$D$2:$D$337,"may25")</f>
        <v>4</v>
      </c>
      <c r="F65" s="4">
        <f>SUMIFS('Marketing spend and leads'!$G$2:$G$337,'Marketing spend and leads'!$B$2:$B$337,"partner",'Marketing spend and leads'!$C$2:$C$337,"apac",'Marketing spend and leads'!$D$2:$D$337,"jun25")</f>
        <v>4</v>
      </c>
      <c r="G65" s="4">
        <f>SUMIFS('Marketing spend and leads'!$G$2:$G$337,'Marketing spend and leads'!$B$2:$B$337,"partner",'Marketing spend and leads'!$C$2:$C$337,"apac",'Marketing spend and leads'!$D$2:$D$337,"jul25")</f>
        <v>2</v>
      </c>
      <c r="H65" s="4">
        <f>SUMIFS('Marketing spend and leads'!$G$2:$G$337,'Marketing spend and leads'!$B$2:$B$337,"partner",'Marketing spend and leads'!$C$2:$C$337,"apac",'Marketing spend and leads'!$D$2:$D$337,"aug25")</f>
        <v>5</v>
      </c>
      <c r="I65" s="4">
        <f>SUMIFS('Marketing spend and leads'!$G$2:$G$337,'Marketing spend and leads'!$B$2:$B$337,"partner",'Marketing spend and leads'!$C$2:$C$337,"apac",'Marketing spend and leads'!$D$2:$D$337,"sep25")</f>
        <v>3</v>
      </c>
      <c r="J65" s="4">
        <f>SUMIFS('Marketing spend and leads'!$G$2:$G$337,'Marketing spend and leads'!$B$2:$B$337,"partner",'Marketing spend and leads'!$C$2:$C$337,"apac",'Marketing spend and leads'!$D$2:$D$337,"oct25")</f>
        <v>3</v>
      </c>
      <c r="K65" s="4">
        <f>SUMIFS('Marketing spend and leads'!$G$2:$G$337,'Marketing spend and leads'!$B$2:$B$337,"partner",'Marketing spend and leads'!$C$2:$C$337,"apac",'Marketing spend and leads'!$D$2:$D$337,"nov25")</f>
        <v>7</v>
      </c>
      <c r="L65" s="4">
        <f>SUMIFS('Marketing spend and leads'!$G$2:$G$337,'Marketing spend and leads'!$B$2:$B$337,"partner",'Marketing spend and leads'!$C$2:$C$337,"apac",'Marketing spend and leads'!$D$2:$D$337,"dec25")</f>
        <v>7</v>
      </c>
      <c r="M65" s="4">
        <f>SUMIFS('Marketing spend and leads'!$G$2:$G$337,'Marketing spend and leads'!$B$2:$B$337,"partner",'Marketing spend and leads'!$C$2:$C$337,"apac",'Marketing spend and leads'!$D$2:$D$337,"jan26")</f>
        <v>1</v>
      </c>
      <c r="N65" s="4">
        <f>SUMIFS('Marketing spend and leads'!$G$2:$G$337,'Marketing spend and leads'!$B$2:$B$337,"partner",'Marketing spend and leads'!$C$2:$C$337,"apac",'Marketing spend and leads'!$D$2:$D$337,"feb26")</f>
        <v>5</v>
      </c>
      <c r="O65" s="4">
        <f>SUMIFS('Marketing spend and leads'!$G$2:$G$337,'Marketing spend and leads'!$B$2:$B$337,"partner",'Marketing spend and leads'!$C$2:$C$337,"apac",'Marketing spend and leads'!$D$2:$D$337,"mar26")</f>
        <v>2</v>
      </c>
      <c r="P65" s="4">
        <f>SUMIFS('Marketing spend and leads'!$G$2:$G$337,'Marketing spend and leads'!$B$2:$B$337,"partner",'Marketing spend and leads'!$C$2:$C$337,"apac",'Marketing spend and leads'!$D$2:$D$337,"apr26")</f>
        <v>6</v>
      </c>
      <c r="Q65" s="4">
        <f>SUMIFS('Marketing spend and leads'!$G$2:$G$337,'Marketing spend and leads'!$B$2:$B$337,"partner",'Marketing spend and leads'!$C$2:$C$337,"apac",'Marketing spend and leads'!$D$2:$D$337,"may26")</f>
        <v>2</v>
      </c>
      <c r="R65" s="4">
        <f>SUMIFS('Marketing spend and leads'!$G$2:$G$337,'Marketing spend and leads'!$B$2:$B$337,"partner",'Marketing spend and leads'!$C$2:$C$337,"apac",'Marketing spend and leads'!$D$2:$D$337,"jun26")</f>
        <v>7</v>
      </c>
      <c r="S65" s="4">
        <f>SUMIFS('Marketing spend and leads'!$G$2:$G$337,'Marketing spend and leads'!$B$2:$B$337,"partner",'Marketing spend and leads'!$C$2:$C$337,"apac",'Marketing spend and leads'!$D$2:$D$337,"jul26")</f>
        <v>5</v>
      </c>
      <c r="T65" s="4">
        <f>SUMIFS('Marketing spend and leads'!$G$2:$G$337,'Marketing spend and leads'!$B$2:$B$337,"partner",'Marketing spend and leads'!$C$2:$C$337,"apac",'Marketing spend and leads'!$D$2:$D$337,"aug26")</f>
        <v>6</v>
      </c>
      <c r="U65" s="4">
        <f>SUMIFS('Marketing spend and leads'!$G$2:$G$337,'Marketing spend and leads'!$B$2:$B$337,"partner",'Marketing spend and leads'!$C$2:$C$337,"apac",'Marketing spend and leads'!$D$2:$D$337,"sep26")</f>
        <v>4</v>
      </c>
      <c r="V65" s="4">
        <f>SUMIFS('Marketing spend and leads'!$G$2:$G$337,'Marketing spend and leads'!$B$2:$B$337,"partner",'Marketing spend and leads'!$C$2:$C$337,"apac",'Marketing spend and leads'!$D$2:$D$337,"oct26")</f>
        <v>3</v>
      </c>
      <c r="W65" s="4">
        <f>SUMIFS('Marketing spend and leads'!$G$2:$G$337,'Marketing spend and leads'!$B$2:$B$337,"partner",'Marketing spend and leads'!$C$2:$C$337,"apac",'Marketing spend and leads'!$D$2:$D$337,"nov26")</f>
        <v>6</v>
      </c>
      <c r="X65" s="4">
        <f>SUMIFS('Marketing spend and leads'!$G$2:$G$337,'Marketing spend and leads'!$B$2:$B$337,"partner",'Marketing spend and leads'!$C$2:$C$337,"apac",'Marketing spend and leads'!$D$2:$D$337,"dec26")</f>
        <v>4</v>
      </c>
    </row>
    <row r="66">
      <c r="A66" s="0" t="inlineStr">
        <is>
          <t xml:space="preserve">MQLs</t>
        </is>
      </c>
      <c r="B66" s="0" t="inlineStr">
        <is>
          <t xml:space="preserve">Outbound (BDR)</t>
        </is>
      </c>
      <c r="C66" s="0" t="inlineStr">
        <is>
          <t xml:space="preserve">AMER East</t>
        </is>
      </c>
      <c r="D66" s="4">
        <f>SUMIFS('Marketing spend and leads'!$G$2:$G$337,'Marketing spend and leads'!$B$2:$B$337,"outbound",'Marketing spend and leads'!$C$2:$C$337,"amer_east",'Marketing spend and leads'!$D$2:$D$337,"apr25")</f>
        <v>0</v>
      </c>
      <c r="E66" s="4">
        <f>SUMIFS('Marketing spend and leads'!$G$2:$G$337,'Marketing spend and leads'!$B$2:$B$337,"outbound",'Marketing spend and leads'!$C$2:$C$337,"amer_east",'Marketing spend and leads'!$D$2:$D$337,"may25")</f>
        <v>0</v>
      </c>
      <c r="F66" s="4">
        <f>SUMIFS('Marketing spend and leads'!$G$2:$G$337,'Marketing spend and leads'!$B$2:$B$337,"outbound",'Marketing spend and leads'!$C$2:$C$337,"amer_east",'Marketing spend and leads'!$D$2:$D$337,"jun25")</f>
        <v>0</v>
      </c>
      <c r="G66" s="4">
        <f>SUMIFS('Marketing spend and leads'!$G$2:$G$337,'Marketing spend and leads'!$B$2:$B$337,"outbound",'Marketing spend and leads'!$C$2:$C$337,"amer_east",'Marketing spend and leads'!$D$2:$D$337,"jul25")</f>
        <v>0</v>
      </c>
      <c r="H66" s="4">
        <f>SUMIFS('Marketing spend and leads'!$G$2:$G$337,'Marketing spend and leads'!$B$2:$B$337,"outbound",'Marketing spend and leads'!$C$2:$C$337,"amer_east",'Marketing spend and leads'!$D$2:$D$337,"aug25")</f>
        <v>0</v>
      </c>
      <c r="I66" s="4">
        <f>SUMIFS('Marketing spend and leads'!$G$2:$G$337,'Marketing spend and leads'!$B$2:$B$337,"outbound",'Marketing spend and leads'!$C$2:$C$337,"amer_east",'Marketing spend and leads'!$D$2:$D$337,"sep25")</f>
        <v>0</v>
      </c>
      <c r="J66" s="4">
        <f>SUMIFS('Marketing spend and leads'!$G$2:$G$337,'Marketing spend and leads'!$B$2:$B$337,"outbound",'Marketing spend and leads'!$C$2:$C$337,"amer_east",'Marketing spend and leads'!$D$2:$D$337,"oct25")</f>
        <v>0</v>
      </c>
      <c r="K66" s="4">
        <f>SUMIFS('Marketing spend and leads'!$G$2:$G$337,'Marketing spend and leads'!$B$2:$B$337,"outbound",'Marketing spend and leads'!$C$2:$C$337,"amer_east",'Marketing spend and leads'!$D$2:$D$337,"nov25")</f>
        <v>0</v>
      </c>
      <c r="L66" s="4">
        <f>SUMIFS('Marketing spend and leads'!$G$2:$G$337,'Marketing spend and leads'!$B$2:$B$337,"outbound",'Marketing spend and leads'!$C$2:$C$337,"amer_east",'Marketing spend and leads'!$D$2:$D$337,"dec25")</f>
        <v>0</v>
      </c>
      <c r="M66" s="4">
        <f>SUMIFS('Marketing spend and leads'!$G$2:$G$337,'Marketing spend and leads'!$B$2:$B$337,"outbound",'Marketing spend and leads'!$C$2:$C$337,"amer_east",'Marketing spend and leads'!$D$2:$D$337,"jan26")</f>
        <v>0</v>
      </c>
      <c r="N66" s="4">
        <f>SUMIFS('Marketing spend and leads'!$G$2:$G$337,'Marketing spend and leads'!$B$2:$B$337,"outbound",'Marketing spend and leads'!$C$2:$C$337,"amer_east",'Marketing spend and leads'!$D$2:$D$337,"feb26")</f>
        <v>0</v>
      </c>
      <c r="O66" s="4">
        <f>SUMIFS('Marketing spend and leads'!$G$2:$G$337,'Marketing spend and leads'!$B$2:$B$337,"outbound",'Marketing spend and leads'!$C$2:$C$337,"amer_east",'Marketing spend and leads'!$D$2:$D$337,"mar26")</f>
        <v>0</v>
      </c>
      <c r="P66" s="4">
        <f>SUMIFS('Marketing spend and leads'!$G$2:$G$337,'Marketing spend and leads'!$B$2:$B$337,"outbound",'Marketing spend and leads'!$C$2:$C$337,"amer_east",'Marketing spend and leads'!$D$2:$D$337,"apr26")</f>
        <v>0</v>
      </c>
      <c r="Q66" s="4">
        <f>SUMIFS('Marketing spend and leads'!$G$2:$G$337,'Marketing spend and leads'!$B$2:$B$337,"outbound",'Marketing spend and leads'!$C$2:$C$337,"amer_east",'Marketing spend and leads'!$D$2:$D$337,"may26")</f>
        <v>0</v>
      </c>
      <c r="R66" s="4">
        <f>SUMIFS('Marketing spend and leads'!$G$2:$G$337,'Marketing spend and leads'!$B$2:$B$337,"outbound",'Marketing spend and leads'!$C$2:$C$337,"amer_east",'Marketing spend and leads'!$D$2:$D$337,"jun26")</f>
        <v>0</v>
      </c>
      <c r="S66" s="4">
        <f>SUMIFS('Marketing spend and leads'!$G$2:$G$337,'Marketing spend and leads'!$B$2:$B$337,"outbound",'Marketing spend and leads'!$C$2:$C$337,"amer_east",'Marketing spend and leads'!$D$2:$D$337,"jul26")</f>
        <v>0</v>
      </c>
      <c r="T66" s="4">
        <f>SUMIFS('Marketing spend and leads'!$G$2:$G$337,'Marketing spend and leads'!$B$2:$B$337,"outbound",'Marketing spend and leads'!$C$2:$C$337,"amer_east",'Marketing spend and leads'!$D$2:$D$337,"aug26")</f>
        <v>0</v>
      </c>
      <c r="U66" s="4">
        <f>SUMIFS('Marketing spend and leads'!$G$2:$G$337,'Marketing spend and leads'!$B$2:$B$337,"outbound",'Marketing spend and leads'!$C$2:$C$337,"amer_east",'Marketing spend and leads'!$D$2:$D$337,"sep26")</f>
        <v>0</v>
      </c>
      <c r="V66" s="4">
        <f>SUMIFS('Marketing spend and leads'!$G$2:$G$337,'Marketing spend and leads'!$B$2:$B$337,"outbound",'Marketing spend and leads'!$C$2:$C$337,"amer_east",'Marketing spend and leads'!$D$2:$D$337,"oct26")</f>
        <v>0</v>
      </c>
      <c r="W66" s="4">
        <f>SUMIFS('Marketing spend and leads'!$G$2:$G$337,'Marketing spend and leads'!$B$2:$B$337,"outbound",'Marketing spend and leads'!$C$2:$C$337,"amer_east",'Marketing spend and leads'!$D$2:$D$337,"nov26")</f>
        <v>0</v>
      </c>
      <c r="X66" s="4">
        <f>SUMIFS('Marketing spend and leads'!$G$2:$G$337,'Marketing spend and leads'!$B$2:$B$337,"outbound",'Marketing spend and leads'!$C$2:$C$337,"amer_east",'Marketing spend and leads'!$D$2:$D$337,"dec26")</f>
        <v>0</v>
      </c>
    </row>
    <row r="67">
      <c r="A67" s="0" t="inlineStr">
        <is>
          <t xml:space="preserve">MQLs</t>
        </is>
      </c>
      <c r="B67" s="0" t="inlineStr">
        <is>
          <t xml:space="preserve">Outbound (BDR)</t>
        </is>
      </c>
      <c r="C67" s="0" t="inlineStr">
        <is>
          <t xml:space="preserve">AMER West</t>
        </is>
      </c>
      <c r="D67" s="4">
        <f>SUMIFS('Marketing spend and leads'!$G$2:$G$337,'Marketing spend and leads'!$B$2:$B$337,"outbound",'Marketing spend and leads'!$C$2:$C$337,"amer_west",'Marketing spend and leads'!$D$2:$D$337,"apr25")</f>
        <v>0</v>
      </c>
      <c r="E67" s="4">
        <f>SUMIFS('Marketing spend and leads'!$G$2:$G$337,'Marketing spend and leads'!$B$2:$B$337,"outbound",'Marketing spend and leads'!$C$2:$C$337,"amer_west",'Marketing spend and leads'!$D$2:$D$337,"may25")</f>
        <v>0</v>
      </c>
      <c r="F67" s="4">
        <f>SUMIFS('Marketing spend and leads'!$G$2:$G$337,'Marketing spend and leads'!$B$2:$B$337,"outbound",'Marketing spend and leads'!$C$2:$C$337,"amer_west",'Marketing spend and leads'!$D$2:$D$337,"jun25")</f>
        <v>0</v>
      </c>
      <c r="G67" s="4">
        <f>SUMIFS('Marketing spend and leads'!$G$2:$G$337,'Marketing spend and leads'!$B$2:$B$337,"outbound",'Marketing spend and leads'!$C$2:$C$337,"amer_west",'Marketing spend and leads'!$D$2:$D$337,"jul25")</f>
        <v>0</v>
      </c>
      <c r="H67" s="4">
        <f>SUMIFS('Marketing spend and leads'!$G$2:$G$337,'Marketing spend and leads'!$B$2:$B$337,"outbound",'Marketing spend and leads'!$C$2:$C$337,"amer_west",'Marketing spend and leads'!$D$2:$D$337,"aug25")</f>
        <v>0</v>
      </c>
      <c r="I67" s="4">
        <f>SUMIFS('Marketing spend and leads'!$G$2:$G$337,'Marketing spend and leads'!$B$2:$B$337,"outbound",'Marketing spend and leads'!$C$2:$C$337,"amer_west",'Marketing spend and leads'!$D$2:$D$337,"sep25")</f>
        <v>0</v>
      </c>
      <c r="J67" s="4">
        <f>SUMIFS('Marketing spend and leads'!$G$2:$G$337,'Marketing spend and leads'!$B$2:$B$337,"outbound",'Marketing spend and leads'!$C$2:$C$337,"amer_west",'Marketing spend and leads'!$D$2:$D$337,"oct25")</f>
        <v>0</v>
      </c>
      <c r="K67" s="4">
        <f>SUMIFS('Marketing spend and leads'!$G$2:$G$337,'Marketing spend and leads'!$B$2:$B$337,"outbound",'Marketing spend and leads'!$C$2:$C$337,"amer_west",'Marketing spend and leads'!$D$2:$D$337,"nov25")</f>
        <v>0</v>
      </c>
      <c r="L67" s="4">
        <f>SUMIFS('Marketing spend and leads'!$G$2:$G$337,'Marketing spend and leads'!$B$2:$B$337,"outbound",'Marketing spend and leads'!$C$2:$C$337,"amer_west",'Marketing spend and leads'!$D$2:$D$337,"dec25")</f>
        <v>0</v>
      </c>
      <c r="M67" s="4">
        <f>SUMIFS('Marketing spend and leads'!$G$2:$G$337,'Marketing spend and leads'!$B$2:$B$337,"outbound",'Marketing spend and leads'!$C$2:$C$337,"amer_west",'Marketing spend and leads'!$D$2:$D$337,"jan26")</f>
        <v>0</v>
      </c>
      <c r="N67" s="4">
        <f>SUMIFS('Marketing spend and leads'!$G$2:$G$337,'Marketing spend and leads'!$B$2:$B$337,"outbound",'Marketing spend and leads'!$C$2:$C$337,"amer_west",'Marketing spend and leads'!$D$2:$D$337,"feb26")</f>
        <v>0</v>
      </c>
      <c r="O67" s="4">
        <f>SUMIFS('Marketing spend and leads'!$G$2:$G$337,'Marketing spend and leads'!$B$2:$B$337,"outbound",'Marketing spend and leads'!$C$2:$C$337,"amer_west",'Marketing spend and leads'!$D$2:$D$337,"mar26")</f>
        <v>0</v>
      </c>
      <c r="P67" s="4">
        <f>SUMIFS('Marketing spend and leads'!$G$2:$G$337,'Marketing spend and leads'!$B$2:$B$337,"outbound",'Marketing spend and leads'!$C$2:$C$337,"amer_west",'Marketing spend and leads'!$D$2:$D$337,"apr26")</f>
        <v>0</v>
      </c>
      <c r="Q67" s="4">
        <f>SUMIFS('Marketing spend and leads'!$G$2:$G$337,'Marketing spend and leads'!$B$2:$B$337,"outbound",'Marketing spend and leads'!$C$2:$C$337,"amer_west",'Marketing spend and leads'!$D$2:$D$337,"may26")</f>
        <v>0</v>
      </c>
      <c r="R67" s="4">
        <f>SUMIFS('Marketing spend and leads'!$G$2:$G$337,'Marketing spend and leads'!$B$2:$B$337,"outbound",'Marketing spend and leads'!$C$2:$C$337,"amer_west",'Marketing spend and leads'!$D$2:$D$337,"jun26")</f>
        <v>0</v>
      </c>
      <c r="S67" s="4">
        <f>SUMIFS('Marketing spend and leads'!$G$2:$G$337,'Marketing spend and leads'!$B$2:$B$337,"outbound",'Marketing spend and leads'!$C$2:$C$337,"amer_west",'Marketing spend and leads'!$D$2:$D$337,"jul26")</f>
        <v>0</v>
      </c>
      <c r="T67" s="4">
        <f>SUMIFS('Marketing spend and leads'!$G$2:$G$337,'Marketing spend and leads'!$B$2:$B$337,"outbound",'Marketing spend and leads'!$C$2:$C$337,"amer_west",'Marketing spend and leads'!$D$2:$D$337,"aug26")</f>
        <v>0</v>
      </c>
      <c r="U67" s="4">
        <f>SUMIFS('Marketing spend and leads'!$G$2:$G$337,'Marketing spend and leads'!$B$2:$B$337,"outbound",'Marketing spend and leads'!$C$2:$C$337,"amer_west",'Marketing spend and leads'!$D$2:$D$337,"sep26")</f>
        <v>0</v>
      </c>
      <c r="V67" s="4">
        <f>SUMIFS('Marketing spend and leads'!$G$2:$G$337,'Marketing spend and leads'!$B$2:$B$337,"outbound",'Marketing spend and leads'!$C$2:$C$337,"amer_west",'Marketing spend and leads'!$D$2:$D$337,"oct26")</f>
        <v>0</v>
      </c>
      <c r="W67" s="4">
        <f>SUMIFS('Marketing spend and leads'!$G$2:$G$337,'Marketing spend and leads'!$B$2:$B$337,"outbound",'Marketing spend and leads'!$C$2:$C$337,"amer_west",'Marketing spend and leads'!$D$2:$D$337,"nov26")</f>
        <v>0</v>
      </c>
      <c r="X67" s="4">
        <f>SUMIFS('Marketing spend and leads'!$G$2:$G$337,'Marketing spend and leads'!$B$2:$B$337,"outbound",'Marketing spend and leads'!$C$2:$C$337,"amer_west",'Marketing spend and leads'!$D$2:$D$337,"dec26")</f>
        <v>0</v>
      </c>
    </row>
    <row r="68">
      <c r="A68" s="0" t="inlineStr">
        <is>
          <t xml:space="preserve">MQLs</t>
        </is>
      </c>
      <c r="B68" s="0" t="inlineStr">
        <is>
          <t xml:space="preserve">Outbound (BDR)</t>
        </is>
      </c>
      <c r="C68" s="0" t="inlineStr">
        <is>
          <t xml:space="preserve">EMEA</t>
        </is>
      </c>
      <c r="D68" s="4">
        <f>SUMIFS('Marketing spend and leads'!$G$2:$G$337,'Marketing spend and leads'!$B$2:$B$337,"outbound",'Marketing spend and leads'!$C$2:$C$337,"emea",'Marketing spend and leads'!$D$2:$D$337,"apr25")</f>
        <v>0</v>
      </c>
      <c r="E68" s="4">
        <f>SUMIFS('Marketing spend and leads'!$G$2:$G$337,'Marketing spend and leads'!$B$2:$B$337,"outbound",'Marketing spend and leads'!$C$2:$C$337,"emea",'Marketing spend and leads'!$D$2:$D$337,"may25")</f>
        <v>0</v>
      </c>
      <c r="F68" s="4">
        <f>SUMIFS('Marketing spend and leads'!$G$2:$G$337,'Marketing spend and leads'!$B$2:$B$337,"outbound",'Marketing spend and leads'!$C$2:$C$337,"emea",'Marketing spend and leads'!$D$2:$D$337,"jun25")</f>
        <v>0</v>
      </c>
      <c r="G68" s="4">
        <f>SUMIFS('Marketing spend and leads'!$G$2:$G$337,'Marketing spend and leads'!$B$2:$B$337,"outbound",'Marketing spend and leads'!$C$2:$C$337,"emea",'Marketing spend and leads'!$D$2:$D$337,"jul25")</f>
        <v>0</v>
      </c>
      <c r="H68" s="4">
        <f>SUMIFS('Marketing spend and leads'!$G$2:$G$337,'Marketing spend and leads'!$B$2:$B$337,"outbound",'Marketing spend and leads'!$C$2:$C$337,"emea",'Marketing spend and leads'!$D$2:$D$337,"aug25")</f>
        <v>0</v>
      </c>
      <c r="I68" s="4">
        <f>SUMIFS('Marketing spend and leads'!$G$2:$G$337,'Marketing spend and leads'!$B$2:$B$337,"outbound",'Marketing spend and leads'!$C$2:$C$337,"emea",'Marketing spend and leads'!$D$2:$D$337,"sep25")</f>
        <v>0</v>
      </c>
      <c r="J68" s="4">
        <f>SUMIFS('Marketing spend and leads'!$G$2:$G$337,'Marketing spend and leads'!$B$2:$B$337,"outbound",'Marketing spend and leads'!$C$2:$C$337,"emea",'Marketing spend and leads'!$D$2:$D$337,"oct25")</f>
        <v>0</v>
      </c>
      <c r="K68" s="4">
        <f>SUMIFS('Marketing spend and leads'!$G$2:$G$337,'Marketing spend and leads'!$B$2:$B$337,"outbound",'Marketing spend and leads'!$C$2:$C$337,"emea",'Marketing spend and leads'!$D$2:$D$337,"nov25")</f>
        <v>0</v>
      </c>
      <c r="L68" s="4">
        <f>SUMIFS('Marketing spend and leads'!$G$2:$G$337,'Marketing spend and leads'!$B$2:$B$337,"outbound",'Marketing spend and leads'!$C$2:$C$337,"emea",'Marketing spend and leads'!$D$2:$D$337,"dec25")</f>
        <v>0</v>
      </c>
      <c r="M68" s="4">
        <f>SUMIFS('Marketing spend and leads'!$G$2:$G$337,'Marketing spend and leads'!$B$2:$B$337,"outbound",'Marketing spend and leads'!$C$2:$C$337,"emea",'Marketing spend and leads'!$D$2:$D$337,"jan26")</f>
        <v>0</v>
      </c>
      <c r="N68" s="4">
        <f>SUMIFS('Marketing spend and leads'!$G$2:$G$337,'Marketing spend and leads'!$B$2:$B$337,"outbound",'Marketing spend and leads'!$C$2:$C$337,"emea",'Marketing spend and leads'!$D$2:$D$337,"feb26")</f>
        <v>0</v>
      </c>
      <c r="O68" s="4">
        <f>SUMIFS('Marketing spend and leads'!$G$2:$G$337,'Marketing spend and leads'!$B$2:$B$337,"outbound",'Marketing spend and leads'!$C$2:$C$337,"emea",'Marketing spend and leads'!$D$2:$D$337,"mar26")</f>
        <v>0</v>
      </c>
      <c r="P68" s="4">
        <f>SUMIFS('Marketing spend and leads'!$G$2:$G$337,'Marketing spend and leads'!$B$2:$B$337,"outbound",'Marketing spend and leads'!$C$2:$C$337,"emea",'Marketing spend and leads'!$D$2:$D$337,"apr26")</f>
        <v>0</v>
      </c>
      <c r="Q68" s="4">
        <f>SUMIFS('Marketing spend and leads'!$G$2:$G$337,'Marketing spend and leads'!$B$2:$B$337,"outbound",'Marketing spend and leads'!$C$2:$C$337,"emea",'Marketing spend and leads'!$D$2:$D$337,"may26")</f>
        <v>0</v>
      </c>
      <c r="R68" s="4">
        <f>SUMIFS('Marketing spend and leads'!$G$2:$G$337,'Marketing spend and leads'!$B$2:$B$337,"outbound",'Marketing spend and leads'!$C$2:$C$337,"emea",'Marketing spend and leads'!$D$2:$D$337,"jun26")</f>
        <v>0</v>
      </c>
      <c r="S68" s="4">
        <f>SUMIFS('Marketing spend and leads'!$G$2:$G$337,'Marketing spend and leads'!$B$2:$B$337,"outbound",'Marketing spend and leads'!$C$2:$C$337,"emea",'Marketing spend and leads'!$D$2:$D$337,"jul26")</f>
        <v>0</v>
      </c>
      <c r="T68" s="4">
        <f>SUMIFS('Marketing spend and leads'!$G$2:$G$337,'Marketing spend and leads'!$B$2:$B$337,"outbound",'Marketing spend and leads'!$C$2:$C$337,"emea",'Marketing spend and leads'!$D$2:$D$337,"aug26")</f>
        <v>0</v>
      </c>
      <c r="U68" s="4">
        <f>SUMIFS('Marketing spend and leads'!$G$2:$G$337,'Marketing spend and leads'!$B$2:$B$337,"outbound",'Marketing spend and leads'!$C$2:$C$337,"emea",'Marketing spend and leads'!$D$2:$D$337,"sep26")</f>
        <v>0</v>
      </c>
      <c r="V68" s="4">
        <f>SUMIFS('Marketing spend and leads'!$G$2:$G$337,'Marketing spend and leads'!$B$2:$B$337,"outbound",'Marketing spend and leads'!$C$2:$C$337,"emea",'Marketing spend and leads'!$D$2:$D$337,"oct26")</f>
        <v>0</v>
      </c>
      <c r="W68" s="4">
        <f>SUMIFS('Marketing spend and leads'!$G$2:$G$337,'Marketing spend and leads'!$B$2:$B$337,"outbound",'Marketing spend and leads'!$C$2:$C$337,"emea",'Marketing spend and leads'!$D$2:$D$337,"nov26")</f>
        <v>0</v>
      </c>
      <c r="X68" s="4">
        <f>SUMIFS('Marketing spend and leads'!$G$2:$G$337,'Marketing spend and leads'!$B$2:$B$337,"outbound",'Marketing spend and leads'!$C$2:$C$337,"emea",'Marketing spend and leads'!$D$2:$D$337,"dec26")</f>
        <v>0</v>
      </c>
    </row>
    <row r="69">
      <c r="A69" s="0" t="inlineStr">
        <is>
          <t xml:space="preserve">MQLs</t>
        </is>
      </c>
      <c r="B69" s="0" t="inlineStr">
        <is>
          <t xml:space="preserve">Outbound (BDR)</t>
        </is>
      </c>
      <c r="C69" s="0" t="inlineStr">
        <is>
          <t xml:space="preserve">APAC</t>
        </is>
      </c>
      <c r="D69" s="4">
        <f>SUMIFS('Marketing spend and leads'!$G$2:$G$337,'Marketing spend and leads'!$B$2:$B$337,"outbound",'Marketing spend and leads'!$C$2:$C$337,"apac",'Marketing spend and leads'!$D$2:$D$337,"apr25")</f>
        <v>0</v>
      </c>
      <c r="E69" s="4">
        <f>SUMIFS('Marketing spend and leads'!$G$2:$G$337,'Marketing spend and leads'!$B$2:$B$337,"outbound",'Marketing spend and leads'!$C$2:$C$337,"apac",'Marketing spend and leads'!$D$2:$D$337,"may25")</f>
        <v>0</v>
      </c>
      <c r="F69" s="4">
        <f>SUMIFS('Marketing spend and leads'!$G$2:$G$337,'Marketing spend and leads'!$B$2:$B$337,"outbound",'Marketing spend and leads'!$C$2:$C$337,"apac",'Marketing spend and leads'!$D$2:$D$337,"jun25")</f>
        <v>0</v>
      </c>
      <c r="G69" s="4">
        <f>SUMIFS('Marketing spend and leads'!$G$2:$G$337,'Marketing spend and leads'!$B$2:$B$337,"outbound",'Marketing spend and leads'!$C$2:$C$337,"apac",'Marketing spend and leads'!$D$2:$D$337,"jul25")</f>
        <v>0</v>
      </c>
      <c r="H69" s="4">
        <f>SUMIFS('Marketing spend and leads'!$G$2:$G$337,'Marketing spend and leads'!$B$2:$B$337,"outbound",'Marketing spend and leads'!$C$2:$C$337,"apac",'Marketing spend and leads'!$D$2:$D$337,"aug25")</f>
        <v>0</v>
      </c>
      <c r="I69" s="4">
        <f>SUMIFS('Marketing spend and leads'!$G$2:$G$337,'Marketing spend and leads'!$B$2:$B$337,"outbound",'Marketing spend and leads'!$C$2:$C$337,"apac",'Marketing spend and leads'!$D$2:$D$337,"sep25")</f>
        <v>0</v>
      </c>
      <c r="J69" s="4">
        <f>SUMIFS('Marketing spend and leads'!$G$2:$G$337,'Marketing spend and leads'!$B$2:$B$337,"outbound",'Marketing spend and leads'!$C$2:$C$337,"apac",'Marketing spend and leads'!$D$2:$D$337,"oct25")</f>
        <v>0</v>
      </c>
      <c r="K69" s="4">
        <f>SUMIFS('Marketing spend and leads'!$G$2:$G$337,'Marketing spend and leads'!$B$2:$B$337,"outbound",'Marketing spend and leads'!$C$2:$C$337,"apac",'Marketing spend and leads'!$D$2:$D$337,"nov25")</f>
        <v>0</v>
      </c>
      <c r="L69" s="4">
        <f>SUMIFS('Marketing spend and leads'!$G$2:$G$337,'Marketing spend and leads'!$B$2:$B$337,"outbound",'Marketing spend and leads'!$C$2:$C$337,"apac",'Marketing spend and leads'!$D$2:$D$337,"dec25")</f>
        <v>0</v>
      </c>
      <c r="M69" s="4">
        <f>SUMIFS('Marketing spend and leads'!$G$2:$G$337,'Marketing spend and leads'!$B$2:$B$337,"outbound",'Marketing spend and leads'!$C$2:$C$337,"apac",'Marketing spend and leads'!$D$2:$D$337,"jan26")</f>
        <v>0</v>
      </c>
      <c r="N69" s="4">
        <f>SUMIFS('Marketing spend and leads'!$G$2:$G$337,'Marketing spend and leads'!$B$2:$B$337,"outbound",'Marketing spend and leads'!$C$2:$C$337,"apac",'Marketing spend and leads'!$D$2:$D$337,"feb26")</f>
        <v>0</v>
      </c>
      <c r="O69" s="4">
        <f>SUMIFS('Marketing spend and leads'!$G$2:$G$337,'Marketing spend and leads'!$B$2:$B$337,"outbound",'Marketing spend and leads'!$C$2:$C$337,"apac",'Marketing spend and leads'!$D$2:$D$337,"mar26")</f>
        <v>0</v>
      </c>
      <c r="P69" s="4">
        <f>SUMIFS('Marketing spend and leads'!$G$2:$G$337,'Marketing spend and leads'!$B$2:$B$337,"outbound",'Marketing spend and leads'!$C$2:$C$337,"apac",'Marketing spend and leads'!$D$2:$D$337,"apr26")</f>
        <v>0</v>
      </c>
      <c r="Q69" s="4">
        <f>SUMIFS('Marketing spend and leads'!$G$2:$G$337,'Marketing spend and leads'!$B$2:$B$337,"outbound",'Marketing spend and leads'!$C$2:$C$337,"apac",'Marketing spend and leads'!$D$2:$D$337,"may26")</f>
        <v>0</v>
      </c>
      <c r="R69" s="4">
        <f>SUMIFS('Marketing spend and leads'!$G$2:$G$337,'Marketing spend and leads'!$B$2:$B$337,"outbound",'Marketing spend and leads'!$C$2:$C$337,"apac",'Marketing spend and leads'!$D$2:$D$337,"jun26")</f>
        <v>0</v>
      </c>
      <c r="S69" s="4">
        <f>SUMIFS('Marketing spend and leads'!$G$2:$G$337,'Marketing spend and leads'!$B$2:$B$337,"outbound",'Marketing spend and leads'!$C$2:$C$337,"apac",'Marketing spend and leads'!$D$2:$D$337,"jul26")</f>
        <v>0</v>
      </c>
      <c r="T69" s="4">
        <f>SUMIFS('Marketing spend and leads'!$G$2:$G$337,'Marketing spend and leads'!$B$2:$B$337,"outbound",'Marketing spend and leads'!$C$2:$C$337,"apac",'Marketing spend and leads'!$D$2:$D$337,"aug26")</f>
        <v>0</v>
      </c>
      <c r="U69" s="4">
        <f>SUMIFS('Marketing spend and leads'!$G$2:$G$337,'Marketing spend and leads'!$B$2:$B$337,"outbound",'Marketing spend and leads'!$C$2:$C$337,"apac",'Marketing spend and leads'!$D$2:$D$337,"sep26")</f>
        <v>0</v>
      </c>
      <c r="V69" s="4">
        <f>SUMIFS('Marketing spend and leads'!$G$2:$G$337,'Marketing spend and leads'!$B$2:$B$337,"outbound",'Marketing spend and leads'!$C$2:$C$337,"apac",'Marketing spend and leads'!$D$2:$D$337,"oct26")</f>
        <v>0</v>
      </c>
      <c r="W69" s="4">
        <f>SUMIFS('Marketing spend and leads'!$G$2:$G$337,'Marketing spend and leads'!$B$2:$B$337,"outbound",'Marketing spend and leads'!$C$2:$C$337,"apac",'Marketing spend and leads'!$D$2:$D$337,"nov26")</f>
        <v>0</v>
      </c>
      <c r="X69" s="4">
        <f>SUMIFS('Marketing spend and leads'!$G$2:$G$337,'Marketing spend and leads'!$B$2:$B$337,"outbound",'Marketing spend and leads'!$C$2:$C$337,"apac",'Marketing spend and leads'!$D$2:$D$337,"dec26")</f>
        <v>0</v>
      </c>
    </row>
    <row r="70">
      <c r="A70" s="0" t="inlineStr">
        <is>
          <t xml:space="preserve">MQLs</t>
        </is>
      </c>
      <c r="B70" s="0" t="inlineStr">
        <is>
          <t xml:space="preserve">Customer referral</t>
        </is>
      </c>
      <c r="C70" s="0" t="inlineStr">
        <is>
          <t xml:space="preserve">AMER East</t>
        </is>
      </c>
      <c r="D70" s="4">
        <f>SUMIFS('Marketing spend and leads'!$G$2:$G$337,'Marketing spend and leads'!$B$2:$B$337,"referral",'Marketing spend and leads'!$C$2:$C$337,"amer_east",'Marketing spend and leads'!$D$2:$D$337,"apr25")</f>
        <v>0</v>
      </c>
      <c r="E70" s="4">
        <f>SUMIFS('Marketing spend and leads'!$G$2:$G$337,'Marketing spend and leads'!$B$2:$B$337,"referral",'Marketing spend and leads'!$C$2:$C$337,"amer_east",'Marketing spend and leads'!$D$2:$D$337,"may25")</f>
        <v>0</v>
      </c>
      <c r="F70" s="4">
        <f>SUMIFS('Marketing spend and leads'!$G$2:$G$337,'Marketing spend and leads'!$B$2:$B$337,"referral",'Marketing spend and leads'!$C$2:$C$337,"amer_east",'Marketing spend and leads'!$D$2:$D$337,"jun25")</f>
        <v>0</v>
      </c>
      <c r="G70" s="4">
        <f>SUMIFS('Marketing spend and leads'!$G$2:$G$337,'Marketing spend and leads'!$B$2:$B$337,"referral",'Marketing spend and leads'!$C$2:$C$337,"amer_east",'Marketing spend and leads'!$D$2:$D$337,"jul25")</f>
        <v>0</v>
      </c>
      <c r="H70" s="4">
        <f>SUMIFS('Marketing spend and leads'!$G$2:$G$337,'Marketing spend and leads'!$B$2:$B$337,"referral",'Marketing spend and leads'!$C$2:$C$337,"amer_east",'Marketing spend and leads'!$D$2:$D$337,"aug25")</f>
        <v>0</v>
      </c>
      <c r="I70" s="4">
        <f>SUMIFS('Marketing spend and leads'!$G$2:$G$337,'Marketing spend and leads'!$B$2:$B$337,"referral",'Marketing spend and leads'!$C$2:$C$337,"amer_east",'Marketing spend and leads'!$D$2:$D$337,"sep25")</f>
        <v>0</v>
      </c>
      <c r="J70" s="4">
        <f>SUMIFS('Marketing spend and leads'!$G$2:$G$337,'Marketing spend and leads'!$B$2:$B$337,"referral",'Marketing spend and leads'!$C$2:$C$337,"amer_east",'Marketing spend and leads'!$D$2:$D$337,"oct25")</f>
        <v>0</v>
      </c>
      <c r="K70" s="4">
        <f>SUMIFS('Marketing spend and leads'!$G$2:$G$337,'Marketing spend and leads'!$B$2:$B$337,"referral",'Marketing spend and leads'!$C$2:$C$337,"amer_east",'Marketing spend and leads'!$D$2:$D$337,"nov25")</f>
        <v>0</v>
      </c>
      <c r="L70" s="4">
        <f>SUMIFS('Marketing spend and leads'!$G$2:$G$337,'Marketing spend and leads'!$B$2:$B$337,"referral",'Marketing spend and leads'!$C$2:$C$337,"amer_east",'Marketing spend and leads'!$D$2:$D$337,"dec25")</f>
        <v>0</v>
      </c>
      <c r="M70" s="4">
        <f>SUMIFS('Marketing spend and leads'!$G$2:$G$337,'Marketing spend and leads'!$B$2:$B$337,"referral",'Marketing spend and leads'!$C$2:$C$337,"amer_east",'Marketing spend and leads'!$D$2:$D$337,"jan26")</f>
        <v>0</v>
      </c>
      <c r="N70" s="4">
        <f>SUMIFS('Marketing spend and leads'!$G$2:$G$337,'Marketing spend and leads'!$B$2:$B$337,"referral",'Marketing spend and leads'!$C$2:$C$337,"amer_east",'Marketing spend and leads'!$D$2:$D$337,"feb26")</f>
        <v>0</v>
      </c>
      <c r="O70" s="4">
        <f>SUMIFS('Marketing spend and leads'!$G$2:$G$337,'Marketing spend and leads'!$B$2:$B$337,"referral",'Marketing spend and leads'!$C$2:$C$337,"amer_east",'Marketing spend and leads'!$D$2:$D$337,"mar26")</f>
        <v>0</v>
      </c>
      <c r="P70" s="4">
        <f>SUMIFS('Marketing spend and leads'!$G$2:$G$337,'Marketing spend and leads'!$B$2:$B$337,"referral",'Marketing spend and leads'!$C$2:$C$337,"amer_east",'Marketing spend and leads'!$D$2:$D$337,"apr26")</f>
        <v>0</v>
      </c>
      <c r="Q70" s="4">
        <f>SUMIFS('Marketing spend and leads'!$G$2:$G$337,'Marketing spend and leads'!$B$2:$B$337,"referral",'Marketing spend and leads'!$C$2:$C$337,"amer_east",'Marketing spend and leads'!$D$2:$D$337,"may26")</f>
        <v>0</v>
      </c>
      <c r="R70" s="4">
        <f>SUMIFS('Marketing spend and leads'!$G$2:$G$337,'Marketing spend and leads'!$B$2:$B$337,"referral",'Marketing spend and leads'!$C$2:$C$337,"amer_east",'Marketing spend and leads'!$D$2:$D$337,"jun26")</f>
        <v>0</v>
      </c>
      <c r="S70" s="4">
        <f>SUMIFS('Marketing spend and leads'!$G$2:$G$337,'Marketing spend and leads'!$B$2:$B$337,"referral",'Marketing spend and leads'!$C$2:$C$337,"amer_east",'Marketing spend and leads'!$D$2:$D$337,"jul26")</f>
        <v>0</v>
      </c>
      <c r="T70" s="4">
        <f>SUMIFS('Marketing spend and leads'!$G$2:$G$337,'Marketing spend and leads'!$B$2:$B$337,"referral",'Marketing spend and leads'!$C$2:$C$337,"amer_east",'Marketing spend and leads'!$D$2:$D$337,"aug26")</f>
        <v>0</v>
      </c>
      <c r="U70" s="4">
        <f>SUMIFS('Marketing spend and leads'!$G$2:$G$337,'Marketing spend and leads'!$B$2:$B$337,"referral",'Marketing spend and leads'!$C$2:$C$337,"amer_east",'Marketing spend and leads'!$D$2:$D$337,"sep26")</f>
        <v>0</v>
      </c>
      <c r="V70" s="4">
        <f>SUMIFS('Marketing spend and leads'!$G$2:$G$337,'Marketing spend and leads'!$B$2:$B$337,"referral",'Marketing spend and leads'!$C$2:$C$337,"amer_east",'Marketing spend and leads'!$D$2:$D$337,"oct26")</f>
        <v>0</v>
      </c>
      <c r="W70" s="4">
        <f>SUMIFS('Marketing spend and leads'!$G$2:$G$337,'Marketing spend and leads'!$B$2:$B$337,"referral",'Marketing spend and leads'!$C$2:$C$337,"amer_east",'Marketing spend and leads'!$D$2:$D$337,"nov26")</f>
        <v>0</v>
      </c>
      <c r="X70" s="4">
        <f>SUMIFS('Marketing spend and leads'!$G$2:$G$337,'Marketing spend and leads'!$B$2:$B$337,"referral",'Marketing spend and leads'!$C$2:$C$337,"amer_east",'Marketing spend and leads'!$D$2:$D$337,"dec26")</f>
        <v>0</v>
      </c>
    </row>
    <row r="71">
      <c r="A71" s="0" t="inlineStr">
        <is>
          <t xml:space="preserve">MQLs</t>
        </is>
      </c>
      <c r="B71" s="0" t="inlineStr">
        <is>
          <t xml:space="preserve">Customer referral</t>
        </is>
      </c>
      <c r="C71" s="0" t="inlineStr">
        <is>
          <t xml:space="preserve">AMER West</t>
        </is>
      </c>
      <c r="D71" s="4">
        <f>SUMIFS('Marketing spend and leads'!$G$2:$G$337,'Marketing spend and leads'!$B$2:$B$337,"referral",'Marketing spend and leads'!$C$2:$C$337,"amer_west",'Marketing spend and leads'!$D$2:$D$337,"apr25")</f>
        <v>0</v>
      </c>
      <c r="E71" s="4">
        <f>SUMIFS('Marketing spend and leads'!$G$2:$G$337,'Marketing spend and leads'!$B$2:$B$337,"referral",'Marketing spend and leads'!$C$2:$C$337,"amer_west",'Marketing spend and leads'!$D$2:$D$337,"may25")</f>
        <v>0</v>
      </c>
      <c r="F71" s="4">
        <f>SUMIFS('Marketing spend and leads'!$G$2:$G$337,'Marketing spend and leads'!$B$2:$B$337,"referral",'Marketing spend and leads'!$C$2:$C$337,"amer_west",'Marketing spend and leads'!$D$2:$D$337,"jun25")</f>
        <v>0</v>
      </c>
      <c r="G71" s="4">
        <f>SUMIFS('Marketing spend and leads'!$G$2:$G$337,'Marketing spend and leads'!$B$2:$B$337,"referral",'Marketing spend and leads'!$C$2:$C$337,"amer_west",'Marketing spend and leads'!$D$2:$D$337,"jul25")</f>
        <v>0</v>
      </c>
      <c r="H71" s="4">
        <f>SUMIFS('Marketing spend and leads'!$G$2:$G$337,'Marketing spend and leads'!$B$2:$B$337,"referral",'Marketing spend and leads'!$C$2:$C$337,"amer_west",'Marketing spend and leads'!$D$2:$D$337,"aug25")</f>
        <v>0</v>
      </c>
      <c r="I71" s="4">
        <f>SUMIFS('Marketing spend and leads'!$G$2:$G$337,'Marketing spend and leads'!$B$2:$B$337,"referral",'Marketing spend and leads'!$C$2:$C$337,"amer_west",'Marketing spend and leads'!$D$2:$D$337,"sep25")</f>
        <v>0</v>
      </c>
      <c r="J71" s="4">
        <f>SUMIFS('Marketing spend and leads'!$G$2:$G$337,'Marketing spend and leads'!$B$2:$B$337,"referral",'Marketing spend and leads'!$C$2:$C$337,"amer_west",'Marketing spend and leads'!$D$2:$D$337,"oct25")</f>
        <v>0</v>
      </c>
      <c r="K71" s="4">
        <f>SUMIFS('Marketing spend and leads'!$G$2:$G$337,'Marketing spend and leads'!$B$2:$B$337,"referral",'Marketing spend and leads'!$C$2:$C$337,"amer_west",'Marketing spend and leads'!$D$2:$D$337,"nov25")</f>
        <v>0</v>
      </c>
      <c r="L71" s="4">
        <f>SUMIFS('Marketing spend and leads'!$G$2:$G$337,'Marketing spend and leads'!$B$2:$B$337,"referral",'Marketing spend and leads'!$C$2:$C$337,"amer_west",'Marketing spend and leads'!$D$2:$D$337,"dec25")</f>
        <v>0</v>
      </c>
      <c r="M71" s="4">
        <f>SUMIFS('Marketing spend and leads'!$G$2:$G$337,'Marketing spend and leads'!$B$2:$B$337,"referral",'Marketing spend and leads'!$C$2:$C$337,"amer_west",'Marketing spend and leads'!$D$2:$D$337,"jan26")</f>
        <v>0</v>
      </c>
      <c r="N71" s="4">
        <f>SUMIFS('Marketing spend and leads'!$G$2:$G$337,'Marketing spend and leads'!$B$2:$B$337,"referral",'Marketing spend and leads'!$C$2:$C$337,"amer_west",'Marketing spend and leads'!$D$2:$D$337,"feb26")</f>
        <v>0</v>
      </c>
      <c r="O71" s="4">
        <f>SUMIFS('Marketing spend and leads'!$G$2:$G$337,'Marketing spend and leads'!$B$2:$B$337,"referral",'Marketing spend and leads'!$C$2:$C$337,"amer_west",'Marketing spend and leads'!$D$2:$D$337,"mar26")</f>
        <v>0</v>
      </c>
      <c r="P71" s="4">
        <f>SUMIFS('Marketing spend and leads'!$G$2:$G$337,'Marketing spend and leads'!$B$2:$B$337,"referral",'Marketing spend and leads'!$C$2:$C$337,"amer_west",'Marketing spend and leads'!$D$2:$D$337,"apr26")</f>
        <v>0</v>
      </c>
      <c r="Q71" s="4">
        <f>SUMIFS('Marketing spend and leads'!$G$2:$G$337,'Marketing spend and leads'!$B$2:$B$337,"referral",'Marketing spend and leads'!$C$2:$C$337,"amer_west",'Marketing spend and leads'!$D$2:$D$337,"may26")</f>
        <v>0</v>
      </c>
      <c r="R71" s="4">
        <f>SUMIFS('Marketing spend and leads'!$G$2:$G$337,'Marketing spend and leads'!$B$2:$B$337,"referral",'Marketing spend and leads'!$C$2:$C$337,"amer_west",'Marketing spend and leads'!$D$2:$D$337,"jun26")</f>
        <v>0</v>
      </c>
      <c r="S71" s="4">
        <f>SUMIFS('Marketing spend and leads'!$G$2:$G$337,'Marketing spend and leads'!$B$2:$B$337,"referral",'Marketing spend and leads'!$C$2:$C$337,"amer_west",'Marketing spend and leads'!$D$2:$D$337,"jul26")</f>
        <v>0</v>
      </c>
      <c r="T71" s="4">
        <f>SUMIFS('Marketing spend and leads'!$G$2:$G$337,'Marketing spend and leads'!$B$2:$B$337,"referral",'Marketing spend and leads'!$C$2:$C$337,"amer_west",'Marketing spend and leads'!$D$2:$D$337,"aug26")</f>
        <v>0</v>
      </c>
      <c r="U71" s="4">
        <f>SUMIFS('Marketing spend and leads'!$G$2:$G$337,'Marketing spend and leads'!$B$2:$B$337,"referral",'Marketing spend and leads'!$C$2:$C$337,"amer_west",'Marketing spend and leads'!$D$2:$D$337,"sep26")</f>
        <v>0</v>
      </c>
      <c r="V71" s="4">
        <f>SUMIFS('Marketing spend and leads'!$G$2:$G$337,'Marketing spend and leads'!$B$2:$B$337,"referral",'Marketing spend and leads'!$C$2:$C$337,"amer_west",'Marketing spend and leads'!$D$2:$D$337,"oct26")</f>
        <v>0</v>
      </c>
      <c r="W71" s="4">
        <f>SUMIFS('Marketing spend and leads'!$G$2:$G$337,'Marketing spend and leads'!$B$2:$B$337,"referral",'Marketing spend and leads'!$C$2:$C$337,"amer_west",'Marketing spend and leads'!$D$2:$D$337,"nov26")</f>
        <v>0</v>
      </c>
      <c r="X71" s="4">
        <f>SUMIFS('Marketing spend and leads'!$G$2:$G$337,'Marketing spend and leads'!$B$2:$B$337,"referral",'Marketing spend and leads'!$C$2:$C$337,"amer_west",'Marketing spend and leads'!$D$2:$D$337,"dec26")</f>
        <v>0</v>
      </c>
    </row>
    <row r="72">
      <c r="A72" s="0" t="inlineStr">
        <is>
          <t xml:space="preserve">MQLs</t>
        </is>
      </c>
      <c r="B72" s="0" t="inlineStr">
        <is>
          <t xml:space="preserve">Customer referral</t>
        </is>
      </c>
      <c r="C72" s="0" t="inlineStr">
        <is>
          <t xml:space="preserve">EMEA</t>
        </is>
      </c>
      <c r="D72" s="4">
        <f>SUMIFS('Marketing spend and leads'!$G$2:$G$337,'Marketing spend and leads'!$B$2:$B$337,"referral",'Marketing spend and leads'!$C$2:$C$337,"emea",'Marketing spend and leads'!$D$2:$D$337,"apr25")</f>
        <v>0</v>
      </c>
      <c r="E72" s="4">
        <f>SUMIFS('Marketing spend and leads'!$G$2:$G$337,'Marketing spend and leads'!$B$2:$B$337,"referral",'Marketing spend and leads'!$C$2:$C$337,"emea",'Marketing spend and leads'!$D$2:$D$337,"may25")</f>
        <v>0</v>
      </c>
      <c r="F72" s="4">
        <f>SUMIFS('Marketing spend and leads'!$G$2:$G$337,'Marketing spend and leads'!$B$2:$B$337,"referral",'Marketing spend and leads'!$C$2:$C$337,"emea",'Marketing spend and leads'!$D$2:$D$337,"jun25")</f>
        <v>0</v>
      </c>
      <c r="G72" s="4">
        <f>SUMIFS('Marketing spend and leads'!$G$2:$G$337,'Marketing spend and leads'!$B$2:$B$337,"referral",'Marketing spend and leads'!$C$2:$C$337,"emea",'Marketing spend and leads'!$D$2:$D$337,"jul25")</f>
        <v>0</v>
      </c>
      <c r="H72" s="4">
        <f>SUMIFS('Marketing spend and leads'!$G$2:$G$337,'Marketing spend and leads'!$B$2:$B$337,"referral",'Marketing spend and leads'!$C$2:$C$337,"emea",'Marketing spend and leads'!$D$2:$D$337,"aug25")</f>
        <v>0</v>
      </c>
      <c r="I72" s="4">
        <f>SUMIFS('Marketing spend and leads'!$G$2:$G$337,'Marketing spend and leads'!$B$2:$B$337,"referral",'Marketing spend and leads'!$C$2:$C$337,"emea",'Marketing spend and leads'!$D$2:$D$337,"sep25")</f>
        <v>0</v>
      </c>
      <c r="J72" s="4">
        <f>SUMIFS('Marketing spend and leads'!$G$2:$G$337,'Marketing spend and leads'!$B$2:$B$337,"referral",'Marketing spend and leads'!$C$2:$C$337,"emea",'Marketing spend and leads'!$D$2:$D$337,"oct25")</f>
        <v>0</v>
      </c>
      <c r="K72" s="4">
        <f>SUMIFS('Marketing spend and leads'!$G$2:$G$337,'Marketing spend and leads'!$B$2:$B$337,"referral",'Marketing spend and leads'!$C$2:$C$337,"emea",'Marketing spend and leads'!$D$2:$D$337,"nov25")</f>
        <v>0</v>
      </c>
      <c r="L72" s="4">
        <f>SUMIFS('Marketing spend and leads'!$G$2:$G$337,'Marketing spend and leads'!$B$2:$B$337,"referral",'Marketing spend and leads'!$C$2:$C$337,"emea",'Marketing spend and leads'!$D$2:$D$337,"dec25")</f>
        <v>0</v>
      </c>
      <c r="M72" s="4">
        <f>SUMIFS('Marketing spend and leads'!$G$2:$G$337,'Marketing spend and leads'!$B$2:$B$337,"referral",'Marketing spend and leads'!$C$2:$C$337,"emea",'Marketing spend and leads'!$D$2:$D$337,"jan26")</f>
        <v>0</v>
      </c>
      <c r="N72" s="4">
        <f>SUMIFS('Marketing spend and leads'!$G$2:$G$337,'Marketing spend and leads'!$B$2:$B$337,"referral",'Marketing spend and leads'!$C$2:$C$337,"emea",'Marketing spend and leads'!$D$2:$D$337,"feb26")</f>
        <v>0</v>
      </c>
      <c r="O72" s="4">
        <f>SUMIFS('Marketing spend and leads'!$G$2:$G$337,'Marketing spend and leads'!$B$2:$B$337,"referral",'Marketing spend and leads'!$C$2:$C$337,"emea",'Marketing spend and leads'!$D$2:$D$337,"mar26")</f>
        <v>0</v>
      </c>
      <c r="P72" s="4">
        <f>SUMIFS('Marketing spend and leads'!$G$2:$G$337,'Marketing spend and leads'!$B$2:$B$337,"referral",'Marketing spend and leads'!$C$2:$C$337,"emea",'Marketing spend and leads'!$D$2:$D$337,"apr26")</f>
        <v>0</v>
      </c>
      <c r="Q72" s="4">
        <f>SUMIFS('Marketing spend and leads'!$G$2:$G$337,'Marketing spend and leads'!$B$2:$B$337,"referral",'Marketing spend and leads'!$C$2:$C$337,"emea",'Marketing spend and leads'!$D$2:$D$337,"may26")</f>
        <v>0</v>
      </c>
      <c r="R72" s="4">
        <f>SUMIFS('Marketing spend and leads'!$G$2:$G$337,'Marketing spend and leads'!$B$2:$B$337,"referral",'Marketing spend and leads'!$C$2:$C$337,"emea",'Marketing spend and leads'!$D$2:$D$337,"jun26")</f>
        <v>0</v>
      </c>
      <c r="S72" s="4">
        <f>SUMIFS('Marketing spend and leads'!$G$2:$G$337,'Marketing spend and leads'!$B$2:$B$337,"referral",'Marketing spend and leads'!$C$2:$C$337,"emea",'Marketing spend and leads'!$D$2:$D$337,"jul26")</f>
        <v>0</v>
      </c>
      <c r="T72" s="4">
        <f>SUMIFS('Marketing spend and leads'!$G$2:$G$337,'Marketing spend and leads'!$B$2:$B$337,"referral",'Marketing spend and leads'!$C$2:$C$337,"emea",'Marketing spend and leads'!$D$2:$D$337,"aug26")</f>
        <v>0</v>
      </c>
      <c r="U72" s="4">
        <f>SUMIFS('Marketing spend and leads'!$G$2:$G$337,'Marketing spend and leads'!$B$2:$B$337,"referral",'Marketing spend and leads'!$C$2:$C$337,"emea",'Marketing spend and leads'!$D$2:$D$337,"sep26")</f>
        <v>0</v>
      </c>
      <c r="V72" s="4">
        <f>SUMIFS('Marketing spend and leads'!$G$2:$G$337,'Marketing spend and leads'!$B$2:$B$337,"referral",'Marketing spend and leads'!$C$2:$C$337,"emea",'Marketing spend and leads'!$D$2:$D$337,"oct26")</f>
        <v>0</v>
      </c>
      <c r="W72" s="4">
        <f>SUMIFS('Marketing spend and leads'!$G$2:$G$337,'Marketing spend and leads'!$B$2:$B$337,"referral",'Marketing spend and leads'!$C$2:$C$337,"emea",'Marketing spend and leads'!$D$2:$D$337,"nov26")</f>
        <v>0</v>
      </c>
      <c r="X72" s="4">
        <f>SUMIFS('Marketing spend and leads'!$G$2:$G$337,'Marketing spend and leads'!$B$2:$B$337,"referral",'Marketing spend and leads'!$C$2:$C$337,"emea",'Marketing spend and leads'!$D$2:$D$337,"dec26")</f>
        <v>0</v>
      </c>
    </row>
    <row r="73">
      <c r="A73" s="0" t="inlineStr">
        <is>
          <t xml:space="preserve">MQLs</t>
        </is>
      </c>
      <c r="B73" s="0" t="inlineStr">
        <is>
          <t xml:space="preserve">Customer referral</t>
        </is>
      </c>
      <c r="C73" s="0" t="inlineStr">
        <is>
          <t xml:space="preserve">APAC</t>
        </is>
      </c>
      <c r="D73" s="4">
        <f>SUMIFS('Marketing spend and leads'!$G$2:$G$337,'Marketing spend and leads'!$B$2:$B$337,"referral",'Marketing spend and leads'!$C$2:$C$337,"apac",'Marketing spend and leads'!$D$2:$D$337,"apr25")</f>
        <v>0</v>
      </c>
      <c r="E73" s="4">
        <f>SUMIFS('Marketing spend and leads'!$G$2:$G$337,'Marketing spend and leads'!$B$2:$B$337,"referral",'Marketing spend and leads'!$C$2:$C$337,"apac",'Marketing spend and leads'!$D$2:$D$337,"may25")</f>
        <v>0</v>
      </c>
      <c r="F73" s="4">
        <f>SUMIFS('Marketing spend and leads'!$G$2:$G$337,'Marketing spend and leads'!$B$2:$B$337,"referral",'Marketing spend and leads'!$C$2:$C$337,"apac",'Marketing spend and leads'!$D$2:$D$337,"jun25")</f>
        <v>0</v>
      </c>
      <c r="G73" s="4">
        <f>SUMIFS('Marketing spend and leads'!$G$2:$G$337,'Marketing spend and leads'!$B$2:$B$337,"referral",'Marketing spend and leads'!$C$2:$C$337,"apac",'Marketing spend and leads'!$D$2:$D$337,"jul25")</f>
        <v>0</v>
      </c>
      <c r="H73" s="4">
        <f>SUMIFS('Marketing spend and leads'!$G$2:$G$337,'Marketing spend and leads'!$B$2:$B$337,"referral",'Marketing spend and leads'!$C$2:$C$337,"apac",'Marketing spend and leads'!$D$2:$D$337,"aug25")</f>
        <v>0</v>
      </c>
      <c r="I73" s="4">
        <f>SUMIFS('Marketing spend and leads'!$G$2:$G$337,'Marketing spend and leads'!$B$2:$B$337,"referral",'Marketing spend and leads'!$C$2:$C$337,"apac",'Marketing spend and leads'!$D$2:$D$337,"sep25")</f>
        <v>0</v>
      </c>
      <c r="J73" s="4">
        <f>SUMIFS('Marketing spend and leads'!$G$2:$G$337,'Marketing spend and leads'!$B$2:$B$337,"referral",'Marketing spend and leads'!$C$2:$C$337,"apac",'Marketing spend and leads'!$D$2:$D$337,"oct25")</f>
        <v>0</v>
      </c>
      <c r="K73" s="4">
        <f>SUMIFS('Marketing spend and leads'!$G$2:$G$337,'Marketing spend and leads'!$B$2:$B$337,"referral",'Marketing spend and leads'!$C$2:$C$337,"apac",'Marketing spend and leads'!$D$2:$D$337,"nov25")</f>
        <v>0</v>
      </c>
      <c r="L73" s="4">
        <f>SUMIFS('Marketing spend and leads'!$G$2:$G$337,'Marketing spend and leads'!$B$2:$B$337,"referral",'Marketing spend and leads'!$C$2:$C$337,"apac",'Marketing spend and leads'!$D$2:$D$337,"dec25")</f>
        <v>0</v>
      </c>
      <c r="M73" s="4">
        <f>SUMIFS('Marketing spend and leads'!$G$2:$G$337,'Marketing spend and leads'!$B$2:$B$337,"referral",'Marketing spend and leads'!$C$2:$C$337,"apac",'Marketing spend and leads'!$D$2:$D$337,"jan26")</f>
        <v>0</v>
      </c>
      <c r="N73" s="4">
        <f>SUMIFS('Marketing spend and leads'!$G$2:$G$337,'Marketing spend and leads'!$B$2:$B$337,"referral",'Marketing spend and leads'!$C$2:$C$337,"apac",'Marketing spend and leads'!$D$2:$D$337,"feb26")</f>
        <v>0</v>
      </c>
      <c r="O73" s="4">
        <f>SUMIFS('Marketing spend and leads'!$G$2:$G$337,'Marketing spend and leads'!$B$2:$B$337,"referral",'Marketing spend and leads'!$C$2:$C$337,"apac",'Marketing spend and leads'!$D$2:$D$337,"mar26")</f>
        <v>0</v>
      </c>
      <c r="P73" s="4">
        <f>SUMIFS('Marketing spend and leads'!$G$2:$G$337,'Marketing spend and leads'!$B$2:$B$337,"referral",'Marketing spend and leads'!$C$2:$C$337,"apac",'Marketing spend and leads'!$D$2:$D$337,"apr26")</f>
        <v>0</v>
      </c>
      <c r="Q73" s="4">
        <f>SUMIFS('Marketing spend and leads'!$G$2:$G$337,'Marketing spend and leads'!$B$2:$B$337,"referral",'Marketing spend and leads'!$C$2:$C$337,"apac",'Marketing spend and leads'!$D$2:$D$337,"may26")</f>
        <v>0</v>
      </c>
      <c r="R73" s="4">
        <f>SUMIFS('Marketing spend and leads'!$G$2:$G$337,'Marketing spend and leads'!$B$2:$B$337,"referral",'Marketing spend and leads'!$C$2:$C$337,"apac",'Marketing spend and leads'!$D$2:$D$337,"jun26")</f>
        <v>0</v>
      </c>
      <c r="S73" s="4">
        <f>SUMIFS('Marketing spend and leads'!$G$2:$G$337,'Marketing spend and leads'!$B$2:$B$337,"referral",'Marketing spend and leads'!$C$2:$C$337,"apac",'Marketing spend and leads'!$D$2:$D$337,"jul26")</f>
        <v>0</v>
      </c>
      <c r="T73" s="4">
        <f>SUMIFS('Marketing spend and leads'!$G$2:$G$337,'Marketing spend and leads'!$B$2:$B$337,"referral",'Marketing spend and leads'!$C$2:$C$337,"apac",'Marketing spend and leads'!$D$2:$D$337,"aug26")</f>
        <v>0</v>
      </c>
      <c r="U73" s="4">
        <f>SUMIFS('Marketing spend and leads'!$G$2:$G$337,'Marketing spend and leads'!$B$2:$B$337,"referral",'Marketing spend and leads'!$C$2:$C$337,"apac",'Marketing spend and leads'!$D$2:$D$337,"sep26")</f>
        <v>0</v>
      </c>
      <c r="V73" s="4">
        <f>SUMIFS('Marketing spend and leads'!$G$2:$G$337,'Marketing spend and leads'!$B$2:$B$337,"referral",'Marketing spend and leads'!$C$2:$C$337,"apac",'Marketing spend and leads'!$D$2:$D$337,"oct26")</f>
        <v>0</v>
      </c>
      <c r="W73" s="4">
        <f>SUMIFS('Marketing spend and leads'!$G$2:$G$337,'Marketing spend and leads'!$B$2:$B$337,"referral",'Marketing spend and leads'!$C$2:$C$337,"apac",'Marketing spend and leads'!$D$2:$D$337,"nov26")</f>
        <v>0</v>
      </c>
      <c r="X73" s="4">
        <f>SUMIFS('Marketing spend and leads'!$G$2:$G$337,'Marketing spend and leads'!$B$2:$B$337,"referral",'Marketing spend and leads'!$C$2:$C$337,"apac",'Marketing spend and leads'!$D$2:$D$337,"dec26")</f>
        <v>0</v>
      </c>
    </row>
    <row r="74">
      <c r="A74" s="0" t="inlineStr">
        <is>
          <t xml:space="preserve">Opportunities created (SQLs)</t>
        </is>
      </c>
      <c r="B74" s="0" t="inlineStr">
        <is>
          <t xml:space="preserve">Inbound (web &amp; content)</t>
        </is>
      </c>
      <c r="C74" s="0" t="inlineStr">
        <is>
          <t xml:space="preserve">AMER East</t>
        </is>
      </c>
      <c r="D74" s="4">
        <f>COUNTIFS('Opportunities'!$E$2:$E$1775,"=inbound",'Opportunities'!$V$2:$V$1775,"=amer_east",'Opportunities'!$M$2:$M$1775,"=apr25",'Opportunities'!$H$2:$H$1775,"&lt;&gt;")</f>
        <v>13</v>
      </c>
      <c r="E74" s="4">
        <f>COUNTIFS('Opportunities'!$E$2:$E$1775,"=inbound",'Opportunities'!$V$2:$V$1775,"=amer_east",'Opportunities'!$M$2:$M$1775,"=may25",'Opportunities'!$H$2:$H$1775,"&lt;&gt;")</f>
        <v>9</v>
      </c>
      <c r="F74" s="4">
        <f>COUNTIFS('Opportunities'!$E$2:$E$1775,"=inbound",'Opportunities'!$V$2:$V$1775,"=amer_east",'Opportunities'!$M$2:$M$1775,"=jun25",'Opportunities'!$H$2:$H$1775,"&lt;&gt;")</f>
        <v>18</v>
      </c>
      <c r="G74" s="4">
        <f>COUNTIFS('Opportunities'!$E$2:$E$1775,"=inbound",'Opportunities'!$V$2:$V$1775,"=amer_east",'Opportunities'!$M$2:$M$1775,"=jul25",'Opportunities'!$H$2:$H$1775,"&lt;&gt;")</f>
        <v>13</v>
      </c>
      <c r="H74" s="4">
        <f>COUNTIFS('Opportunities'!$E$2:$E$1775,"=inbound",'Opportunities'!$V$2:$V$1775,"=amer_east",'Opportunities'!$M$2:$M$1775,"=aug25",'Opportunities'!$H$2:$H$1775,"&lt;&gt;")</f>
        <v>11</v>
      </c>
      <c r="I74" s="4">
        <f>COUNTIFS('Opportunities'!$E$2:$E$1775,"=inbound",'Opportunities'!$V$2:$V$1775,"=amer_east",'Opportunities'!$M$2:$M$1775,"=sep25",'Opportunities'!$H$2:$H$1775,"&lt;&gt;")</f>
        <v>4</v>
      </c>
      <c r="J74" s="4">
        <f>COUNTIFS('Opportunities'!$E$2:$E$1775,"=inbound",'Opportunities'!$V$2:$V$1775,"=amer_east",'Opportunities'!$M$2:$M$1775,"=oct25",'Opportunities'!$H$2:$H$1775,"&lt;&gt;")</f>
        <v>5</v>
      </c>
      <c r="K74" s="4">
        <f>COUNTIFS('Opportunities'!$E$2:$E$1775,"=inbound",'Opportunities'!$V$2:$V$1775,"=amer_east",'Opportunities'!$M$2:$M$1775,"=nov25",'Opportunities'!$H$2:$H$1775,"&lt;&gt;")</f>
        <v>7</v>
      </c>
      <c r="L74" s="4">
        <f>COUNTIFS('Opportunities'!$E$2:$E$1775,"=inbound",'Opportunities'!$V$2:$V$1775,"=amer_east",'Opportunities'!$M$2:$M$1775,"=dec25",'Opportunities'!$H$2:$H$1775,"&lt;&gt;")</f>
        <v>13</v>
      </c>
      <c r="M74" s="4">
        <f>COUNTIFS('Opportunities'!$E$2:$E$1775,"=inbound",'Opportunities'!$V$2:$V$1775,"=amer_east",'Opportunities'!$M$2:$M$1775,"=jan26",'Opportunities'!$H$2:$H$1775,"&lt;&gt;")</f>
        <v>8</v>
      </c>
      <c r="N74" s="4">
        <f>COUNTIFS('Opportunities'!$E$2:$E$1775,"=inbound",'Opportunities'!$V$2:$V$1775,"=amer_east",'Opportunities'!$M$2:$M$1775,"=feb26",'Opportunities'!$H$2:$H$1775,"&lt;&gt;")</f>
        <v>6</v>
      </c>
      <c r="O74" s="4">
        <f>COUNTIFS('Opportunities'!$E$2:$E$1775,"=inbound",'Opportunities'!$V$2:$V$1775,"=amer_east",'Opportunities'!$M$2:$M$1775,"=mar26",'Opportunities'!$H$2:$H$1775,"&lt;&gt;")</f>
        <v>9</v>
      </c>
      <c r="P74" s="4">
        <f>COUNTIFS('Opportunities'!$E$2:$E$1775,"=inbound",'Opportunities'!$V$2:$V$1775,"=amer_east",'Opportunities'!$M$2:$M$1775,"=apr26",'Opportunities'!$H$2:$H$1775,"&lt;&gt;")</f>
        <v>20</v>
      </c>
      <c r="Q74" s="4">
        <f>COUNTIFS('Opportunities'!$E$2:$E$1775,"=inbound",'Opportunities'!$V$2:$V$1775,"=amer_east",'Opportunities'!$M$2:$M$1775,"=may26",'Opportunities'!$H$2:$H$1775,"&lt;&gt;")</f>
        <v>11</v>
      </c>
      <c r="R74" s="4">
        <f>COUNTIFS('Opportunities'!$E$2:$E$1775,"=inbound",'Opportunities'!$V$2:$V$1775,"=amer_east",'Opportunities'!$M$2:$M$1775,"=jun26",'Opportunities'!$H$2:$H$1775,"&lt;&gt;")</f>
        <v>9</v>
      </c>
      <c r="S74" s="4">
        <f>COUNTIFS('Opportunities'!$E$2:$E$1775,"=inbound",'Opportunities'!$V$2:$V$1775,"=amer_east",'Opportunities'!$M$2:$M$1775,"=jul26",'Opportunities'!$H$2:$H$1775,"&lt;&gt;")</f>
        <v>11</v>
      </c>
      <c r="T74" s="4">
        <f>COUNTIFS('Opportunities'!$E$2:$E$1775,"=inbound",'Opportunities'!$V$2:$V$1775,"=amer_east",'Opportunities'!$M$2:$M$1775,"=aug26",'Opportunities'!$H$2:$H$1775,"&lt;&gt;")</f>
        <v>7</v>
      </c>
      <c r="U74" s="4">
        <f>COUNTIFS('Opportunities'!$E$2:$E$1775,"=inbound",'Opportunities'!$V$2:$V$1775,"=amer_east",'Opportunities'!$M$2:$M$1775,"=sep26",'Opportunities'!$H$2:$H$1775,"&lt;&gt;")</f>
        <v>9</v>
      </c>
      <c r="V74" s="4">
        <f>COUNTIFS('Opportunities'!$E$2:$E$1775,"=inbound",'Opportunities'!$V$2:$V$1775,"=amer_east",'Opportunities'!$M$2:$M$1775,"=oct26",'Opportunities'!$H$2:$H$1775,"&lt;&gt;")</f>
        <v>0</v>
      </c>
      <c r="W74" s="4">
        <f>COUNTIFS('Opportunities'!$E$2:$E$1775,"=inbound",'Opportunities'!$V$2:$V$1775,"=amer_east",'Opportunities'!$M$2:$M$1775,"=nov26",'Opportunities'!$H$2:$H$1775,"&lt;&gt;")</f>
        <v>0</v>
      </c>
      <c r="X74" s="4">
        <f>COUNTIFS('Opportunities'!$E$2:$E$1775,"=inbound",'Opportunities'!$V$2:$V$1775,"=amer_east",'Opportunities'!$M$2:$M$1775,"=dec26",'Opportunities'!$H$2:$H$1775,"&lt;&gt;")</f>
        <v>0</v>
      </c>
    </row>
    <row r="75">
      <c r="A75" s="0" t="inlineStr">
        <is>
          <t xml:space="preserve">Opportunities created (SQLs)</t>
        </is>
      </c>
      <c r="B75" s="0" t="inlineStr">
        <is>
          <t xml:space="preserve">Inbound (web &amp; content)</t>
        </is>
      </c>
      <c r="C75" s="0" t="inlineStr">
        <is>
          <t xml:space="preserve">AMER West</t>
        </is>
      </c>
      <c r="D75" s="4">
        <f>COUNTIFS('Opportunities'!$E$2:$E$1775,"=inbound",'Opportunities'!$V$2:$V$1775,"=amer_west",'Opportunities'!$M$2:$M$1775,"=apr25",'Opportunities'!$H$2:$H$1775,"&lt;&gt;")</f>
        <v>10</v>
      </c>
      <c r="E75" s="4">
        <f>COUNTIFS('Opportunities'!$E$2:$E$1775,"=inbound",'Opportunities'!$V$2:$V$1775,"=amer_west",'Opportunities'!$M$2:$M$1775,"=may25",'Opportunities'!$H$2:$H$1775,"&lt;&gt;")</f>
        <v>6</v>
      </c>
      <c r="F75" s="4">
        <f>COUNTIFS('Opportunities'!$E$2:$E$1775,"=inbound",'Opportunities'!$V$2:$V$1775,"=amer_west",'Opportunities'!$M$2:$M$1775,"=jun25",'Opportunities'!$H$2:$H$1775,"&lt;&gt;")</f>
        <v>4</v>
      </c>
      <c r="G75" s="4">
        <f>COUNTIFS('Opportunities'!$E$2:$E$1775,"=inbound",'Opportunities'!$V$2:$V$1775,"=amer_west",'Opportunities'!$M$2:$M$1775,"=jul25",'Opportunities'!$H$2:$H$1775,"&lt;&gt;")</f>
        <v>9</v>
      </c>
      <c r="H75" s="4">
        <f>COUNTIFS('Opportunities'!$E$2:$E$1775,"=inbound",'Opportunities'!$V$2:$V$1775,"=amer_west",'Opportunities'!$M$2:$M$1775,"=aug25",'Opportunities'!$H$2:$H$1775,"&lt;&gt;")</f>
        <v>10</v>
      </c>
      <c r="I75" s="4">
        <f>COUNTIFS('Opportunities'!$E$2:$E$1775,"=inbound",'Opportunities'!$V$2:$V$1775,"=amer_west",'Opportunities'!$M$2:$M$1775,"=sep25",'Opportunities'!$H$2:$H$1775,"&lt;&gt;")</f>
        <v>10</v>
      </c>
      <c r="J75" s="4">
        <f>COUNTIFS('Opportunities'!$E$2:$E$1775,"=inbound",'Opportunities'!$V$2:$V$1775,"=amer_west",'Opportunities'!$M$2:$M$1775,"=oct25",'Opportunities'!$H$2:$H$1775,"&lt;&gt;")</f>
        <v>5</v>
      </c>
      <c r="K75" s="4">
        <f>COUNTIFS('Opportunities'!$E$2:$E$1775,"=inbound",'Opportunities'!$V$2:$V$1775,"=amer_west",'Opportunities'!$M$2:$M$1775,"=nov25",'Opportunities'!$H$2:$H$1775,"&lt;&gt;")</f>
        <v>9</v>
      </c>
      <c r="L75" s="4">
        <f>COUNTIFS('Opportunities'!$E$2:$E$1775,"=inbound",'Opportunities'!$V$2:$V$1775,"=amer_west",'Opportunities'!$M$2:$M$1775,"=dec25",'Opportunities'!$H$2:$H$1775,"&lt;&gt;")</f>
        <v>11</v>
      </c>
      <c r="M75" s="4">
        <f>COUNTIFS('Opportunities'!$E$2:$E$1775,"=inbound",'Opportunities'!$V$2:$V$1775,"=amer_west",'Opportunities'!$M$2:$M$1775,"=jan26",'Opportunities'!$H$2:$H$1775,"&lt;&gt;")</f>
        <v>8</v>
      </c>
      <c r="N75" s="4">
        <f>COUNTIFS('Opportunities'!$E$2:$E$1775,"=inbound",'Opportunities'!$V$2:$V$1775,"=amer_west",'Opportunities'!$M$2:$M$1775,"=feb26",'Opportunities'!$H$2:$H$1775,"&lt;&gt;")</f>
        <v>13</v>
      </c>
      <c r="O75" s="4">
        <f>COUNTIFS('Opportunities'!$E$2:$E$1775,"=inbound",'Opportunities'!$V$2:$V$1775,"=amer_west",'Opportunities'!$M$2:$M$1775,"=mar26",'Opportunities'!$H$2:$H$1775,"&lt;&gt;")</f>
        <v>6</v>
      </c>
      <c r="P75" s="4">
        <f>COUNTIFS('Opportunities'!$E$2:$E$1775,"=inbound",'Opportunities'!$V$2:$V$1775,"=amer_west",'Opportunities'!$M$2:$M$1775,"=apr26",'Opportunities'!$H$2:$H$1775,"&lt;&gt;")</f>
        <v>11</v>
      </c>
      <c r="Q75" s="4">
        <f>COUNTIFS('Opportunities'!$E$2:$E$1775,"=inbound",'Opportunities'!$V$2:$V$1775,"=amer_west",'Opportunities'!$M$2:$M$1775,"=may26",'Opportunities'!$H$2:$H$1775,"&lt;&gt;")</f>
        <v>8</v>
      </c>
      <c r="R75" s="4">
        <f>COUNTIFS('Opportunities'!$E$2:$E$1775,"=inbound",'Opportunities'!$V$2:$V$1775,"=amer_west",'Opportunities'!$M$2:$M$1775,"=jun26",'Opportunities'!$H$2:$H$1775,"&lt;&gt;")</f>
        <v>13</v>
      </c>
      <c r="S75" s="4">
        <f>COUNTIFS('Opportunities'!$E$2:$E$1775,"=inbound",'Opportunities'!$V$2:$V$1775,"=amer_west",'Opportunities'!$M$2:$M$1775,"=jul26",'Opportunities'!$H$2:$H$1775,"&lt;&gt;")</f>
        <v>18</v>
      </c>
      <c r="T75" s="4">
        <f>COUNTIFS('Opportunities'!$E$2:$E$1775,"=inbound",'Opportunities'!$V$2:$V$1775,"=amer_west",'Opportunities'!$M$2:$M$1775,"=aug26",'Opportunities'!$H$2:$H$1775,"&lt;&gt;")</f>
        <v>5</v>
      </c>
      <c r="U75" s="4">
        <f>COUNTIFS('Opportunities'!$E$2:$E$1775,"=inbound",'Opportunities'!$V$2:$V$1775,"=amer_west",'Opportunities'!$M$2:$M$1775,"=sep26",'Opportunities'!$H$2:$H$1775,"&lt;&gt;")</f>
        <v>8</v>
      </c>
      <c r="V75" s="4">
        <f>COUNTIFS('Opportunities'!$E$2:$E$1775,"=inbound",'Opportunities'!$V$2:$V$1775,"=amer_west",'Opportunities'!$M$2:$M$1775,"=oct26",'Opportunities'!$H$2:$H$1775,"&lt;&gt;")</f>
        <v>0</v>
      </c>
      <c r="W75" s="4">
        <f>COUNTIFS('Opportunities'!$E$2:$E$1775,"=inbound",'Opportunities'!$V$2:$V$1775,"=amer_west",'Opportunities'!$M$2:$M$1775,"=nov26",'Opportunities'!$H$2:$H$1775,"&lt;&gt;")</f>
        <v>0</v>
      </c>
      <c r="X75" s="4">
        <f>COUNTIFS('Opportunities'!$E$2:$E$1775,"=inbound",'Opportunities'!$V$2:$V$1775,"=amer_west",'Opportunities'!$M$2:$M$1775,"=dec26",'Opportunities'!$H$2:$H$1775,"&lt;&gt;")</f>
        <v>0</v>
      </c>
    </row>
    <row r="76">
      <c r="A76" s="0" t="inlineStr">
        <is>
          <t xml:space="preserve">Opportunities created (SQLs)</t>
        </is>
      </c>
      <c r="B76" s="0" t="inlineStr">
        <is>
          <t xml:space="preserve">Inbound (web &amp; content)</t>
        </is>
      </c>
      <c r="C76" s="0" t="inlineStr">
        <is>
          <t xml:space="preserve">EMEA</t>
        </is>
      </c>
      <c r="D76" s="4">
        <f>COUNTIFS('Opportunities'!$E$2:$E$1775,"=inbound",'Opportunities'!$V$2:$V$1775,"=emea",'Opportunities'!$M$2:$M$1775,"=apr25",'Opportunities'!$H$2:$H$1775,"&lt;&gt;")</f>
        <v>8</v>
      </c>
      <c r="E76" s="4">
        <f>COUNTIFS('Opportunities'!$E$2:$E$1775,"=inbound",'Opportunities'!$V$2:$V$1775,"=emea",'Opportunities'!$M$2:$M$1775,"=may25",'Opportunities'!$H$2:$H$1775,"&lt;&gt;")</f>
        <v>15</v>
      </c>
      <c r="F76" s="4">
        <f>COUNTIFS('Opportunities'!$E$2:$E$1775,"=inbound",'Opportunities'!$V$2:$V$1775,"=emea",'Opportunities'!$M$2:$M$1775,"=jun25",'Opportunities'!$H$2:$H$1775,"&lt;&gt;")</f>
        <v>9</v>
      </c>
      <c r="G76" s="4">
        <f>COUNTIFS('Opportunities'!$E$2:$E$1775,"=inbound",'Opportunities'!$V$2:$V$1775,"=emea",'Opportunities'!$M$2:$M$1775,"=jul25",'Opportunities'!$H$2:$H$1775,"&lt;&gt;")</f>
        <v>10</v>
      </c>
      <c r="H76" s="4">
        <f>COUNTIFS('Opportunities'!$E$2:$E$1775,"=inbound",'Opportunities'!$V$2:$V$1775,"=emea",'Opportunities'!$M$2:$M$1775,"=aug25",'Opportunities'!$H$2:$H$1775,"&lt;&gt;")</f>
        <v>6</v>
      </c>
      <c r="I76" s="4">
        <f>COUNTIFS('Opportunities'!$E$2:$E$1775,"=inbound",'Opportunities'!$V$2:$V$1775,"=emea",'Opportunities'!$M$2:$M$1775,"=sep25",'Opportunities'!$H$2:$H$1775,"&lt;&gt;")</f>
        <v>6</v>
      </c>
      <c r="J76" s="4">
        <f>COUNTIFS('Opportunities'!$E$2:$E$1775,"=inbound",'Opportunities'!$V$2:$V$1775,"=emea",'Opportunities'!$M$2:$M$1775,"=oct25",'Opportunities'!$H$2:$H$1775,"&lt;&gt;")</f>
        <v>10</v>
      </c>
      <c r="K76" s="4">
        <f>COUNTIFS('Opportunities'!$E$2:$E$1775,"=inbound",'Opportunities'!$V$2:$V$1775,"=emea",'Opportunities'!$M$2:$M$1775,"=nov25",'Opportunities'!$H$2:$H$1775,"&lt;&gt;")</f>
        <v>12</v>
      </c>
      <c r="L76" s="4">
        <f>COUNTIFS('Opportunities'!$E$2:$E$1775,"=inbound",'Opportunities'!$V$2:$V$1775,"=emea",'Opportunities'!$M$2:$M$1775,"=dec25",'Opportunities'!$H$2:$H$1775,"&lt;&gt;")</f>
        <v>12</v>
      </c>
      <c r="M76" s="4">
        <f>COUNTIFS('Opportunities'!$E$2:$E$1775,"=inbound",'Opportunities'!$V$2:$V$1775,"=emea",'Opportunities'!$M$2:$M$1775,"=jan26",'Opportunities'!$H$2:$H$1775,"&lt;&gt;")</f>
        <v>15</v>
      </c>
      <c r="N76" s="4">
        <f>COUNTIFS('Opportunities'!$E$2:$E$1775,"=inbound",'Opportunities'!$V$2:$V$1775,"=emea",'Opportunities'!$M$2:$M$1775,"=feb26",'Opportunities'!$H$2:$H$1775,"&lt;&gt;")</f>
        <v>8</v>
      </c>
      <c r="O76" s="4">
        <f>COUNTIFS('Opportunities'!$E$2:$E$1775,"=inbound",'Opportunities'!$V$2:$V$1775,"=emea",'Opportunities'!$M$2:$M$1775,"=mar26",'Opportunities'!$H$2:$H$1775,"&lt;&gt;")</f>
        <v>10</v>
      </c>
      <c r="P76" s="4">
        <f>COUNTIFS('Opportunities'!$E$2:$E$1775,"=inbound",'Opportunities'!$V$2:$V$1775,"=emea",'Opportunities'!$M$2:$M$1775,"=apr26",'Opportunities'!$H$2:$H$1775,"&lt;&gt;")</f>
        <v>14</v>
      </c>
      <c r="Q76" s="4">
        <f>COUNTIFS('Opportunities'!$E$2:$E$1775,"=inbound",'Opportunities'!$V$2:$V$1775,"=emea",'Opportunities'!$M$2:$M$1775,"=may26",'Opportunities'!$H$2:$H$1775,"&lt;&gt;")</f>
        <v>7</v>
      </c>
      <c r="R76" s="4">
        <f>COUNTIFS('Opportunities'!$E$2:$E$1775,"=inbound",'Opportunities'!$V$2:$V$1775,"=emea",'Opportunities'!$M$2:$M$1775,"=jun26",'Opportunities'!$H$2:$H$1775,"&lt;&gt;")</f>
        <v>12</v>
      </c>
      <c r="S76" s="4">
        <f>COUNTIFS('Opportunities'!$E$2:$E$1775,"=inbound",'Opportunities'!$V$2:$V$1775,"=emea",'Opportunities'!$M$2:$M$1775,"=jul26",'Opportunities'!$H$2:$H$1775,"&lt;&gt;")</f>
        <v>9</v>
      </c>
      <c r="T76" s="4">
        <f>COUNTIFS('Opportunities'!$E$2:$E$1775,"=inbound",'Opportunities'!$V$2:$V$1775,"=emea",'Opportunities'!$M$2:$M$1775,"=aug26",'Opportunities'!$H$2:$H$1775,"&lt;&gt;")</f>
        <v>10</v>
      </c>
      <c r="U76" s="4">
        <f>COUNTIFS('Opportunities'!$E$2:$E$1775,"=inbound",'Opportunities'!$V$2:$V$1775,"=emea",'Opportunities'!$M$2:$M$1775,"=sep26",'Opportunities'!$H$2:$H$1775,"&lt;&gt;")</f>
        <v>5</v>
      </c>
      <c r="V76" s="4">
        <f>COUNTIFS('Opportunities'!$E$2:$E$1775,"=inbound",'Opportunities'!$V$2:$V$1775,"=emea",'Opportunities'!$M$2:$M$1775,"=oct26",'Opportunities'!$H$2:$H$1775,"&lt;&gt;")</f>
        <v>0</v>
      </c>
      <c r="W76" s="4">
        <f>COUNTIFS('Opportunities'!$E$2:$E$1775,"=inbound",'Opportunities'!$V$2:$V$1775,"=emea",'Opportunities'!$M$2:$M$1775,"=nov26",'Opportunities'!$H$2:$H$1775,"&lt;&gt;")</f>
        <v>0</v>
      </c>
      <c r="X76" s="4">
        <f>COUNTIFS('Opportunities'!$E$2:$E$1775,"=inbound",'Opportunities'!$V$2:$V$1775,"=emea",'Opportunities'!$M$2:$M$1775,"=dec26",'Opportunities'!$H$2:$H$1775,"&lt;&gt;")</f>
        <v>0</v>
      </c>
    </row>
    <row r="77">
      <c r="A77" s="0" t="inlineStr">
        <is>
          <t xml:space="preserve">Opportunities created (SQLs)</t>
        </is>
      </c>
      <c r="B77" s="0" t="inlineStr">
        <is>
          <t xml:space="preserve">Inbound (web &amp; content)</t>
        </is>
      </c>
      <c r="C77" s="0" t="inlineStr">
        <is>
          <t xml:space="preserve">APAC</t>
        </is>
      </c>
      <c r="D77" s="4">
        <f>COUNTIFS('Opportunities'!$E$2:$E$1775,"=inbound",'Opportunities'!$V$2:$V$1775,"=apac",'Opportunities'!$M$2:$M$1775,"=apr25",'Opportunities'!$H$2:$H$1775,"&lt;&gt;")</f>
        <v>2</v>
      </c>
      <c r="E77" s="4">
        <f>COUNTIFS('Opportunities'!$E$2:$E$1775,"=inbound",'Opportunities'!$V$2:$V$1775,"=apac",'Opportunities'!$M$2:$M$1775,"=may25",'Opportunities'!$H$2:$H$1775,"&lt;&gt;")</f>
        <v>5</v>
      </c>
      <c r="F77" s="4">
        <f>COUNTIFS('Opportunities'!$E$2:$E$1775,"=inbound",'Opportunities'!$V$2:$V$1775,"=apac",'Opportunities'!$M$2:$M$1775,"=jun25",'Opportunities'!$H$2:$H$1775,"&lt;&gt;")</f>
        <v>5</v>
      </c>
      <c r="G77" s="4">
        <f>COUNTIFS('Opportunities'!$E$2:$E$1775,"=inbound",'Opportunities'!$V$2:$V$1775,"=apac",'Opportunities'!$M$2:$M$1775,"=jul25",'Opportunities'!$H$2:$H$1775,"&lt;&gt;")</f>
        <v>11</v>
      </c>
      <c r="H77" s="4">
        <f>COUNTIFS('Opportunities'!$E$2:$E$1775,"=inbound",'Opportunities'!$V$2:$V$1775,"=apac",'Opportunities'!$M$2:$M$1775,"=aug25",'Opportunities'!$H$2:$H$1775,"&lt;&gt;")</f>
        <v>8</v>
      </c>
      <c r="I77" s="4">
        <f>COUNTIFS('Opportunities'!$E$2:$E$1775,"=inbound",'Opportunities'!$V$2:$V$1775,"=apac",'Opportunities'!$M$2:$M$1775,"=sep25",'Opportunities'!$H$2:$H$1775,"&lt;&gt;")</f>
        <v>7</v>
      </c>
      <c r="J77" s="4">
        <f>COUNTIFS('Opportunities'!$E$2:$E$1775,"=inbound",'Opportunities'!$V$2:$V$1775,"=apac",'Opportunities'!$M$2:$M$1775,"=oct25",'Opportunities'!$H$2:$H$1775,"&lt;&gt;")</f>
        <v>1</v>
      </c>
      <c r="K77" s="4">
        <f>COUNTIFS('Opportunities'!$E$2:$E$1775,"=inbound",'Opportunities'!$V$2:$V$1775,"=apac",'Opportunities'!$M$2:$M$1775,"=nov25",'Opportunities'!$H$2:$H$1775,"&lt;&gt;")</f>
        <v>1</v>
      </c>
      <c r="L77" s="4">
        <f>COUNTIFS('Opportunities'!$E$2:$E$1775,"=inbound",'Opportunities'!$V$2:$V$1775,"=apac",'Opportunities'!$M$2:$M$1775,"=dec25",'Opportunities'!$H$2:$H$1775,"&lt;&gt;")</f>
        <v>1</v>
      </c>
      <c r="M77" s="4">
        <f>COUNTIFS('Opportunities'!$E$2:$E$1775,"=inbound",'Opportunities'!$V$2:$V$1775,"=apac",'Opportunities'!$M$2:$M$1775,"=jan26",'Opportunities'!$H$2:$H$1775,"&lt;&gt;")</f>
        <v>1</v>
      </c>
      <c r="N77" s="4">
        <f>COUNTIFS('Opportunities'!$E$2:$E$1775,"=inbound",'Opportunities'!$V$2:$V$1775,"=apac",'Opportunities'!$M$2:$M$1775,"=feb26",'Opportunities'!$H$2:$H$1775,"&lt;&gt;")</f>
        <v>5</v>
      </c>
      <c r="O77" s="4">
        <f>COUNTIFS('Opportunities'!$E$2:$E$1775,"=inbound",'Opportunities'!$V$2:$V$1775,"=apac",'Opportunities'!$M$2:$M$1775,"=mar26",'Opportunities'!$H$2:$H$1775,"&lt;&gt;")</f>
        <v>12</v>
      </c>
      <c r="P77" s="4">
        <f>COUNTIFS('Opportunities'!$E$2:$E$1775,"=inbound",'Opportunities'!$V$2:$V$1775,"=apac",'Opportunities'!$M$2:$M$1775,"=apr26",'Opportunities'!$H$2:$H$1775,"&lt;&gt;")</f>
        <v>3</v>
      </c>
      <c r="Q77" s="4">
        <f>COUNTIFS('Opportunities'!$E$2:$E$1775,"=inbound",'Opportunities'!$V$2:$V$1775,"=apac",'Opportunities'!$M$2:$M$1775,"=may26",'Opportunities'!$H$2:$H$1775,"&lt;&gt;")</f>
        <v>2</v>
      </c>
      <c r="R77" s="4">
        <f>COUNTIFS('Opportunities'!$E$2:$E$1775,"=inbound",'Opportunities'!$V$2:$V$1775,"=apac",'Opportunities'!$M$2:$M$1775,"=jun26",'Opportunities'!$H$2:$H$1775,"&lt;&gt;")</f>
        <v>10</v>
      </c>
      <c r="S77" s="4">
        <f>COUNTIFS('Opportunities'!$E$2:$E$1775,"=inbound",'Opportunities'!$V$2:$V$1775,"=apac",'Opportunities'!$M$2:$M$1775,"=jul26",'Opportunities'!$H$2:$H$1775,"&lt;&gt;")</f>
        <v>6</v>
      </c>
      <c r="T77" s="4">
        <f>COUNTIFS('Opportunities'!$E$2:$E$1775,"=inbound",'Opportunities'!$V$2:$V$1775,"=apac",'Opportunities'!$M$2:$M$1775,"=aug26",'Opportunities'!$H$2:$H$1775,"&lt;&gt;")</f>
        <v>9</v>
      </c>
      <c r="U77" s="4">
        <f>COUNTIFS('Opportunities'!$E$2:$E$1775,"=inbound",'Opportunities'!$V$2:$V$1775,"=apac",'Opportunities'!$M$2:$M$1775,"=sep26",'Opportunities'!$H$2:$H$1775,"&lt;&gt;")</f>
        <v>7</v>
      </c>
      <c r="V77" s="4">
        <f>COUNTIFS('Opportunities'!$E$2:$E$1775,"=inbound",'Opportunities'!$V$2:$V$1775,"=apac",'Opportunities'!$M$2:$M$1775,"=oct26",'Opportunities'!$H$2:$H$1775,"&lt;&gt;")</f>
        <v>0</v>
      </c>
      <c r="W77" s="4">
        <f>COUNTIFS('Opportunities'!$E$2:$E$1775,"=inbound",'Opportunities'!$V$2:$V$1775,"=apac",'Opportunities'!$M$2:$M$1775,"=nov26",'Opportunities'!$H$2:$H$1775,"&lt;&gt;")</f>
        <v>0</v>
      </c>
      <c r="X77" s="4">
        <f>COUNTIFS('Opportunities'!$E$2:$E$1775,"=inbound",'Opportunities'!$V$2:$V$1775,"=apac",'Opportunities'!$M$2:$M$1775,"=dec26",'Opportunities'!$H$2:$H$1775,"&lt;&gt;")</f>
        <v>0</v>
      </c>
    </row>
    <row r="78">
      <c r="A78" s="0" t="inlineStr">
        <is>
          <t xml:space="preserve">Opportunities created (SQLs)</t>
        </is>
      </c>
      <c r="B78" s="0" t="inlineStr">
        <is>
          <t xml:space="preserve">Paid digital</t>
        </is>
      </c>
      <c r="C78" s="0" t="inlineStr">
        <is>
          <t xml:space="preserve">AMER East</t>
        </is>
      </c>
      <c r="D78" s="4">
        <f>COUNTIFS('Opportunities'!$E$2:$E$1775,"=paid",'Opportunities'!$V$2:$V$1775,"=amer_east",'Opportunities'!$M$2:$M$1775,"=apr25",'Opportunities'!$H$2:$H$1775,"&lt;&gt;")</f>
        <v>3</v>
      </c>
      <c r="E78" s="4">
        <f>COUNTIFS('Opportunities'!$E$2:$E$1775,"=paid",'Opportunities'!$V$2:$V$1775,"=amer_east",'Opportunities'!$M$2:$M$1775,"=may25",'Opportunities'!$H$2:$H$1775,"&lt;&gt;")</f>
        <v>6</v>
      </c>
      <c r="F78" s="4">
        <f>COUNTIFS('Opportunities'!$E$2:$E$1775,"=paid",'Opportunities'!$V$2:$V$1775,"=amer_east",'Opportunities'!$M$2:$M$1775,"=jun25",'Opportunities'!$H$2:$H$1775,"&lt;&gt;")</f>
        <v>9</v>
      </c>
      <c r="G78" s="4">
        <f>COUNTIFS('Opportunities'!$E$2:$E$1775,"=paid",'Opportunities'!$V$2:$V$1775,"=amer_east",'Opportunities'!$M$2:$M$1775,"=jul25",'Opportunities'!$H$2:$H$1775,"&lt;&gt;")</f>
        <v>4</v>
      </c>
      <c r="H78" s="4">
        <f>COUNTIFS('Opportunities'!$E$2:$E$1775,"=paid",'Opportunities'!$V$2:$V$1775,"=amer_east",'Opportunities'!$M$2:$M$1775,"=aug25",'Opportunities'!$H$2:$H$1775,"&lt;&gt;")</f>
        <v>3</v>
      </c>
      <c r="I78" s="4">
        <f>COUNTIFS('Opportunities'!$E$2:$E$1775,"=paid",'Opportunities'!$V$2:$V$1775,"=amer_east",'Opportunities'!$M$2:$M$1775,"=sep25",'Opportunities'!$H$2:$H$1775,"&lt;&gt;")</f>
        <v>3</v>
      </c>
      <c r="J78" s="4">
        <f>COUNTIFS('Opportunities'!$E$2:$E$1775,"=paid",'Opportunities'!$V$2:$V$1775,"=amer_east",'Opportunities'!$M$2:$M$1775,"=oct25",'Opportunities'!$H$2:$H$1775,"&lt;&gt;")</f>
        <v>4</v>
      </c>
      <c r="K78" s="4">
        <f>COUNTIFS('Opportunities'!$E$2:$E$1775,"=paid",'Opportunities'!$V$2:$V$1775,"=amer_east",'Opportunities'!$M$2:$M$1775,"=nov25",'Opportunities'!$H$2:$H$1775,"&lt;&gt;")</f>
        <v>4</v>
      </c>
      <c r="L78" s="4">
        <f>COUNTIFS('Opportunities'!$E$2:$E$1775,"=paid",'Opportunities'!$V$2:$V$1775,"=amer_east",'Opportunities'!$M$2:$M$1775,"=dec25",'Opportunities'!$H$2:$H$1775,"&lt;&gt;")</f>
        <v>3</v>
      </c>
      <c r="M78" s="4">
        <f>COUNTIFS('Opportunities'!$E$2:$E$1775,"=paid",'Opportunities'!$V$2:$V$1775,"=amer_east",'Opportunities'!$M$2:$M$1775,"=jan26",'Opportunities'!$H$2:$H$1775,"&lt;&gt;")</f>
        <v>7</v>
      </c>
      <c r="N78" s="4">
        <f>COUNTIFS('Opportunities'!$E$2:$E$1775,"=paid",'Opportunities'!$V$2:$V$1775,"=amer_east",'Opportunities'!$M$2:$M$1775,"=feb26",'Opportunities'!$H$2:$H$1775,"&lt;&gt;")</f>
        <v>3</v>
      </c>
      <c r="O78" s="4">
        <f>COUNTIFS('Opportunities'!$E$2:$E$1775,"=paid",'Opportunities'!$V$2:$V$1775,"=amer_east",'Opportunities'!$M$2:$M$1775,"=mar26",'Opportunities'!$H$2:$H$1775,"&lt;&gt;")</f>
        <v>7</v>
      </c>
      <c r="P78" s="4">
        <f>COUNTIFS('Opportunities'!$E$2:$E$1775,"=paid",'Opportunities'!$V$2:$V$1775,"=amer_east",'Opportunities'!$M$2:$M$1775,"=apr26",'Opportunities'!$H$2:$H$1775,"&lt;&gt;")</f>
        <v>8</v>
      </c>
      <c r="Q78" s="4">
        <f>COUNTIFS('Opportunities'!$E$2:$E$1775,"=paid",'Opportunities'!$V$2:$V$1775,"=amer_east",'Opportunities'!$M$2:$M$1775,"=may26",'Opportunities'!$H$2:$H$1775,"&lt;&gt;")</f>
        <v>10</v>
      </c>
      <c r="R78" s="4">
        <f>COUNTIFS('Opportunities'!$E$2:$E$1775,"=paid",'Opportunities'!$V$2:$V$1775,"=amer_east",'Opportunities'!$M$2:$M$1775,"=jun26",'Opportunities'!$H$2:$H$1775,"&lt;&gt;")</f>
        <v>7</v>
      </c>
      <c r="S78" s="4">
        <f>COUNTIFS('Opportunities'!$E$2:$E$1775,"=paid",'Opportunities'!$V$2:$V$1775,"=amer_east",'Opportunities'!$M$2:$M$1775,"=jul26",'Opportunities'!$H$2:$H$1775,"&lt;&gt;")</f>
        <v>9</v>
      </c>
      <c r="T78" s="4">
        <f>COUNTIFS('Opportunities'!$E$2:$E$1775,"=paid",'Opportunities'!$V$2:$V$1775,"=amer_east",'Opportunities'!$M$2:$M$1775,"=aug26",'Opportunities'!$H$2:$H$1775,"&lt;&gt;")</f>
        <v>12</v>
      </c>
      <c r="U78" s="4">
        <f>COUNTIFS('Opportunities'!$E$2:$E$1775,"=paid",'Opportunities'!$V$2:$V$1775,"=amer_east",'Opportunities'!$M$2:$M$1775,"=sep26",'Opportunities'!$H$2:$H$1775,"&lt;&gt;")</f>
        <v>3</v>
      </c>
      <c r="V78" s="4">
        <f>COUNTIFS('Opportunities'!$E$2:$E$1775,"=paid",'Opportunities'!$V$2:$V$1775,"=amer_east",'Opportunities'!$M$2:$M$1775,"=oct26",'Opportunities'!$H$2:$H$1775,"&lt;&gt;")</f>
        <v>0</v>
      </c>
      <c r="W78" s="4">
        <f>COUNTIFS('Opportunities'!$E$2:$E$1775,"=paid",'Opportunities'!$V$2:$V$1775,"=amer_east",'Opportunities'!$M$2:$M$1775,"=nov26",'Opportunities'!$H$2:$H$1775,"&lt;&gt;")</f>
        <v>0</v>
      </c>
      <c r="X78" s="4">
        <f>COUNTIFS('Opportunities'!$E$2:$E$1775,"=paid",'Opportunities'!$V$2:$V$1775,"=amer_east",'Opportunities'!$M$2:$M$1775,"=dec26",'Opportunities'!$H$2:$H$1775,"&lt;&gt;")</f>
        <v>0</v>
      </c>
    </row>
    <row r="79">
      <c r="A79" s="0" t="inlineStr">
        <is>
          <t xml:space="preserve">Opportunities created (SQLs)</t>
        </is>
      </c>
      <c r="B79" s="0" t="inlineStr">
        <is>
          <t xml:space="preserve">Paid digital</t>
        </is>
      </c>
      <c r="C79" s="0" t="inlineStr">
        <is>
          <t xml:space="preserve">AMER West</t>
        </is>
      </c>
      <c r="D79" s="4">
        <f>COUNTIFS('Opportunities'!$E$2:$E$1775,"=paid",'Opportunities'!$V$2:$V$1775,"=amer_west",'Opportunities'!$M$2:$M$1775,"=apr25",'Opportunities'!$H$2:$H$1775,"&lt;&gt;")</f>
        <v>4</v>
      </c>
      <c r="E79" s="4">
        <f>COUNTIFS('Opportunities'!$E$2:$E$1775,"=paid",'Opportunities'!$V$2:$V$1775,"=amer_west",'Opportunities'!$M$2:$M$1775,"=may25",'Opportunities'!$H$2:$H$1775,"&lt;&gt;")</f>
        <v>6</v>
      </c>
      <c r="F79" s="4">
        <f>COUNTIFS('Opportunities'!$E$2:$E$1775,"=paid",'Opportunities'!$V$2:$V$1775,"=amer_west",'Opportunities'!$M$2:$M$1775,"=jun25",'Opportunities'!$H$2:$H$1775,"&lt;&gt;")</f>
        <v>5</v>
      </c>
      <c r="G79" s="4">
        <f>COUNTIFS('Opportunities'!$E$2:$E$1775,"=paid",'Opportunities'!$V$2:$V$1775,"=amer_west",'Opportunities'!$M$2:$M$1775,"=jul25",'Opportunities'!$H$2:$H$1775,"&lt;&gt;")</f>
        <v>2</v>
      </c>
      <c r="H79" s="4">
        <f>COUNTIFS('Opportunities'!$E$2:$E$1775,"=paid",'Opportunities'!$V$2:$V$1775,"=amer_west",'Opportunities'!$M$2:$M$1775,"=aug25",'Opportunities'!$H$2:$H$1775,"&lt;&gt;")</f>
        <v>1</v>
      </c>
      <c r="I79" s="4">
        <f>COUNTIFS('Opportunities'!$E$2:$E$1775,"=paid",'Opportunities'!$V$2:$V$1775,"=amer_west",'Opportunities'!$M$2:$M$1775,"=sep25",'Opportunities'!$H$2:$H$1775,"&lt;&gt;")</f>
        <v>5</v>
      </c>
      <c r="J79" s="4">
        <f>COUNTIFS('Opportunities'!$E$2:$E$1775,"=paid",'Opportunities'!$V$2:$V$1775,"=amer_west",'Opportunities'!$M$2:$M$1775,"=oct25",'Opportunities'!$H$2:$H$1775,"&lt;&gt;")</f>
        <v>4</v>
      </c>
      <c r="K79" s="4">
        <f>COUNTIFS('Opportunities'!$E$2:$E$1775,"=paid",'Opportunities'!$V$2:$V$1775,"=amer_west",'Opportunities'!$M$2:$M$1775,"=nov25",'Opportunities'!$H$2:$H$1775,"&lt;&gt;")</f>
        <v>3</v>
      </c>
      <c r="L79" s="4">
        <f>COUNTIFS('Opportunities'!$E$2:$E$1775,"=paid",'Opportunities'!$V$2:$V$1775,"=amer_west",'Opportunities'!$M$2:$M$1775,"=dec25",'Opportunities'!$H$2:$H$1775,"&lt;&gt;")</f>
        <v>6</v>
      </c>
      <c r="M79" s="4">
        <f>COUNTIFS('Opportunities'!$E$2:$E$1775,"=paid",'Opportunities'!$V$2:$V$1775,"=amer_west",'Opportunities'!$M$2:$M$1775,"=jan26",'Opportunities'!$H$2:$H$1775,"&lt;&gt;")</f>
        <v>2</v>
      </c>
      <c r="N79" s="4">
        <f>COUNTIFS('Opportunities'!$E$2:$E$1775,"=paid",'Opportunities'!$V$2:$V$1775,"=amer_west",'Opportunities'!$M$2:$M$1775,"=feb26",'Opportunities'!$H$2:$H$1775,"&lt;&gt;")</f>
        <v>1</v>
      </c>
      <c r="O79" s="4">
        <f>COUNTIFS('Opportunities'!$E$2:$E$1775,"=paid",'Opportunities'!$V$2:$V$1775,"=amer_west",'Opportunities'!$M$2:$M$1775,"=mar26",'Opportunities'!$H$2:$H$1775,"&lt;&gt;")</f>
        <v>6</v>
      </c>
      <c r="P79" s="4">
        <f>COUNTIFS('Opportunities'!$E$2:$E$1775,"=paid",'Opportunities'!$V$2:$V$1775,"=amer_west",'Opportunities'!$M$2:$M$1775,"=apr26",'Opportunities'!$H$2:$H$1775,"&lt;&gt;")</f>
        <v>5</v>
      </c>
      <c r="Q79" s="4">
        <f>COUNTIFS('Opportunities'!$E$2:$E$1775,"=paid",'Opportunities'!$V$2:$V$1775,"=amer_west",'Opportunities'!$M$2:$M$1775,"=may26",'Opportunities'!$H$2:$H$1775,"&lt;&gt;")</f>
        <v>5</v>
      </c>
      <c r="R79" s="4">
        <f>COUNTIFS('Opportunities'!$E$2:$E$1775,"=paid",'Opportunities'!$V$2:$V$1775,"=amer_west",'Opportunities'!$M$2:$M$1775,"=jun26",'Opportunities'!$H$2:$H$1775,"&lt;&gt;")</f>
        <v>8</v>
      </c>
      <c r="S79" s="4">
        <f>COUNTIFS('Opportunities'!$E$2:$E$1775,"=paid",'Opportunities'!$V$2:$V$1775,"=amer_west",'Opportunities'!$M$2:$M$1775,"=jul26",'Opportunities'!$H$2:$H$1775,"&lt;&gt;")</f>
        <v>4</v>
      </c>
      <c r="T79" s="4">
        <f>COUNTIFS('Opportunities'!$E$2:$E$1775,"=paid",'Opportunities'!$V$2:$V$1775,"=amer_west",'Opportunities'!$M$2:$M$1775,"=aug26",'Opportunities'!$H$2:$H$1775,"&lt;&gt;")</f>
        <v>6</v>
      </c>
      <c r="U79" s="4">
        <f>COUNTIFS('Opportunities'!$E$2:$E$1775,"=paid",'Opportunities'!$V$2:$V$1775,"=amer_west",'Opportunities'!$M$2:$M$1775,"=sep26",'Opportunities'!$H$2:$H$1775,"&lt;&gt;")</f>
        <v>3</v>
      </c>
      <c r="V79" s="4">
        <f>COUNTIFS('Opportunities'!$E$2:$E$1775,"=paid",'Opportunities'!$V$2:$V$1775,"=amer_west",'Opportunities'!$M$2:$M$1775,"=oct26",'Opportunities'!$H$2:$H$1775,"&lt;&gt;")</f>
        <v>0</v>
      </c>
      <c r="W79" s="4">
        <f>COUNTIFS('Opportunities'!$E$2:$E$1775,"=paid",'Opportunities'!$V$2:$V$1775,"=amer_west",'Opportunities'!$M$2:$M$1775,"=nov26",'Opportunities'!$H$2:$H$1775,"&lt;&gt;")</f>
        <v>0</v>
      </c>
      <c r="X79" s="4">
        <f>COUNTIFS('Opportunities'!$E$2:$E$1775,"=paid",'Opportunities'!$V$2:$V$1775,"=amer_west",'Opportunities'!$M$2:$M$1775,"=dec26",'Opportunities'!$H$2:$H$1775,"&lt;&gt;")</f>
        <v>0</v>
      </c>
    </row>
    <row r="80">
      <c r="A80" s="0" t="inlineStr">
        <is>
          <t xml:space="preserve">Opportunities created (SQLs)</t>
        </is>
      </c>
      <c r="B80" s="0" t="inlineStr">
        <is>
          <t xml:space="preserve">Paid digital</t>
        </is>
      </c>
      <c r="C80" s="0" t="inlineStr">
        <is>
          <t xml:space="preserve">EMEA</t>
        </is>
      </c>
      <c r="D80" s="4">
        <f>COUNTIFS('Opportunities'!$E$2:$E$1775,"=paid",'Opportunities'!$V$2:$V$1775,"=emea",'Opportunities'!$M$2:$M$1775,"=apr25",'Opportunities'!$H$2:$H$1775,"&lt;&gt;")</f>
        <v>6</v>
      </c>
      <c r="E80" s="4">
        <f>COUNTIFS('Opportunities'!$E$2:$E$1775,"=paid",'Opportunities'!$V$2:$V$1775,"=emea",'Opportunities'!$M$2:$M$1775,"=may25",'Opportunities'!$H$2:$H$1775,"&lt;&gt;")</f>
        <v>1</v>
      </c>
      <c r="F80" s="4">
        <f>COUNTIFS('Opportunities'!$E$2:$E$1775,"=paid",'Opportunities'!$V$2:$V$1775,"=emea",'Opportunities'!$M$2:$M$1775,"=jun25",'Opportunities'!$H$2:$H$1775,"&lt;&gt;")</f>
        <v>7</v>
      </c>
      <c r="G80" s="4">
        <f>COUNTIFS('Opportunities'!$E$2:$E$1775,"=paid",'Opportunities'!$V$2:$V$1775,"=emea",'Opportunities'!$M$2:$M$1775,"=jul25",'Opportunities'!$H$2:$H$1775,"&lt;&gt;")</f>
        <v>5</v>
      </c>
      <c r="H80" s="4">
        <f>COUNTIFS('Opportunities'!$E$2:$E$1775,"=paid",'Opportunities'!$V$2:$V$1775,"=emea",'Opportunities'!$M$2:$M$1775,"=aug25",'Opportunities'!$H$2:$H$1775,"&lt;&gt;")</f>
        <v>3</v>
      </c>
      <c r="I80" s="4">
        <f>COUNTIFS('Opportunities'!$E$2:$E$1775,"=paid",'Opportunities'!$V$2:$V$1775,"=emea",'Opportunities'!$M$2:$M$1775,"=sep25",'Opportunities'!$H$2:$H$1775,"&lt;&gt;")</f>
        <v>3</v>
      </c>
      <c r="J80" s="4">
        <f>COUNTIFS('Opportunities'!$E$2:$E$1775,"=paid",'Opportunities'!$V$2:$V$1775,"=emea",'Opportunities'!$M$2:$M$1775,"=oct25",'Opportunities'!$H$2:$H$1775,"&lt;&gt;")</f>
        <v>2</v>
      </c>
      <c r="K80" s="4">
        <f>COUNTIFS('Opportunities'!$E$2:$E$1775,"=paid",'Opportunities'!$V$2:$V$1775,"=emea",'Opportunities'!$M$2:$M$1775,"=nov25",'Opportunities'!$H$2:$H$1775,"&lt;&gt;")</f>
        <v>5</v>
      </c>
      <c r="L80" s="4">
        <f>COUNTIFS('Opportunities'!$E$2:$E$1775,"=paid",'Opportunities'!$V$2:$V$1775,"=emea",'Opportunities'!$M$2:$M$1775,"=dec25",'Opportunities'!$H$2:$H$1775,"&lt;&gt;")</f>
        <v>3</v>
      </c>
      <c r="M80" s="4">
        <f>COUNTIFS('Opportunities'!$E$2:$E$1775,"=paid",'Opportunities'!$V$2:$V$1775,"=emea",'Opportunities'!$M$2:$M$1775,"=jan26",'Opportunities'!$H$2:$H$1775,"&lt;&gt;")</f>
        <v>4</v>
      </c>
      <c r="N80" s="4">
        <f>COUNTIFS('Opportunities'!$E$2:$E$1775,"=paid",'Opportunities'!$V$2:$V$1775,"=emea",'Opportunities'!$M$2:$M$1775,"=feb26",'Opportunities'!$H$2:$H$1775,"&lt;&gt;")</f>
        <v>3</v>
      </c>
      <c r="O80" s="4">
        <f>COUNTIFS('Opportunities'!$E$2:$E$1775,"=paid",'Opportunities'!$V$2:$V$1775,"=emea",'Opportunities'!$M$2:$M$1775,"=mar26",'Opportunities'!$H$2:$H$1775,"&lt;&gt;")</f>
        <v>3</v>
      </c>
      <c r="P80" s="4">
        <f>COUNTIFS('Opportunities'!$E$2:$E$1775,"=paid",'Opportunities'!$V$2:$V$1775,"=emea",'Opportunities'!$M$2:$M$1775,"=apr26",'Opportunities'!$H$2:$H$1775,"&lt;&gt;")</f>
        <v>2</v>
      </c>
      <c r="Q80" s="4">
        <f>COUNTIFS('Opportunities'!$E$2:$E$1775,"=paid",'Opportunities'!$V$2:$V$1775,"=emea",'Opportunities'!$M$2:$M$1775,"=may26",'Opportunities'!$H$2:$H$1775,"&lt;&gt;")</f>
        <v>2</v>
      </c>
      <c r="R80" s="4">
        <f>COUNTIFS('Opportunities'!$E$2:$E$1775,"=paid",'Opportunities'!$V$2:$V$1775,"=emea",'Opportunities'!$M$2:$M$1775,"=jun26",'Opportunities'!$H$2:$H$1775,"&lt;&gt;")</f>
        <v>3</v>
      </c>
      <c r="S80" s="4">
        <f>COUNTIFS('Opportunities'!$E$2:$E$1775,"=paid",'Opportunities'!$V$2:$V$1775,"=emea",'Opportunities'!$M$2:$M$1775,"=jul26",'Opportunities'!$H$2:$H$1775,"&lt;&gt;")</f>
        <v>4</v>
      </c>
      <c r="T80" s="4">
        <f>COUNTIFS('Opportunities'!$E$2:$E$1775,"=paid",'Opportunities'!$V$2:$V$1775,"=emea",'Opportunities'!$M$2:$M$1775,"=aug26",'Opportunities'!$H$2:$H$1775,"&lt;&gt;")</f>
        <v>4</v>
      </c>
      <c r="U80" s="4">
        <f>COUNTIFS('Opportunities'!$E$2:$E$1775,"=paid",'Opportunities'!$V$2:$V$1775,"=emea",'Opportunities'!$M$2:$M$1775,"=sep26",'Opportunities'!$H$2:$H$1775,"&lt;&gt;")</f>
        <v>2</v>
      </c>
      <c r="V80" s="4">
        <f>COUNTIFS('Opportunities'!$E$2:$E$1775,"=paid",'Opportunities'!$V$2:$V$1775,"=emea",'Opportunities'!$M$2:$M$1775,"=oct26",'Opportunities'!$H$2:$H$1775,"&lt;&gt;")</f>
        <v>0</v>
      </c>
      <c r="W80" s="4">
        <f>COUNTIFS('Opportunities'!$E$2:$E$1775,"=paid",'Opportunities'!$V$2:$V$1775,"=emea",'Opportunities'!$M$2:$M$1775,"=nov26",'Opportunities'!$H$2:$H$1775,"&lt;&gt;")</f>
        <v>0</v>
      </c>
      <c r="X80" s="4">
        <f>COUNTIFS('Opportunities'!$E$2:$E$1775,"=paid",'Opportunities'!$V$2:$V$1775,"=emea",'Opportunities'!$M$2:$M$1775,"=dec26",'Opportunities'!$H$2:$H$1775,"&lt;&gt;")</f>
        <v>0</v>
      </c>
    </row>
    <row r="81">
      <c r="A81" s="0" t="inlineStr">
        <is>
          <t xml:space="preserve">Opportunities created (SQLs)</t>
        </is>
      </c>
      <c r="B81" s="0" t="inlineStr">
        <is>
          <t xml:space="preserve">Paid digital</t>
        </is>
      </c>
      <c r="C81" s="0" t="inlineStr">
        <is>
          <t xml:space="preserve">APAC</t>
        </is>
      </c>
      <c r="D81" s="4">
        <f>COUNTIFS('Opportunities'!$E$2:$E$1775,"=paid",'Opportunities'!$V$2:$V$1775,"=apac",'Opportunities'!$M$2:$M$1775,"=apr25",'Opportunities'!$H$2:$H$1775,"&lt;&gt;")</f>
        <v>1</v>
      </c>
      <c r="E81" s="4">
        <f>COUNTIFS('Opportunities'!$E$2:$E$1775,"=paid",'Opportunities'!$V$2:$V$1775,"=apac",'Opportunities'!$M$2:$M$1775,"=may25",'Opportunities'!$H$2:$H$1775,"&lt;&gt;")</f>
        <v>1</v>
      </c>
      <c r="F81" s="4">
        <f>COUNTIFS('Opportunities'!$E$2:$E$1775,"=paid",'Opportunities'!$V$2:$V$1775,"=apac",'Opportunities'!$M$2:$M$1775,"=jun25",'Opportunities'!$H$2:$H$1775,"&lt;&gt;")</f>
        <v>3</v>
      </c>
      <c r="G81" s="4">
        <f>COUNTIFS('Opportunities'!$E$2:$E$1775,"=paid",'Opportunities'!$V$2:$V$1775,"=apac",'Opportunities'!$M$2:$M$1775,"=jul25",'Opportunities'!$H$2:$H$1775,"&lt;&gt;")</f>
        <v>0</v>
      </c>
      <c r="H81" s="4">
        <f>COUNTIFS('Opportunities'!$E$2:$E$1775,"=paid",'Opportunities'!$V$2:$V$1775,"=apac",'Opportunities'!$M$2:$M$1775,"=aug25",'Opportunities'!$H$2:$H$1775,"&lt;&gt;")</f>
        <v>1</v>
      </c>
      <c r="I81" s="4">
        <f>COUNTIFS('Opportunities'!$E$2:$E$1775,"=paid",'Opportunities'!$V$2:$V$1775,"=apac",'Opportunities'!$M$2:$M$1775,"=sep25",'Opportunities'!$H$2:$H$1775,"&lt;&gt;")</f>
        <v>1</v>
      </c>
      <c r="J81" s="4">
        <f>COUNTIFS('Opportunities'!$E$2:$E$1775,"=paid",'Opportunities'!$V$2:$V$1775,"=apac",'Opportunities'!$M$2:$M$1775,"=oct25",'Opportunities'!$H$2:$H$1775,"&lt;&gt;")</f>
        <v>6</v>
      </c>
      <c r="K81" s="4">
        <f>COUNTIFS('Opportunities'!$E$2:$E$1775,"=paid",'Opportunities'!$V$2:$V$1775,"=apac",'Opportunities'!$M$2:$M$1775,"=nov25",'Opportunities'!$H$2:$H$1775,"&lt;&gt;")</f>
        <v>0</v>
      </c>
      <c r="L81" s="4">
        <f>COUNTIFS('Opportunities'!$E$2:$E$1775,"=paid",'Opportunities'!$V$2:$V$1775,"=apac",'Opportunities'!$M$2:$M$1775,"=dec25",'Opportunities'!$H$2:$H$1775,"&lt;&gt;")</f>
        <v>2</v>
      </c>
      <c r="M81" s="4">
        <f>COUNTIFS('Opportunities'!$E$2:$E$1775,"=paid",'Opportunities'!$V$2:$V$1775,"=apac",'Opportunities'!$M$2:$M$1775,"=jan26",'Opportunities'!$H$2:$H$1775,"&lt;&gt;")</f>
        <v>2</v>
      </c>
      <c r="N81" s="4">
        <f>COUNTIFS('Opportunities'!$E$2:$E$1775,"=paid",'Opportunities'!$V$2:$V$1775,"=apac",'Opportunities'!$M$2:$M$1775,"=feb26",'Opportunities'!$H$2:$H$1775,"&lt;&gt;")</f>
        <v>3</v>
      </c>
      <c r="O81" s="4">
        <f>COUNTIFS('Opportunities'!$E$2:$E$1775,"=paid",'Opportunities'!$V$2:$V$1775,"=apac",'Opportunities'!$M$2:$M$1775,"=mar26",'Opportunities'!$H$2:$H$1775,"&lt;&gt;")</f>
        <v>5</v>
      </c>
      <c r="P81" s="4">
        <f>COUNTIFS('Opportunities'!$E$2:$E$1775,"=paid",'Opportunities'!$V$2:$V$1775,"=apac",'Opportunities'!$M$2:$M$1775,"=apr26",'Opportunities'!$H$2:$H$1775,"&lt;&gt;")</f>
        <v>3</v>
      </c>
      <c r="Q81" s="4">
        <f>COUNTIFS('Opportunities'!$E$2:$E$1775,"=paid",'Opportunities'!$V$2:$V$1775,"=apac",'Opportunities'!$M$2:$M$1775,"=may26",'Opportunities'!$H$2:$H$1775,"&lt;&gt;")</f>
        <v>4</v>
      </c>
      <c r="R81" s="4">
        <f>COUNTIFS('Opportunities'!$E$2:$E$1775,"=paid",'Opportunities'!$V$2:$V$1775,"=apac",'Opportunities'!$M$2:$M$1775,"=jun26",'Opportunities'!$H$2:$H$1775,"&lt;&gt;")</f>
        <v>2</v>
      </c>
      <c r="S81" s="4">
        <f>COUNTIFS('Opportunities'!$E$2:$E$1775,"=paid",'Opportunities'!$V$2:$V$1775,"=apac",'Opportunities'!$M$2:$M$1775,"=jul26",'Opportunities'!$H$2:$H$1775,"&lt;&gt;")</f>
        <v>1</v>
      </c>
      <c r="T81" s="4">
        <f>COUNTIFS('Opportunities'!$E$2:$E$1775,"=paid",'Opportunities'!$V$2:$V$1775,"=apac",'Opportunities'!$M$2:$M$1775,"=aug26",'Opportunities'!$H$2:$H$1775,"&lt;&gt;")</f>
        <v>1</v>
      </c>
      <c r="U81" s="4">
        <f>COUNTIFS('Opportunities'!$E$2:$E$1775,"=paid",'Opportunities'!$V$2:$V$1775,"=apac",'Opportunities'!$M$2:$M$1775,"=sep26",'Opportunities'!$H$2:$H$1775,"&lt;&gt;")</f>
        <v>2</v>
      </c>
      <c r="V81" s="4">
        <f>COUNTIFS('Opportunities'!$E$2:$E$1775,"=paid",'Opportunities'!$V$2:$V$1775,"=apac",'Opportunities'!$M$2:$M$1775,"=oct26",'Opportunities'!$H$2:$H$1775,"&lt;&gt;")</f>
        <v>0</v>
      </c>
      <c r="W81" s="4">
        <f>COUNTIFS('Opportunities'!$E$2:$E$1775,"=paid",'Opportunities'!$V$2:$V$1775,"=apac",'Opportunities'!$M$2:$M$1775,"=nov26",'Opportunities'!$H$2:$H$1775,"&lt;&gt;")</f>
        <v>0</v>
      </c>
      <c r="X81" s="4">
        <f>COUNTIFS('Opportunities'!$E$2:$E$1775,"=paid",'Opportunities'!$V$2:$V$1775,"=apac",'Opportunities'!$M$2:$M$1775,"=dec26",'Opportunities'!$H$2:$H$1775,"&lt;&gt;")</f>
        <v>0</v>
      </c>
    </row>
    <row r="82">
      <c r="A82" s="0" t="inlineStr">
        <is>
          <t xml:space="preserve">Opportunities created (SQLs)</t>
        </is>
      </c>
      <c r="B82" s="0" t="inlineStr">
        <is>
          <t xml:space="preserve">Events &amp; field</t>
        </is>
      </c>
      <c r="C82" s="0" t="inlineStr">
        <is>
          <t xml:space="preserve">AMER East</t>
        </is>
      </c>
      <c r="D82" s="4">
        <f>COUNTIFS('Opportunities'!$E$2:$E$1775,"=events",'Opportunities'!$V$2:$V$1775,"=amer_east",'Opportunities'!$M$2:$M$1775,"=apr25",'Opportunities'!$H$2:$H$1775,"&lt;&gt;")</f>
        <v>1</v>
      </c>
      <c r="E82" s="4">
        <f>COUNTIFS('Opportunities'!$E$2:$E$1775,"=events",'Opportunities'!$V$2:$V$1775,"=amer_east",'Opportunities'!$M$2:$M$1775,"=may25",'Opportunities'!$H$2:$H$1775,"&lt;&gt;")</f>
        <v>12</v>
      </c>
      <c r="F82" s="4">
        <f>COUNTIFS('Opportunities'!$E$2:$E$1775,"=events",'Opportunities'!$V$2:$V$1775,"=amer_east",'Opportunities'!$M$2:$M$1775,"=jun25",'Opportunities'!$H$2:$H$1775,"&lt;&gt;")</f>
        <v>10</v>
      </c>
      <c r="G82" s="4">
        <f>COUNTIFS('Opportunities'!$E$2:$E$1775,"=events",'Opportunities'!$V$2:$V$1775,"=amer_east",'Opportunities'!$M$2:$M$1775,"=jul25",'Opportunities'!$H$2:$H$1775,"&lt;&gt;")</f>
        <v>3</v>
      </c>
      <c r="H82" s="4">
        <f>COUNTIFS('Opportunities'!$E$2:$E$1775,"=events",'Opportunities'!$V$2:$V$1775,"=amer_east",'Opportunities'!$M$2:$M$1775,"=aug25",'Opportunities'!$H$2:$H$1775,"&lt;&gt;")</f>
        <v>3</v>
      </c>
      <c r="I82" s="4">
        <f>COUNTIFS('Opportunities'!$E$2:$E$1775,"=events",'Opportunities'!$V$2:$V$1775,"=amer_east",'Opportunities'!$M$2:$M$1775,"=sep25",'Opportunities'!$H$2:$H$1775,"&lt;&gt;")</f>
        <v>1</v>
      </c>
      <c r="J82" s="4">
        <f>COUNTIFS('Opportunities'!$E$2:$E$1775,"=events",'Opportunities'!$V$2:$V$1775,"=amer_east",'Opportunities'!$M$2:$M$1775,"=oct25",'Opportunities'!$H$2:$H$1775,"&lt;&gt;")</f>
        <v>5</v>
      </c>
      <c r="K82" s="4">
        <f>COUNTIFS('Opportunities'!$E$2:$E$1775,"=events",'Opportunities'!$V$2:$V$1775,"=amer_east",'Opportunities'!$M$2:$M$1775,"=nov25",'Opportunities'!$H$2:$H$1775,"&lt;&gt;")</f>
        <v>0</v>
      </c>
      <c r="L82" s="4">
        <f>COUNTIFS('Opportunities'!$E$2:$E$1775,"=events",'Opportunities'!$V$2:$V$1775,"=amer_east",'Opportunities'!$M$2:$M$1775,"=dec25",'Opportunities'!$H$2:$H$1775,"&lt;&gt;")</f>
        <v>2</v>
      </c>
      <c r="M82" s="4">
        <f>COUNTIFS('Opportunities'!$E$2:$E$1775,"=events",'Opportunities'!$V$2:$V$1775,"=amer_east",'Opportunities'!$M$2:$M$1775,"=jan26",'Opportunities'!$H$2:$H$1775,"&lt;&gt;")</f>
        <v>0</v>
      </c>
      <c r="N82" s="4">
        <f>COUNTIFS('Opportunities'!$E$2:$E$1775,"=events",'Opportunities'!$V$2:$V$1775,"=amer_east",'Opportunities'!$M$2:$M$1775,"=feb26",'Opportunities'!$H$2:$H$1775,"&lt;&gt;")</f>
        <v>2</v>
      </c>
      <c r="O82" s="4">
        <f>COUNTIFS('Opportunities'!$E$2:$E$1775,"=events",'Opportunities'!$V$2:$V$1775,"=amer_east",'Opportunities'!$M$2:$M$1775,"=mar26",'Opportunities'!$H$2:$H$1775,"&lt;&gt;")</f>
        <v>16</v>
      </c>
      <c r="P82" s="4">
        <f>COUNTIFS('Opportunities'!$E$2:$E$1775,"=events",'Opportunities'!$V$2:$V$1775,"=amer_east",'Opportunities'!$M$2:$M$1775,"=apr26",'Opportunities'!$H$2:$H$1775,"&lt;&gt;")</f>
        <v>2</v>
      </c>
      <c r="Q82" s="4">
        <f>COUNTIFS('Opportunities'!$E$2:$E$1775,"=events",'Opportunities'!$V$2:$V$1775,"=amer_east",'Opportunities'!$M$2:$M$1775,"=may26",'Opportunities'!$H$2:$H$1775,"&lt;&gt;")</f>
        <v>2</v>
      </c>
      <c r="R82" s="4">
        <f>COUNTIFS('Opportunities'!$E$2:$E$1775,"=events",'Opportunities'!$V$2:$V$1775,"=amer_east",'Opportunities'!$M$2:$M$1775,"=jun26",'Opportunities'!$H$2:$H$1775,"&lt;&gt;")</f>
        <v>12</v>
      </c>
      <c r="S82" s="4">
        <f>COUNTIFS('Opportunities'!$E$2:$E$1775,"=events",'Opportunities'!$V$2:$V$1775,"=amer_east",'Opportunities'!$M$2:$M$1775,"=jul26",'Opportunities'!$H$2:$H$1775,"&lt;&gt;")</f>
        <v>3</v>
      </c>
      <c r="T82" s="4">
        <f>COUNTIFS('Opportunities'!$E$2:$E$1775,"=events",'Opportunities'!$V$2:$V$1775,"=amer_east",'Opportunities'!$M$2:$M$1775,"=aug26",'Opportunities'!$H$2:$H$1775,"&lt;&gt;")</f>
        <v>2</v>
      </c>
      <c r="U82" s="4">
        <f>COUNTIFS('Opportunities'!$E$2:$E$1775,"=events",'Opportunities'!$V$2:$V$1775,"=amer_east",'Opportunities'!$M$2:$M$1775,"=sep26",'Opportunities'!$H$2:$H$1775,"&lt;&gt;")</f>
        <v>2</v>
      </c>
      <c r="V82" s="4">
        <f>COUNTIFS('Opportunities'!$E$2:$E$1775,"=events",'Opportunities'!$V$2:$V$1775,"=amer_east",'Opportunities'!$M$2:$M$1775,"=oct26",'Opportunities'!$H$2:$H$1775,"&lt;&gt;")</f>
        <v>0</v>
      </c>
      <c r="W82" s="4">
        <f>COUNTIFS('Opportunities'!$E$2:$E$1775,"=events",'Opportunities'!$V$2:$V$1775,"=amer_east",'Opportunities'!$M$2:$M$1775,"=nov26",'Opportunities'!$H$2:$H$1775,"&lt;&gt;")</f>
        <v>0</v>
      </c>
      <c r="X82" s="4">
        <f>COUNTIFS('Opportunities'!$E$2:$E$1775,"=events",'Opportunities'!$V$2:$V$1775,"=amer_east",'Opportunities'!$M$2:$M$1775,"=dec26",'Opportunities'!$H$2:$H$1775,"&lt;&gt;")</f>
        <v>0</v>
      </c>
    </row>
    <row r="83">
      <c r="A83" s="0" t="inlineStr">
        <is>
          <t xml:space="preserve">Opportunities created (SQLs)</t>
        </is>
      </c>
      <c r="B83" s="0" t="inlineStr">
        <is>
          <t xml:space="preserve">Events &amp; field</t>
        </is>
      </c>
      <c r="C83" s="0" t="inlineStr">
        <is>
          <t xml:space="preserve">AMER West</t>
        </is>
      </c>
      <c r="D83" s="4">
        <f>COUNTIFS('Opportunities'!$E$2:$E$1775,"=events",'Opportunities'!$V$2:$V$1775,"=amer_west",'Opportunities'!$M$2:$M$1775,"=apr25",'Opportunities'!$H$2:$H$1775,"&lt;&gt;")</f>
        <v>1</v>
      </c>
      <c r="E83" s="4">
        <f>COUNTIFS('Opportunities'!$E$2:$E$1775,"=events",'Opportunities'!$V$2:$V$1775,"=amer_west",'Opportunities'!$M$2:$M$1775,"=may25",'Opportunities'!$H$2:$H$1775,"&lt;&gt;")</f>
        <v>5</v>
      </c>
      <c r="F83" s="4">
        <f>COUNTIFS('Opportunities'!$E$2:$E$1775,"=events",'Opportunities'!$V$2:$V$1775,"=amer_west",'Opportunities'!$M$2:$M$1775,"=jun25",'Opportunities'!$H$2:$H$1775,"&lt;&gt;")</f>
        <v>4</v>
      </c>
      <c r="G83" s="4">
        <f>COUNTIFS('Opportunities'!$E$2:$E$1775,"=events",'Opportunities'!$V$2:$V$1775,"=amer_west",'Opportunities'!$M$2:$M$1775,"=jul25",'Opportunities'!$H$2:$H$1775,"&lt;&gt;")</f>
        <v>1</v>
      </c>
      <c r="H83" s="4">
        <f>COUNTIFS('Opportunities'!$E$2:$E$1775,"=events",'Opportunities'!$V$2:$V$1775,"=amer_west",'Opportunities'!$M$2:$M$1775,"=aug25",'Opportunities'!$H$2:$H$1775,"&lt;&gt;")</f>
        <v>3</v>
      </c>
      <c r="I83" s="4">
        <f>COUNTIFS('Opportunities'!$E$2:$E$1775,"=events",'Opportunities'!$V$2:$V$1775,"=amer_west",'Opportunities'!$M$2:$M$1775,"=sep25",'Opportunities'!$H$2:$H$1775,"&lt;&gt;")</f>
        <v>1</v>
      </c>
      <c r="J83" s="4">
        <f>COUNTIFS('Opportunities'!$E$2:$E$1775,"=events",'Opportunities'!$V$2:$V$1775,"=amer_west",'Opportunities'!$M$2:$M$1775,"=oct25",'Opportunities'!$H$2:$H$1775,"&lt;&gt;")</f>
        <v>7</v>
      </c>
      <c r="K83" s="4">
        <f>COUNTIFS('Opportunities'!$E$2:$E$1775,"=events",'Opportunities'!$V$2:$V$1775,"=amer_west",'Opportunities'!$M$2:$M$1775,"=nov25",'Opportunities'!$H$2:$H$1775,"&lt;&gt;")</f>
        <v>3</v>
      </c>
      <c r="L83" s="4">
        <f>COUNTIFS('Opportunities'!$E$2:$E$1775,"=events",'Opportunities'!$V$2:$V$1775,"=amer_west",'Opportunities'!$M$2:$M$1775,"=dec25",'Opportunities'!$H$2:$H$1775,"&lt;&gt;")</f>
        <v>2</v>
      </c>
      <c r="M83" s="4">
        <f>COUNTIFS('Opportunities'!$E$2:$E$1775,"=events",'Opportunities'!$V$2:$V$1775,"=amer_west",'Opportunities'!$M$2:$M$1775,"=jan26",'Opportunities'!$H$2:$H$1775,"&lt;&gt;")</f>
        <v>5</v>
      </c>
      <c r="N83" s="4">
        <f>COUNTIFS('Opportunities'!$E$2:$E$1775,"=events",'Opportunities'!$V$2:$V$1775,"=amer_west",'Opportunities'!$M$2:$M$1775,"=feb26",'Opportunities'!$H$2:$H$1775,"&lt;&gt;")</f>
        <v>4</v>
      </c>
      <c r="O83" s="4">
        <f>COUNTIFS('Opportunities'!$E$2:$E$1775,"=events",'Opportunities'!$V$2:$V$1775,"=amer_west",'Opportunities'!$M$2:$M$1775,"=mar26",'Opportunities'!$H$2:$H$1775,"&lt;&gt;")</f>
        <v>9</v>
      </c>
      <c r="P83" s="4">
        <f>COUNTIFS('Opportunities'!$E$2:$E$1775,"=events",'Opportunities'!$V$2:$V$1775,"=amer_west",'Opportunities'!$M$2:$M$1775,"=apr26",'Opportunities'!$H$2:$H$1775,"&lt;&gt;")</f>
        <v>1</v>
      </c>
      <c r="Q83" s="4">
        <f>COUNTIFS('Opportunities'!$E$2:$E$1775,"=events",'Opportunities'!$V$2:$V$1775,"=amer_west",'Opportunities'!$M$2:$M$1775,"=may26",'Opportunities'!$H$2:$H$1775,"&lt;&gt;")</f>
        <v>3</v>
      </c>
      <c r="R83" s="4">
        <f>COUNTIFS('Opportunities'!$E$2:$E$1775,"=events",'Opportunities'!$V$2:$V$1775,"=amer_west",'Opportunities'!$M$2:$M$1775,"=jun26",'Opportunities'!$H$2:$H$1775,"&lt;&gt;")</f>
        <v>11</v>
      </c>
      <c r="S83" s="4">
        <f>COUNTIFS('Opportunities'!$E$2:$E$1775,"=events",'Opportunities'!$V$2:$V$1775,"=amer_west",'Opportunities'!$M$2:$M$1775,"=jul26",'Opportunities'!$H$2:$H$1775,"&lt;&gt;")</f>
        <v>3</v>
      </c>
      <c r="T83" s="4">
        <f>COUNTIFS('Opportunities'!$E$2:$E$1775,"=events",'Opportunities'!$V$2:$V$1775,"=amer_west",'Opportunities'!$M$2:$M$1775,"=aug26",'Opportunities'!$H$2:$H$1775,"&lt;&gt;")</f>
        <v>1</v>
      </c>
      <c r="U83" s="4">
        <f>COUNTIFS('Opportunities'!$E$2:$E$1775,"=events",'Opportunities'!$V$2:$V$1775,"=amer_west",'Opportunities'!$M$2:$M$1775,"=sep26",'Opportunities'!$H$2:$H$1775,"&lt;&gt;")</f>
        <v>1</v>
      </c>
      <c r="V83" s="4">
        <f>COUNTIFS('Opportunities'!$E$2:$E$1775,"=events",'Opportunities'!$V$2:$V$1775,"=amer_west",'Opportunities'!$M$2:$M$1775,"=oct26",'Opportunities'!$H$2:$H$1775,"&lt;&gt;")</f>
        <v>0</v>
      </c>
      <c r="W83" s="4">
        <f>COUNTIFS('Opportunities'!$E$2:$E$1775,"=events",'Opportunities'!$V$2:$V$1775,"=amer_west",'Opportunities'!$M$2:$M$1775,"=nov26",'Opportunities'!$H$2:$H$1775,"&lt;&gt;")</f>
        <v>0</v>
      </c>
      <c r="X83" s="4">
        <f>COUNTIFS('Opportunities'!$E$2:$E$1775,"=events",'Opportunities'!$V$2:$V$1775,"=amer_west",'Opportunities'!$M$2:$M$1775,"=dec26",'Opportunities'!$H$2:$H$1775,"&lt;&gt;")</f>
        <v>0</v>
      </c>
    </row>
    <row r="84">
      <c r="A84" s="0" t="inlineStr">
        <is>
          <t xml:space="preserve">Opportunities created (SQLs)</t>
        </is>
      </c>
      <c r="B84" s="0" t="inlineStr">
        <is>
          <t xml:space="preserve">Events &amp; field</t>
        </is>
      </c>
      <c r="C84" s="0" t="inlineStr">
        <is>
          <t xml:space="preserve">EMEA</t>
        </is>
      </c>
      <c r="D84" s="4">
        <f>COUNTIFS('Opportunities'!$E$2:$E$1775,"=events",'Opportunities'!$V$2:$V$1775,"=emea",'Opportunities'!$M$2:$M$1775,"=apr25",'Opportunities'!$H$2:$H$1775,"&lt;&gt;")</f>
        <v>1</v>
      </c>
      <c r="E84" s="4">
        <f>COUNTIFS('Opportunities'!$E$2:$E$1775,"=events",'Opportunities'!$V$2:$V$1775,"=emea",'Opportunities'!$M$2:$M$1775,"=may25",'Opportunities'!$H$2:$H$1775,"&lt;&gt;")</f>
        <v>11</v>
      </c>
      <c r="F84" s="4">
        <f>COUNTIFS('Opportunities'!$E$2:$E$1775,"=events",'Opportunities'!$V$2:$V$1775,"=emea",'Opportunities'!$M$2:$M$1775,"=jun25",'Opportunities'!$H$2:$H$1775,"&lt;&gt;")</f>
        <v>2</v>
      </c>
      <c r="G84" s="4">
        <f>COUNTIFS('Opportunities'!$E$2:$E$1775,"=events",'Opportunities'!$V$2:$V$1775,"=emea",'Opportunities'!$M$2:$M$1775,"=jul25",'Opportunities'!$H$2:$H$1775,"&lt;&gt;")</f>
        <v>3</v>
      </c>
      <c r="H84" s="4">
        <f>COUNTIFS('Opportunities'!$E$2:$E$1775,"=events",'Opportunities'!$V$2:$V$1775,"=emea",'Opportunities'!$M$2:$M$1775,"=aug25",'Opportunities'!$H$2:$H$1775,"&lt;&gt;")</f>
        <v>0</v>
      </c>
      <c r="I84" s="4">
        <f>COUNTIFS('Opportunities'!$E$2:$E$1775,"=events",'Opportunities'!$V$2:$V$1775,"=emea",'Opportunities'!$M$2:$M$1775,"=sep25",'Opportunities'!$H$2:$H$1775,"&lt;&gt;")</f>
        <v>2</v>
      </c>
      <c r="J84" s="4">
        <f>COUNTIFS('Opportunities'!$E$2:$E$1775,"=events",'Opportunities'!$V$2:$V$1775,"=emea",'Opportunities'!$M$2:$M$1775,"=oct25",'Opportunities'!$H$2:$H$1775,"&lt;&gt;")</f>
        <v>8</v>
      </c>
      <c r="K84" s="4">
        <f>COUNTIFS('Opportunities'!$E$2:$E$1775,"=events",'Opportunities'!$V$2:$V$1775,"=emea",'Opportunities'!$M$2:$M$1775,"=nov25",'Opportunities'!$H$2:$H$1775,"&lt;&gt;")</f>
        <v>1</v>
      </c>
      <c r="L84" s="4">
        <f>COUNTIFS('Opportunities'!$E$2:$E$1775,"=events",'Opportunities'!$V$2:$V$1775,"=emea",'Opportunities'!$M$2:$M$1775,"=dec25",'Opportunities'!$H$2:$H$1775,"&lt;&gt;")</f>
        <v>1</v>
      </c>
      <c r="M84" s="4">
        <f>COUNTIFS('Opportunities'!$E$2:$E$1775,"=events",'Opportunities'!$V$2:$V$1775,"=emea",'Opportunities'!$M$2:$M$1775,"=jan26",'Opportunities'!$H$2:$H$1775,"&lt;&gt;")</f>
        <v>1</v>
      </c>
      <c r="N84" s="4">
        <f>COUNTIFS('Opportunities'!$E$2:$E$1775,"=events",'Opportunities'!$V$2:$V$1775,"=emea",'Opportunities'!$M$2:$M$1775,"=feb26",'Opportunities'!$H$2:$H$1775,"&lt;&gt;")</f>
        <v>3</v>
      </c>
      <c r="O84" s="4">
        <f>COUNTIFS('Opportunities'!$E$2:$E$1775,"=events",'Opportunities'!$V$2:$V$1775,"=emea",'Opportunities'!$M$2:$M$1775,"=mar26",'Opportunities'!$H$2:$H$1775,"&lt;&gt;")</f>
        <v>3</v>
      </c>
      <c r="P84" s="4">
        <f>COUNTIFS('Opportunities'!$E$2:$E$1775,"=events",'Opportunities'!$V$2:$V$1775,"=emea",'Opportunities'!$M$2:$M$1775,"=apr26",'Opportunities'!$H$2:$H$1775,"&lt;&gt;")</f>
        <v>2</v>
      </c>
      <c r="Q84" s="4">
        <f>COUNTIFS('Opportunities'!$E$2:$E$1775,"=events",'Opportunities'!$V$2:$V$1775,"=emea",'Opportunities'!$M$2:$M$1775,"=may26",'Opportunities'!$H$2:$H$1775,"&lt;&gt;")</f>
        <v>1</v>
      </c>
      <c r="R84" s="4">
        <f>COUNTIFS('Opportunities'!$E$2:$E$1775,"=events",'Opportunities'!$V$2:$V$1775,"=emea",'Opportunities'!$M$2:$M$1775,"=jun26",'Opportunities'!$H$2:$H$1775,"&lt;&gt;")</f>
        <v>12</v>
      </c>
      <c r="S84" s="4">
        <f>COUNTIFS('Opportunities'!$E$2:$E$1775,"=events",'Opportunities'!$V$2:$V$1775,"=emea",'Opportunities'!$M$2:$M$1775,"=jul26",'Opportunities'!$H$2:$H$1775,"&lt;&gt;")</f>
        <v>3</v>
      </c>
      <c r="T84" s="4">
        <f>COUNTIFS('Opportunities'!$E$2:$E$1775,"=events",'Opportunities'!$V$2:$V$1775,"=emea",'Opportunities'!$M$2:$M$1775,"=aug26",'Opportunities'!$H$2:$H$1775,"&lt;&gt;")</f>
        <v>2</v>
      </c>
      <c r="U84" s="4">
        <f>COUNTIFS('Opportunities'!$E$2:$E$1775,"=events",'Opportunities'!$V$2:$V$1775,"=emea",'Opportunities'!$M$2:$M$1775,"=sep26",'Opportunities'!$H$2:$H$1775,"&lt;&gt;")</f>
        <v>0</v>
      </c>
      <c r="V84" s="4">
        <f>COUNTIFS('Opportunities'!$E$2:$E$1775,"=events",'Opportunities'!$V$2:$V$1775,"=emea",'Opportunities'!$M$2:$M$1775,"=oct26",'Opportunities'!$H$2:$H$1775,"&lt;&gt;")</f>
        <v>0</v>
      </c>
      <c r="W84" s="4">
        <f>COUNTIFS('Opportunities'!$E$2:$E$1775,"=events",'Opportunities'!$V$2:$V$1775,"=emea",'Opportunities'!$M$2:$M$1775,"=nov26",'Opportunities'!$H$2:$H$1775,"&lt;&gt;")</f>
        <v>0</v>
      </c>
      <c r="X84" s="4">
        <f>COUNTIFS('Opportunities'!$E$2:$E$1775,"=events",'Opportunities'!$V$2:$V$1775,"=emea",'Opportunities'!$M$2:$M$1775,"=dec26",'Opportunities'!$H$2:$H$1775,"&lt;&gt;")</f>
        <v>0</v>
      </c>
    </row>
    <row r="85">
      <c r="A85" s="0" t="inlineStr">
        <is>
          <t xml:space="preserve">Opportunities created (SQLs)</t>
        </is>
      </c>
      <c r="B85" s="0" t="inlineStr">
        <is>
          <t xml:space="preserve">Events &amp; field</t>
        </is>
      </c>
      <c r="C85" s="0" t="inlineStr">
        <is>
          <t xml:space="preserve">APAC</t>
        </is>
      </c>
      <c r="D85" s="4">
        <f>COUNTIFS('Opportunities'!$E$2:$E$1775,"=events",'Opportunities'!$V$2:$V$1775,"=apac",'Opportunities'!$M$2:$M$1775,"=apr25",'Opportunities'!$H$2:$H$1775,"&lt;&gt;")</f>
        <v>2</v>
      </c>
      <c r="E85" s="4">
        <f>COUNTIFS('Opportunities'!$E$2:$E$1775,"=events",'Opportunities'!$V$2:$V$1775,"=apac",'Opportunities'!$M$2:$M$1775,"=may25",'Opportunities'!$H$2:$H$1775,"&lt;&gt;")</f>
        <v>6</v>
      </c>
      <c r="F85" s="4">
        <f>COUNTIFS('Opportunities'!$E$2:$E$1775,"=events",'Opportunities'!$V$2:$V$1775,"=apac",'Opportunities'!$M$2:$M$1775,"=jun25",'Opportunities'!$H$2:$H$1775,"&lt;&gt;")</f>
        <v>2</v>
      </c>
      <c r="G85" s="4">
        <f>COUNTIFS('Opportunities'!$E$2:$E$1775,"=events",'Opportunities'!$V$2:$V$1775,"=apac",'Opportunities'!$M$2:$M$1775,"=jul25",'Opportunities'!$H$2:$H$1775,"&lt;&gt;")</f>
        <v>1</v>
      </c>
      <c r="H85" s="4">
        <f>COUNTIFS('Opportunities'!$E$2:$E$1775,"=events",'Opportunities'!$V$2:$V$1775,"=apac",'Opportunities'!$M$2:$M$1775,"=aug25",'Opportunities'!$H$2:$H$1775,"&lt;&gt;")</f>
        <v>0</v>
      </c>
      <c r="I85" s="4">
        <f>COUNTIFS('Opportunities'!$E$2:$E$1775,"=events",'Opportunities'!$V$2:$V$1775,"=apac",'Opportunities'!$M$2:$M$1775,"=sep25",'Opportunities'!$H$2:$H$1775,"&lt;&gt;")</f>
        <v>1</v>
      </c>
      <c r="J85" s="4">
        <f>COUNTIFS('Opportunities'!$E$2:$E$1775,"=events",'Opportunities'!$V$2:$V$1775,"=apac",'Opportunities'!$M$2:$M$1775,"=oct25",'Opportunities'!$H$2:$H$1775,"&lt;&gt;")</f>
        <v>4</v>
      </c>
      <c r="K85" s="4">
        <f>COUNTIFS('Opportunities'!$E$2:$E$1775,"=events",'Opportunities'!$V$2:$V$1775,"=apac",'Opportunities'!$M$2:$M$1775,"=nov25",'Opportunities'!$H$2:$H$1775,"&lt;&gt;")</f>
        <v>1</v>
      </c>
      <c r="L85" s="4">
        <f>COUNTIFS('Opportunities'!$E$2:$E$1775,"=events",'Opportunities'!$V$2:$V$1775,"=apac",'Opportunities'!$M$2:$M$1775,"=dec25",'Opportunities'!$H$2:$H$1775,"&lt;&gt;")</f>
        <v>0</v>
      </c>
      <c r="M85" s="4">
        <f>COUNTIFS('Opportunities'!$E$2:$E$1775,"=events",'Opportunities'!$V$2:$V$1775,"=apac",'Opportunities'!$M$2:$M$1775,"=jan26",'Opportunities'!$H$2:$H$1775,"&lt;&gt;")</f>
        <v>0</v>
      </c>
      <c r="N85" s="4">
        <f>COUNTIFS('Opportunities'!$E$2:$E$1775,"=events",'Opportunities'!$V$2:$V$1775,"=apac",'Opportunities'!$M$2:$M$1775,"=feb26",'Opportunities'!$H$2:$H$1775,"&lt;&gt;")</f>
        <v>0</v>
      </c>
      <c r="O85" s="4">
        <f>COUNTIFS('Opportunities'!$E$2:$E$1775,"=events",'Opportunities'!$V$2:$V$1775,"=apac",'Opportunities'!$M$2:$M$1775,"=mar26",'Opportunities'!$H$2:$H$1775,"&lt;&gt;")</f>
        <v>3</v>
      </c>
      <c r="P85" s="4">
        <f>COUNTIFS('Opportunities'!$E$2:$E$1775,"=events",'Opportunities'!$V$2:$V$1775,"=apac",'Opportunities'!$M$2:$M$1775,"=apr26",'Opportunities'!$H$2:$H$1775,"&lt;&gt;")</f>
        <v>2</v>
      </c>
      <c r="Q85" s="4">
        <f>COUNTIFS('Opportunities'!$E$2:$E$1775,"=events",'Opportunities'!$V$2:$V$1775,"=apac",'Opportunities'!$M$2:$M$1775,"=may26",'Opportunities'!$H$2:$H$1775,"&lt;&gt;")</f>
        <v>2</v>
      </c>
      <c r="R85" s="4">
        <f>COUNTIFS('Opportunities'!$E$2:$E$1775,"=events",'Opportunities'!$V$2:$V$1775,"=apac",'Opportunities'!$M$2:$M$1775,"=jun26",'Opportunities'!$H$2:$H$1775,"&lt;&gt;")</f>
        <v>7</v>
      </c>
      <c r="S85" s="4">
        <f>COUNTIFS('Opportunities'!$E$2:$E$1775,"=events",'Opportunities'!$V$2:$V$1775,"=apac",'Opportunities'!$M$2:$M$1775,"=jul26",'Opportunities'!$H$2:$H$1775,"&lt;&gt;")</f>
        <v>1</v>
      </c>
      <c r="T85" s="4">
        <f>COUNTIFS('Opportunities'!$E$2:$E$1775,"=events",'Opportunities'!$V$2:$V$1775,"=apac",'Opportunities'!$M$2:$M$1775,"=aug26",'Opportunities'!$H$2:$H$1775,"&lt;&gt;")</f>
        <v>1</v>
      </c>
      <c r="U85" s="4">
        <f>COUNTIFS('Opportunities'!$E$2:$E$1775,"=events",'Opportunities'!$V$2:$V$1775,"=apac",'Opportunities'!$M$2:$M$1775,"=sep26",'Opportunities'!$H$2:$H$1775,"&lt;&gt;")</f>
        <v>0</v>
      </c>
      <c r="V85" s="4">
        <f>COUNTIFS('Opportunities'!$E$2:$E$1775,"=events",'Opportunities'!$V$2:$V$1775,"=apac",'Opportunities'!$M$2:$M$1775,"=oct26",'Opportunities'!$H$2:$H$1775,"&lt;&gt;")</f>
        <v>0</v>
      </c>
      <c r="W85" s="4">
        <f>COUNTIFS('Opportunities'!$E$2:$E$1775,"=events",'Opportunities'!$V$2:$V$1775,"=apac",'Opportunities'!$M$2:$M$1775,"=nov26",'Opportunities'!$H$2:$H$1775,"&lt;&gt;")</f>
        <v>0</v>
      </c>
      <c r="X85" s="4">
        <f>COUNTIFS('Opportunities'!$E$2:$E$1775,"=events",'Opportunities'!$V$2:$V$1775,"=apac",'Opportunities'!$M$2:$M$1775,"=dec26",'Opportunities'!$H$2:$H$1775,"&lt;&gt;")</f>
        <v>0</v>
      </c>
    </row>
    <row r="86">
      <c r="A86" s="0" t="inlineStr">
        <is>
          <t xml:space="preserve">Opportunities created (SQLs)</t>
        </is>
      </c>
      <c r="B86" s="0" t="inlineStr">
        <is>
          <t xml:space="preserve">Partner</t>
        </is>
      </c>
      <c r="C86" s="0" t="inlineStr">
        <is>
          <t xml:space="preserve">AMER East</t>
        </is>
      </c>
      <c r="D86" s="4">
        <f>COUNTIFS('Opportunities'!$E$2:$E$1775,"=partner",'Opportunities'!$V$2:$V$1775,"=amer_east",'Opportunities'!$M$2:$M$1775,"=apr25",'Opportunities'!$H$2:$H$1775,"&lt;&gt;")</f>
        <v>8</v>
      </c>
      <c r="E86" s="4">
        <f>COUNTIFS('Opportunities'!$E$2:$E$1775,"=partner",'Opportunities'!$V$2:$V$1775,"=amer_east",'Opportunities'!$M$2:$M$1775,"=may25",'Opportunities'!$H$2:$H$1775,"&lt;&gt;")</f>
        <v>3</v>
      </c>
      <c r="F86" s="4">
        <f>COUNTIFS('Opportunities'!$E$2:$E$1775,"=partner",'Opportunities'!$V$2:$V$1775,"=amer_east",'Opportunities'!$M$2:$M$1775,"=jun25",'Opportunities'!$H$2:$H$1775,"&lt;&gt;")</f>
        <v>2</v>
      </c>
      <c r="G86" s="4">
        <f>COUNTIFS('Opportunities'!$E$2:$E$1775,"=partner",'Opportunities'!$V$2:$V$1775,"=amer_east",'Opportunities'!$M$2:$M$1775,"=jul25",'Opportunities'!$H$2:$H$1775,"&lt;&gt;")</f>
        <v>3</v>
      </c>
      <c r="H86" s="4">
        <f>COUNTIFS('Opportunities'!$E$2:$E$1775,"=partner",'Opportunities'!$V$2:$V$1775,"=amer_east",'Opportunities'!$M$2:$M$1775,"=aug25",'Opportunities'!$H$2:$H$1775,"&lt;&gt;")</f>
        <v>3</v>
      </c>
      <c r="I86" s="4">
        <f>COUNTIFS('Opportunities'!$E$2:$E$1775,"=partner",'Opportunities'!$V$2:$V$1775,"=amer_east",'Opportunities'!$M$2:$M$1775,"=sep25",'Opportunities'!$H$2:$H$1775,"&lt;&gt;")</f>
        <v>4</v>
      </c>
      <c r="J86" s="4">
        <f>COUNTIFS('Opportunities'!$E$2:$E$1775,"=partner",'Opportunities'!$V$2:$V$1775,"=amer_east",'Opportunities'!$M$2:$M$1775,"=oct25",'Opportunities'!$H$2:$H$1775,"&lt;&gt;")</f>
        <v>2</v>
      </c>
      <c r="K86" s="4">
        <f>COUNTIFS('Opportunities'!$E$2:$E$1775,"=partner",'Opportunities'!$V$2:$V$1775,"=amer_east",'Opportunities'!$M$2:$M$1775,"=nov25",'Opportunities'!$H$2:$H$1775,"&lt;&gt;")</f>
        <v>4</v>
      </c>
      <c r="L86" s="4">
        <f>COUNTIFS('Opportunities'!$E$2:$E$1775,"=partner",'Opportunities'!$V$2:$V$1775,"=amer_east",'Opportunities'!$M$2:$M$1775,"=dec25",'Opportunities'!$H$2:$H$1775,"&lt;&gt;")</f>
        <v>3</v>
      </c>
      <c r="M86" s="4">
        <f>COUNTIFS('Opportunities'!$E$2:$E$1775,"=partner",'Opportunities'!$V$2:$V$1775,"=amer_east",'Opportunities'!$M$2:$M$1775,"=jan26",'Opportunities'!$H$2:$H$1775,"&lt;&gt;")</f>
        <v>1</v>
      </c>
      <c r="N86" s="4">
        <f>COUNTIFS('Opportunities'!$E$2:$E$1775,"=partner",'Opportunities'!$V$2:$V$1775,"=amer_east",'Opportunities'!$M$2:$M$1775,"=feb26",'Opportunities'!$H$2:$H$1775,"&lt;&gt;")</f>
        <v>2</v>
      </c>
      <c r="O86" s="4">
        <f>COUNTIFS('Opportunities'!$E$2:$E$1775,"=partner",'Opportunities'!$V$2:$V$1775,"=amer_east",'Opportunities'!$M$2:$M$1775,"=mar26",'Opportunities'!$H$2:$H$1775,"&lt;&gt;")</f>
        <v>4</v>
      </c>
      <c r="P86" s="4">
        <f>COUNTIFS('Opportunities'!$E$2:$E$1775,"=partner",'Opportunities'!$V$2:$V$1775,"=amer_east",'Opportunities'!$M$2:$M$1775,"=apr26",'Opportunities'!$H$2:$H$1775,"&lt;&gt;")</f>
        <v>3</v>
      </c>
      <c r="Q86" s="4">
        <f>COUNTIFS('Opportunities'!$E$2:$E$1775,"=partner",'Opportunities'!$V$2:$V$1775,"=amer_east",'Opportunities'!$M$2:$M$1775,"=may26",'Opportunities'!$H$2:$H$1775,"&lt;&gt;")</f>
        <v>3</v>
      </c>
      <c r="R86" s="4">
        <f>COUNTIFS('Opportunities'!$E$2:$E$1775,"=partner",'Opportunities'!$V$2:$V$1775,"=amer_east",'Opportunities'!$M$2:$M$1775,"=jun26",'Opportunities'!$H$2:$H$1775,"&lt;&gt;")</f>
        <v>5</v>
      </c>
      <c r="S86" s="4">
        <f>COUNTIFS('Opportunities'!$E$2:$E$1775,"=partner",'Opportunities'!$V$2:$V$1775,"=amer_east",'Opportunities'!$M$2:$M$1775,"=jul26",'Opportunities'!$H$2:$H$1775,"&lt;&gt;")</f>
        <v>2</v>
      </c>
      <c r="T86" s="4">
        <f>COUNTIFS('Opportunities'!$E$2:$E$1775,"=partner",'Opportunities'!$V$2:$V$1775,"=amer_east",'Opportunities'!$M$2:$M$1775,"=aug26",'Opportunities'!$H$2:$H$1775,"&lt;&gt;")</f>
        <v>5</v>
      </c>
      <c r="U86" s="4">
        <f>COUNTIFS('Opportunities'!$E$2:$E$1775,"=partner",'Opportunities'!$V$2:$V$1775,"=amer_east",'Opportunities'!$M$2:$M$1775,"=sep26",'Opportunities'!$H$2:$H$1775,"&lt;&gt;")</f>
        <v>3</v>
      </c>
      <c r="V86" s="4">
        <f>COUNTIFS('Opportunities'!$E$2:$E$1775,"=partner",'Opportunities'!$V$2:$V$1775,"=amer_east",'Opportunities'!$M$2:$M$1775,"=oct26",'Opportunities'!$H$2:$H$1775,"&lt;&gt;")</f>
        <v>0</v>
      </c>
      <c r="W86" s="4">
        <f>COUNTIFS('Opportunities'!$E$2:$E$1775,"=partner",'Opportunities'!$V$2:$V$1775,"=amer_east",'Opportunities'!$M$2:$M$1775,"=nov26",'Opportunities'!$H$2:$H$1775,"&lt;&gt;")</f>
        <v>0</v>
      </c>
      <c r="X86" s="4">
        <f>COUNTIFS('Opportunities'!$E$2:$E$1775,"=partner",'Opportunities'!$V$2:$V$1775,"=amer_east",'Opportunities'!$M$2:$M$1775,"=dec26",'Opportunities'!$H$2:$H$1775,"&lt;&gt;")</f>
        <v>0</v>
      </c>
    </row>
    <row r="87">
      <c r="A87" s="0" t="inlineStr">
        <is>
          <t xml:space="preserve">Opportunities created (SQLs)</t>
        </is>
      </c>
      <c r="B87" s="0" t="inlineStr">
        <is>
          <t xml:space="preserve">Partner</t>
        </is>
      </c>
      <c r="C87" s="0" t="inlineStr">
        <is>
          <t xml:space="preserve">AMER West</t>
        </is>
      </c>
      <c r="D87" s="4">
        <f>COUNTIFS('Opportunities'!$E$2:$E$1775,"=partner",'Opportunities'!$V$2:$V$1775,"=amer_west",'Opportunities'!$M$2:$M$1775,"=apr25",'Opportunities'!$H$2:$H$1775,"&lt;&gt;")</f>
        <v>3</v>
      </c>
      <c r="E87" s="4">
        <f>COUNTIFS('Opportunities'!$E$2:$E$1775,"=partner",'Opportunities'!$V$2:$V$1775,"=amer_west",'Opportunities'!$M$2:$M$1775,"=may25",'Opportunities'!$H$2:$H$1775,"&lt;&gt;")</f>
        <v>1</v>
      </c>
      <c r="F87" s="4">
        <f>COUNTIFS('Opportunities'!$E$2:$E$1775,"=partner",'Opportunities'!$V$2:$V$1775,"=amer_west",'Opportunities'!$M$2:$M$1775,"=jun25",'Opportunities'!$H$2:$H$1775,"&lt;&gt;")</f>
        <v>5</v>
      </c>
      <c r="G87" s="4">
        <f>COUNTIFS('Opportunities'!$E$2:$E$1775,"=partner",'Opportunities'!$V$2:$V$1775,"=amer_west",'Opportunities'!$M$2:$M$1775,"=jul25",'Opportunities'!$H$2:$H$1775,"&lt;&gt;")</f>
        <v>4</v>
      </c>
      <c r="H87" s="4">
        <f>COUNTIFS('Opportunities'!$E$2:$E$1775,"=partner",'Opportunities'!$V$2:$V$1775,"=amer_west",'Opportunities'!$M$2:$M$1775,"=aug25",'Opportunities'!$H$2:$H$1775,"&lt;&gt;")</f>
        <v>2</v>
      </c>
      <c r="I87" s="4">
        <f>COUNTIFS('Opportunities'!$E$2:$E$1775,"=partner",'Opportunities'!$V$2:$V$1775,"=amer_west",'Opportunities'!$M$2:$M$1775,"=sep25",'Opportunities'!$H$2:$H$1775,"&lt;&gt;")</f>
        <v>3</v>
      </c>
      <c r="J87" s="4">
        <f>COUNTIFS('Opportunities'!$E$2:$E$1775,"=partner",'Opportunities'!$V$2:$V$1775,"=amer_west",'Opportunities'!$M$2:$M$1775,"=oct25",'Opportunities'!$H$2:$H$1775,"&lt;&gt;")</f>
        <v>1</v>
      </c>
      <c r="K87" s="4">
        <f>COUNTIFS('Opportunities'!$E$2:$E$1775,"=partner",'Opportunities'!$V$2:$V$1775,"=amer_west",'Opportunities'!$M$2:$M$1775,"=nov25",'Opportunities'!$H$2:$H$1775,"&lt;&gt;")</f>
        <v>3</v>
      </c>
      <c r="L87" s="4">
        <f>COUNTIFS('Opportunities'!$E$2:$E$1775,"=partner",'Opportunities'!$V$2:$V$1775,"=amer_west",'Opportunities'!$M$2:$M$1775,"=dec25",'Opportunities'!$H$2:$H$1775,"&lt;&gt;")</f>
        <v>5</v>
      </c>
      <c r="M87" s="4">
        <f>COUNTIFS('Opportunities'!$E$2:$E$1775,"=partner",'Opportunities'!$V$2:$V$1775,"=amer_west",'Opportunities'!$M$2:$M$1775,"=jan26",'Opportunities'!$H$2:$H$1775,"&lt;&gt;")</f>
        <v>2</v>
      </c>
      <c r="N87" s="4">
        <f>COUNTIFS('Opportunities'!$E$2:$E$1775,"=partner",'Opportunities'!$V$2:$V$1775,"=amer_west",'Opportunities'!$M$2:$M$1775,"=feb26",'Opportunities'!$H$2:$H$1775,"&lt;&gt;")</f>
        <v>7</v>
      </c>
      <c r="O87" s="4">
        <f>COUNTIFS('Opportunities'!$E$2:$E$1775,"=partner",'Opportunities'!$V$2:$V$1775,"=amer_west",'Opportunities'!$M$2:$M$1775,"=mar26",'Opportunities'!$H$2:$H$1775,"&lt;&gt;")</f>
        <v>1</v>
      </c>
      <c r="P87" s="4">
        <f>COUNTIFS('Opportunities'!$E$2:$E$1775,"=partner",'Opportunities'!$V$2:$V$1775,"=amer_west",'Opportunities'!$M$2:$M$1775,"=apr26",'Opportunities'!$H$2:$H$1775,"&lt;&gt;")</f>
        <v>0</v>
      </c>
      <c r="Q87" s="4">
        <f>COUNTIFS('Opportunities'!$E$2:$E$1775,"=partner",'Opportunities'!$V$2:$V$1775,"=amer_west",'Opportunities'!$M$2:$M$1775,"=may26",'Opportunities'!$H$2:$H$1775,"&lt;&gt;")</f>
        <v>5</v>
      </c>
      <c r="R87" s="4">
        <f>COUNTIFS('Opportunities'!$E$2:$E$1775,"=partner",'Opportunities'!$V$2:$V$1775,"=amer_west",'Opportunities'!$M$2:$M$1775,"=jun26",'Opportunities'!$H$2:$H$1775,"&lt;&gt;")</f>
        <v>4</v>
      </c>
      <c r="S87" s="4">
        <f>COUNTIFS('Opportunities'!$E$2:$E$1775,"=partner",'Opportunities'!$V$2:$V$1775,"=amer_west",'Opportunities'!$M$2:$M$1775,"=jul26",'Opportunities'!$H$2:$H$1775,"&lt;&gt;")</f>
        <v>2</v>
      </c>
      <c r="T87" s="4">
        <f>COUNTIFS('Opportunities'!$E$2:$E$1775,"=partner",'Opportunities'!$V$2:$V$1775,"=amer_west",'Opportunities'!$M$2:$M$1775,"=aug26",'Opportunities'!$H$2:$H$1775,"&lt;&gt;")</f>
        <v>0</v>
      </c>
      <c r="U87" s="4">
        <f>COUNTIFS('Opportunities'!$E$2:$E$1775,"=partner",'Opportunities'!$V$2:$V$1775,"=amer_west",'Opportunities'!$M$2:$M$1775,"=sep26",'Opportunities'!$H$2:$H$1775,"&lt;&gt;")</f>
        <v>1</v>
      </c>
      <c r="V87" s="4">
        <f>COUNTIFS('Opportunities'!$E$2:$E$1775,"=partner",'Opportunities'!$V$2:$V$1775,"=amer_west",'Opportunities'!$M$2:$M$1775,"=oct26",'Opportunities'!$H$2:$H$1775,"&lt;&gt;")</f>
        <v>0</v>
      </c>
      <c r="W87" s="4">
        <f>COUNTIFS('Opportunities'!$E$2:$E$1775,"=partner",'Opportunities'!$V$2:$V$1775,"=amer_west",'Opportunities'!$M$2:$M$1775,"=nov26",'Opportunities'!$H$2:$H$1775,"&lt;&gt;")</f>
        <v>0</v>
      </c>
      <c r="X87" s="4">
        <f>COUNTIFS('Opportunities'!$E$2:$E$1775,"=partner",'Opportunities'!$V$2:$V$1775,"=amer_west",'Opportunities'!$M$2:$M$1775,"=dec26",'Opportunities'!$H$2:$H$1775,"&lt;&gt;")</f>
        <v>0</v>
      </c>
    </row>
    <row r="88">
      <c r="A88" s="0" t="inlineStr">
        <is>
          <t xml:space="preserve">Opportunities created (SQLs)</t>
        </is>
      </c>
      <c r="B88" s="0" t="inlineStr">
        <is>
          <t xml:space="preserve">Partner</t>
        </is>
      </c>
      <c r="C88" s="0" t="inlineStr">
        <is>
          <t xml:space="preserve">EMEA</t>
        </is>
      </c>
      <c r="D88" s="4">
        <f>COUNTIFS('Opportunities'!$E$2:$E$1775,"=partner",'Opportunities'!$V$2:$V$1775,"=emea",'Opportunities'!$M$2:$M$1775,"=apr25",'Opportunities'!$H$2:$H$1775,"&lt;&gt;")</f>
        <v>2</v>
      </c>
      <c r="E88" s="4">
        <f>COUNTIFS('Opportunities'!$E$2:$E$1775,"=partner",'Opportunities'!$V$2:$V$1775,"=emea",'Opportunities'!$M$2:$M$1775,"=may25",'Opportunities'!$H$2:$H$1775,"&lt;&gt;")</f>
        <v>4</v>
      </c>
      <c r="F88" s="4">
        <f>COUNTIFS('Opportunities'!$E$2:$E$1775,"=partner",'Opportunities'!$V$2:$V$1775,"=emea",'Opportunities'!$M$2:$M$1775,"=jun25",'Opportunities'!$H$2:$H$1775,"&lt;&gt;")</f>
        <v>3</v>
      </c>
      <c r="G88" s="4">
        <f>COUNTIFS('Opportunities'!$E$2:$E$1775,"=partner",'Opportunities'!$V$2:$V$1775,"=emea",'Opportunities'!$M$2:$M$1775,"=jul25",'Opportunities'!$H$2:$H$1775,"&lt;&gt;")</f>
        <v>2</v>
      </c>
      <c r="H88" s="4">
        <f>COUNTIFS('Opportunities'!$E$2:$E$1775,"=partner",'Opportunities'!$V$2:$V$1775,"=emea",'Opportunities'!$M$2:$M$1775,"=aug25",'Opportunities'!$H$2:$H$1775,"&lt;&gt;")</f>
        <v>2</v>
      </c>
      <c r="I88" s="4">
        <f>COUNTIFS('Opportunities'!$E$2:$E$1775,"=partner",'Opportunities'!$V$2:$V$1775,"=emea",'Opportunities'!$M$2:$M$1775,"=sep25",'Opportunities'!$H$2:$H$1775,"&lt;&gt;")</f>
        <v>1</v>
      </c>
      <c r="J88" s="4">
        <f>COUNTIFS('Opportunities'!$E$2:$E$1775,"=partner",'Opportunities'!$V$2:$V$1775,"=emea",'Opportunities'!$M$2:$M$1775,"=oct25",'Opportunities'!$H$2:$H$1775,"&lt;&gt;")</f>
        <v>5</v>
      </c>
      <c r="K88" s="4">
        <f>COUNTIFS('Opportunities'!$E$2:$E$1775,"=partner",'Opportunities'!$V$2:$V$1775,"=emea",'Opportunities'!$M$2:$M$1775,"=nov25",'Opportunities'!$H$2:$H$1775,"&lt;&gt;")</f>
        <v>0</v>
      </c>
      <c r="L88" s="4">
        <f>COUNTIFS('Opportunities'!$E$2:$E$1775,"=partner",'Opportunities'!$V$2:$V$1775,"=emea",'Opportunities'!$M$2:$M$1775,"=dec25",'Opportunities'!$H$2:$H$1775,"&lt;&gt;")</f>
        <v>5</v>
      </c>
      <c r="M88" s="4">
        <f>COUNTIFS('Opportunities'!$E$2:$E$1775,"=partner",'Opportunities'!$V$2:$V$1775,"=emea",'Opportunities'!$M$2:$M$1775,"=jan26",'Opportunities'!$H$2:$H$1775,"&lt;&gt;")</f>
        <v>0</v>
      </c>
      <c r="N88" s="4">
        <f>COUNTIFS('Opportunities'!$E$2:$E$1775,"=partner",'Opportunities'!$V$2:$V$1775,"=emea",'Opportunities'!$M$2:$M$1775,"=feb26",'Opportunities'!$H$2:$H$1775,"&lt;&gt;")</f>
        <v>2</v>
      </c>
      <c r="O88" s="4">
        <f>COUNTIFS('Opportunities'!$E$2:$E$1775,"=partner",'Opportunities'!$V$2:$V$1775,"=emea",'Opportunities'!$M$2:$M$1775,"=mar26",'Opportunities'!$H$2:$H$1775,"&lt;&gt;")</f>
        <v>4</v>
      </c>
      <c r="P88" s="4">
        <f>COUNTIFS('Opportunities'!$E$2:$E$1775,"=partner",'Opportunities'!$V$2:$V$1775,"=emea",'Opportunities'!$M$2:$M$1775,"=apr26",'Opportunities'!$H$2:$H$1775,"&lt;&gt;")</f>
        <v>6</v>
      </c>
      <c r="Q88" s="4">
        <f>COUNTIFS('Opportunities'!$E$2:$E$1775,"=partner",'Opportunities'!$V$2:$V$1775,"=emea",'Opportunities'!$M$2:$M$1775,"=may26",'Opportunities'!$H$2:$H$1775,"&lt;&gt;")</f>
        <v>2</v>
      </c>
      <c r="R88" s="4">
        <f>COUNTIFS('Opportunities'!$E$2:$E$1775,"=partner",'Opportunities'!$V$2:$V$1775,"=emea",'Opportunities'!$M$2:$M$1775,"=jun26",'Opportunities'!$H$2:$H$1775,"&lt;&gt;")</f>
        <v>4</v>
      </c>
      <c r="S88" s="4">
        <f>COUNTIFS('Opportunities'!$E$2:$E$1775,"=partner",'Opportunities'!$V$2:$V$1775,"=emea",'Opportunities'!$M$2:$M$1775,"=jul26",'Opportunities'!$H$2:$H$1775,"&lt;&gt;")</f>
        <v>0</v>
      </c>
      <c r="T88" s="4">
        <f>COUNTIFS('Opportunities'!$E$2:$E$1775,"=partner",'Opportunities'!$V$2:$V$1775,"=emea",'Opportunities'!$M$2:$M$1775,"=aug26",'Opportunities'!$H$2:$H$1775,"&lt;&gt;")</f>
        <v>1</v>
      </c>
      <c r="U88" s="4">
        <f>COUNTIFS('Opportunities'!$E$2:$E$1775,"=partner",'Opportunities'!$V$2:$V$1775,"=emea",'Opportunities'!$M$2:$M$1775,"=sep26",'Opportunities'!$H$2:$H$1775,"&lt;&gt;")</f>
        <v>0</v>
      </c>
      <c r="V88" s="4">
        <f>COUNTIFS('Opportunities'!$E$2:$E$1775,"=partner",'Opportunities'!$V$2:$V$1775,"=emea",'Opportunities'!$M$2:$M$1775,"=oct26",'Opportunities'!$H$2:$H$1775,"&lt;&gt;")</f>
        <v>0</v>
      </c>
      <c r="W88" s="4">
        <f>COUNTIFS('Opportunities'!$E$2:$E$1775,"=partner",'Opportunities'!$V$2:$V$1775,"=emea",'Opportunities'!$M$2:$M$1775,"=nov26",'Opportunities'!$H$2:$H$1775,"&lt;&gt;")</f>
        <v>0</v>
      </c>
      <c r="X88" s="4">
        <f>COUNTIFS('Opportunities'!$E$2:$E$1775,"=partner",'Opportunities'!$V$2:$V$1775,"=emea",'Opportunities'!$M$2:$M$1775,"=dec26",'Opportunities'!$H$2:$H$1775,"&lt;&gt;")</f>
        <v>0</v>
      </c>
    </row>
    <row r="89">
      <c r="A89" s="0" t="inlineStr">
        <is>
          <t xml:space="preserve">Opportunities created (SQLs)</t>
        </is>
      </c>
      <c r="B89" s="0" t="inlineStr">
        <is>
          <t xml:space="preserve">Partner</t>
        </is>
      </c>
      <c r="C89" s="0" t="inlineStr">
        <is>
          <t xml:space="preserve">APAC</t>
        </is>
      </c>
      <c r="D89" s="4">
        <f>COUNTIFS('Opportunities'!$E$2:$E$1775,"=partner",'Opportunities'!$V$2:$V$1775,"=apac",'Opportunities'!$M$2:$M$1775,"=apr25",'Opportunities'!$H$2:$H$1775,"&lt;&gt;")</f>
        <v>1</v>
      </c>
      <c r="E89" s="4">
        <f>COUNTIFS('Opportunities'!$E$2:$E$1775,"=partner",'Opportunities'!$V$2:$V$1775,"=apac",'Opportunities'!$M$2:$M$1775,"=may25",'Opportunities'!$H$2:$H$1775,"&lt;&gt;")</f>
        <v>1</v>
      </c>
      <c r="F89" s="4">
        <f>COUNTIFS('Opportunities'!$E$2:$E$1775,"=partner",'Opportunities'!$V$2:$V$1775,"=apac",'Opportunities'!$M$2:$M$1775,"=jun25",'Opportunities'!$H$2:$H$1775,"&lt;&gt;")</f>
        <v>4</v>
      </c>
      <c r="G89" s="4">
        <f>COUNTIFS('Opportunities'!$E$2:$E$1775,"=partner",'Opportunities'!$V$2:$V$1775,"=apac",'Opportunities'!$M$2:$M$1775,"=jul25",'Opportunities'!$H$2:$H$1775,"&lt;&gt;")</f>
        <v>0</v>
      </c>
      <c r="H89" s="4">
        <f>COUNTIFS('Opportunities'!$E$2:$E$1775,"=partner",'Opportunities'!$V$2:$V$1775,"=apac",'Opportunities'!$M$2:$M$1775,"=aug25",'Opportunities'!$H$2:$H$1775,"&lt;&gt;")</f>
        <v>2</v>
      </c>
      <c r="I89" s="4">
        <f>COUNTIFS('Opportunities'!$E$2:$E$1775,"=partner",'Opportunities'!$V$2:$V$1775,"=apac",'Opportunities'!$M$2:$M$1775,"=sep25",'Opportunities'!$H$2:$H$1775,"&lt;&gt;")</f>
        <v>2</v>
      </c>
      <c r="J89" s="4">
        <f>COUNTIFS('Opportunities'!$E$2:$E$1775,"=partner",'Opportunities'!$V$2:$V$1775,"=apac",'Opportunities'!$M$2:$M$1775,"=oct25",'Opportunities'!$H$2:$H$1775,"&lt;&gt;")</f>
        <v>0</v>
      </c>
      <c r="K89" s="4">
        <f>COUNTIFS('Opportunities'!$E$2:$E$1775,"=partner",'Opportunities'!$V$2:$V$1775,"=apac",'Opportunities'!$M$2:$M$1775,"=nov25",'Opportunities'!$H$2:$H$1775,"&lt;&gt;")</f>
        <v>2</v>
      </c>
      <c r="L89" s="4">
        <f>COUNTIFS('Opportunities'!$E$2:$E$1775,"=partner",'Opportunities'!$V$2:$V$1775,"=apac",'Opportunities'!$M$2:$M$1775,"=dec25",'Opportunities'!$H$2:$H$1775,"&lt;&gt;")</f>
        <v>2</v>
      </c>
      <c r="M89" s="4">
        <f>COUNTIFS('Opportunities'!$E$2:$E$1775,"=partner",'Opportunities'!$V$2:$V$1775,"=apac",'Opportunities'!$M$2:$M$1775,"=jan26",'Opportunities'!$H$2:$H$1775,"&lt;&gt;")</f>
        <v>0</v>
      </c>
      <c r="N89" s="4">
        <f>COUNTIFS('Opportunities'!$E$2:$E$1775,"=partner",'Opportunities'!$V$2:$V$1775,"=apac",'Opportunities'!$M$2:$M$1775,"=feb26",'Opportunities'!$H$2:$H$1775,"&lt;&gt;")</f>
        <v>2</v>
      </c>
      <c r="O89" s="4">
        <f>COUNTIFS('Opportunities'!$E$2:$E$1775,"=partner",'Opportunities'!$V$2:$V$1775,"=apac",'Opportunities'!$M$2:$M$1775,"=mar26",'Opportunities'!$H$2:$H$1775,"&lt;&gt;")</f>
        <v>0</v>
      </c>
      <c r="P89" s="4">
        <f>COUNTIFS('Opportunities'!$E$2:$E$1775,"=partner",'Opportunities'!$V$2:$V$1775,"=apac",'Opportunities'!$M$2:$M$1775,"=apr26",'Opportunities'!$H$2:$H$1775,"&lt;&gt;")</f>
        <v>3</v>
      </c>
      <c r="Q89" s="4">
        <f>COUNTIFS('Opportunities'!$E$2:$E$1775,"=partner",'Opportunities'!$V$2:$V$1775,"=apac",'Opportunities'!$M$2:$M$1775,"=may26",'Opportunities'!$H$2:$H$1775,"&lt;&gt;")</f>
        <v>2</v>
      </c>
      <c r="R89" s="4">
        <f>COUNTIFS('Opportunities'!$E$2:$E$1775,"=partner",'Opportunities'!$V$2:$V$1775,"=apac",'Opportunities'!$M$2:$M$1775,"=jun26",'Opportunities'!$H$2:$H$1775,"&lt;&gt;")</f>
        <v>5</v>
      </c>
      <c r="S89" s="4">
        <f>COUNTIFS('Opportunities'!$E$2:$E$1775,"=partner",'Opportunities'!$V$2:$V$1775,"=apac",'Opportunities'!$M$2:$M$1775,"=jul26",'Opportunities'!$H$2:$H$1775,"&lt;&gt;")</f>
        <v>0</v>
      </c>
      <c r="T89" s="4">
        <f>COUNTIFS('Opportunities'!$E$2:$E$1775,"=partner",'Opportunities'!$V$2:$V$1775,"=apac",'Opportunities'!$M$2:$M$1775,"=aug26",'Opportunities'!$H$2:$H$1775,"&lt;&gt;")</f>
        <v>3</v>
      </c>
      <c r="U89" s="4">
        <f>COUNTIFS('Opportunities'!$E$2:$E$1775,"=partner",'Opportunities'!$V$2:$V$1775,"=apac",'Opportunities'!$M$2:$M$1775,"=sep26",'Opportunities'!$H$2:$H$1775,"&lt;&gt;")</f>
        <v>1</v>
      </c>
      <c r="V89" s="4">
        <f>COUNTIFS('Opportunities'!$E$2:$E$1775,"=partner",'Opportunities'!$V$2:$V$1775,"=apac",'Opportunities'!$M$2:$M$1775,"=oct26",'Opportunities'!$H$2:$H$1775,"&lt;&gt;")</f>
        <v>0</v>
      </c>
      <c r="W89" s="4">
        <f>COUNTIFS('Opportunities'!$E$2:$E$1775,"=partner",'Opportunities'!$V$2:$V$1775,"=apac",'Opportunities'!$M$2:$M$1775,"=nov26",'Opportunities'!$H$2:$H$1775,"&lt;&gt;")</f>
        <v>0</v>
      </c>
      <c r="X89" s="4">
        <f>COUNTIFS('Opportunities'!$E$2:$E$1775,"=partner",'Opportunities'!$V$2:$V$1775,"=apac",'Opportunities'!$M$2:$M$1775,"=dec26",'Opportunities'!$H$2:$H$1775,"&lt;&gt;")</f>
        <v>0</v>
      </c>
    </row>
    <row r="90">
      <c r="A90" s="0" t="inlineStr">
        <is>
          <t xml:space="preserve">Opportunities created (SQLs)</t>
        </is>
      </c>
      <c r="B90" s="0" t="inlineStr">
        <is>
          <t xml:space="preserve">Outbound (BDR)</t>
        </is>
      </c>
      <c r="C90" s="0" t="inlineStr">
        <is>
          <t xml:space="preserve">AMER East</t>
        </is>
      </c>
      <c r="D90" s="4">
        <f>COUNTIFS('Opportunities'!$E$2:$E$1775,"=outbound",'Opportunities'!$V$2:$V$1775,"=amer_east",'Opportunities'!$M$2:$M$1775,"=apr25",'Opportunities'!$H$2:$H$1775,"&lt;&gt;")</f>
        <v>4</v>
      </c>
      <c r="E90" s="4">
        <f>COUNTIFS('Opportunities'!$E$2:$E$1775,"=outbound",'Opportunities'!$V$2:$V$1775,"=amer_east",'Opportunities'!$M$2:$M$1775,"=may25",'Opportunities'!$H$2:$H$1775,"&lt;&gt;")</f>
        <v>3</v>
      </c>
      <c r="F90" s="4">
        <f>COUNTIFS('Opportunities'!$E$2:$E$1775,"=outbound",'Opportunities'!$V$2:$V$1775,"=amer_east",'Opportunities'!$M$2:$M$1775,"=jun25",'Opportunities'!$H$2:$H$1775,"&lt;&gt;")</f>
        <v>3</v>
      </c>
      <c r="G90" s="4">
        <f>COUNTIFS('Opportunities'!$E$2:$E$1775,"=outbound",'Opportunities'!$V$2:$V$1775,"=amer_east",'Opportunities'!$M$2:$M$1775,"=jul25",'Opportunities'!$H$2:$H$1775,"&lt;&gt;")</f>
        <v>7</v>
      </c>
      <c r="H90" s="4">
        <f>COUNTIFS('Opportunities'!$E$2:$E$1775,"=outbound",'Opportunities'!$V$2:$V$1775,"=amer_east",'Opportunities'!$M$2:$M$1775,"=aug25",'Opportunities'!$H$2:$H$1775,"&lt;&gt;")</f>
        <v>3</v>
      </c>
      <c r="I90" s="4">
        <f>COUNTIFS('Opportunities'!$E$2:$E$1775,"=outbound",'Opportunities'!$V$2:$V$1775,"=amer_east",'Opportunities'!$M$2:$M$1775,"=sep25",'Opportunities'!$H$2:$H$1775,"&lt;&gt;")</f>
        <v>3</v>
      </c>
      <c r="J90" s="4">
        <f>COUNTIFS('Opportunities'!$E$2:$E$1775,"=outbound",'Opportunities'!$V$2:$V$1775,"=amer_east",'Opportunities'!$M$2:$M$1775,"=oct25",'Opportunities'!$H$2:$H$1775,"&lt;&gt;")</f>
        <v>2</v>
      </c>
      <c r="K90" s="4">
        <f>COUNTIFS('Opportunities'!$E$2:$E$1775,"=outbound",'Opportunities'!$V$2:$V$1775,"=amer_east",'Opportunities'!$M$2:$M$1775,"=nov25",'Opportunities'!$H$2:$H$1775,"&lt;&gt;")</f>
        <v>1</v>
      </c>
      <c r="L90" s="4">
        <f>COUNTIFS('Opportunities'!$E$2:$E$1775,"=outbound",'Opportunities'!$V$2:$V$1775,"=amer_east",'Opportunities'!$M$2:$M$1775,"=dec25",'Opportunities'!$H$2:$H$1775,"&lt;&gt;")</f>
        <v>5</v>
      </c>
      <c r="M90" s="4">
        <f>COUNTIFS('Opportunities'!$E$2:$E$1775,"=outbound",'Opportunities'!$V$2:$V$1775,"=amer_east",'Opportunities'!$M$2:$M$1775,"=jan26",'Opportunities'!$H$2:$H$1775,"&lt;&gt;")</f>
        <v>6</v>
      </c>
      <c r="N90" s="4">
        <f>COUNTIFS('Opportunities'!$E$2:$E$1775,"=outbound",'Opportunities'!$V$2:$V$1775,"=amer_east",'Opportunities'!$M$2:$M$1775,"=feb26",'Opportunities'!$H$2:$H$1775,"&lt;&gt;")</f>
        <v>9</v>
      </c>
      <c r="O90" s="4">
        <f>COUNTIFS('Opportunities'!$E$2:$E$1775,"=outbound",'Opportunities'!$V$2:$V$1775,"=amer_east",'Opportunities'!$M$2:$M$1775,"=mar26",'Opportunities'!$H$2:$H$1775,"&lt;&gt;")</f>
        <v>2</v>
      </c>
      <c r="P90" s="4">
        <f>COUNTIFS('Opportunities'!$E$2:$E$1775,"=outbound",'Opportunities'!$V$2:$V$1775,"=amer_east",'Opportunities'!$M$2:$M$1775,"=apr26",'Opportunities'!$H$2:$H$1775,"&lt;&gt;")</f>
        <v>5</v>
      </c>
      <c r="Q90" s="4">
        <f>COUNTIFS('Opportunities'!$E$2:$E$1775,"=outbound",'Opportunities'!$V$2:$V$1775,"=amer_east",'Opportunities'!$M$2:$M$1775,"=may26",'Opportunities'!$H$2:$H$1775,"&lt;&gt;")</f>
        <v>2</v>
      </c>
      <c r="R90" s="4">
        <f>COUNTIFS('Opportunities'!$E$2:$E$1775,"=outbound",'Opportunities'!$V$2:$V$1775,"=amer_east",'Opportunities'!$M$2:$M$1775,"=jun26",'Opportunities'!$H$2:$H$1775,"&lt;&gt;")</f>
        <v>4</v>
      </c>
      <c r="S90" s="4">
        <f>COUNTIFS('Opportunities'!$E$2:$E$1775,"=outbound",'Opportunities'!$V$2:$V$1775,"=amer_east",'Opportunities'!$M$2:$M$1775,"=jul26",'Opportunities'!$H$2:$H$1775,"&lt;&gt;")</f>
        <v>6</v>
      </c>
      <c r="T90" s="4">
        <f>COUNTIFS('Opportunities'!$E$2:$E$1775,"=outbound",'Opportunities'!$V$2:$V$1775,"=amer_east",'Opportunities'!$M$2:$M$1775,"=aug26",'Opportunities'!$H$2:$H$1775,"&lt;&gt;")</f>
        <v>4</v>
      </c>
      <c r="U90" s="4">
        <f>COUNTIFS('Opportunities'!$E$2:$E$1775,"=outbound",'Opportunities'!$V$2:$V$1775,"=amer_east",'Opportunities'!$M$2:$M$1775,"=sep26",'Opportunities'!$H$2:$H$1775,"&lt;&gt;")</f>
        <v>3</v>
      </c>
      <c r="V90" s="4">
        <f>COUNTIFS('Opportunities'!$E$2:$E$1775,"=outbound",'Opportunities'!$V$2:$V$1775,"=amer_east",'Opportunities'!$M$2:$M$1775,"=oct26",'Opportunities'!$H$2:$H$1775,"&lt;&gt;")</f>
        <v>0</v>
      </c>
      <c r="W90" s="4">
        <f>COUNTIFS('Opportunities'!$E$2:$E$1775,"=outbound",'Opportunities'!$V$2:$V$1775,"=amer_east",'Opportunities'!$M$2:$M$1775,"=nov26",'Opportunities'!$H$2:$H$1775,"&lt;&gt;")</f>
        <v>0</v>
      </c>
      <c r="X90" s="4">
        <f>COUNTIFS('Opportunities'!$E$2:$E$1775,"=outbound",'Opportunities'!$V$2:$V$1775,"=amer_east",'Opportunities'!$M$2:$M$1775,"=dec26",'Opportunities'!$H$2:$H$1775,"&lt;&gt;")</f>
        <v>0</v>
      </c>
    </row>
    <row r="91">
      <c r="A91" s="0" t="inlineStr">
        <is>
          <t xml:space="preserve">Opportunities created (SQLs)</t>
        </is>
      </c>
      <c r="B91" s="0" t="inlineStr">
        <is>
          <t xml:space="preserve">Outbound (BDR)</t>
        </is>
      </c>
      <c r="C91" s="0" t="inlineStr">
        <is>
          <t xml:space="preserve">AMER West</t>
        </is>
      </c>
      <c r="D91" s="4">
        <f>COUNTIFS('Opportunities'!$E$2:$E$1775,"=outbound",'Opportunities'!$V$2:$V$1775,"=amer_west",'Opportunities'!$M$2:$M$1775,"=apr25",'Opportunities'!$H$2:$H$1775,"&lt;&gt;")</f>
        <v>4</v>
      </c>
      <c r="E91" s="4">
        <f>COUNTIFS('Opportunities'!$E$2:$E$1775,"=outbound",'Opportunities'!$V$2:$V$1775,"=amer_west",'Opportunities'!$M$2:$M$1775,"=may25",'Opportunities'!$H$2:$H$1775,"&lt;&gt;")</f>
        <v>12</v>
      </c>
      <c r="F91" s="4">
        <f>COUNTIFS('Opportunities'!$E$2:$E$1775,"=outbound",'Opportunities'!$V$2:$V$1775,"=amer_west",'Opportunities'!$M$2:$M$1775,"=jun25",'Opportunities'!$H$2:$H$1775,"&lt;&gt;")</f>
        <v>3</v>
      </c>
      <c r="G91" s="4">
        <f>COUNTIFS('Opportunities'!$E$2:$E$1775,"=outbound",'Opportunities'!$V$2:$V$1775,"=amer_west",'Opportunities'!$M$2:$M$1775,"=jul25",'Opportunities'!$H$2:$H$1775,"&lt;&gt;")</f>
        <v>8</v>
      </c>
      <c r="H91" s="4">
        <f>COUNTIFS('Opportunities'!$E$2:$E$1775,"=outbound",'Opportunities'!$V$2:$V$1775,"=amer_west",'Opportunities'!$M$2:$M$1775,"=aug25",'Opportunities'!$H$2:$H$1775,"&lt;&gt;")</f>
        <v>2</v>
      </c>
      <c r="I91" s="4">
        <f>COUNTIFS('Opportunities'!$E$2:$E$1775,"=outbound",'Opportunities'!$V$2:$V$1775,"=amer_west",'Opportunities'!$M$2:$M$1775,"=sep25",'Opportunities'!$H$2:$H$1775,"&lt;&gt;")</f>
        <v>5</v>
      </c>
      <c r="J91" s="4">
        <f>COUNTIFS('Opportunities'!$E$2:$E$1775,"=outbound",'Opportunities'!$V$2:$V$1775,"=amer_west",'Opportunities'!$M$2:$M$1775,"=oct25",'Opportunities'!$H$2:$H$1775,"&lt;&gt;")</f>
        <v>4</v>
      </c>
      <c r="K91" s="4">
        <f>COUNTIFS('Opportunities'!$E$2:$E$1775,"=outbound",'Opportunities'!$V$2:$V$1775,"=amer_west",'Opportunities'!$M$2:$M$1775,"=nov25",'Opportunities'!$H$2:$H$1775,"&lt;&gt;")</f>
        <v>5</v>
      </c>
      <c r="L91" s="4">
        <f>COUNTIFS('Opportunities'!$E$2:$E$1775,"=outbound",'Opportunities'!$V$2:$V$1775,"=amer_west",'Opportunities'!$M$2:$M$1775,"=dec25",'Opportunities'!$H$2:$H$1775,"&lt;&gt;")</f>
        <v>7</v>
      </c>
      <c r="M91" s="4">
        <f>COUNTIFS('Opportunities'!$E$2:$E$1775,"=outbound",'Opportunities'!$V$2:$V$1775,"=amer_west",'Opportunities'!$M$2:$M$1775,"=jan26",'Opportunities'!$H$2:$H$1775,"&lt;&gt;")</f>
        <v>5</v>
      </c>
      <c r="N91" s="4">
        <f>COUNTIFS('Opportunities'!$E$2:$E$1775,"=outbound",'Opportunities'!$V$2:$V$1775,"=amer_west",'Opportunities'!$M$2:$M$1775,"=feb26",'Opportunities'!$H$2:$H$1775,"&lt;&gt;")</f>
        <v>4</v>
      </c>
      <c r="O91" s="4">
        <f>COUNTIFS('Opportunities'!$E$2:$E$1775,"=outbound",'Opportunities'!$V$2:$V$1775,"=amer_west",'Opportunities'!$M$2:$M$1775,"=mar26",'Opportunities'!$H$2:$H$1775,"&lt;&gt;")</f>
        <v>4</v>
      </c>
      <c r="P91" s="4">
        <f>COUNTIFS('Opportunities'!$E$2:$E$1775,"=outbound",'Opportunities'!$V$2:$V$1775,"=amer_west",'Opportunities'!$M$2:$M$1775,"=apr26",'Opportunities'!$H$2:$H$1775,"&lt;&gt;")</f>
        <v>3</v>
      </c>
      <c r="Q91" s="4">
        <f>COUNTIFS('Opportunities'!$E$2:$E$1775,"=outbound",'Opportunities'!$V$2:$V$1775,"=amer_west",'Opportunities'!$M$2:$M$1775,"=may26",'Opportunities'!$H$2:$H$1775,"&lt;&gt;")</f>
        <v>4</v>
      </c>
      <c r="R91" s="4">
        <f>COUNTIFS('Opportunities'!$E$2:$E$1775,"=outbound",'Opportunities'!$V$2:$V$1775,"=amer_west",'Opportunities'!$M$2:$M$1775,"=jun26",'Opportunities'!$H$2:$H$1775,"&lt;&gt;")</f>
        <v>5</v>
      </c>
      <c r="S91" s="4">
        <f>COUNTIFS('Opportunities'!$E$2:$E$1775,"=outbound",'Opportunities'!$V$2:$V$1775,"=amer_west",'Opportunities'!$M$2:$M$1775,"=jul26",'Opportunities'!$H$2:$H$1775,"&lt;&gt;")</f>
        <v>4</v>
      </c>
      <c r="T91" s="4">
        <f>COUNTIFS('Opportunities'!$E$2:$E$1775,"=outbound",'Opportunities'!$V$2:$V$1775,"=amer_west",'Opportunities'!$M$2:$M$1775,"=aug26",'Opportunities'!$H$2:$H$1775,"&lt;&gt;")</f>
        <v>6</v>
      </c>
      <c r="U91" s="4">
        <f>COUNTIFS('Opportunities'!$E$2:$E$1775,"=outbound",'Opportunities'!$V$2:$V$1775,"=amer_west",'Opportunities'!$M$2:$M$1775,"=sep26",'Opportunities'!$H$2:$H$1775,"&lt;&gt;")</f>
        <v>2</v>
      </c>
      <c r="V91" s="4">
        <f>COUNTIFS('Opportunities'!$E$2:$E$1775,"=outbound",'Opportunities'!$V$2:$V$1775,"=amer_west",'Opportunities'!$M$2:$M$1775,"=oct26",'Opportunities'!$H$2:$H$1775,"&lt;&gt;")</f>
        <v>0</v>
      </c>
      <c r="W91" s="4">
        <f>COUNTIFS('Opportunities'!$E$2:$E$1775,"=outbound",'Opportunities'!$V$2:$V$1775,"=amer_west",'Opportunities'!$M$2:$M$1775,"=nov26",'Opportunities'!$H$2:$H$1775,"&lt;&gt;")</f>
        <v>0</v>
      </c>
      <c r="X91" s="4">
        <f>COUNTIFS('Opportunities'!$E$2:$E$1775,"=outbound",'Opportunities'!$V$2:$V$1775,"=amer_west",'Opportunities'!$M$2:$M$1775,"=dec26",'Opportunities'!$H$2:$H$1775,"&lt;&gt;")</f>
        <v>0</v>
      </c>
    </row>
    <row r="92">
      <c r="A92" s="0" t="inlineStr">
        <is>
          <t xml:space="preserve">Opportunities created (SQLs)</t>
        </is>
      </c>
      <c r="B92" s="0" t="inlineStr">
        <is>
          <t xml:space="preserve">Outbound (BDR)</t>
        </is>
      </c>
      <c r="C92" s="0" t="inlineStr">
        <is>
          <t xml:space="preserve">EMEA</t>
        </is>
      </c>
      <c r="D92" s="4">
        <f>COUNTIFS('Opportunities'!$E$2:$E$1775,"=outbound",'Opportunities'!$V$2:$V$1775,"=emea",'Opportunities'!$M$2:$M$1775,"=apr25",'Opportunities'!$H$2:$H$1775,"&lt;&gt;")</f>
        <v>3</v>
      </c>
      <c r="E92" s="4">
        <f>COUNTIFS('Opportunities'!$E$2:$E$1775,"=outbound",'Opportunities'!$V$2:$V$1775,"=emea",'Opportunities'!$M$2:$M$1775,"=may25",'Opportunities'!$H$2:$H$1775,"&lt;&gt;")</f>
        <v>7</v>
      </c>
      <c r="F92" s="4">
        <f>COUNTIFS('Opportunities'!$E$2:$E$1775,"=outbound",'Opportunities'!$V$2:$V$1775,"=emea",'Opportunities'!$M$2:$M$1775,"=jun25",'Opportunities'!$H$2:$H$1775,"&lt;&gt;")</f>
        <v>7</v>
      </c>
      <c r="G92" s="4">
        <f>COUNTIFS('Opportunities'!$E$2:$E$1775,"=outbound",'Opportunities'!$V$2:$V$1775,"=emea",'Opportunities'!$M$2:$M$1775,"=jul25",'Opportunities'!$H$2:$H$1775,"&lt;&gt;")</f>
        <v>3</v>
      </c>
      <c r="H92" s="4">
        <f>COUNTIFS('Opportunities'!$E$2:$E$1775,"=outbound",'Opportunities'!$V$2:$V$1775,"=emea",'Opportunities'!$M$2:$M$1775,"=aug25",'Opportunities'!$H$2:$H$1775,"&lt;&gt;")</f>
        <v>4</v>
      </c>
      <c r="I92" s="4">
        <f>COUNTIFS('Opportunities'!$E$2:$E$1775,"=outbound",'Opportunities'!$V$2:$V$1775,"=emea",'Opportunities'!$M$2:$M$1775,"=sep25",'Opportunities'!$H$2:$H$1775,"&lt;&gt;")</f>
        <v>5</v>
      </c>
      <c r="J92" s="4">
        <f>COUNTIFS('Opportunities'!$E$2:$E$1775,"=outbound",'Opportunities'!$V$2:$V$1775,"=emea",'Opportunities'!$M$2:$M$1775,"=oct25",'Opportunities'!$H$2:$H$1775,"&lt;&gt;")</f>
        <v>5</v>
      </c>
      <c r="K92" s="4">
        <f>COUNTIFS('Opportunities'!$E$2:$E$1775,"=outbound",'Opportunities'!$V$2:$V$1775,"=emea",'Opportunities'!$M$2:$M$1775,"=nov25",'Opportunities'!$H$2:$H$1775,"&lt;&gt;")</f>
        <v>3</v>
      </c>
      <c r="L92" s="4">
        <f>COUNTIFS('Opportunities'!$E$2:$E$1775,"=outbound",'Opportunities'!$V$2:$V$1775,"=emea",'Opportunities'!$M$2:$M$1775,"=dec25",'Opportunities'!$H$2:$H$1775,"&lt;&gt;")</f>
        <v>4</v>
      </c>
      <c r="M92" s="4">
        <f>COUNTIFS('Opportunities'!$E$2:$E$1775,"=outbound",'Opportunities'!$V$2:$V$1775,"=emea",'Opportunities'!$M$2:$M$1775,"=jan26",'Opportunities'!$H$2:$H$1775,"&lt;&gt;")</f>
        <v>6</v>
      </c>
      <c r="N92" s="4">
        <f>COUNTIFS('Opportunities'!$E$2:$E$1775,"=outbound",'Opportunities'!$V$2:$V$1775,"=emea",'Opportunities'!$M$2:$M$1775,"=feb26",'Opportunities'!$H$2:$H$1775,"&lt;&gt;")</f>
        <v>8</v>
      </c>
      <c r="O92" s="4">
        <f>COUNTIFS('Opportunities'!$E$2:$E$1775,"=outbound",'Opportunities'!$V$2:$V$1775,"=emea",'Opportunities'!$M$2:$M$1775,"=mar26",'Opportunities'!$H$2:$H$1775,"&lt;&gt;")</f>
        <v>1</v>
      </c>
      <c r="P92" s="4">
        <f>COUNTIFS('Opportunities'!$E$2:$E$1775,"=outbound",'Opportunities'!$V$2:$V$1775,"=emea",'Opportunities'!$M$2:$M$1775,"=apr26",'Opportunities'!$H$2:$H$1775,"&lt;&gt;")</f>
        <v>4</v>
      </c>
      <c r="Q92" s="4">
        <f>COUNTIFS('Opportunities'!$E$2:$E$1775,"=outbound",'Opportunities'!$V$2:$V$1775,"=emea",'Opportunities'!$M$2:$M$1775,"=may26",'Opportunities'!$H$2:$H$1775,"&lt;&gt;")</f>
        <v>7</v>
      </c>
      <c r="R92" s="4">
        <f>COUNTIFS('Opportunities'!$E$2:$E$1775,"=outbound",'Opportunities'!$V$2:$V$1775,"=emea",'Opportunities'!$M$2:$M$1775,"=jun26",'Opportunities'!$H$2:$H$1775,"&lt;&gt;")</f>
        <v>3</v>
      </c>
      <c r="S92" s="4">
        <f>COUNTIFS('Opportunities'!$E$2:$E$1775,"=outbound",'Opportunities'!$V$2:$V$1775,"=emea",'Opportunities'!$M$2:$M$1775,"=jul26",'Opportunities'!$H$2:$H$1775,"&lt;&gt;")</f>
        <v>4</v>
      </c>
      <c r="T92" s="4">
        <f>COUNTIFS('Opportunities'!$E$2:$E$1775,"=outbound",'Opportunities'!$V$2:$V$1775,"=emea",'Opportunities'!$M$2:$M$1775,"=aug26",'Opportunities'!$H$2:$H$1775,"&lt;&gt;")</f>
        <v>5</v>
      </c>
      <c r="U92" s="4">
        <f>COUNTIFS('Opportunities'!$E$2:$E$1775,"=outbound",'Opportunities'!$V$2:$V$1775,"=emea",'Opportunities'!$M$2:$M$1775,"=sep26",'Opportunities'!$H$2:$H$1775,"&lt;&gt;")</f>
        <v>0</v>
      </c>
      <c r="V92" s="4">
        <f>COUNTIFS('Opportunities'!$E$2:$E$1775,"=outbound",'Opportunities'!$V$2:$V$1775,"=emea",'Opportunities'!$M$2:$M$1775,"=oct26",'Opportunities'!$H$2:$H$1775,"&lt;&gt;")</f>
        <v>0</v>
      </c>
      <c r="W92" s="4">
        <f>COUNTIFS('Opportunities'!$E$2:$E$1775,"=outbound",'Opportunities'!$V$2:$V$1775,"=emea",'Opportunities'!$M$2:$M$1775,"=nov26",'Opportunities'!$H$2:$H$1775,"&lt;&gt;")</f>
        <v>0</v>
      </c>
      <c r="X92" s="4">
        <f>COUNTIFS('Opportunities'!$E$2:$E$1775,"=outbound",'Opportunities'!$V$2:$V$1775,"=emea",'Opportunities'!$M$2:$M$1775,"=dec26",'Opportunities'!$H$2:$H$1775,"&lt;&gt;")</f>
        <v>0</v>
      </c>
    </row>
    <row r="93">
      <c r="A93" s="0" t="inlineStr">
        <is>
          <t xml:space="preserve">Opportunities created (SQLs)</t>
        </is>
      </c>
      <c r="B93" s="0" t="inlineStr">
        <is>
          <t xml:space="preserve">Outbound (BDR)</t>
        </is>
      </c>
      <c r="C93" s="0" t="inlineStr">
        <is>
          <t xml:space="preserve">APAC</t>
        </is>
      </c>
      <c r="D93" s="4">
        <f>COUNTIFS('Opportunities'!$E$2:$E$1775,"=outbound",'Opportunities'!$V$2:$V$1775,"=apac",'Opportunities'!$M$2:$M$1775,"=apr25",'Opportunities'!$H$2:$H$1775,"&lt;&gt;")</f>
        <v>6</v>
      </c>
      <c r="E93" s="4">
        <f>COUNTIFS('Opportunities'!$E$2:$E$1775,"=outbound",'Opportunities'!$V$2:$V$1775,"=apac",'Opportunities'!$M$2:$M$1775,"=may25",'Opportunities'!$H$2:$H$1775,"&lt;&gt;")</f>
        <v>6</v>
      </c>
      <c r="F93" s="4">
        <f>COUNTIFS('Opportunities'!$E$2:$E$1775,"=outbound",'Opportunities'!$V$2:$V$1775,"=apac",'Opportunities'!$M$2:$M$1775,"=jun25",'Opportunities'!$H$2:$H$1775,"&lt;&gt;")</f>
        <v>3</v>
      </c>
      <c r="G93" s="4">
        <f>COUNTIFS('Opportunities'!$E$2:$E$1775,"=outbound",'Opportunities'!$V$2:$V$1775,"=apac",'Opportunities'!$M$2:$M$1775,"=jul25",'Opportunities'!$H$2:$H$1775,"&lt;&gt;")</f>
        <v>2</v>
      </c>
      <c r="H93" s="4">
        <f>COUNTIFS('Opportunities'!$E$2:$E$1775,"=outbound",'Opportunities'!$V$2:$V$1775,"=apac",'Opportunities'!$M$2:$M$1775,"=aug25",'Opportunities'!$H$2:$H$1775,"&lt;&gt;")</f>
        <v>3</v>
      </c>
      <c r="I93" s="4">
        <f>COUNTIFS('Opportunities'!$E$2:$E$1775,"=outbound",'Opportunities'!$V$2:$V$1775,"=apac",'Opportunities'!$M$2:$M$1775,"=sep25",'Opportunities'!$H$2:$H$1775,"&lt;&gt;")</f>
        <v>3</v>
      </c>
      <c r="J93" s="4">
        <f>COUNTIFS('Opportunities'!$E$2:$E$1775,"=outbound",'Opportunities'!$V$2:$V$1775,"=apac",'Opportunities'!$M$2:$M$1775,"=oct25",'Opportunities'!$H$2:$H$1775,"&lt;&gt;")</f>
        <v>5</v>
      </c>
      <c r="K93" s="4">
        <f>COUNTIFS('Opportunities'!$E$2:$E$1775,"=outbound",'Opportunities'!$V$2:$V$1775,"=apac",'Opportunities'!$M$2:$M$1775,"=nov25",'Opportunities'!$H$2:$H$1775,"&lt;&gt;")</f>
        <v>7</v>
      </c>
      <c r="L93" s="4">
        <f>COUNTIFS('Opportunities'!$E$2:$E$1775,"=outbound",'Opportunities'!$V$2:$V$1775,"=apac",'Opportunities'!$M$2:$M$1775,"=dec25",'Opportunities'!$H$2:$H$1775,"&lt;&gt;")</f>
        <v>3</v>
      </c>
      <c r="M93" s="4">
        <f>COUNTIFS('Opportunities'!$E$2:$E$1775,"=outbound",'Opportunities'!$V$2:$V$1775,"=apac",'Opportunities'!$M$2:$M$1775,"=jan26",'Opportunities'!$H$2:$H$1775,"&lt;&gt;")</f>
        <v>4</v>
      </c>
      <c r="N93" s="4">
        <f>COUNTIFS('Opportunities'!$E$2:$E$1775,"=outbound",'Opportunities'!$V$2:$V$1775,"=apac",'Opportunities'!$M$2:$M$1775,"=feb26",'Opportunities'!$H$2:$H$1775,"&lt;&gt;")</f>
        <v>4</v>
      </c>
      <c r="O93" s="4">
        <f>COUNTIFS('Opportunities'!$E$2:$E$1775,"=outbound",'Opportunities'!$V$2:$V$1775,"=apac",'Opportunities'!$M$2:$M$1775,"=mar26",'Opportunities'!$H$2:$H$1775,"&lt;&gt;")</f>
        <v>7</v>
      </c>
      <c r="P93" s="4">
        <f>COUNTIFS('Opportunities'!$E$2:$E$1775,"=outbound",'Opportunities'!$V$2:$V$1775,"=apac",'Opportunities'!$M$2:$M$1775,"=apr26",'Opportunities'!$H$2:$H$1775,"&lt;&gt;")</f>
        <v>6</v>
      </c>
      <c r="Q93" s="4">
        <f>COUNTIFS('Opportunities'!$E$2:$E$1775,"=outbound",'Opportunities'!$V$2:$V$1775,"=apac",'Opportunities'!$M$2:$M$1775,"=may26",'Opportunities'!$H$2:$H$1775,"&lt;&gt;")</f>
        <v>6</v>
      </c>
      <c r="R93" s="4">
        <f>COUNTIFS('Opportunities'!$E$2:$E$1775,"=outbound",'Opportunities'!$V$2:$V$1775,"=apac",'Opportunities'!$M$2:$M$1775,"=jun26",'Opportunities'!$H$2:$H$1775,"&lt;&gt;")</f>
        <v>7</v>
      </c>
      <c r="S93" s="4">
        <f>COUNTIFS('Opportunities'!$E$2:$E$1775,"=outbound",'Opportunities'!$V$2:$V$1775,"=apac",'Opportunities'!$M$2:$M$1775,"=jul26",'Opportunities'!$H$2:$H$1775,"&lt;&gt;")</f>
        <v>5</v>
      </c>
      <c r="T93" s="4">
        <f>COUNTIFS('Opportunities'!$E$2:$E$1775,"=outbound",'Opportunities'!$V$2:$V$1775,"=apac",'Opportunities'!$M$2:$M$1775,"=aug26",'Opportunities'!$H$2:$H$1775,"&lt;&gt;")</f>
        <v>5</v>
      </c>
      <c r="U93" s="4">
        <f>COUNTIFS('Opportunities'!$E$2:$E$1775,"=outbound",'Opportunities'!$V$2:$V$1775,"=apac",'Opportunities'!$M$2:$M$1775,"=sep26",'Opportunities'!$H$2:$H$1775,"&lt;&gt;")</f>
        <v>5</v>
      </c>
      <c r="V93" s="4">
        <f>COUNTIFS('Opportunities'!$E$2:$E$1775,"=outbound",'Opportunities'!$V$2:$V$1775,"=apac",'Opportunities'!$M$2:$M$1775,"=oct26",'Opportunities'!$H$2:$H$1775,"&lt;&gt;")</f>
        <v>0</v>
      </c>
      <c r="W93" s="4">
        <f>COUNTIFS('Opportunities'!$E$2:$E$1775,"=outbound",'Opportunities'!$V$2:$V$1775,"=apac",'Opportunities'!$M$2:$M$1775,"=nov26",'Opportunities'!$H$2:$H$1775,"&lt;&gt;")</f>
        <v>0</v>
      </c>
      <c r="X93" s="4">
        <f>COUNTIFS('Opportunities'!$E$2:$E$1775,"=outbound",'Opportunities'!$V$2:$V$1775,"=apac",'Opportunities'!$M$2:$M$1775,"=dec26",'Opportunities'!$H$2:$H$1775,"&lt;&gt;")</f>
        <v>0</v>
      </c>
    </row>
    <row r="94">
      <c r="A94" s="0" t="inlineStr">
        <is>
          <t xml:space="preserve">Opportunities created (SQLs)</t>
        </is>
      </c>
      <c r="B94" s="0" t="inlineStr">
        <is>
          <t xml:space="preserve">Customer referral</t>
        </is>
      </c>
      <c r="C94" s="0" t="inlineStr">
        <is>
          <t xml:space="preserve">AMER East</t>
        </is>
      </c>
      <c r="D94" s="4">
        <f>COUNTIFS('Opportunities'!$E$2:$E$1775,"=referral",'Opportunities'!$V$2:$V$1775,"=amer_east",'Opportunities'!$M$2:$M$1775,"=apr25",'Opportunities'!$H$2:$H$1775,"&lt;&gt;")</f>
        <v>5</v>
      </c>
      <c r="E94" s="4">
        <f>COUNTIFS('Opportunities'!$E$2:$E$1775,"=referral",'Opportunities'!$V$2:$V$1775,"=amer_east",'Opportunities'!$M$2:$M$1775,"=may25",'Opportunities'!$H$2:$H$1775,"&lt;&gt;")</f>
        <v>1</v>
      </c>
      <c r="F94" s="4">
        <f>COUNTIFS('Opportunities'!$E$2:$E$1775,"=referral",'Opportunities'!$V$2:$V$1775,"=amer_east",'Opportunities'!$M$2:$M$1775,"=jun25",'Opportunities'!$H$2:$H$1775,"&lt;&gt;")</f>
        <v>4</v>
      </c>
      <c r="G94" s="4">
        <f>COUNTIFS('Opportunities'!$E$2:$E$1775,"=referral",'Opportunities'!$V$2:$V$1775,"=amer_east",'Opportunities'!$M$2:$M$1775,"=jul25",'Opportunities'!$H$2:$H$1775,"&lt;&gt;")</f>
        <v>3</v>
      </c>
      <c r="H94" s="4">
        <f>COUNTIFS('Opportunities'!$E$2:$E$1775,"=referral",'Opportunities'!$V$2:$V$1775,"=amer_east",'Opportunities'!$M$2:$M$1775,"=aug25",'Opportunities'!$H$2:$H$1775,"&lt;&gt;")</f>
        <v>0</v>
      </c>
      <c r="I94" s="4">
        <f>COUNTIFS('Opportunities'!$E$2:$E$1775,"=referral",'Opportunities'!$V$2:$V$1775,"=amer_east",'Opportunities'!$M$2:$M$1775,"=sep25",'Opportunities'!$H$2:$H$1775,"&lt;&gt;")</f>
        <v>1</v>
      </c>
      <c r="J94" s="4">
        <f>COUNTIFS('Opportunities'!$E$2:$E$1775,"=referral",'Opportunities'!$V$2:$V$1775,"=amer_east",'Opportunities'!$M$2:$M$1775,"=oct25",'Opportunities'!$H$2:$H$1775,"&lt;&gt;")</f>
        <v>1</v>
      </c>
      <c r="K94" s="4">
        <f>COUNTIFS('Opportunities'!$E$2:$E$1775,"=referral",'Opportunities'!$V$2:$V$1775,"=amer_east",'Opportunities'!$M$2:$M$1775,"=nov25",'Opportunities'!$H$2:$H$1775,"&lt;&gt;")</f>
        <v>3</v>
      </c>
      <c r="L94" s="4">
        <f>COUNTIFS('Opportunities'!$E$2:$E$1775,"=referral",'Opportunities'!$V$2:$V$1775,"=amer_east",'Opportunities'!$M$2:$M$1775,"=dec25",'Opportunities'!$H$2:$H$1775,"&lt;&gt;")</f>
        <v>5</v>
      </c>
      <c r="M94" s="4">
        <f>COUNTIFS('Opportunities'!$E$2:$E$1775,"=referral",'Opportunities'!$V$2:$V$1775,"=amer_east",'Opportunities'!$M$2:$M$1775,"=jan26",'Opportunities'!$H$2:$H$1775,"&lt;&gt;")</f>
        <v>2</v>
      </c>
      <c r="N94" s="4">
        <f>COUNTIFS('Opportunities'!$E$2:$E$1775,"=referral",'Opportunities'!$V$2:$V$1775,"=amer_east",'Opportunities'!$M$2:$M$1775,"=feb26",'Opportunities'!$H$2:$H$1775,"&lt;&gt;")</f>
        <v>1</v>
      </c>
      <c r="O94" s="4">
        <f>COUNTIFS('Opportunities'!$E$2:$E$1775,"=referral",'Opportunities'!$V$2:$V$1775,"=amer_east",'Opportunities'!$M$2:$M$1775,"=mar26",'Opportunities'!$H$2:$H$1775,"&lt;&gt;")</f>
        <v>2</v>
      </c>
      <c r="P94" s="4">
        <f>COUNTIFS('Opportunities'!$E$2:$E$1775,"=referral",'Opportunities'!$V$2:$V$1775,"=amer_east",'Opportunities'!$M$2:$M$1775,"=apr26",'Opportunities'!$H$2:$H$1775,"&lt;&gt;")</f>
        <v>4</v>
      </c>
      <c r="Q94" s="4">
        <f>COUNTIFS('Opportunities'!$E$2:$E$1775,"=referral",'Opportunities'!$V$2:$V$1775,"=amer_east",'Opportunities'!$M$2:$M$1775,"=may26",'Opportunities'!$H$2:$H$1775,"&lt;&gt;")</f>
        <v>4</v>
      </c>
      <c r="R94" s="4">
        <f>COUNTIFS('Opportunities'!$E$2:$E$1775,"=referral",'Opportunities'!$V$2:$V$1775,"=amer_east",'Opportunities'!$M$2:$M$1775,"=jun26",'Opportunities'!$H$2:$H$1775,"&lt;&gt;")</f>
        <v>1</v>
      </c>
      <c r="S94" s="4">
        <f>COUNTIFS('Opportunities'!$E$2:$E$1775,"=referral",'Opportunities'!$V$2:$V$1775,"=amer_east",'Opportunities'!$M$2:$M$1775,"=jul26",'Opportunities'!$H$2:$H$1775,"&lt;&gt;")</f>
        <v>3</v>
      </c>
      <c r="T94" s="4">
        <f>COUNTIFS('Opportunities'!$E$2:$E$1775,"=referral",'Opportunities'!$V$2:$V$1775,"=amer_east",'Opportunities'!$M$2:$M$1775,"=aug26",'Opportunities'!$H$2:$H$1775,"&lt;&gt;")</f>
        <v>1</v>
      </c>
      <c r="U94" s="4">
        <f>COUNTIFS('Opportunities'!$E$2:$E$1775,"=referral",'Opportunities'!$V$2:$V$1775,"=amer_east",'Opportunities'!$M$2:$M$1775,"=sep26",'Opportunities'!$H$2:$H$1775,"&lt;&gt;")</f>
        <v>3</v>
      </c>
      <c r="V94" s="4">
        <f>COUNTIFS('Opportunities'!$E$2:$E$1775,"=referral",'Opportunities'!$V$2:$V$1775,"=amer_east",'Opportunities'!$M$2:$M$1775,"=oct26",'Opportunities'!$H$2:$H$1775,"&lt;&gt;")</f>
        <v>0</v>
      </c>
      <c r="W94" s="4">
        <f>COUNTIFS('Opportunities'!$E$2:$E$1775,"=referral",'Opportunities'!$V$2:$V$1775,"=amer_east",'Opportunities'!$M$2:$M$1775,"=nov26",'Opportunities'!$H$2:$H$1775,"&lt;&gt;")</f>
        <v>0</v>
      </c>
      <c r="X94" s="4">
        <f>COUNTIFS('Opportunities'!$E$2:$E$1775,"=referral",'Opportunities'!$V$2:$V$1775,"=amer_east",'Opportunities'!$M$2:$M$1775,"=dec26",'Opportunities'!$H$2:$H$1775,"&lt;&gt;")</f>
        <v>0</v>
      </c>
    </row>
    <row r="95">
      <c r="A95" s="0" t="inlineStr">
        <is>
          <t xml:space="preserve">Opportunities created (SQLs)</t>
        </is>
      </c>
      <c r="B95" s="0" t="inlineStr">
        <is>
          <t xml:space="preserve">Customer referral</t>
        </is>
      </c>
      <c r="C95" s="0" t="inlineStr">
        <is>
          <t xml:space="preserve">AMER West</t>
        </is>
      </c>
      <c r="D95" s="4">
        <f>COUNTIFS('Opportunities'!$E$2:$E$1775,"=referral",'Opportunities'!$V$2:$V$1775,"=amer_west",'Opportunities'!$M$2:$M$1775,"=apr25",'Opportunities'!$H$2:$H$1775,"&lt;&gt;")</f>
        <v>3</v>
      </c>
      <c r="E95" s="4">
        <f>COUNTIFS('Opportunities'!$E$2:$E$1775,"=referral",'Opportunities'!$V$2:$V$1775,"=amer_west",'Opportunities'!$M$2:$M$1775,"=may25",'Opportunities'!$H$2:$H$1775,"&lt;&gt;")</f>
        <v>3</v>
      </c>
      <c r="F95" s="4">
        <f>COUNTIFS('Opportunities'!$E$2:$E$1775,"=referral",'Opportunities'!$V$2:$V$1775,"=amer_west",'Opportunities'!$M$2:$M$1775,"=jun25",'Opportunities'!$H$2:$H$1775,"&lt;&gt;")</f>
        <v>1</v>
      </c>
      <c r="G95" s="4">
        <f>COUNTIFS('Opportunities'!$E$2:$E$1775,"=referral",'Opportunities'!$V$2:$V$1775,"=amer_west",'Opportunities'!$M$2:$M$1775,"=jul25",'Opportunities'!$H$2:$H$1775,"&lt;&gt;")</f>
        <v>3</v>
      </c>
      <c r="H95" s="4">
        <f>COUNTIFS('Opportunities'!$E$2:$E$1775,"=referral",'Opportunities'!$V$2:$V$1775,"=amer_west",'Opportunities'!$M$2:$M$1775,"=aug25",'Opportunities'!$H$2:$H$1775,"&lt;&gt;")</f>
        <v>0</v>
      </c>
      <c r="I95" s="4">
        <f>COUNTIFS('Opportunities'!$E$2:$E$1775,"=referral",'Opportunities'!$V$2:$V$1775,"=amer_west",'Opportunities'!$M$2:$M$1775,"=sep25",'Opportunities'!$H$2:$H$1775,"&lt;&gt;")</f>
        <v>4</v>
      </c>
      <c r="J95" s="4">
        <f>COUNTIFS('Opportunities'!$E$2:$E$1775,"=referral",'Opportunities'!$V$2:$V$1775,"=amer_west",'Opportunities'!$M$2:$M$1775,"=oct25",'Opportunities'!$H$2:$H$1775,"&lt;&gt;")</f>
        <v>2</v>
      </c>
      <c r="K95" s="4">
        <f>COUNTIFS('Opportunities'!$E$2:$E$1775,"=referral",'Opportunities'!$V$2:$V$1775,"=amer_west",'Opportunities'!$M$2:$M$1775,"=nov25",'Opportunities'!$H$2:$H$1775,"&lt;&gt;")</f>
        <v>2</v>
      </c>
      <c r="L95" s="4">
        <f>COUNTIFS('Opportunities'!$E$2:$E$1775,"=referral",'Opportunities'!$V$2:$V$1775,"=amer_west",'Opportunities'!$M$2:$M$1775,"=dec25",'Opportunities'!$H$2:$H$1775,"&lt;&gt;")</f>
        <v>3</v>
      </c>
      <c r="M95" s="4">
        <f>COUNTIFS('Opportunities'!$E$2:$E$1775,"=referral",'Opportunities'!$V$2:$V$1775,"=amer_west",'Opportunities'!$M$2:$M$1775,"=jan26",'Opportunities'!$H$2:$H$1775,"&lt;&gt;")</f>
        <v>3</v>
      </c>
      <c r="N95" s="4">
        <f>COUNTIFS('Opportunities'!$E$2:$E$1775,"=referral",'Opportunities'!$V$2:$V$1775,"=amer_west",'Opportunities'!$M$2:$M$1775,"=feb26",'Opportunities'!$H$2:$H$1775,"&lt;&gt;")</f>
        <v>2</v>
      </c>
      <c r="O95" s="4">
        <f>COUNTIFS('Opportunities'!$E$2:$E$1775,"=referral",'Opportunities'!$V$2:$V$1775,"=amer_west",'Opportunities'!$M$2:$M$1775,"=mar26",'Opportunities'!$H$2:$H$1775,"&lt;&gt;")</f>
        <v>2</v>
      </c>
      <c r="P95" s="4">
        <f>COUNTIFS('Opportunities'!$E$2:$E$1775,"=referral",'Opportunities'!$V$2:$V$1775,"=amer_west",'Opportunities'!$M$2:$M$1775,"=apr26",'Opportunities'!$H$2:$H$1775,"&lt;&gt;")</f>
        <v>3</v>
      </c>
      <c r="Q95" s="4">
        <f>COUNTIFS('Opportunities'!$E$2:$E$1775,"=referral",'Opportunities'!$V$2:$V$1775,"=amer_west",'Opportunities'!$M$2:$M$1775,"=may26",'Opportunities'!$H$2:$H$1775,"&lt;&gt;")</f>
        <v>3</v>
      </c>
      <c r="R95" s="4">
        <f>COUNTIFS('Opportunities'!$E$2:$E$1775,"=referral",'Opportunities'!$V$2:$V$1775,"=amer_west",'Opportunities'!$M$2:$M$1775,"=jun26",'Opportunities'!$H$2:$H$1775,"&lt;&gt;")</f>
        <v>2</v>
      </c>
      <c r="S95" s="4">
        <f>COUNTIFS('Opportunities'!$E$2:$E$1775,"=referral",'Opportunities'!$V$2:$V$1775,"=amer_west",'Opportunities'!$M$2:$M$1775,"=jul26",'Opportunities'!$H$2:$H$1775,"&lt;&gt;")</f>
        <v>3</v>
      </c>
      <c r="T95" s="4">
        <f>COUNTIFS('Opportunities'!$E$2:$E$1775,"=referral",'Opportunities'!$V$2:$V$1775,"=amer_west",'Opportunities'!$M$2:$M$1775,"=aug26",'Opportunities'!$H$2:$H$1775,"&lt;&gt;")</f>
        <v>1</v>
      </c>
      <c r="U95" s="4">
        <f>COUNTIFS('Opportunities'!$E$2:$E$1775,"=referral",'Opportunities'!$V$2:$V$1775,"=amer_west",'Opportunities'!$M$2:$M$1775,"=sep26",'Opportunities'!$H$2:$H$1775,"&lt;&gt;")</f>
        <v>0</v>
      </c>
      <c r="V95" s="4">
        <f>COUNTIFS('Opportunities'!$E$2:$E$1775,"=referral",'Opportunities'!$V$2:$V$1775,"=amer_west",'Opportunities'!$M$2:$M$1775,"=oct26",'Opportunities'!$H$2:$H$1775,"&lt;&gt;")</f>
        <v>0</v>
      </c>
      <c r="W95" s="4">
        <f>COUNTIFS('Opportunities'!$E$2:$E$1775,"=referral",'Opportunities'!$V$2:$V$1775,"=amer_west",'Opportunities'!$M$2:$M$1775,"=nov26",'Opportunities'!$H$2:$H$1775,"&lt;&gt;")</f>
        <v>0</v>
      </c>
      <c r="X95" s="4">
        <f>COUNTIFS('Opportunities'!$E$2:$E$1775,"=referral",'Opportunities'!$V$2:$V$1775,"=amer_west",'Opportunities'!$M$2:$M$1775,"=dec26",'Opportunities'!$H$2:$H$1775,"&lt;&gt;")</f>
        <v>0</v>
      </c>
    </row>
    <row r="96">
      <c r="A96" s="0" t="inlineStr">
        <is>
          <t xml:space="preserve">Opportunities created (SQLs)</t>
        </is>
      </c>
      <c r="B96" s="0" t="inlineStr">
        <is>
          <t xml:space="preserve">Customer referral</t>
        </is>
      </c>
      <c r="C96" s="0" t="inlineStr">
        <is>
          <t xml:space="preserve">EMEA</t>
        </is>
      </c>
      <c r="D96" s="4">
        <f>COUNTIFS('Opportunities'!$E$2:$E$1775,"=referral",'Opportunities'!$V$2:$V$1775,"=emea",'Opportunities'!$M$2:$M$1775,"=apr25",'Opportunities'!$H$2:$H$1775,"&lt;&gt;")</f>
        <v>5</v>
      </c>
      <c r="E96" s="4">
        <f>COUNTIFS('Opportunities'!$E$2:$E$1775,"=referral",'Opportunities'!$V$2:$V$1775,"=emea",'Opportunities'!$M$2:$M$1775,"=may25",'Opportunities'!$H$2:$H$1775,"&lt;&gt;")</f>
        <v>2</v>
      </c>
      <c r="F96" s="4">
        <f>COUNTIFS('Opportunities'!$E$2:$E$1775,"=referral",'Opportunities'!$V$2:$V$1775,"=emea",'Opportunities'!$M$2:$M$1775,"=jun25",'Opportunities'!$H$2:$H$1775,"&lt;&gt;")</f>
        <v>1</v>
      </c>
      <c r="G96" s="4">
        <f>COUNTIFS('Opportunities'!$E$2:$E$1775,"=referral",'Opportunities'!$V$2:$V$1775,"=emea",'Opportunities'!$M$2:$M$1775,"=jul25",'Opportunities'!$H$2:$H$1775,"&lt;&gt;")</f>
        <v>3</v>
      </c>
      <c r="H96" s="4">
        <f>COUNTIFS('Opportunities'!$E$2:$E$1775,"=referral",'Opportunities'!$V$2:$V$1775,"=emea",'Opportunities'!$M$2:$M$1775,"=aug25",'Opportunities'!$H$2:$H$1775,"&lt;&gt;")</f>
        <v>2</v>
      </c>
      <c r="I96" s="4">
        <f>COUNTIFS('Opportunities'!$E$2:$E$1775,"=referral",'Opportunities'!$V$2:$V$1775,"=emea",'Opportunities'!$M$2:$M$1775,"=sep25",'Opportunities'!$H$2:$H$1775,"&lt;&gt;")</f>
        <v>2</v>
      </c>
      <c r="J96" s="4">
        <f>COUNTIFS('Opportunities'!$E$2:$E$1775,"=referral",'Opportunities'!$V$2:$V$1775,"=emea",'Opportunities'!$M$2:$M$1775,"=oct25",'Opportunities'!$H$2:$H$1775,"&lt;&gt;")</f>
        <v>1</v>
      </c>
      <c r="K96" s="4">
        <f>COUNTIFS('Opportunities'!$E$2:$E$1775,"=referral",'Opportunities'!$V$2:$V$1775,"=emea",'Opportunities'!$M$2:$M$1775,"=nov25",'Opportunities'!$H$2:$H$1775,"&lt;&gt;")</f>
        <v>0</v>
      </c>
      <c r="L96" s="4">
        <f>COUNTIFS('Opportunities'!$E$2:$E$1775,"=referral",'Opportunities'!$V$2:$V$1775,"=emea",'Opportunities'!$M$2:$M$1775,"=dec25",'Opportunities'!$H$2:$H$1775,"&lt;&gt;")</f>
        <v>2</v>
      </c>
      <c r="M96" s="4">
        <f>COUNTIFS('Opportunities'!$E$2:$E$1775,"=referral",'Opportunities'!$V$2:$V$1775,"=emea",'Opportunities'!$M$2:$M$1775,"=jan26",'Opportunities'!$H$2:$H$1775,"&lt;&gt;")</f>
        <v>3</v>
      </c>
      <c r="N96" s="4">
        <f>COUNTIFS('Opportunities'!$E$2:$E$1775,"=referral",'Opportunities'!$V$2:$V$1775,"=emea",'Opportunities'!$M$2:$M$1775,"=feb26",'Opportunities'!$H$2:$H$1775,"&lt;&gt;")</f>
        <v>2</v>
      </c>
      <c r="O96" s="4">
        <f>COUNTIFS('Opportunities'!$E$2:$E$1775,"=referral",'Opportunities'!$V$2:$V$1775,"=emea",'Opportunities'!$M$2:$M$1775,"=mar26",'Opportunities'!$H$2:$H$1775,"&lt;&gt;")</f>
        <v>0</v>
      </c>
      <c r="P96" s="4">
        <f>COUNTIFS('Opportunities'!$E$2:$E$1775,"=referral",'Opportunities'!$V$2:$V$1775,"=emea",'Opportunities'!$M$2:$M$1775,"=apr26",'Opportunities'!$H$2:$H$1775,"&lt;&gt;")</f>
        <v>1</v>
      </c>
      <c r="Q96" s="4">
        <f>COUNTIFS('Opportunities'!$E$2:$E$1775,"=referral",'Opportunities'!$V$2:$V$1775,"=emea",'Opportunities'!$M$2:$M$1775,"=may26",'Opportunities'!$H$2:$H$1775,"&lt;&gt;")</f>
        <v>2</v>
      </c>
      <c r="R96" s="4">
        <f>COUNTIFS('Opportunities'!$E$2:$E$1775,"=referral",'Opportunities'!$V$2:$V$1775,"=emea",'Opportunities'!$M$2:$M$1775,"=jun26",'Opportunities'!$H$2:$H$1775,"&lt;&gt;")</f>
        <v>2</v>
      </c>
      <c r="S96" s="4">
        <f>COUNTIFS('Opportunities'!$E$2:$E$1775,"=referral",'Opportunities'!$V$2:$V$1775,"=emea",'Opportunities'!$M$2:$M$1775,"=jul26",'Opportunities'!$H$2:$H$1775,"&lt;&gt;")</f>
        <v>1</v>
      </c>
      <c r="T96" s="4">
        <f>COUNTIFS('Opportunities'!$E$2:$E$1775,"=referral",'Opportunities'!$V$2:$V$1775,"=emea",'Opportunities'!$M$2:$M$1775,"=aug26",'Opportunities'!$H$2:$H$1775,"&lt;&gt;")</f>
        <v>2</v>
      </c>
      <c r="U96" s="4">
        <f>COUNTIFS('Opportunities'!$E$2:$E$1775,"=referral",'Opportunities'!$V$2:$V$1775,"=emea",'Opportunities'!$M$2:$M$1775,"=sep26",'Opportunities'!$H$2:$H$1775,"&lt;&gt;")</f>
        <v>1</v>
      </c>
      <c r="V96" s="4">
        <f>COUNTIFS('Opportunities'!$E$2:$E$1775,"=referral",'Opportunities'!$V$2:$V$1775,"=emea",'Opportunities'!$M$2:$M$1775,"=oct26",'Opportunities'!$H$2:$H$1775,"&lt;&gt;")</f>
        <v>0</v>
      </c>
      <c r="W96" s="4">
        <f>COUNTIFS('Opportunities'!$E$2:$E$1775,"=referral",'Opportunities'!$V$2:$V$1775,"=emea",'Opportunities'!$M$2:$M$1775,"=nov26",'Opportunities'!$H$2:$H$1775,"&lt;&gt;")</f>
        <v>0</v>
      </c>
      <c r="X96" s="4">
        <f>COUNTIFS('Opportunities'!$E$2:$E$1775,"=referral",'Opportunities'!$V$2:$V$1775,"=emea",'Opportunities'!$M$2:$M$1775,"=dec26",'Opportunities'!$H$2:$H$1775,"&lt;&gt;")</f>
        <v>0</v>
      </c>
    </row>
    <row r="97">
      <c r="A97" s="0" t="inlineStr">
        <is>
          <t xml:space="preserve">Opportunities created (SQLs)</t>
        </is>
      </c>
      <c r="B97" s="0" t="inlineStr">
        <is>
          <t xml:space="preserve">Customer referral</t>
        </is>
      </c>
      <c r="C97" s="0" t="inlineStr">
        <is>
          <t xml:space="preserve">APAC</t>
        </is>
      </c>
      <c r="D97" s="4">
        <f>COUNTIFS('Opportunities'!$E$2:$E$1775,"=referral",'Opportunities'!$V$2:$V$1775,"=apac",'Opportunities'!$M$2:$M$1775,"=apr25",'Opportunities'!$H$2:$H$1775,"&lt;&gt;")</f>
        <v>0</v>
      </c>
      <c r="E97" s="4">
        <f>COUNTIFS('Opportunities'!$E$2:$E$1775,"=referral",'Opportunities'!$V$2:$V$1775,"=apac",'Opportunities'!$M$2:$M$1775,"=may25",'Opportunities'!$H$2:$H$1775,"&lt;&gt;")</f>
        <v>0</v>
      </c>
      <c r="F97" s="4">
        <f>COUNTIFS('Opportunities'!$E$2:$E$1775,"=referral",'Opportunities'!$V$2:$V$1775,"=apac",'Opportunities'!$M$2:$M$1775,"=jun25",'Opportunities'!$H$2:$H$1775,"&lt;&gt;")</f>
        <v>1</v>
      </c>
      <c r="G97" s="4">
        <f>COUNTIFS('Opportunities'!$E$2:$E$1775,"=referral",'Opportunities'!$V$2:$V$1775,"=apac",'Opportunities'!$M$2:$M$1775,"=jul25",'Opportunities'!$H$2:$H$1775,"&lt;&gt;")</f>
        <v>2</v>
      </c>
      <c r="H97" s="4">
        <f>COUNTIFS('Opportunities'!$E$2:$E$1775,"=referral",'Opportunities'!$V$2:$V$1775,"=apac",'Opportunities'!$M$2:$M$1775,"=aug25",'Opportunities'!$H$2:$H$1775,"&lt;&gt;")</f>
        <v>0</v>
      </c>
      <c r="I97" s="4">
        <f>COUNTIFS('Opportunities'!$E$2:$E$1775,"=referral",'Opportunities'!$V$2:$V$1775,"=apac",'Opportunities'!$M$2:$M$1775,"=sep25",'Opportunities'!$H$2:$H$1775,"&lt;&gt;")</f>
        <v>2</v>
      </c>
      <c r="J97" s="4">
        <f>COUNTIFS('Opportunities'!$E$2:$E$1775,"=referral",'Opportunities'!$V$2:$V$1775,"=apac",'Opportunities'!$M$2:$M$1775,"=oct25",'Opportunities'!$H$2:$H$1775,"&lt;&gt;")</f>
        <v>1</v>
      </c>
      <c r="K97" s="4">
        <f>COUNTIFS('Opportunities'!$E$2:$E$1775,"=referral",'Opportunities'!$V$2:$V$1775,"=apac",'Opportunities'!$M$2:$M$1775,"=nov25",'Opportunities'!$H$2:$H$1775,"&lt;&gt;")</f>
        <v>2</v>
      </c>
      <c r="L97" s="4">
        <f>COUNTIFS('Opportunities'!$E$2:$E$1775,"=referral",'Opportunities'!$V$2:$V$1775,"=apac",'Opportunities'!$M$2:$M$1775,"=dec25",'Opportunities'!$H$2:$H$1775,"&lt;&gt;")</f>
        <v>2</v>
      </c>
      <c r="M97" s="4">
        <f>COUNTIFS('Opportunities'!$E$2:$E$1775,"=referral",'Opportunities'!$V$2:$V$1775,"=apac",'Opportunities'!$M$2:$M$1775,"=jan26",'Opportunities'!$H$2:$H$1775,"&lt;&gt;")</f>
        <v>2</v>
      </c>
      <c r="N97" s="4">
        <f>COUNTIFS('Opportunities'!$E$2:$E$1775,"=referral",'Opportunities'!$V$2:$V$1775,"=apac",'Opportunities'!$M$2:$M$1775,"=feb26",'Opportunities'!$H$2:$H$1775,"&lt;&gt;")</f>
        <v>1</v>
      </c>
      <c r="O97" s="4">
        <f>COUNTIFS('Opportunities'!$E$2:$E$1775,"=referral",'Opportunities'!$V$2:$V$1775,"=apac",'Opportunities'!$M$2:$M$1775,"=mar26",'Opportunities'!$H$2:$H$1775,"&lt;&gt;")</f>
        <v>0</v>
      </c>
      <c r="P97" s="4">
        <f>COUNTIFS('Opportunities'!$E$2:$E$1775,"=referral",'Opportunities'!$V$2:$V$1775,"=apac",'Opportunities'!$M$2:$M$1775,"=apr26",'Opportunities'!$H$2:$H$1775,"&lt;&gt;")</f>
        <v>0</v>
      </c>
      <c r="Q97" s="4">
        <f>COUNTIFS('Opportunities'!$E$2:$E$1775,"=referral",'Opportunities'!$V$2:$V$1775,"=apac",'Opportunities'!$M$2:$M$1775,"=may26",'Opportunities'!$H$2:$H$1775,"&lt;&gt;")</f>
        <v>1</v>
      </c>
      <c r="R97" s="4">
        <f>COUNTIFS('Opportunities'!$E$2:$E$1775,"=referral",'Opportunities'!$V$2:$V$1775,"=apac",'Opportunities'!$M$2:$M$1775,"=jun26",'Opportunities'!$H$2:$H$1775,"&lt;&gt;")</f>
        <v>1</v>
      </c>
      <c r="S97" s="4">
        <f>COUNTIFS('Opportunities'!$E$2:$E$1775,"=referral",'Opportunities'!$V$2:$V$1775,"=apac",'Opportunities'!$M$2:$M$1775,"=jul26",'Opportunities'!$H$2:$H$1775,"&lt;&gt;")</f>
        <v>0</v>
      </c>
      <c r="T97" s="4">
        <f>COUNTIFS('Opportunities'!$E$2:$E$1775,"=referral",'Opportunities'!$V$2:$V$1775,"=apac",'Opportunities'!$M$2:$M$1775,"=aug26",'Opportunities'!$H$2:$H$1775,"&lt;&gt;")</f>
        <v>2</v>
      </c>
      <c r="U97" s="4">
        <f>COUNTIFS('Opportunities'!$E$2:$E$1775,"=referral",'Opportunities'!$V$2:$V$1775,"=apac",'Opportunities'!$M$2:$M$1775,"=sep26",'Opportunities'!$H$2:$H$1775,"&lt;&gt;")</f>
        <v>0</v>
      </c>
      <c r="V97" s="4">
        <f>COUNTIFS('Opportunities'!$E$2:$E$1775,"=referral",'Opportunities'!$V$2:$V$1775,"=apac",'Opportunities'!$M$2:$M$1775,"=oct26",'Opportunities'!$H$2:$H$1775,"&lt;&gt;")</f>
        <v>0</v>
      </c>
      <c r="W97" s="4">
        <f>COUNTIFS('Opportunities'!$E$2:$E$1775,"=referral",'Opportunities'!$V$2:$V$1775,"=apac",'Opportunities'!$M$2:$M$1775,"=nov26",'Opportunities'!$H$2:$H$1775,"&lt;&gt;")</f>
        <v>0</v>
      </c>
      <c r="X97" s="4">
        <f>COUNTIFS('Opportunities'!$E$2:$E$1775,"=referral",'Opportunities'!$V$2:$V$1775,"=apac",'Opportunities'!$M$2:$M$1775,"=dec26",'Opportunities'!$H$2:$H$1775,"&lt;&gt;")</f>
        <v>0</v>
      </c>
    </row>
    <row r="98">
      <c r="A98" s="0" t="inlineStr">
        <is>
          <t xml:space="preserve">Pipeline created</t>
        </is>
      </c>
      <c r="B98" s="0" t="inlineStr">
        <is>
          <t xml:space="preserve">Inbound (web &amp; content)</t>
        </is>
      </c>
      <c r="C98" s="0" t="inlineStr">
        <is>
          <t xml:space="preserve">AMER East</t>
        </is>
      </c>
      <c r="D98" s="4">
        <f>SUMIFS('Opportunities'!$H$2:$H$1775,'Opportunities'!$E$2:$E$1775,"=inbound",'Opportunities'!$V$2:$V$1775,"=amer_east",'Opportunities'!$M$2:$M$1775,"=apr25")</f>
        <v>613400</v>
      </c>
      <c r="E98" s="4">
        <f>SUMIFS('Opportunities'!$H$2:$H$1775,'Opportunities'!$E$2:$E$1775,"=inbound",'Opportunities'!$V$2:$V$1775,"=amer_east",'Opportunities'!$M$2:$M$1775,"=may25")</f>
        <v>171400</v>
      </c>
      <c r="F98" s="4">
        <f>SUMIFS('Opportunities'!$H$2:$H$1775,'Opportunities'!$E$2:$E$1775,"=inbound",'Opportunities'!$V$2:$V$1775,"=amer_east",'Opportunities'!$M$2:$M$1775,"=jun25")</f>
        <v>1028800</v>
      </c>
      <c r="G98" s="4">
        <f>SUMIFS('Opportunities'!$H$2:$H$1775,'Opportunities'!$E$2:$E$1775,"=inbound",'Opportunities'!$V$2:$V$1775,"=amer_east",'Opportunities'!$M$2:$M$1775,"=jul25")</f>
        <v>208100</v>
      </c>
      <c r="H98" s="4">
        <f>SUMIFS('Opportunities'!$H$2:$H$1775,'Opportunities'!$E$2:$E$1775,"=inbound",'Opportunities'!$V$2:$V$1775,"=amer_east",'Opportunities'!$M$2:$M$1775,"=aug25")</f>
        <v>697200</v>
      </c>
      <c r="I98" s="4">
        <f>SUMIFS('Opportunities'!$H$2:$H$1775,'Opportunities'!$E$2:$E$1775,"=inbound",'Opportunities'!$V$2:$V$1775,"=amer_east",'Opportunities'!$M$2:$M$1775,"=sep25")</f>
        <v>254400</v>
      </c>
      <c r="J98" s="4">
        <f>SUMIFS('Opportunities'!$H$2:$H$1775,'Opportunities'!$E$2:$E$1775,"=inbound",'Opportunities'!$V$2:$V$1775,"=amer_east",'Opportunities'!$M$2:$M$1775,"=oct25")</f>
        <v>522600</v>
      </c>
      <c r="K98" s="4">
        <f>SUMIFS('Opportunities'!$H$2:$H$1775,'Opportunities'!$E$2:$E$1775,"=inbound",'Opportunities'!$V$2:$V$1775,"=amer_east",'Opportunities'!$M$2:$M$1775,"=nov25")</f>
        <v>145300</v>
      </c>
      <c r="L98" s="4">
        <f>SUMIFS('Opportunities'!$H$2:$H$1775,'Opportunities'!$E$2:$E$1775,"=inbound",'Opportunities'!$V$2:$V$1775,"=amer_east",'Opportunities'!$M$2:$M$1775,"=dec25")</f>
        <v>548500</v>
      </c>
      <c r="M98" s="4">
        <f>SUMIFS('Opportunities'!$H$2:$H$1775,'Opportunities'!$E$2:$E$1775,"=inbound",'Opportunities'!$V$2:$V$1775,"=amer_east",'Opportunities'!$M$2:$M$1775,"=jan26")</f>
        <v>505400</v>
      </c>
      <c r="N98" s="4">
        <f>SUMIFS('Opportunities'!$H$2:$H$1775,'Opportunities'!$E$2:$E$1775,"=inbound",'Opportunities'!$V$2:$V$1775,"=amer_east",'Opportunities'!$M$2:$M$1775,"=feb26")</f>
        <v>191600</v>
      </c>
      <c r="O98" s="4">
        <f>SUMIFS('Opportunities'!$H$2:$H$1775,'Opportunities'!$E$2:$E$1775,"=inbound",'Opportunities'!$V$2:$V$1775,"=amer_east",'Opportunities'!$M$2:$M$1775,"=mar26")</f>
        <v>388400</v>
      </c>
      <c r="P98" s="4">
        <f>SUMIFS('Opportunities'!$H$2:$H$1775,'Opportunities'!$E$2:$E$1775,"=inbound",'Opportunities'!$V$2:$V$1775,"=amer_east",'Opportunities'!$M$2:$M$1775,"=apr26")</f>
        <v>722500</v>
      </c>
      <c r="Q98" s="4">
        <f>SUMIFS('Opportunities'!$H$2:$H$1775,'Opportunities'!$E$2:$E$1775,"=inbound",'Opportunities'!$V$2:$V$1775,"=amer_east",'Opportunities'!$M$2:$M$1775,"=may26")</f>
        <v>662600</v>
      </c>
      <c r="R98" s="4">
        <f>SUMIFS('Opportunities'!$H$2:$H$1775,'Opportunities'!$E$2:$E$1775,"=inbound",'Opportunities'!$V$2:$V$1775,"=amer_east",'Opportunities'!$M$2:$M$1775,"=jun26")</f>
        <v>550200</v>
      </c>
      <c r="S98" s="4">
        <f>SUMIFS('Opportunities'!$H$2:$H$1775,'Opportunities'!$E$2:$E$1775,"=inbound",'Opportunities'!$V$2:$V$1775,"=amer_east",'Opportunities'!$M$2:$M$1775,"=jul26")</f>
        <v>236800</v>
      </c>
      <c r="T98" s="4">
        <f>SUMIFS('Opportunities'!$H$2:$H$1775,'Opportunities'!$E$2:$E$1775,"=inbound",'Opportunities'!$V$2:$V$1775,"=amer_east",'Opportunities'!$M$2:$M$1775,"=aug26")</f>
        <v>165600</v>
      </c>
      <c r="U98" s="4">
        <f>SUMIFS('Opportunities'!$H$2:$H$1775,'Opportunities'!$E$2:$E$1775,"=inbound",'Opportunities'!$V$2:$V$1775,"=amer_east",'Opportunities'!$M$2:$M$1775,"=sep26")</f>
        <v>796700</v>
      </c>
      <c r="V98" s="4">
        <f>SUMIFS('Opportunities'!$H$2:$H$1775,'Opportunities'!$E$2:$E$1775,"=inbound",'Opportunities'!$V$2:$V$1775,"=amer_east",'Opportunities'!$M$2:$M$1775,"=oct26")</f>
        <v>0</v>
      </c>
      <c r="W98" s="4">
        <f>SUMIFS('Opportunities'!$H$2:$H$1775,'Opportunities'!$E$2:$E$1775,"=inbound",'Opportunities'!$V$2:$V$1775,"=amer_east",'Opportunities'!$M$2:$M$1775,"=nov26")</f>
        <v>0</v>
      </c>
      <c r="X98" s="4">
        <f>SUMIFS('Opportunities'!$H$2:$H$1775,'Opportunities'!$E$2:$E$1775,"=inbound",'Opportunities'!$V$2:$V$1775,"=amer_east",'Opportunities'!$M$2:$M$1775,"=dec26")</f>
        <v>0</v>
      </c>
    </row>
    <row r="99">
      <c r="A99" s="0" t="inlineStr">
        <is>
          <t xml:space="preserve">Pipeline created</t>
        </is>
      </c>
      <c r="B99" s="0" t="inlineStr">
        <is>
          <t xml:space="preserve">Inbound (web &amp; content)</t>
        </is>
      </c>
      <c r="C99" s="0" t="inlineStr">
        <is>
          <t xml:space="preserve">AMER West</t>
        </is>
      </c>
      <c r="D99" s="4">
        <f>SUMIFS('Opportunities'!$H$2:$H$1775,'Opportunities'!$E$2:$E$1775,"=inbound",'Opportunities'!$V$2:$V$1775,"=amer_west",'Opportunities'!$M$2:$M$1775,"=apr25")</f>
        <v>277600</v>
      </c>
      <c r="E99" s="4">
        <f>SUMIFS('Opportunities'!$H$2:$H$1775,'Opportunities'!$E$2:$E$1775,"=inbound",'Opportunities'!$V$2:$V$1775,"=amer_west",'Opportunities'!$M$2:$M$1775,"=may25")</f>
        <v>126500</v>
      </c>
      <c r="F99" s="4">
        <f>SUMIFS('Opportunities'!$H$2:$H$1775,'Opportunities'!$E$2:$E$1775,"=inbound",'Opportunities'!$V$2:$V$1775,"=amer_west",'Opportunities'!$M$2:$M$1775,"=jun25")</f>
        <v>105600</v>
      </c>
      <c r="G99" s="4">
        <f>SUMIFS('Opportunities'!$H$2:$H$1775,'Opportunities'!$E$2:$E$1775,"=inbound",'Opportunities'!$V$2:$V$1775,"=amer_west",'Opportunities'!$M$2:$M$1775,"=jul25")</f>
        <v>154200</v>
      </c>
      <c r="H99" s="4">
        <f>SUMIFS('Opportunities'!$H$2:$H$1775,'Opportunities'!$E$2:$E$1775,"=inbound",'Opportunities'!$V$2:$V$1775,"=amer_west",'Opportunities'!$M$2:$M$1775,"=aug25")</f>
        <v>342400</v>
      </c>
      <c r="I99" s="4">
        <f>SUMIFS('Opportunities'!$H$2:$H$1775,'Opportunities'!$E$2:$E$1775,"=inbound",'Opportunities'!$V$2:$V$1775,"=amer_west",'Opportunities'!$M$2:$M$1775,"=sep25")</f>
        <v>124200</v>
      </c>
      <c r="J99" s="4">
        <f>SUMIFS('Opportunities'!$H$2:$H$1775,'Opportunities'!$E$2:$E$1775,"=inbound",'Opportunities'!$V$2:$V$1775,"=amer_west",'Opportunities'!$M$2:$M$1775,"=oct25")</f>
        <v>840200</v>
      </c>
      <c r="K99" s="4">
        <f>SUMIFS('Opportunities'!$H$2:$H$1775,'Opportunities'!$E$2:$E$1775,"=inbound",'Opportunities'!$V$2:$V$1775,"=amer_west",'Opportunities'!$M$2:$M$1775,"=nov25")</f>
        <v>938600</v>
      </c>
      <c r="L99" s="4">
        <f>SUMIFS('Opportunities'!$H$2:$H$1775,'Opportunities'!$E$2:$E$1775,"=inbound",'Opportunities'!$V$2:$V$1775,"=amer_west",'Opportunities'!$M$2:$M$1775,"=dec25")</f>
        <v>386300</v>
      </c>
      <c r="M99" s="4">
        <f>SUMIFS('Opportunities'!$H$2:$H$1775,'Opportunities'!$E$2:$E$1775,"=inbound",'Opportunities'!$V$2:$V$1775,"=amer_west",'Opportunities'!$M$2:$M$1775,"=jan26")</f>
        <v>380000</v>
      </c>
      <c r="N99" s="4">
        <f>SUMIFS('Opportunities'!$H$2:$H$1775,'Opportunities'!$E$2:$E$1775,"=inbound",'Opportunities'!$V$2:$V$1775,"=amer_west",'Opportunities'!$M$2:$M$1775,"=feb26")</f>
        <v>1130700</v>
      </c>
      <c r="O99" s="4">
        <f>SUMIFS('Opportunities'!$H$2:$H$1775,'Opportunities'!$E$2:$E$1775,"=inbound",'Opportunities'!$V$2:$V$1775,"=amer_west",'Opportunities'!$M$2:$M$1775,"=mar26")</f>
        <v>223800</v>
      </c>
      <c r="P99" s="4">
        <f>SUMIFS('Opportunities'!$H$2:$H$1775,'Opportunities'!$E$2:$E$1775,"=inbound",'Opportunities'!$V$2:$V$1775,"=amer_west",'Opportunities'!$M$2:$M$1775,"=apr26")</f>
        <v>738500</v>
      </c>
      <c r="Q99" s="4">
        <f>SUMIFS('Opportunities'!$H$2:$H$1775,'Opportunities'!$E$2:$E$1775,"=inbound",'Opportunities'!$V$2:$V$1775,"=amer_west",'Opportunities'!$M$2:$M$1775,"=may26")</f>
        <v>385200</v>
      </c>
      <c r="R99" s="4">
        <f>SUMIFS('Opportunities'!$H$2:$H$1775,'Opportunities'!$E$2:$E$1775,"=inbound",'Opportunities'!$V$2:$V$1775,"=amer_west",'Opportunities'!$M$2:$M$1775,"=jun26")</f>
        <v>588100</v>
      </c>
      <c r="S99" s="4">
        <f>SUMIFS('Opportunities'!$H$2:$H$1775,'Opportunities'!$E$2:$E$1775,"=inbound",'Opportunities'!$V$2:$V$1775,"=amer_west",'Opportunities'!$M$2:$M$1775,"=jul26")</f>
        <v>678700</v>
      </c>
      <c r="T99" s="4">
        <f>SUMIFS('Opportunities'!$H$2:$H$1775,'Opportunities'!$E$2:$E$1775,"=inbound",'Opportunities'!$V$2:$V$1775,"=amer_west",'Opportunities'!$M$2:$M$1775,"=aug26")</f>
        <v>91500</v>
      </c>
      <c r="U99" s="4">
        <f>SUMIFS('Opportunities'!$H$2:$H$1775,'Opportunities'!$E$2:$E$1775,"=inbound",'Opportunities'!$V$2:$V$1775,"=amer_west",'Opportunities'!$M$2:$M$1775,"=sep26")</f>
        <v>119600</v>
      </c>
      <c r="V99" s="4">
        <f>SUMIFS('Opportunities'!$H$2:$H$1775,'Opportunities'!$E$2:$E$1775,"=inbound",'Opportunities'!$V$2:$V$1775,"=amer_west",'Opportunities'!$M$2:$M$1775,"=oct26")</f>
        <v>0</v>
      </c>
      <c r="W99" s="4">
        <f>SUMIFS('Opportunities'!$H$2:$H$1775,'Opportunities'!$E$2:$E$1775,"=inbound",'Opportunities'!$V$2:$V$1775,"=amer_west",'Opportunities'!$M$2:$M$1775,"=nov26")</f>
        <v>0</v>
      </c>
      <c r="X99" s="4">
        <f>SUMIFS('Opportunities'!$H$2:$H$1775,'Opportunities'!$E$2:$E$1775,"=inbound",'Opportunities'!$V$2:$V$1775,"=amer_west",'Opportunities'!$M$2:$M$1775,"=dec26")</f>
        <v>0</v>
      </c>
    </row>
    <row r="100">
      <c r="A100" s="0" t="inlineStr">
        <is>
          <t xml:space="preserve">Pipeline created</t>
        </is>
      </c>
      <c r="B100" s="0" t="inlineStr">
        <is>
          <t xml:space="preserve">Inbound (web &amp; content)</t>
        </is>
      </c>
      <c r="C100" s="0" t="inlineStr">
        <is>
          <t xml:space="preserve">EMEA</t>
        </is>
      </c>
      <c r="D100" s="4">
        <f>SUMIFS('Opportunities'!$H$2:$H$1775,'Opportunities'!$E$2:$E$1775,"=inbound",'Opportunities'!$V$2:$V$1775,"=emea",'Opportunities'!$M$2:$M$1775,"=apr25")</f>
        <v>214400</v>
      </c>
      <c r="E100" s="4">
        <f>SUMIFS('Opportunities'!$H$2:$H$1775,'Opportunities'!$E$2:$E$1775,"=inbound",'Opportunities'!$V$2:$V$1775,"=emea",'Opportunities'!$M$2:$M$1775,"=may25")</f>
        <v>567700</v>
      </c>
      <c r="F100" s="4">
        <f>SUMIFS('Opportunities'!$H$2:$H$1775,'Opportunities'!$E$2:$E$1775,"=inbound",'Opportunities'!$V$2:$V$1775,"=emea",'Opportunities'!$M$2:$M$1775,"=jun25")</f>
        <v>446800</v>
      </c>
      <c r="G100" s="4">
        <f>SUMIFS('Opportunities'!$H$2:$H$1775,'Opportunities'!$E$2:$E$1775,"=inbound",'Opportunities'!$V$2:$V$1775,"=emea",'Opportunities'!$M$2:$M$1775,"=jul25")</f>
        <v>817100</v>
      </c>
      <c r="H100" s="4">
        <f>SUMIFS('Opportunities'!$H$2:$H$1775,'Opportunities'!$E$2:$E$1775,"=inbound",'Opportunities'!$V$2:$V$1775,"=emea",'Opportunities'!$M$2:$M$1775,"=aug25")</f>
        <v>223900</v>
      </c>
      <c r="I100" s="4">
        <f>SUMIFS('Opportunities'!$H$2:$H$1775,'Opportunities'!$E$2:$E$1775,"=inbound",'Opportunities'!$V$2:$V$1775,"=emea",'Opportunities'!$M$2:$M$1775,"=sep25")</f>
        <v>132800</v>
      </c>
      <c r="J100" s="4">
        <f>SUMIFS('Opportunities'!$H$2:$H$1775,'Opportunities'!$E$2:$E$1775,"=inbound",'Opportunities'!$V$2:$V$1775,"=emea",'Opportunities'!$M$2:$M$1775,"=oct25")</f>
        <v>751300</v>
      </c>
      <c r="K100" s="4">
        <f>SUMIFS('Opportunities'!$H$2:$H$1775,'Opportunities'!$E$2:$E$1775,"=inbound",'Opportunities'!$V$2:$V$1775,"=emea",'Opportunities'!$M$2:$M$1775,"=nov25")</f>
        <v>394900</v>
      </c>
      <c r="L100" s="4">
        <f>SUMIFS('Opportunities'!$H$2:$H$1775,'Opportunities'!$E$2:$E$1775,"=inbound",'Opportunities'!$V$2:$V$1775,"=emea",'Opportunities'!$M$2:$M$1775,"=dec25")</f>
        <v>536600</v>
      </c>
      <c r="M100" s="4">
        <f>SUMIFS('Opportunities'!$H$2:$H$1775,'Opportunities'!$E$2:$E$1775,"=inbound",'Opportunities'!$V$2:$V$1775,"=emea",'Opportunities'!$M$2:$M$1775,"=jan26")</f>
        <v>495600</v>
      </c>
      <c r="N100" s="4">
        <f>SUMIFS('Opportunities'!$H$2:$H$1775,'Opportunities'!$E$2:$E$1775,"=inbound",'Opportunities'!$V$2:$V$1775,"=emea",'Opportunities'!$M$2:$M$1775,"=feb26")</f>
        <v>134000</v>
      </c>
      <c r="O100" s="4">
        <f>SUMIFS('Opportunities'!$H$2:$H$1775,'Opportunities'!$E$2:$E$1775,"=inbound",'Opportunities'!$V$2:$V$1775,"=emea",'Opportunities'!$M$2:$M$1775,"=mar26")</f>
        <v>163800</v>
      </c>
      <c r="P100" s="4">
        <f>SUMIFS('Opportunities'!$H$2:$H$1775,'Opportunities'!$E$2:$E$1775,"=inbound",'Opportunities'!$V$2:$V$1775,"=emea",'Opportunities'!$M$2:$M$1775,"=apr26")</f>
        <v>595600</v>
      </c>
      <c r="Q100" s="4">
        <f>SUMIFS('Opportunities'!$H$2:$H$1775,'Opportunities'!$E$2:$E$1775,"=inbound",'Opportunities'!$V$2:$V$1775,"=emea",'Opportunities'!$M$2:$M$1775,"=may26")</f>
        <v>160100</v>
      </c>
      <c r="R100" s="4">
        <f>SUMIFS('Opportunities'!$H$2:$H$1775,'Opportunities'!$E$2:$E$1775,"=inbound",'Opportunities'!$V$2:$V$1775,"=emea",'Opportunities'!$M$2:$M$1775,"=jun26")</f>
        <v>565100</v>
      </c>
      <c r="S100" s="4">
        <f>SUMIFS('Opportunities'!$H$2:$H$1775,'Opportunities'!$E$2:$E$1775,"=inbound",'Opportunities'!$V$2:$V$1775,"=emea",'Opportunities'!$M$2:$M$1775,"=jul26")</f>
        <v>426100</v>
      </c>
      <c r="T100" s="4">
        <f>SUMIFS('Opportunities'!$H$2:$H$1775,'Opportunities'!$E$2:$E$1775,"=inbound",'Opportunities'!$V$2:$V$1775,"=emea",'Opportunities'!$M$2:$M$1775,"=aug26")</f>
        <v>552900</v>
      </c>
      <c r="U100" s="4">
        <f>SUMIFS('Opportunities'!$H$2:$H$1775,'Opportunities'!$E$2:$E$1775,"=inbound",'Opportunities'!$V$2:$V$1775,"=emea",'Opportunities'!$M$2:$M$1775,"=sep26")</f>
        <v>196700</v>
      </c>
      <c r="V100" s="4">
        <f>SUMIFS('Opportunities'!$H$2:$H$1775,'Opportunities'!$E$2:$E$1775,"=inbound",'Opportunities'!$V$2:$V$1775,"=emea",'Opportunities'!$M$2:$M$1775,"=oct26")</f>
        <v>0</v>
      </c>
      <c r="W100" s="4">
        <f>SUMIFS('Opportunities'!$H$2:$H$1775,'Opportunities'!$E$2:$E$1775,"=inbound",'Opportunities'!$V$2:$V$1775,"=emea",'Opportunities'!$M$2:$M$1775,"=nov26")</f>
        <v>0</v>
      </c>
      <c r="X100" s="4">
        <f>SUMIFS('Opportunities'!$H$2:$H$1775,'Opportunities'!$E$2:$E$1775,"=inbound",'Opportunities'!$V$2:$V$1775,"=emea",'Opportunities'!$M$2:$M$1775,"=dec26")</f>
        <v>0</v>
      </c>
    </row>
    <row r="101">
      <c r="A101" s="0" t="inlineStr">
        <is>
          <t xml:space="preserve">Pipeline created</t>
        </is>
      </c>
      <c r="B101" s="0" t="inlineStr">
        <is>
          <t xml:space="preserve">Inbound (web &amp; content)</t>
        </is>
      </c>
      <c r="C101" s="0" t="inlineStr">
        <is>
          <t xml:space="preserve">APAC</t>
        </is>
      </c>
      <c r="D101" s="4">
        <f>SUMIFS('Opportunities'!$H$2:$H$1775,'Opportunities'!$E$2:$E$1775,"=inbound",'Opportunities'!$V$2:$V$1775,"=apac",'Opportunities'!$M$2:$M$1775,"=apr25")</f>
        <v>59300</v>
      </c>
      <c r="E101" s="4">
        <f>SUMIFS('Opportunities'!$H$2:$H$1775,'Opportunities'!$E$2:$E$1775,"=inbound",'Opportunities'!$V$2:$V$1775,"=apac",'Opportunities'!$M$2:$M$1775,"=may25")</f>
        <v>191800</v>
      </c>
      <c r="F101" s="4">
        <f>SUMIFS('Opportunities'!$H$2:$H$1775,'Opportunities'!$E$2:$E$1775,"=inbound",'Opportunities'!$V$2:$V$1775,"=apac",'Opportunities'!$M$2:$M$1775,"=jun25")</f>
        <v>180300</v>
      </c>
      <c r="G101" s="4">
        <f>SUMIFS('Opportunities'!$H$2:$H$1775,'Opportunities'!$E$2:$E$1775,"=inbound",'Opportunities'!$V$2:$V$1775,"=apac",'Opportunities'!$M$2:$M$1775,"=jul25")</f>
        <v>415200</v>
      </c>
      <c r="H101" s="4">
        <f>SUMIFS('Opportunities'!$H$2:$H$1775,'Opportunities'!$E$2:$E$1775,"=inbound",'Opportunities'!$V$2:$V$1775,"=apac",'Opportunities'!$M$2:$M$1775,"=aug25")</f>
        <v>226700</v>
      </c>
      <c r="I101" s="4">
        <f>SUMIFS('Opportunities'!$H$2:$H$1775,'Opportunities'!$E$2:$E$1775,"=inbound",'Opportunities'!$V$2:$V$1775,"=apac",'Opportunities'!$M$2:$M$1775,"=sep25")</f>
        <v>463400</v>
      </c>
      <c r="J101" s="4">
        <f>SUMIFS('Opportunities'!$H$2:$H$1775,'Opportunities'!$E$2:$E$1775,"=inbound",'Opportunities'!$V$2:$V$1775,"=apac",'Opportunities'!$M$2:$M$1775,"=oct25")</f>
        <v>33700</v>
      </c>
      <c r="K101" s="4">
        <f>SUMIFS('Opportunities'!$H$2:$H$1775,'Opportunities'!$E$2:$E$1775,"=inbound",'Opportunities'!$V$2:$V$1775,"=apac",'Opportunities'!$M$2:$M$1775,"=nov25")</f>
        <v>15800</v>
      </c>
      <c r="L101" s="4">
        <f>SUMIFS('Opportunities'!$H$2:$H$1775,'Opportunities'!$E$2:$E$1775,"=inbound",'Opportunities'!$V$2:$V$1775,"=apac",'Opportunities'!$M$2:$M$1775,"=dec25")</f>
        <v>19600</v>
      </c>
      <c r="M101" s="4">
        <f>SUMIFS('Opportunities'!$H$2:$H$1775,'Opportunities'!$E$2:$E$1775,"=inbound",'Opportunities'!$V$2:$V$1775,"=apac",'Opportunities'!$M$2:$M$1775,"=jan26")</f>
        <v>37900</v>
      </c>
      <c r="N101" s="4">
        <f>SUMIFS('Opportunities'!$H$2:$H$1775,'Opportunities'!$E$2:$E$1775,"=inbound",'Opportunities'!$V$2:$V$1775,"=apac",'Opportunities'!$M$2:$M$1775,"=feb26")</f>
        <v>103300</v>
      </c>
      <c r="O101" s="4">
        <f>SUMIFS('Opportunities'!$H$2:$H$1775,'Opportunities'!$E$2:$E$1775,"=inbound",'Opportunities'!$V$2:$V$1775,"=apac",'Opportunities'!$M$2:$M$1775,"=mar26")</f>
        <v>521700</v>
      </c>
      <c r="P101" s="4">
        <f>SUMIFS('Opportunities'!$H$2:$H$1775,'Opportunities'!$E$2:$E$1775,"=inbound",'Opportunities'!$V$2:$V$1775,"=apac",'Opportunities'!$M$2:$M$1775,"=apr26")</f>
        <v>209300</v>
      </c>
      <c r="Q101" s="4">
        <f>SUMIFS('Opportunities'!$H$2:$H$1775,'Opportunities'!$E$2:$E$1775,"=inbound",'Opportunities'!$V$2:$V$1775,"=apac",'Opportunities'!$M$2:$M$1775,"=may26")</f>
        <v>89500</v>
      </c>
      <c r="R101" s="4">
        <f>SUMIFS('Opportunities'!$H$2:$H$1775,'Opportunities'!$E$2:$E$1775,"=inbound",'Opportunities'!$V$2:$V$1775,"=apac",'Opportunities'!$M$2:$M$1775,"=jun26")</f>
        <v>651200</v>
      </c>
      <c r="S101" s="4">
        <f>SUMIFS('Opportunities'!$H$2:$H$1775,'Opportunities'!$E$2:$E$1775,"=inbound",'Opportunities'!$V$2:$V$1775,"=apac",'Opportunities'!$M$2:$M$1775,"=jul26")</f>
        <v>279700</v>
      </c>
      <c r="T101" s="4">
        <f>SUMIFS('Opportunities'!$H$2:$H$1775,'Opportunities'!$E$2:$E$1775,"=inbound",'Opportunities'!$V$2:$V$1775,"=apac",'Opportunities'!$M$2:$M$1775,"=aug26")</f>
        <v>733500</v>
      </c>
      <c r="U101" s="4">
        <f>SUMIFS('Opportunities'!$H$2:$H$1775,'Opportunities'!$E$2:$E$1775,"=inbound",'Opportunities'!$V$2:$V$1775,"=apac",'Opportunities'!$M$2:$M$1775,"=sep26")</f>
        <v>153300</v>
      </c>
      <c r="V101" s="4">
        <f>SUMIFS('Opportunities'!$H$2:$H$1775,'Opportunities'!$E$2:$E$1775,"=inbound",'Opportunities'!$V$2:$V$1775,"=apac",'Opportunities'!$M$2:$M$1775,"=oct26")</f>
        <v>0</v>
      </c>
      <c r="W101" s="4">
        <f>SUMIFS('Opportunities'!$H$2:$H$1775,'Opportunities'!$E$2:$E$1775,"=inbound",'Opportunities'!$V$2:$V$1775,"=apac",'Opportunities'!$M$2:$M$1775,"=nov26")</f>
        <v>0</v>
      </c>
      <c r="X101" s="4">
        <f>SUMIFS('Opportunities'!$H$2:$H$1775,'Opportunities'!$E$2:$E$1775,"=inbound",'Opportunities'!$V$2:$V$1775,"=apac",'Opportunities'!$M$2:$M$1775,"=dec26")</f>
        <v>0</v>
      </c>
    </row>
    <row r="102">
      <c r="A102" s="0" t="inlineStr">
        <is>
          <t xml:space="preserve">Pipeline created</t>
        </is>
      </c>
      <c r="B102" s="0" t="inlineStr">
        <is>
          <t xml:space="preserve">Paid digital</t>
        </is>
      </c>
      <c r="C102" s="0" t="inlineStr">
        <is>
          <t xml:space="preserve">AMER East</t>
        </is>
      </c>
      <c r="D102" s="4">
        <f>SUMIFS('Opportunities'!$H$2:$H$1775,'Opportunities'!$E$2:$E$1775,"=paid",'Opportunities'!$V$2:$V$1775,"=amer_east",'Opportunities'!$M$2:$M$1775,"=apr25")</f>
        <v>75700</v>
      </c>
      <c r="E102" s="4">
        <f>SUMIFS('Opportunities'!$H$2:$H$1775,'Opportunities'!$E$2:$E$1775,"=paid",'Opportunities'!$V$2:$V$1775,"=amer_east",'Opportunities'!$M$2:$M$1775,"=may25")</f>
        <v>212100</v>
      </c>
      <c r="F102" s="4">
        <f>SUMIFS('Opportunities'!$H$2:$H$1775,'Opportunities'!$E$2:$E$1775,"=paid",'Opportunities'!$V$2:$V$1775,"=amer_east",'Opportunities'!$M$2:$M$1775,"=jun25")</f>
        <v>367300</v>
      </c>
      <c r="G102" s="4">
        <f>SUMIFS('Opportunities'!$H$2:$H$1775,'Opportunities'!$E$2:$E$1775,"=paid",'Opportunities'!$V$2:$V$1775,"=amer_east",'Opportunities'!$M$2:$M$1775,"=jul25")</f>
        <v>223900</v>
      </c>
      <c r="H102" s="4">
        <f>SUMIFS('Opportunities'!$H$2:$H$1775,'Opportunities'!$E$2:$E$1775,"=paid",'Opportunities'!$V$2:$V$1775,"=amer_east",'Opportunities'!$M$2:$M$1775,"=aug25")</f>
        <v>34300</v>
      </c>
      <c r="I102" s="4">
        <f>SUMIFS('Opportunities'!$H$2:$H$1775,'Opportunities'!$E$2:$E$1775,"=paid",'Opportunities'!$V$2:$V$1775,"=amer_east",'Opportunities'!$M$2:$M$1775,"=sep25")</f>
        <v>214600</v>
      </c>
      <c r="J102" s="4">
        <f>SUMIFS('Opportunities'!$H$2:$H$1775,'Opportunities'!$E$2:$E$1775,"=paid",'Opportunities'!$V$2:$V$1775,"=amer_east",'Opportunities'!$M$2:$M$1775,"=oct25")</f>
        <v>43000</v>
      </c>
      <c r="K102" s="4">
        <f>SUMIFS('Opportunities'!$H$2:$H$1775,'Opportunities'!$E$2:$E$1775,"=paid",'Opportunities'!$V$2:$V$1775,"=amer_east",'Opportunities'!$M$2:$M$1775,"=nov25")</f>
        <v>104200</v>
      </c>
      <c r="L102" s="4">
        <f>SUMIFS('Opportunities'!$H$2:$H$1775,'Opportunities'!$E$2:$E$1775,"=paid",'Opportunities'!$V$2:$V$1775,"=amer_east",'Opportunities'!$M$2:$M$1775,"=dec25")</f>
        <v>134000</v>
      </c>
      <c r="M102" s="4">
        <f>SUMIFS('Opportunities'!$H$2:$H$1775,'Opportunities'!$E$2:$E$1775,"=paid",'Opportunities'!$V$2:$V$1775,"=amer_east",'Opportunities'!$M$2:$M$1775,"=jan26")</f>
        <v>261000</v>
      </c>
      <c r="N102" s="4">
        <f>SUMIFS('Opportunities'!$H$2:$H$1775,'Opportunities'!$E$2:$E$1775,"=paid",'Opportunities'!$V$2:$V$1775,"=amer_east",'Opportunities'!$M$2:$M$1775,"=feb26")</f>
        <v>146800</v>
      </c>
      <c r="O102" s="4">
        <f>SUMIFS('Opportunities'!$H$2:$H$1775,'Opportunities'!$E$2:$E$1775,"=paid",'Opportunities'!$V$2:$V$1775,"=amer_east",'Opportunities'!$M$2:$M$1775,"=mar26")</f>
        <v>93400</v>
      </c>
      <c r="P102" s="4">
        <f>SUMIFS('Opportunities'!$H$2:$H$1775,'Opportunities'!$E$2:$E$1775,"=paid",'Opportunities'!$V$2:$V$1775,"=amer_east",'Opportunities'!$M$2:$M$1775,"=apr26")</f>
        <v>274000</v>
      </c>
      <c r="Q102" s="4">
        <f>SUMIFS('Opportunities'!$H$2:$H$1775,'Opportunities'!$E$2:$E$1775,"=paid",'Opportunities'!$V$2:$V$1775,"=amer_east",'Opportunities'!$M$2:$M$1775,"=may26")</f>
        <v>906700</v>
      </c>
      <c r="R102" s="4">
        <f>SUMIFS('Opportunities'!$H$2:$H$1775,'Opportunities'!$E$2:$E$1775,"=paid",'Opportunities'!$V$2:$V$1775,"=amer_east",'Opportunities'!$M$2:$M$1775,"=jun26")</f>
        <v>212800</v>
      </c>
      <c r="S102" s="4">
        <f>SUMIFS('Opportunities'!$H$2:$H$1775,'Opportunities'!$E$2:$E$1775,"=paid",'Opportunities'!$V$2:$V$1775,"=amer_east",'Opportunities'!$M$2:$M$1775,"=jul26")</f>
        <v>420200</v>
      </c>
      <c r="T102" s="4">
        <f>SUMIFS('Opportunities'!$H$2:$H$1775,'Opportunities'!$E$2:$E$1775,"=paid",'Opportunities'!$V$2:$V$1775,"=amer_east",'Opportunities'!$M$2:$M$1775,"=aug26")</f>
        <v>1158300</v>
      </c>
      <c r="U102" s="4">
        <f>SUMIFS('Opportunities'!$H$2:$H$1775,'Opportunities'!$E$2:$E$1775,"=paid",'Opportunities'!$V$2:$V$1775,"=amer_east",'Opportunities'!$M$2:$M$1775,"=sep26")</f>
        <v>335400</v>
      </c>
      <c r="V102" s="4">
        <f>SUMIFS('Opportunities'!$H$2:$H$1775,'Opportunities'!$E$2:$E$1775,"=paid",'Opportunities'!$V$2:$V$1775,"=amer_east",'Opportunities'!$M$2:$M$1775,"=oct26")</f>
        <v>0</v>
      </c>
      <c r="W102" s="4">
        <f>SUMIFS('Opportunities'!$H$2:$H$1775,'Opportunities'!$E$2:$E$1775,"=paid",'Opportunities'!$V$2:$V$1775,"=amer_east",'Opportunities'!$M$2:$M$1775,"=nov26")</f>
        <v>0</v>
      </c>
      <c r="X102" s="4">
        <f>SUMIFS('Opportunities'!$H$2:$H$1775,'Opportunities'!$E$2:$E$1775,"=paid",'Opportunities'!$V$2:$V$1775,"=amer_east",'Opportunities'!$M$2:$M$1775,"=dec26")</f>
        <v>0</v>
      </c>
    </row>
    <row r="103">
      <c r="A103" s="0" t="inlineStr">
        <is>
          <t xml:space="preserve">Pipeline created</t>
        </is>
      </c>
      <c r="B103" s="0" t="inlineStr">
        <is>
          <t xml:space="preserve">Paid digital</t>
        </is>
      </c>
      <c r="C103" s="0" t="inlineStr">
        <is>
          <t xml:space="preserve">AMER West</t>
        </is>
      </c>
      <c r="D103" s="4">
        <f>SUMIFS('Opportunities'!$H$2:$H$1775,'Opportunities'!$E$2:$E$1775,"=paid",'Opportunities'!$V$2:$V$1775,"=amer_west",'Opportunities'!$M$2:$M$1775,"=apr25")</f>
        <v>111700</v>
      </c>
      <c r="E103" s="4">
        <f>SUMIFS('Opportunities'!$H$2:$H$1775,'Opportunities'!$E$2:$E$1775,"=paid",'Opportunities'!$V$2:$V$1775,"=amer_west",'Opportunities'!$M$2:$M$1775,"=may25")</f>
        <v>136600</v>
      </c>
      <c r="F103" s="4">
        <f>SUMIFS('Opportunities'!$H$2:$H$1775,'Opportunities'!$E$2:$E$1775,"=paid",'Opportunities'!$V$2:$V$1775,"=amer_west",'Opportunities'!$M$2:$M$1775,"=jun25")</f>
        <v>155400</v>
      </c>
      <c r="G103" s="4">
        <f>SUMIFS('Opportunities'!$H$2:$H$1775,'Opportunities'!$E$2:$E$1775,"=paid",'Opportunities'!$V$2:$V$1775,"=amer_west",'Opportunities'!$M$2:$M$1775,"=jul25")</f>
        <v>22100</v>
      </c>
      <c r="H103" s="4">
        <f>SUMIFS('Opportunities'!$H$2:$H$1775,'Opportunities'!$E$2:$E$1775,"=paid",'Opportunities'!$V$2:$V$1775,"=amer_west",'Opportunities'!$M$2:$M$1775,"=aug25")</f>
        <v>54500</v>
      </c>
      <c r="I103" s="4">
        <f>SUMIFS('Opportunities'!$H$2:$H$1775,'Opportunities'!$E$2:$E$1775,"=paid",'Opportunities'!$V$2:$V$1775,"=amer_west",'Opportunities'!$M$2:$M$1775,"=sep25")</f>
        <v>119000</v>
      </c>
      <c r="J103" s="4">
        <f>SUMIFS('Opportunities'!$H$2:$H$1775,'Opportunities'!$E$2:$E$1775,"=paid",'Opportunities'!$V$2:$V$1775,"=amer_west",'Opportunities'!$M$2:$M$1775,"=oct25")</f>
        <v>257800</v>
      </c>
      <c r="K103" s="4">
        <f>SUMIFS('Opportunities'!$H$2:$H$1775,'Opportunities'!$E$2:$E$1775,"=paid",'Opportunities'!$V$2:$V$1775,"=amer_west",'Opportunities'!$M$2:$M$1775,"=nov25")</f>
        <v>451300</v>
      </c>
      <c r="L103" s="4">
        <f>SUMIFS('Opportunities'!$H$2:$H$1775,'Opportunities'!$E$2:$E$1775,"=paid",'Opportunities'!$V$2:$V$1775,"=amer_west",'Opportunities'!$M$2:$M$1775,"=dec25")</f>
        <v>239700</v>
      </c>
      <c r="M103" s="4">
        <f>SUMIFS('Opportunities'!$H$2:$H$1775,'Opportunities'!$E$2:$E$1775,"=paid",'Opportunities'!$V$2:$V$1775,"=amer_west",'Opportunities'!$M$2:$M$1775,"=jan26")</f>
        <v>47200</v>
      </c>
      <c r="N103" s="4">
        <f>SUMIFS('Opportunities'!$H$2:$H$1775,'Opportunities'!$E$2:$E$1775,"=paid",'Opportunities'!$V$2:$V$1775,"=amer_west",'Opportunities'!$M$2:$M$1775,"=feb26")</f>
        <v>185800</v>
      </c>
      <c r="O103" s="4">
        <f>SUMIFS('Opportunities'!$H$2:$H$1775,'Opportunities'!$E$2:$E$1775,"=paid",'Opportunities'!$V$2:$V$1775,"=amer_west",'Opportunities'!$M$2:$M$1775,"=mar26")</f>
        <v>259000</v>
      </c>
      <c r="P103" s="4">
        <f>SUMIFS('Opportunities'!$H$2:$H$1775,'Opportunities'!$E$2:$E$1775,"=paid",'Opportunities'!$V$2:$V$1775,"=amer_west",'Opportunities'!$M$2:$M$1775,"=apr26")</f>
        <v>357500</v>
      </c>
      <c r="Q103" s="4">
        <f>SUMIFS('Opportunities'!$H$2:$H$1775,'Opportunities'!$E$2:$E$1775,"=paid",'Opportunities'!$V$2:$V$1775,"=amer_west",'Opportunities'!$M$2:$M$1775,"=may26")</f>
        <v>312700</v>
      </c>
      <c r="R103" s="4">
        <f>SUMIFS('Opportunities'!$H$2:$H$1775,'Opportunities'!$E$2:$E$1775,"=paid",'Opportunities'!$V$2:$V$1775,"=amer_west",'Opportunities'!$M$2:$M$1775,"=jun26")</f>
        <v>478300</v>
      </c>
      <c r="S103" s="4">
        <f>SUMIFS('Opportunities'!$H$2:$H$1775,'Opportunities'!$E$2:$E$1775,"=paid",'Opportunities'!$V$2:$V$1775,"=amer_west",'Opportunities'!$M$2:$M$1775,"=jul26")</f>
        <v>195300</v>
      </c>
      <c r="T103" s="4">
        <f>SUMIFS('Opportunities'!$H$2:$H$1775,'Opportunities'!$E$2:$E$1775,"=paid",'Opportunities'!$V$2:$V$1775,"=amer_west",'Opportunities'!$M$2:$M$1775,"=aug26")</f>
        <v>227700</v>
      </c>
      <c r="U103" s="4">
        <f>SUMIFS('Opportunities'!$H$2:$H$1775,'Opportunities'!$E$2:$E$1775,"=paid",'Opportunities'!$V$2:$V$1775,"=amer_west",'Opportunities'!$M$2:$M$1775,"=sep26")</f>
        <v>123300</v>
      </c>
      <c r="V103" s="4">
        <f>SUMIFS('Opportunities'!$H$2:$H$1775,'Opportunities'!$E$2:$E$1775,"=paid",'Opportunities'!$V$2:$V$1775,"=amer_west",'Opportunities'!$M$2:$M$1775,"=oct26")</f>
        <v>0</v>
      </c>
      <c r="W103" s="4">
        <f>SUMIFS('Opportunities'!$H$2:$H$1775,'Opportunities'!$E$2:$E$1775,"=paid",'Opportunities'!$V$2:$V$1775,"=amer_west",'Opportunities'!$M$2:$M$1775,"=nov26")</f>
        <v>0</v>
      </c>
      <c r="X103" s="4">
        <f>SUMIFS('Opportunities'!$H$2:$H$1775,'Opportunities'!$E$2:$E$1775,"=paid",'Opportunities'!$V$2:$V$1775,"=amer_west",'Opportunities'!$M$2:$M$1775,"=dec26")</f>
        <v>0</v>
      </c>
    </row>
    <row r="104">
      <c r="A104" s="0" t="inlineStr">
        <is>
          <t xml:space="preserve">Pipeline created</t>
        </is>
      </c>
      <c r="B104" s="0" t="inlineStr">
        <is>
          <t xml:space="preserve">Paid digital</t>
        </is>
      </c>
      <c r="C104" s="0" t="inlineStr">
        <is>
          <t xml:space="preserve">EMEA</t>
        </is>
      </c>
      <c r="D104" s="4">
        <f>SUMIFS('Opportunities'!$H$2:$H$1775,'Opportunities'!$E$2:$E$1775,"=paid",'Opportunities'!$V$2:$V$1775,"=emea",'Opportunities'!$M$2:$M$1775,"=apr25")</f>
        <v>366400</v>
      </c>
      <c r="E104" s="4">
        <f>SUMIFS('Opportunities'!$H$2:$H$1775,'Opportunities'!$E$2:$E$1775,"=paid",'Opportunities'!$V$2:$V$1775,"=emea",'Opportunities'!$M$2:$M$1775,"=may25")</f>
        <v>39000</v>
      </c>
      <c r="F104" s="4">
        <f>SUMIFS('Opportunities'!$H$2:$H$1775,'Opportunities'!$E$2:$E$1775,"=paid",'Opportunities'!$V$2:$V$1775,"=emea",'Opportunities'!$M$2:$M$1775,"=jun25")</f>
        <v>403700</v>
      </c>
      <c r="G104" s="4">
        <f>SUMIFS('Opportunities'!$H$2:$H$1775,'Opportunities'!$E$2:$E$1775,"=paid",'Opportunities'!$V$2:$V$1775,"=emea",'Opportunities'!$M$2:$M$1775,"=jul25")</f>
        <v>104700</v>
      </c>
      <c r="H104" s="4">
        <f>SUMIFS('Opportunities'!$H$2:$H$1775,'Opportunities'!$E$2:$E$1775,"=paid",'Opportunities'!$V$2:$V$1775,"=emea",'Opportunities'!$M$2:$M$1775,"=aug25")</f>
        <v>148800</v>
      </c>
      <c r="I104" s="4">
        <f>SUMIFS('Opportunities'!$H$2:$H$1775,'Opportunities'!$E$2:$E$1775,"=paid",'Opportunities'!$V$2:$V$1775,"=emea",'Opportunities'!$M$2:$M$1775,"=sep25")</f>
        <v>63300</v>
      </c>
      <c r="J104" s="4">
        <f>SUMIFS('Opportunities'!$H$2:$H$1775,'Opportunities'!$E$2:$E$1775,"=paid",'Opportunities'!$V$2:$V$1775,"=emea",'Opportunities'!$M$2:$M$1775,"=oct25")</f>
        <v>28300</v>
      </c>
      <c r="K104" s="4">
        <f>SUMIFS('Opportunities'!$H$2:$H$1775,'Opportunities'!$E$2:$E$1775,"=paid",'Opportunities'!$V$2:$V$1775,"=emea",'Opportunities'!$M$2:$M$1775,"=nov25")</f>
        <v>159900</v>
      </c>
      <c r="L104" s="4">
        <f>SUMIFS('Opportunities'!$H$2:$H$1775,'Opportunities'!$E$2:$E$1775,"=paid",'Opportunities'!$V$2:$V$1775,"=emea",'Opportunities'!$M$2:$M$1775,"=dec25")</f>
        <v>21500</v>
      </c>
      <c r="M104" s="4">
        <f>SUMIFS('Opportunities'!$H$2:$H$1775,'Opportunities'!$E$2:$E$1775,"=paid",'Opportunities'!$V$2:$V$1775,"=emea",'Opportunities'!$M$2:$M$1775,"=jan26")</f>
        <v>125500</v>
      </c>
      <c r="N104" s="4">
        <f>SUMIFS('Opportunities'!$H$2:$H$1775,'Opportunities'!$E$2:$E$1775,"=paid",'Opportunities'!$V$2:$V$1775,"=emea",'Opportunities'!$M$2:$M$1775,"=feb26")</f>
        <v>50200</v>
      </c>
      <c r="O104" s="4">
        <f>SUMIFS('Opportunities'!$H$2:$H$1775,'Opportunities'!$E$2:$E$1775,"=paid",'Opportunities'!$V$2:$V$1775,"=emea",'Opportunities'!$M$2:$M$1775,"=mar26")</f>
        <v>64200</v>
      </c>
      <c r="P104" s="4">
        <f>SUMIFS('Opportunities'!$H$2:$H$1775,'Opportunities'!$E$2:$E$1775,"=paid",'Opportunities'!$V$2:$V$1775,"=emea",'Opportunities'!$M$2:$M$1775,"=apr26")</f>
        <v>54100</v>
      </c>
      <c r="Q104" s="4">
        <f>SUMIFS('Opportunities'!$H$2:$H$1775,'Opportunities'!$E$2:$E$1775,"=paid",'Opportunities'!$V$2:$V$1775,"=emea",'Opportunities'!$M$2:$M$1775,"=may26")</f>
        <v>31700</v>
      </c>
      <c r="R104" s="4">
        <f>SUMIFS('Opportunities'!$H$2:$H$1775,'Opportunities'!$E$2:$E$1775,"=paid",'Opportunities'!$V$2:$V$1775,"=emea",'Opportunities'!$M$2:$M$1775,"=jun26")</f>
        <v>116400</v>
      </c>
      <c r="S104" s="4">
        <f>SUMIFS('Opportunities'!$H$2:$H$1775,'Opportunities'!$E$2:$E$1775,"=paid",'Opportunities'!$V$2:$V$1775,"=emea",'Opportunities'!$M$2:$M$1775,"=jul26")</f>
        <v>286800</v>
      </c>
      <c r="T104" s="4">
        <f>SUMIFS('Opportunities'!$H$2:$H$1775,'Opportunities'!$E$2:$E$1775,"=paid",'Opportunities'!$V$2:$V$1775,"=emea",'Opportunities'!$M$2:$M$1775,"=aug26")</f>
        <v>58500</v>
      </c>
      <c r="U104" s="4">
        <f>SUMIFS('Opportunities'!$H$2:$H$1775,'Opportunities'!$E$2:$E$1775,"=paid",'Opportunities'!$V$2:$V$1775,"=emea",'Opportunities'!$M$2:$M$1775,"=sep26")</f>
        <v>65100</v>
      </c>
      <c r="V104" s="4">
        <f>SUMIFS('Opportunities'!$H$2:$H$1775,'Opportunities'!$E$2:$E$1775,"=paid",'Opportunities'!$V$2:$V$1775,"=emea",'Opportunities'!$M$2:$M$1775,"=oct26")</f>
        <v>0</v>
      </c>
      <c r="W104" s="4">
        <f>SUMIFS('Opportunities'!$H$2:$H$1775,'Opportunities'!$E$2:$E$1775,"=paid",'Opportunities'!$V$2:$V$1775,"=emea",'Opportunities'!$M$2:$M$1775,"=nov26")</f>
        <v>0</v>
      </c>
      <c r="X104" s="4">
        <f>SUMIFS('Opportunities'!$H$2:$H$1775,'Opportunities'!$E$2:$E$1775,"=paid",'Opportunities'!$V$2:$V$1775,"=emea",'Opportunities'!$M$2:$M$1775,"=dec26")</f>
        <v>0</v>
      </c>
    </row>
    <row r="105">
      <c r="A105" s="0" t="inlineStr">
        <is>
          <t xml:space="preserve">Pipeline created</t>
        </is>
      </c>
      <c r="B105" s="0" t="inlineStr">
        <is>
          <t xml:space="preserve">Paid digital</t>
        </is>
      </c>
      <c r="C105" s="0" t="inlineStr">
        <is>
          <t xml:space="preserve">APAC</t>
        </is>
      </c>
      <c r="D105" s="4">
        <f>SUMIFS('Opportunities'!$H$2:$H$1775,'Opportunities'!$E$2:$E$1775,"=paid",'Opportunities'!$V$2:$V$1775,"=apac",'Opportunities'!$M$2:$M$1775,"=apr25")</f>
        <v>25400</v>
      </c>
      <c r="E105" s="4">
        <f>SUMIFS('Opportunities'!$H$2:$H$1775,'Opportunities'!$E$2:$E$1775,"=paid",'Opportunities'!$V$2:$V$1775,"=apac",'Opportunities'!$M$2:$M$1775,"=may25")</f>
        <v>139000</v>
      </c>
      <c r="F105" s="4">
        <f>SUMIFS('Opportunities'!$H$2:$H$1775,'Opportunities'!$E$2:$E$1775,"=paid",'Opportunities'!$V$2:$V$1775,"=apac",'Opportunities'!$M$2:$M$1775,"=jun25")</f>
        <v>130100</v>
      </c>
      <c r="G105" s="4">
        <f>SUMIFS('Opportunities'!$H$2:$H$1775,'Opportunities'!$E$2:$E$1775,"=paid",'Opportunities'!$V$2:$V$1775,"=apac",'Opportunities'!$M$2:$M$1775,"=jul25")</f>
        <v>0</v>
      </c>
      <c r="H105" s="4">
        <f>SUMIFS('Opportunities'!$H$2:$H$1775,'Opportunities'!$E$2:$E$1775,"=paid",'Opportunities'!$V$2:$V$1775,"=apac",'Opportunities'!$M$2:$M$1775,"=aug25")</f>
        <v>21900</v>
      </c>
      <c r="I105" s="4">
        <f>SUMIFS('Opportunities'!$H$2:$H$1775,'Opportunities'!$E$2:$E$1775,"=paid",'Opportunities'!$V$2:$V$1775,"=apac",'Opportunities'!$M$2:$M$1775,"=sep25")</f>
        <v>34900</v>
      </c>
      <c r="J105" s="4">
        <f>SUMIFS('Opportunities'!$H$2:$H$1775,'Opportunities'!$E$2:$E$1775,"=paid",'Opportunities'!$V$2:$V$1775,"=apac",'Opportunities'!$M$2:$M$1775,"=oct25")</f>
        <v>139900</v>
      </c>
      <c r="K105" s="4">
        <f>SUMIFS('Opportunities'!$H$2:$H$1775,'Opportunities'!$E$2:$E$1775,"=paid",'Opportunities'!$V$2:$V$1775,"=apac",'Opportunities'!$M$2:$M$1775,"=nov25")</f>
        <v>0</v>
      </c>
      <c r="L105" s="4">
        <f>SUMIFS('Opportunities'!$H$2:$H$1775,'Opportunities'!$E$2:$E$1775,"=paid",'Opportunities'!$V$2:$V$1775,"=apac",'Opportunities'!$M$2:$M$1775,"=dec25")</f>
        <v>34900</v>
      </c>
      <c r="M105" s="4">
        <f>SUMIFS('Opportunities'!$H$2:$H$1775,'Opportunities'!$E$2:$E$1775,"=paid",'Opportunities'!$V$2:$V$1775,"=apac",'Opportunities'!$M$2:$M$1775,"=jan26")</f>
        <v>372400</v>
      </c>
      <c r="N105" s="4">
        <f>SUMIFS('Opportunities'!$H$2:$H$1775,'Opportunities'!$E$2:$E$1775,"=paid",'Opportunities'!$V$2:$V$1775,"=apac",'Opportunities'!$M$2:$M$1775,"=feb26")</f>
        <v>169100</v>
      </c>
      <c r="O105" s="4">
        <f>SUMIFS('Opportunities'!$H$2:$H$1775,'Opportunities'!$E$2:$E$1775,"=paid",'Opportunities'!$V$2:$V$1775,"=apac",'Opportunities'!$M$2:$M$1775,"=mar26")</f>
        <v>493300</v>
      </c>
      <c r="P105" s="4">
        <f>SUMIFS('Opportunities'!$H$2:$H$1775,'Opportunities'!$E$2:$E$1775,"=paid",'Opportunities'!$V$2:$V$1775,"=apac",'Opportunities'!$M$2:$M$1775,"=apr26")</f>
        <v>40800</v>
      </c>
      <c r="Q105" s="4">
        <f>SUMIFS('Opportunities'!$H$2:$H$1775,'Opportunities'!$E$2:$E$1775,"=paid",'Opportunities'!$V$2:$V$1775,"=apac",'Opportunities'!$M$2:$M$1775,"=may26")</f>
        <v>68700</v>
      </c>
      <c r="R105" s="4">
        <f>SUMIFS('Opportunities'!$H$2:$H$1775,'Opportunities'!$E$2:$E$1775,"=paid",'Opportunities'!$V$2:$V$1775,"=apac",'Opportunities'!$M$2:$M$1775,"=jun26")</f>
        <v>33000</v>
      </c>
      <c r="S105" s="4">
        <f>SUMIFS('Opportunities'!$H$2:$H$1775,'Opportunities'!$E$2:$E$1775,"=paid",'Opportunities'!$V$2:$V$1775,"=apac",'Opportunities'!$M$2:$M$1775,"=jul26")</f>
        <v>15000</v>
      </c>
      <c r="T105" s="4">
        <f>SUMIFS('Opportunities'!$H$2:$H$1775,'Opportunities'!$E$2:$E$1775,"=paid",'Opportunities'!$V$2:$V$1775,"=apac",'Opportunities'!$M$2:$M$1775,"=aug26")</f>
        <v>2500</v>
      </c>
      <c r="U105" s="4">
        <f>SUMIFS('Opportunities'!$H$2:$H$1775,'Opportunities'!$E$2:$E$1775,"=paid",'Opportunities'!$V$2:$V$1775,"=apac",'Opportunities'!$M$2:$M$1775,"=sep26")</f>
        <v>156900</v>
      </c>
      <c r="V105" s="4">
        <f>SUMIFS('Opportunities'!$H$2:$H$1775,'Opportunities'!$E$2:$E$1775,"=paid",'Opportunities'!$V$2:$V$1775,"=apac",'Opportunities'!$M$2:$M$1775,"=oct26")</f>
        <v>0</v>
      </c>
      <c r="W105" s="4">
        <f>SUMIFS('Opportunities'!$H$2:$H$1775,'Opportunities'!$E$2:$E$1775,"=paid",'Opportunities'!$V$2:$V$1775,"=apac",'Opportunities'!$M$2:$M$1775,"=nov26")</f>
        <v>0</v>
      </c>
      <c r="X105" s="4">
        <f>SUMIFS('Opportunities'!$H$2:$H$1775,'Opportunities'!$E$2:$E$1775,"=paid",'Opportunities'!$V$2:$V$1775,"=apac",'Opportunities'!$M$2:$M$1775,"=dec26")</f>
        <v>0</v>
      </c>
    </row>
    <row r="106">
      <c r="A106" s="0" t="inlineStr">
        <is>
          <t xml:space="preserve">Pipeline created</t>
        </is>
      </c>
      <c r="B106" s="0" t="inlineStr">
        <is>
          <t xml:space="preserve">Events &amp; field</t>
        </is>
      </c>
      <c r="C106" s="0" t="inlineStr">
        <is>
          <t xml:space="preserve">AMER East</t>
        </is>
      </c>
      <c r="D106" s="4">
        <f>SUMIFS('Opportunities'!$H$2:$H$1775,'Opportunities'!$E$2:$E$1775,"=events",'Opportunities'!$V$2:$V$1775,"=amer_east",'Opportunities'!$M$2:$M$1775,"=apr25")</f>
        <v>20300</v>
      </c>
      <c r="E106" s="4">
        <f>SUMIFS('Opportunities'!$H$2:$H$1775,'Opportunities'!$E$2:$E$1775,"=events",'Opportunities'!$V$2:$V$1775,"=amer_east",'Opportunities'!$M$2:$M$1775,"=may25")</f>
        <v>462100</v>
      </c>
      <c r="F106" s="4">
        <f>SUMIFS('Opportunities'!$H$2:$H$1775,'Opportunities'!$E$2:$E$1775,"=events",'Opportunities'!$V$2:$V$1775,"=amer_east",'Opportunities'!$M$2:$M$1775,"=jun25")</f>
        <v>399800</v>
      </c>
      <c r="G106" s="4">
        <f>SUMIFS('Opportunities'!$H$2:$H$1775,'Opportunities'!$E$2:$E$1775,"=events",'Opportunities'!$V$2:$V$1775,"=amer_east",'Opportunities'!$M$2:$M$1775,"=jul25")</f>
        <v>40400</v>
      </c>
      <c r="H106" s="4">
        <f>SUMIFS('Opportunities'!$H$2:$H$1775,'Opportunities'!$E$2:$E$1775,"=events",'Opportunities'!$V$2:$V$1775,"=amer_east",'Opportunities'!$M$2:$M$1775,"=aug25")</f>
        <v>62100</v>
      </c>
      <c r="I106" s="4">
        <f>SUMIFS('Opportunities'!$H$2:$H$1775,'Opportunities'!$E$2:$E$1775,"=events",'Opportunities'!$V$2:$V$1775,"=amer_east",'Opportunities'!$M$2:$M$1775,"=sep25")</f>
        <v>46100</v>
      </c>
      <c r="J106" s="4">
        <f>SUMIFS('Opportunities'!$H$2:$H$1775,'Opportunities'!$E$2:$E$1775,"=events",'Opportunities'!$V$2:$V$1775,"=amer_east",'Opportunities'!$M$2:$M$1775,"=oct25")</f>
        <v>101100</v>
      </c>
      <c r="K106" s="4">
        <f>SUMIFS('Opportunities'!$H$2:$H$1775,'Opportunities'!$E$2:$E$1775,"=events",'Opportunities'!$V$2:$V$1775,"=amer_east",'Opportunities'!$M$2:$M$1775,"=nov25")</f>
        <v>0</v>
      </c>
      <c r="L106" s="4">
        <f>SUMIFS('Opportunities'!$H$2:$H$1775,'Opportunities'!$E$2:$E$1775,"=events",'Opportunities'!$V$2:$V$1775,"=amer_east",'Opportunities'!$M$2:$M$1775,"=dec25")</f>
        <v>29400</v>
      </c>
      <c r="M106" s="4">
        <f>SUMIFS('Opportunities'!$H$2:$H$1775,'Opportunities'!$E$2:$E$1775,"=events",'Opportunities'!$V$2:$V$1775,"=amer_east",'Opportunities'!$M$2:$M$1775,"=jan26")</f>
        <v>0</v>
      </c>
      <c r="N106" s="4">
        <f>SUMIFS('Opportunities'!$H$2:$H$1775,'Opportunities'!$E$2:$E$1775,"=events",'Opportunities'!$V$2:$V$1775,"=amer_east",'Opportunities'!$M$2:$M$1775,"=feb26")</f>
        <v>170700</v>
      </c>
      <c r="O106" s="4">
        <f>SUMIFS('Opportunities'!$H$2:$H$1775,'Opportunities'!$E$2:$E$1775,"=events",'Opportunities'!$V$2:$V$1775,"=amer_east",'Opportunities'!$M$2:$M$1775,"=mar26")</f>
        <v>735500</v>
      </c>
      <c r="P106" s="4">
        <f>SUMIFS('Opportunities'!$H$2:$H$1775,'Opportunities'!$E$2:$E$1775,"=events",'Opportunities'!$V$2:$V$1775,"=amer_east",'Opportunities'!$M$2:$M$1775,"=apr26")</f>
        <v>49000</v>
      </c>
      <c r="Q106" s="4">
        <f>SUMIFS('Opportunities'!$H$2:$H$1775,'Opportunities'!$E$2:$E$1775,"=events",'Opportunities'!$V$2:$V$1775,"=amer_east",'Opportunities'!$M$2:$M$1775,"=may26")</f>
        <v>84300</v>
      </c>
      <c r="R106" s="4">
        <f>SUMIFS('Opportunities'!$H$2:$H$1775,'Opportunities'!$E$2:$E$1775,"=events",'Opportunities'!$V$2:$V$1775,"=amer_east",'Opportunities'!$M$2:$M$1775,"=jun26")</f>
        <v>542600</v>
      </c>
      <c r="S106" s="4">
        <f>SUMIFS('Opportunities'!$H$2:$H$1775,'Opportunities'!$E$2:$E$1775,"=events",'Opportunities'!$V$2:$V$1775,"=amer_east",'Opportunities'!$M$2:$M$1775,"=jul26")</f>
        <v>122500</v>
      </c>
      <c r="T106" s="4">
        <f>SUMIFS('Opportunities'!$H$2:$H$1775,'Opportunities'!$E$2:$E$1775,"=events",'Opportunities'!$V$2:$V$1775,"=amer_east",'Opportunities'!$M$2:$M$1775,"=aug26")</f>
        <v>31100</v>
      </c>
      <c r="U106" s="4">
        <f>SUMIFS('Opportunities'!$H$2:$H$1775,'Opportunities'!$E$2:$E$1775,"=events",'Opportunities'!$V$2:$V$1775,"=amer_east",'Opportunities'!$M$2:$M$1775,"=sep26")</f>
        <v>68900</v>
      </c>
      <c r="V106" s="4">
        <f>SUMIFS('Opportunities'!$H$2:$H$1775,'Opportunities'!$E$2:$E$1775,"=events",'Opportunities'!$V$2:$V$1775,"=amer_east",'Opportunities'!$M$2:$M$1775,"=oct26")</f>
        <v>0</v>
      </c>
      <c r="W106" s="4">
        <f>SUMIFS('Opportunities'!$H$2:$H$1775,'Opportunities'!$E$2:$E$1775,"=events",'Opportunities'!$V$2:$V$1775,"=amer_east",'Opportunities'!$M$2:$M$1775,"=nov26")</f>
        <v>0</v>
      </c>
      <c r="X106" s="4">
        <f>SUMIFS('Opportunities'!$H$2:$H$1775,'Opportunities'!$E$2:$E$1775,"=events",'Opportunities'!$V$2:$V$1775,"=amer_east",'Opportunities'!$M$2:$M$1775,"=dec26")</f>
        <v>0</v>
      </c>
    </row>
    <row r="107">
      <c r="A107" s="0" t="inlineStr">
        <is>
          <t xml:space="preserve">Pipeline created</t>
        </is>
      </c>
      <c r="B107" s="0" t="inlineStr">
        <is>
          <t xml:space="preserve">Events &amp; field</t>
        </is>
      </c>
      <c r="C107" s="0" t="inlineStr">
        <is>
          <t xml:space="preserve">AMER West</t>
        </is>
      </c>
      <c r="D107" s="4">
        <f>SUMIFS('Opportunities'!$H$2:$H$1775,'Opportunities'!$E$2:$E$1775,"=events",'Opportunities'!$V$2:$V$1775,"=amer_west",'Opportunities'!$M$2:$M$1775,"=apr25")</f>
        <v>190800</v>
      </c>
      <c r="E107" s="4">
        <f>SUMIFS('Opportunities'!$H$2:$H$1775,'Opportunities'!$E$2:$E$1775,"=events",'Opportunities'!$V$2:$V$1775,"=amer_west",'Opportunities'!$M$2:$M$1775,"=may25")</f>
        <v>112000</v>
      </c>
      <c r="F107" s="4">
        <f>SUMIFS('Opportunities'!$H$2:$H$1775,'Opportunities'!$E$2:$E$1775,"=events",'Opportunities'!$V$2:$V$1775,"=amer_west",'Opportunities'!$M$2:$M$1775,"=jun25")</f>
        <v>726200</v>
      </c>
      <c r="G107" s="4">
        <f>SUMIFS('Opportunities'!$H$2:$H$1775,'Opportunities'!$E$2:$E$1775,"=events",'Opportunities'!$V$2:$V$1775,"=amer_west",'Opportunities'!$M$2:$M$1775,"=jul25")</f>
        <v>24700</v>
      </c>
      <c r="H107" s="4">
        <f>SUMIFS('Opportunities'!$H$2:$H$1775,'Opportunities'!$E$2:$E$1775,"=events",'Opportunities'!$V$2:$V$1775,"=amer_west",'Opportunities'!$M$2:$M$1775,"=aug25")</f>
        <v>55800</v>
      </c>
      <c r="I107" s="4">
        <f>SUMIFS('Opportunities'!$H$2:$H$1775,'Opportunities'!$E$2:$E$1775,"=events",'Opportunities'!$V$2:$V$1775,"=amer_west",'Opportunities'!$M$2:$M$1775,"=sep25")</f>
        <v>27900</v>
      </c>
      <c r="J107" s="4">
        <f>SUMIFS('Opportunities'!$H$2:$H$1775,'Opportunities'!$E$2:$E$1775,"=events",'Opportunities'!$V$2:$V$1775,"=amer_west",'Opportunities'!$M$2:$M$1775,"=oct25")</f>
        <v>123500</v>
      </c>
      <c r="K107" s="4">
        <f>SUMIFS('Opportunities'!$H$2:$H$1775,'Opportunities'!$E$2:$E$1775,"=events",'Opportunities'!$V$2:$V$1775,"=amer_west",'Opportunities'!$M$2:$M$1775,"=nov25")</f>
        <v>160900</v>
      </c>
      <c r="L107" s="4">
        <f>SUMIFS('Opportunities'!$H$2:$H$1775,'Opportunities'!$E$2:$E$1775,"=events",'Opportunities'!$V$2:$V$1775,"=amer_west",'Opportunities'!$M$2:$M$1775,"=dec25")</f>
        <v>16000</v>
      </c>
      <c r="M107" s="4">
        <f>SUMIFS('Opportunities'!$H$2:$H$1775,'Opportunities'!$E$2:$E$1775,"=events",'Opportunities'!$V$2:$V$1775,"=amer_west",'Opportunities'!$M$2:$M$1775,"=jan26")</f>
        <v>139700</v>
      </c>
      <c r="N107" s="4">
        <f>SUMIFS('Opportunities'!$H$2:$H$1775,'Opportunities'!$E$2:$E$1775,"=events",'Opportunities'!$V$2:$V$1775,"=amer_west",'Opportunities'!$M$2:$M$1775,"=feb26")</f>
        <v>165400</v>
      </c>
      <c r="O107" s="4">
        <f>SUMIFS('Opportunities'!$H$2:$H$1775,'Opportunities'!$E$2:$E$1775,"=events",'Opportunities'!$V$2:$V$1775,"=amer_west",'Opportunities'!$M$2:$M$1775,"=mar26")</f>
        <v>432300</v>
      </c>
      <c r="P107" s="4">
        <f>SUMIFS('Opportunities'!$H$2:$H$1775,'Opportunities'!$E$2:$E$1775,"=events",'Opportunities'!$V$2:$V$1775,"=amer_west",'Opportunities'!$M$2:$M$1775,"=apr26")</f>
        <v>2500</v>
      </c>
      <c r="Q107" s="4">
        <f>SUMIFS('Opportunities'!$H$2:$H$1775,'Opportunities'!$E$2:$E$1775,"=events",'Opportunities'!$V$2:$V$1775,"=amer_west",'Opportunities'!$M$2:$M$1775,"=may26")</f>
        <v>51200</v>
      </c>
      <c r="R107" s="4">
        <f>SUMIFS('Opportunities'!$H$2:$H$1775,'Opportunities'!$E$2:$E$1775,"=events",'Opportunities'!$V$2:$V$1775,"=amer_west",'Opportunities'!$M$2:$M$1775,"=jun26")</f>
        <v>443000</v>
      </c>
      <c r="S107" s="4">
        <f>SUMIFS('Opportunities'!$H$2:$H$1775,'Opportunities'!$E$2:$E$1775,"=events",'Opportunities'!$V$2:$V$1775,"=amer_west",'Opportunities'!$M$2:$M$1775,"=jul26")</f>
        <v>77600</v>
      </c>
      <c r="T107" s="4">
        <f>SUMIFS('Opportunities'!$H$2:$H$1775,'Opportunities'!$E$2:$E$1775,"=events",'Opportunities'!$V$2:$V$1775,"=amer_west",'Opportunities'!$M$2:$M$1775,"=aug26")</f>
        <v>7100</v>
      </c>
      <c r="U107" s="4">
        <f>SUMIFS('Opportunities'!$H$2:$H$1775,'Opportunities'!$E$2:$E$1775,"=events",'Opportunities'!$V$2:$V$1775,"=amer_west",'Opportunities'!$M$2:$M$1775,"=sep26")</f>
        <v>19500</v>
      </c>
      <c r="V107" s="4">
        <f>SUMIFS('Opportunities'!$H$2:$H$1775,'Opportunities'!$E$2:$E$1775,"=events",'Opportunities'!$V$2:$V$1775,"=amer_west",'Opportunities'!$M$2:$M$1775,"=oct26")</f>
        <v>0</v>
      </c>
      <c r="W107" s="4">
        <f>SUMIFS('Opportunities'!$H$2:$H$1775,'Opportunities'!$E$2:$E$1775,"=events",'Opportunities'!$V$2:$V$1775,"=amer_west",'Opportunities'!$M$2:$M$1775,"=nov26")</f>
        <v>0</v>
      </c>
      <c r="X107" s="4">
        <f>SUMIFS('Opportunities'!$H$2:$H$1775,'Opportunities'!$E$2:$E$1775,"=events",'Opportunities'!$V$2:$V$1775,"=amer_west",'Opportunities'!$M$2:$M$1775,"=dec26")</f>
        <v>0</v>
      </c>
    </row>
    <row r="108">
      <c r="A108" s="0" t="inlineStr">
        <is>
          <t xml:space="preserve">Pipeline created</t>
        </is>
      </c>
      <c r="B108" s="0" t="inlineStr">
        <is>
          <t xml:space="preserve">Events &amp; field</t>
        </is>
      </c>
      <c r="C108" s="0" t="inlineStr">
        <is>
          <t xml:space="preserve">EMEA</t>
        </is>
      </c>
      <c r="D108" s="4">
        <f>SUMIFS('Opportunities'!$H$2:$H$1775,'Opportunities'!$E$2:$E$1775,"=events",'Opportunities'!$V$2:$V$1775,"=emea",'Opportunities'!$M$2:$M$1775,"=apr25")</f>
        <v>3500</v>
      </c>
      <c r="E108" s="4">
        <f>SUMIFS('Opportunities'!$H$2:$H$1775,'Opportunities'!$E$2:$E$1775,"=events",'Opportunities'!$V$2:$V$1775,"=emea",'Opportunities'!$M$2:$M$1775,"=may25")</f>
        <v>634400</v>
      </c>
      <c r="F108" s="4">
        <f>SUMIFS('Opportunities'!$H$2:$H$1775,'Opportunities'!$E$2:$E$1775,"=events",'Opportunities'!$V$2:$V$1775,"=emea",'Opportunities'!$M$2:$M$1775,"=jun25")</f>
        <v>92800</v>
      </c>
      <c r="G108" s="4">
        <f>SUMIFS('Opportunities'!$H$2:$H$1775,'Opportunities'!$E$2:$E$1775,"=events",'Opportunities'!$V$2:$V$1775,"=emea",'Opportunities'!$M$2:$M$1775,"=jul25")</f>
        <v>138100</v>
      </c>
      <c r="H108" s="4">
        <f>SUMIFS('Opportunities'!$H$2:$H$1775,'Opportunities'!$E$2:$E$1775,"=events",'Opportunities'!$V$2:$V$1775,"=emea",'Opportunities'!$M$2:$M$1775,"=aug25")</f>
        <v>0</v>
      </c>
      <c r="I108" s="4">
        <f>SUMIFS('Opportunities'!$H$2:$H$1775,'Opportunities'!$E$2:$E$1775,"=events",'Opportunities'!$V$2:$V$1775,"=emea",'Opportunities'!$M$2:$M$1775,"=sep25")</f>
        <v>61600</v>
      </c>
      <c r="J108" s="4">
        <f>SUMIFS('Opportunities'!$H$2:$H$1775,'Opportunities'!$E$2:$E$1775,"=events",'Opportunities'!$V$2:$V$1775,"=emea",'Opportunities'!$M$2:$M$1775,"=oct25")</f>
        <v>407800</v>
      </c>
      <c r="K108" s="4">
        <f>SUMIFS('Opportunities'!$H$2:$H$1775,'Opportunities'!$E$2:$E$1775,"=events",'Opportunities'!$V$2:$V$1775,"=emea",'Opportunities'!$M$2:$M$1775,"=nov25")</f>
        <v>21300</v>
      </c>
      <c r="L108" s="4">
        <f>SUMIFS('Opportunities'!$H$2:$H$1775,'Opportunities'!$E$2:$E$1775,"=events",'Opportunities'!$V$2:$V$1775,"=emea",'Opportunities'!$M$2:$M$1775,"=dec25")</f>
        <v>108100</v>
      </c>
      <c r="M108" s="4">
        <f>SUMIFS('Opportunities'!$H$2:$H$1775,'Opportunities'!$E$2:$E$1775,"=events",'Opportunities'!$V$2:$V$1775,"=emea",'Opportunities'!$M$2:$M$1775,"=jan26")</f>
        <v>19000</v>
      </c>
      <c r="N108" s="4">
        <f>SUMIFS('Opportunities'!$H$2:$H$1775,'Opportunities'!$E$2:$E$1775,"=events",'Opportunities'!$V$2:$V$1775,"=emea",'Opportunities'!$M$2:$M$1775,"=feb26")</f>
        <v>134200</v>
      </c>
      <c r="O108" s="4">
        <f>SUMIFS('Opportunities'!$H$2:$H$1775,'Opportunities'!$E$2:$E$1775,"=events",'Opportunities'!$V$2:$V$1775,"=emea",'Opportunities'!$M$2:$M$1775,"=mar26")</f>
        <v>47800</v>
      </c>
      <c r="P108" s="4">
        <f>SUMIFS('Opportunities'!$H$2:$H$1775,'Opportunities'!$E$2:$E$1775,"=events",'Opportunities'!$V$2:$V$1775,"=emea",'Opportunities'!$M$2:$M$1775,"=apr26")</f>
        <v>135500</v>
      </c>
      <c r="Q108" s="4">
        <f>SUMIFS('Opportunities'!$H$2:$H$1775,'Opportunities'!$E$2:$E$1775,"=events",'Opportunities'!$V$2:$V$1775,"=emea",'Opportunities'!$M$2:$M$1775,"=may26")</f>
        <v>6900</v>
      </c>
      <c r="R108" s="4">
        <f>SUMIFS('Opportunities'!$H$2:$H$1775,'Opportunities'!$E$2:$E$1775,"=events",'Opportunities'!$V$2:$V$1775,"=emea",'Opportunities'!$M$2:$M$1775,"=jun26")</f>
        <v>416000</v>
      </c>
      <c r="S108" s="4">
        <f>SUMIFS('Opportunities'!$H$2:$H$1775,'Opportunities'!$E$2:$E$1775,"=events",'Opportunities'!$V$2:$V$1775,"=emea",'Opportunities'!$M$2:$M$1775,"=jul26")</f>
        <v>214400</v>
      </c>
      <c r="T108" s="4">
        <f>SUMIFS('Opportunities'!$H$2:$H$1775,'Opportunities'!$E$2:$E$1775,"=events",'Opportunities'!$V$2:$V$1775,"=emea",'Opportunities'!$M$2:$M$1775,"=aug26")</f>
        <v>51000</v>
      </c>
      <c r="U108" s="4">
        <f>SUMIFS('Opportunities'!$H$2:$H$1775,'Opportunities'!$E$2:$E$1775,"=events",'Opportunities'!$V$2:$V$1775,"=emea",'Opportunities'!$M$2:$M$1775,"=sep26")</f>
        <v>0</v>
      </c>
      <c r="V108" s="4">
        <f>SUMIFS('Opportunities'!$H$2:$H$1775,'Opportunities'!$E$2:$E$1775,"=events",'Opportunities'!$V$2:$V$1775,"=emea",'Opportunities'!$M$2:$M$1775,"=oct26")</f>
        <v>0</v>
      </c>
      <c r="W108" s="4">
        <f>SUMIFS('Opportunities'!$H$2:$H$1775,'Opportunities'!$E$2:$E$1775,"=events",'Opportunities'!$V$2:$V$1775,"=emea",'Opportunities'!$M$2:$M$1775,"=nov26")</f>
        <v>0</v>
      </c>
      <c r="X108" s="4">
        <f>SUMIFS('Opportunities'!$H$2:$H$1775,'Opportunities'!$E$2:$E$1775,"=events",'Opportunities'!$V$2:$V$1775,"=emea",'Opportunities'!$M$2:$M$1775,"=dec26")</f>
        <v>0</v>
      </c>
    </row>
    <row r="109">
      <c r="A109" s="0" t="inlineStr">
        <is>
          <t xml:space="preserve">Pipeline created</t>
        </is>
      </c>
      <c r="B109" s="0" t="inlineStr">
        <is>
          <t xml:space="preserve">Events &amp; field</t>
        </is>
      </c>
      <c r="C109" s="0" t="inlineStr">
        <is>
          <t xml:space="preserve">APAC</t>
        </is>
      </c>
      <c r="D109" s="4">
        <f>SUMIFS('Opportunities'!$H$2:$H$1775,'Opportunities'!$E$2:$E$1775,"=events",'Opportunities'!$V$2:$V$1775,"=apac",'Opportunities'!$M$2:$M$1775,"=apr25")</f>
        <v>46100</v>
      </c>
      <c r="E109" s="4">
        <f>SUMIFS('Opportunities'!$H$2:$H$1775,'Opportunities'!$E$2:$E$1775,"=events",'Opportunities'!$V$2:$V$1775,"=apac",'Opportunities'!$M$2:$M$1775,"=may25")</f>
        <v>344000</v>
      </c>
      <c r="F109" s="4">
        <f>SUMIFS('Opportunities'!$H$2:$H$1775,'Opportunities'!$E$2:$E$1775,"=events",'Opportunities'!$V$2:$V$1775,"=apac",'Opportunities'!$M$2:$M$1775,"=jun25")</f>
        <v>36400</v>
      </c>
      <c r="G109" s="4">
        <f>SUMIFS('Opportunities'!$H$2:$H$1775,'Opportunities'!$E$2:$E$1775,"=events",'Opportunities'!$V$2:$V$1775,"=apac",'Opportunities'!$M$2:$M$1775,"=jul25")</f>
        <v>34900</v>
      </c>
      <c r="H109" s="4">
        <f>SUMIFS('Opportunities'!$H$2:$H$1775,'Opportunities'!$E$2:$E$1775,"=events",'Opportunities'!$V$2:$V$1775,"=apac",'Opportunities'!$M$2:$M$1775,"=aug25")</f>
        <v>0</v>
      </c>
      <c r="I109" s="4">
        <f>SUMIFS('Opportunities'!$H$2:$H$1775,'Opportunities'!$E$2:$E$1775,"=events",'Opportunities'!$V$2:$V$1775,"=apac",'Opportunities'!$M$2:$M$1775,"=sep25")</f>
        <v>8900</v>
      </c>
      <c r="J109" s="4">
        <f>SUMIFS('Opportunities'!$H$2:$H$1775,'Opportunities'!$E$2:$E$1775,"=events",'Opportunities'!$V$2:$V$1775,"=apac",'Opportunities'!$M$2:$M$1775,"=oct25")</f>
        <v>142700</v>
      </c>
      <c r="K109" s="4">
        <f>SUMIFS('Opportunities'!$H$2:$H$1775,'Opportunities'!$E$2:$E$1775,"=events",'Opportunities'!$V$2:$V$1775,"=apac",'Opportunities'!$M$2:$M$1775,"=nov25")</f>
        <v>71500</v>
      </c>
      <c r="L109" s="4">
        <f>SUMIFS('Opportunities'!$H$2:$H$1775,'Opportunities'!$E$2:$E$1775,"=events",'Opportunities'!$V$2:$V$1775,"=apac",'Opportunities'!$M$2:$M$1775,"=dec25")</f>
        <v>0</v>
      </c>
      <c r="M109" s="4">
        <f>SUMIFS('Opportunities'!$H$2:$H$1775,'Opportunities'!$E$2:$E$1775,"=events",'Opportunities'!$V$2:$V$1775,"=apac",'Opportunities'!$M$2:$M$1775,"=jan26")</f>
        <v>0</v>
      </c>
      <c r="N109" s="4">
        <f>SUMIFS('Opportunities'!$H$2:$H$1775,'Opportunities'!$E$2:$E$1775,"=events",'Opportunities'!$V$2:$V$1775,"=apac",'Opportunities'!$M$2:$M$1775,"=feb26")</f>
        <v>0</v>
      </c>
      <c r="O109" s="4">
        <f>SUMIFS('Opportunities'!$H$2:$H$1775,'Opportunities'!$E$2:$E$1775,"=events",'Opportunities'!$V$2:$V$1775,"=apac",'Opportunities'!$M$2:$M$1775,"=mar26")</f>
        <v>77900</v>
      </c>
      <c r="P109" s="4">
        <f>SUMIFS('Opportunities'!$H$2:$H$1775,'Opportunities'!$E$2:$E$1775,"=events",'Opportunities'!$V$2:$V$1775,"=apac",'Opportunities'!$M$2:$M$1775,"=apr26")</f>
        <v>15600</v>
      </c>
      <c r="Q109" s="4">
        <f>SUMIFS('Opportunities'!$H$2:$H$1775,'Opportunities'!$E$2:$E$1775,"=events",'Opportunities'!$V$2:$V$1775,"=apac",'Opportunities'!$M$2:$M$1775,"=may26")</f>
        <v>30300</v>
      </c>
      <c r="R109" s="4">
        <f>SUMIFS('Opportunities'!$H$2:$H$1775,'Opportunities'!$E$2:$E$1775,"=events",'Opportunities'!$V$2:$V$1775,"=apac",'Opportunities'!$M$2:$M$1775,"=jun26")</f>
        <v>161200</v>
      </c>
      <c r="S109" s="4">
        <f>SUMIFS('Opportunities'!$H$2:$H$1775,'Opportunities'!$E$2:$E$1775,"=events",'Opportunities'!$V$2:$V$1775,"=apac",'Opportunities'!$M$2:$M$1775,"=jul26")</f>
        <v>12800</v>
      </c>
      <c r="T109" s="4">
        <f>SUMIFS('Opportunities'!$H$2:$H$1775,'Opportunities'!$E$2:$E$1775,"=events",'Opportunities'!$V$2:$V$1775,"=apac",'Opportunities'!$M$2:$M$1775,"=aug26")</f>
        <v>101000</v>
      </c>
      <c r="U109" s="4">
        <f>SUMIFS('Opportunities'!$H$2:$H$1775,'Opportunities'!$E$2:$E$1775,"=events",'Opportunities'!$V$2:$V$1775,"=apac",'Opportunities'!$M$2:$M$1775,"=sep26")</f>
        <v>0</v>
      </c>
      <c r="V109" s="4">
        <f>SUMIFS('Opportunities'!$H$2:$H$1775,'Opportunities'!$E$2:$E$1775,"=events",'Opportunities'!$V$2:$V$1775,"=apac",'Opportunities'!$M$2:$M$1775,"=oct26")</f>
        <v>0</v>
      </c>
      <c r="W109" s="4">
        <f>SUMIFS('Opportunities'!$H$2:$H$1775,'Opportunities'!$E$2:$E$1775,"=events",'Opportunities'!$V$2:$V$1775,"=apac",'Opportunities'!$M$2:$M$1775,"=nov26")</f>
        <v>0</v>
      </c>
      <c r="X109" s="4">
        <f>SUMIFS('Opportunities'!$H$2:$H$1775,'Opportunities'!$E$2:$E$1775,"=events",'Opportunities'!$V$2:$V$1775,"=apac",'Opportunities'!$M$2:$M$1775,"=dec26")</f>
        <v>0</v>
      </c>
    </row>
    <row r="110">
      <c r="A110" s="0" t="inlineStr">
        <is>
          <t xml:space="preserve">Pipeline created</t>
        </is>
      </c>
      <c r="B110" s="0" t="inlineStr">
        <is>
          <t xml:space="preserve">Partner</t>
        </is>
      </c>
      <c r="C110" s="0" t="inlineStr">
        <is>
          <t xml:space="preserve">AMER East</t>
        </is>
      </c>
      <c r="D110" s="4">
        <f>SUMIFS('Opportunities'!$H$2:$H$1775,'Opportunities'!$E$2:$E$1775,"=partner",'Opportunities'!$V$2:$V$1775,"=amer_east",'Opportunities'!$M$2:$M$1775,"=apr25")</f>
        <v>337100</v>
      </c>
      <c r="E110" s="4">
        <f>SUMIFS('Opportunities'!$H$2:$H$1775,'Opportunities'!$E$2:$E$1775,"=partner",'Opportunities'!$V$2:$V$1775,"=amer_east",'Opportunities'!$M$2:$M$1775,"=may25")</f>
        <v>148700</v>
      </c>
      <c r="F110" s="4">
        <f>SUMIFS('Opportunities'!$H$2:$H$1775,'Opportunities'!$E$2:$E$1775,"=partner",'Opportunities'!$V$2:$V$1775,"=amer_east",'Opportunities'!$M$2:$M$1775,"=jun25")</f>
        <v>26100</v>
      </c>
      <c r="G110" s="4">
        <f>SUMIFS('Opportunities'!$H$2:$H$1775,'Opportunities'!$E$2:$E$1775,"=partner",'Opportunities'!$V$2:$V$1775,"=amer_east",'Opportunities'!$M$2:$M$1775,"=jul25")</f>
        <v>51000</v>
      </c>
      <c r="H110" s="4">
        <f>SUMIFS('Opportunities'!$H$2:$H$1775,'Opportunities'!$E$2:$E$1775,"=partner",'Opportunities'!$V$2:$V$1775,"=amer_east",'Opportunities'!$M$2:$M$1775,"=aug25")</f>
        <v>26400</v>
      </c>
      <c r="I110" s="4">
        <f>SUMIFS('Opportunities'!$H$2:$H$1775,'Opportunities'!$E$2:$E$1775,"=partner",'Opportunities'!$V$2:$V$1775,"=amer_east",'Opportunities'!$M$2:$M$1775,"=sep25")</f>
        <v>991700</v>
      </c>
      <c r="J110" s="4">
        <f>SUMIFS('Opportunities'!$H$2:$H$1775,'Opportunities'!$E$2:$E$1775,"=partner",'Opportunities'!$V$2:$V$1775,"=amer_east",'Opportunities'!$M$2:$M$1775,"=oct25")</f>
        <v>22900</v>
      </c>
      <c r="K110" s="4">
        <f>SUMIFS('Opportunities'!$H$2:$H$1775,'Opportunities'!$E$2:$E$1775,"=partner",'Opportunities'!$V$2:$V$1775,"=amer_east",'Opportunities'!$M$2:$M$1775,"=nov25")</f>
        <v>416000</v>
      </c>
      <c r="L110" s="4">
        <f>SUMIFS('Opportunities'!$H$2:$H$1775,'Opportunities'!$E$2:$E$1775,"=partner",'Opportunities'!$V$2:$V$1775,"=amer_east",'Opportunities'!$M$2:$M$1775,"=dec25")</f>
        <v>162900</v>
      </c>
      <c r="M110" s="4">
        <f>SUMIFS('Opportunities'!$H$2:$H$1775,'Opportunities'!$E$2:$E$1775,"=partner",'Opportunities'!$V$2:$V$1775,"=amer_east",'Opportunities'!$M$2:$M$1775,"=jan26")</f>
        <v>5200</v>
      </c>
      <c r="N110" s="4">
        <f>SUMIFS('Opportunities'!$H$2:$H$1775,'Opportunities'!$E$2:$E$1775,"=partner",'Opportunities'!$V$2:$V$1775,"=amer_east",'Opportunities'!$M$2:$M$1775,"=feb26")</f>
        <v>59500</v>
      </c>
      <c r="O110" s="4">
        <f>SUMIFS('Opportunities'!$H$2:$H$1775,'Opportunities'!$E$2:$E$1775,"=partner",'Opportunities'!$V$2:$V$1775,"=amer_east",'Opportunities'!$M$2:$M$1775,"=mar26")</f>
        <v>245300</v>
      </c>
      <c r="P110" s="4">
        <f>SUMIFS('Opportunities'!$H$2:$H$1775,'Opportunities'!$E$2:$E$1775,"=partner",'Opportunities'!$V$2:$V$1775,"=amer_east",'Opportunities'!$M$2:$M$1775,"=apr26")</f>
        <v>167100</v>
      </c>
      <c r="Q110" s="4">
        <f>SUMIFS('Opportunities'!$H$2:$H$1775,'Opportunities'!$E$2:$E$1775,"=partner",'Opportunities'!$V$2:$V$1775,"=amer_east",'Opportunities'!$M$2:$M$1775,"=may26")</f>
        <v>78700</v>
      </c>
      <c r="R110" s="4">
        <f>SUMIFS('Opportunities'!$H$2:$H$1775,'Opportunities'!$E$2:$E$1775,"=partner",'Opportunities'!$V$2:$V$1775,"=amer_east",'Opportunities'!$M$2:$M$1775,"=jun26")</f>
        <v>120000</v>
      </c>
      <c r="S110" s="4">
        <f>SUMIFS('Opportunities'!$H$2:$H$1775,'Opportunities'!$E$2:$E$1775,"=partner",'Opportunities'!$V$2:$V$1775,"=amer_east",'Opportunities'!$M$2:$M$1775,"=jul26")</f>
        <v>114900</v>
      </c>
      <c r="T110" s="4">
        <f>SUMIFS('Opportunities'!$H$2:$H$1775,'Opportunities'!$E$2:$E$1775,"=partner",'Opportunities'!$V$2:$V$1775,"=amer_east",'Opportunities'!$M$2:$M$1775,"=aug26")</f>
        <v>124400</v>
      </c>
      <c r="U110" s="4">
        <f>SUMIFS('Opportunities'!$H$2:$H$1775,'Opportunities'!$E$2:$E$1775,"=partner",'Opportunities'!$V$2:$V$1775,"=amer_east",'Opportunities'!$M$2:$M$1775,"=sep26")</f>
        <v>41400</v>
      </c>
      <c r="V110" s="4">
        <f>SUMIFS('Opportunities'!$H$2:$H$1775,'Opportunities'!$E$2:$E$1775,"=partner",'Opportunities'!$V$2:$V$1775,"=amer_east",'Opportunities'!$M$2:$M$1775,"=oct26")</f>
        <v>0</v>
      </c>
      <c r="W110" s="4">
        <f>SUMIFS('Opportunities'!$H$2:$H$1775,'Opportunities'!$E$2:$E$1775,"=partner",'Opportunities'!$V$2:$V$1775,"=amer_east",'Opportunities'!$M$2:$M$1775,"=nov26")</f>
        <v>0</v>
      </c>
      <c r="X110" s="4">
        <f>SUMIFS('Opportunities'!$H$2:$H$1775,'Opportunities'!$E$2:$E$1775,"=partner",'Opportunities'!$V$2:$V$1775,"=amer_east",'Opportunities'!$M$2:$M$1775,"=dec26")</f>
        <v>0</v>
      </c>
    </row>
    <row r="111">
      <c r="A111" s="0" t="inlineStr">
        <is>
          <t xml:space="preserve">Pipeline created</t>
        </is>
      </c>
      <c r="B111" s="0" t="inlineStr">
        <is>
          <t xml:space="preserve">Partner</t>
        </is>
      </c>
      <c r="C111" s="0" t="inlineStr">
        <is>
          <t xml:space="preserve">AMER West</t>
        </is>
      </c>
      <c r="D111" s="4">
        <f>SUMIFS('Opportunities'!$H$2:$H$1775,'Opportunities'!$E$2:$E$1775,"=partner",'Opportunities'!$V$2:$V$1775,"=amer_west",'Opportunities'!$M$2:$M$1775,"=apr25")</f>
        <v>36900</v>
      </c>
      <c r="E111" s="4">
        <f>SUMIFS('Opportunities'!$H$2:$H$1775,'Opportunities'!$E$2:$E$1775,"=partner",'Opportunities'!$V$2:$V$1775,"=amer_west",'Opportunities'!$M$2:$M$1775,"=may25")</f>
        <v>55600</v>
      </c>
      <c r="F111" s="4">
        <f>SUMIFS('Opportunities'!$H$2:$H$1775,'Opportunities'!$E$2:$E$1775,"=partner",'Opportunities'!$V$2:$V$1775,"=amer_west",'Opportunities'!$M$2:$M$1775,"=jun25")</f>
        <v>212600</v>
      </c>
      <c r="G111" s="4">
        <f>SUMIFS('Opportunities'!$H$2:$H$1775,'Opportunities'!$E$2:$E$1775,"=partner",'Opportunities'!$V$2:$V$1775,"=amer_west",'Opportunities'!$M$2:$M$1775,"=jul25")</f>
        <v>253000</v>
      </c>
      <c r="H111" s="4">
        <f>SUMIFS('Opportunities'!$H$2:$H$1775,'Opportunities'!$E$2:$E$1775,"=partner",'Opportunities'!$V$2:$V$1775,"=amer_west",'Opportunities'!$M$2:$M$1775,"=aug25")</f>
        <v>26200</v>
      </c>
      <c r="I111" s="4">
        <f>SUMIFS('Opportunities'!$H$2:$H$1775,'Opportunities'!$E$2:$E$1775,"=partner",'Opportunities'!$V$2:$V$1775,"=amer_west",'Opportunities'!$M$2:$M$1775,"=sep25")</f>
        <v>82300</v>
      </c>
      <c r="J111" s="4">
        <f>SUMIFS('Opportunities'!$H$2:$H$1775,'Opportunities'!$E$2:$E$1775,"=partner",'Opportunities'!$V$2:$V$1775,"=amer_west",'Opportunities'!$M$2:$M$1775,"=oct25")</f>
        <v>9400</v>
      </c>
      <c r="K111" s="4">
        <f>SUMIFS('Opportunities'!$H$2:$H$1775,'Opportunities'!$E$2:$E$1775,"=partner",'Opportunities'!$V$2:$V$1775,"=amer_west",'Opportunities'!$M$2:$M$1775,"=nov25")</f>
        <v>153200</v>
      </c>
      <c r="L111" s="4">
        <f>SUMIFS('Opportunities'!$H$2:$H$1775,'Opportunities'!$E$2:$E$1775,"=partner",'Opportunities'!$V$2:$V$1775,"=amer_west",'Opportunities'!$M$2:$M$1775,"=dec25")</f>
        <v>88100</v>
      </c>
      <c r="M111" s="4">
        <f>SUMIFS('Opportunities'!$H$2:$H$1775,'Opportunities'!$E$2:$E$1775,"=partner",'Opportunities'!$V$2:$V$1775,"=amer_west",'Opportunities'!$M$2:$M$1775,"=jan26")</f>
        <v>94300</v>
      </c>
      <c r="N111" s="4">
        <f>SUMIFS('Opportunities'!$H$2:$H$1775,'Opportunities'!$E$2:$E$1775,"=partner",'Opportunities'!$V$2:$V$1775,"=amer_west",'Opportunities'!$M$2:$M$1775,"=feb26")</f>
        <v>213000</v>
      </c>
      <c r="O111" s="4">
        <f>SUMIFS('Opportunities'!$H$2:$H$1775,'Opportunities'!$E$2:$E$1775,"=partner",'Opportunities'!$V$2:$V$1775,"=amer_west",'Opportunities'!$M$2:$M$1775,"=mar26")</f>
        <v>209000</v>
      </c>
      <c r="P111" s="4">
        <f>SUMIFS('Opportunities'!$H$2:$H$1775,'Opportunities'!$E$2:$E$1775,"=partner",'Opportunities'!$V$2:$V$1775,"=amer_west",'Opportunities'!$M$2:$M$1775,"=apr26")</f>
        <v>0</v>
      </c>
      <c r="Q111" s="4">
        <f>SUMIFS('Opportunities'!$H$2:$H$1775,'Opportunities'!$E$2:$E$1775,"=partner",'Opportunities'!$V$2:$V$1775,"=amer_west",'Opportunities'!$M$2:$M$1775,"=may26")</f>
        <v>87700</v>
      </c>
      <c r="R111" s="4">
        <f>SUMIFS('Opportunities'!$H$2:$H$1775,'Opportunities'!$E$2:$E$1775,"=partner",'Opportunities'!$V$2:$V$1775,"=amer_west",'Opportunities'!$M$2:$M$1775,"=jun26")</f>
        <v>68400</v>
      </c>
      <c r="S111" s="4">
        <f>SUMIFS('Opportunities'!$H$2:$H$1775,'Opportunities'!$E$2:$E$1775,"=partner",'Opportunities'!$V$2:$V$1775,"=amer_west",'Opportunities'!$M$2:$M$1775,"=jul26")</f>
        <v>30500</v>
      </c>
      <c r="T111" s="4">
        <f>SUMIFS('Opportunities'!$H$2:$H$1775,'Opportunities'!$E$2:$E$1775,"=partner",'Opportunities'!$V$2:$V$1775,"=amer_west",'Opportunities'!$M$2:$M$1775,"=aug26")</f>
        <v>0</v>
      </c>
      <c r="U111" s="4">
        <f>SUMIFS('Opportunities'!$H$2:$H$1775,'Opportunities'!$E$2:$E$1775,"=partner",'Opportunities'!$V$2:$V$1775,"=amer_west",'Opportunities'!$M$2:$M$1775,"=sep26")</f>
        <v>9100</v>
      </c>
      <c r="V111" s="4">
        <f>SUMIFS('Opportunities'!$H$2:$H$1775,'Opportunities'!$E$2:$E$1775,"=partner",'Opportunities'!$V$2:$V$1775,"=amer_west",'Opportunities'!$M$2:$M$1775,"=oct26")</f>
        <v>0</v>
      </c>
      <c r="W111" s="4">
        <f>SUMIFS('Opportunities'!$H$2:$H$1775,'Opportunities'!$E$2:$E$1775,"=partner",'Opportunities'!$V$2:$V$1775,"=amer_west",'Opportunities'!$M$2:$M$1775,"=nov26")</f>
        <v>0</v>
      </c>
      <c r="X111" s="4">
        <f>SUMIFS('Opportunities'!$H$2:$H$1775,'Opportunities'!$E$2:$E$1775,"=partner",'Opportunities'!$V$2:$V$1775,"=amer_west",'Opportunities'!$M$2:$M$1775,"=dec26")</f>
        <v>0</v>
      </c>
    </row>
    <row r="112">
      <c r="A112" s="0" t="inlineStr">
        <is>
          <t xml:space="preserve">Pipeline created</t>
        </is>
      </c>
      <c r="B112" s="0" t="inlineStr">
        <is>
          <t xml:space="preserve">Partner</t>
        </is>
      </c>
      <c r="C112" s="0" t="inlineStr">
        <is>
          <t xml:space="preserve">EMEA</t>
        </is>
      </c>
      <c r="D112" s="4">
        <f>SUMIFS('Opportunities'!$H$2:$H$1775,'Opportunities'!$E$2:$E$1775,"=partner",'Opportunities'!$V$2:$V$1775,"=emea",'Opportunities'!$M$2:$M$1775,"=apr25")</f>
        <v>70700</v>
      </c>
      <c r="E112" s="4">
        <f>SUMIFS('Opportunities'!$H$2:$H$1775,'Opportunities'!$E$2:$E$1775,"=partner",'Opportunities'!$V$2:$V$1775,"=emea",'Opportunities'!$M$2:$M$1775,"=may25")</f>
        <v>271200</v>
      </c>
      <c r="F112" s="4">
        <f>SUMIFS('Opportunities'!$H$2:$H$1775,'Opportunities'!$E$2:$E$1775,"=partner",'Opportunities'!$V$2:$V$1775,"=emea",'Opportunities'!$M$2:$M$1775,"=jun25")</f>
        <v>32800</v>
      </c>
      <c r="G112" s="4">
        <f>SUMIFS('Opportunities'!$H$2:$H$1775,'Opportunities'!$E$2:$E$1775,"=partner",'Opportunities'!$V$2:$V$1775,"=emea",'Opportunities'!$M$2:$M$1775,"=jul25")</f>
        <v>276900</v>
      </c>
      <c r="H112" s="4">
        <f>SUMIFS('Opportunities'!$H$2:$H$1775,'Opportunities'!$E$2:$E$1775,"=partner",'Opportunities'!$V$2:$V$1775,"=emea",'Opportunities'!$M$2:$M$1775,"=aug25")</f>
        <v>69600</v>
      </c>
      <c r="I112" s="4">
        <f>SUMIFS('Opportunities'!$H$2:$H$1775,'Opportunities'!$E$2:$E$1775,"=partner",'Opportunities'!$V$2:$V$1775,"=emea",'Opportunities'!$M$2:$M$1775,"=sep25")</f>
        <v>42600</v>
      </c>
      <c r="J112" s="4">
        <f>SUMIFS('Opportunities'!$H$2:$H$1775,'Opportunities'!$E$2:$E$1775,"=partner",'Opportunities'!$V$2:$V$1775,"=emea",'Opportunities'!$M$2:$M$1775,"=oct25")</f>
        <v>58100</v>
      </c>
      <c r="K112" s="4">
        <f>SUMIFS('Opportunities'!$H$2:$H$1775,'Opportunities'!$E$2:$E$1775,"=partner",'Opportunities'!$V$2:$V$1775,"=emea",'Opportunities'!$M$2:$M$1775,"=nov25")</f>
        <v>0</v>
      </c>
      <c r="L112" s="4">
        <f>SUMIFS('Opportunities'!$H$2:$H$1775,'Opportunities'!$E$2:$E$1775,"=partner",'Opportunities'!$V$2:$V$1775,"=emea",'Opportunities'!$M$2:$M$1775,"=dec25")</f>
        <v>143700</v>
      </c>
      <c r="M112" s="4">
        <f>SUMIFS('Opportunities'!$H$2:$H$1775,'Opportunities'!$E$2:$E$1775,"=partner",'Opportunities'!$V$2:$V$1775,"=emea",'Opportunities'!$M$2:$M$1775,"=jan26")</f>
        <v>0</v>
      </c>
      <c r="N112" s="4">
        <f>SUMIFS('Opportunities'!$H$2:$H$1775,'Opportunities'!$E$2:$E$1775,"=partner",'Opportunities'!$V$2:$V$1775,"=emea",'Opportunities'!$M$2:$M$1775,"=feb26")</f>
        <v>122200</v>
      </c>
      <c r="O112" s="4">
        <f>SUMIFS('Opportunities'!$H$2:$H$1775,'Opportunities'!$E$2:$E$1775,"=partner",'Opportunities'!$V$2:$V$1775,"=emea",'Opportunities'!$M$2:$M$1775,"=mar26")</f>
        <v>132300</v>
      </c>
      <c r="P112" s="4">
        <f>SUMIFS('Opportunities'!$H$2:$H$1775,'Opportunities'!$E$2:$E$1775,"=partner",'Opportunities'!$V$2:$V$1775,"=emea",'Opportunities'!$M$2:$M$1775,"=apr26")</f>
        <v>100800</v>
      </c>
      <c r="Q112" s="4">
        <f>SUMIFS('Opportunities'!$H$2:$H$1775,'Opportunities'!$E$2:$E$1775,"=partner",'Opportunities'!$V$2:$V$1775,"=emea",'Opportunities'!$M$2:$M$1775,"=may26")</f>
        <v>85900</v>
      </c>
      <c r="R112" s="4">
        <f>SUMIFS('Opportunities'!$H$2:$H$1775,'Opportunities'!$E$2:$E$1775,"=partner",'Opportunities'!$V$2:$V$1775,"=emea",'Opportunities'!$M$2:$M$1775,"=jun26")</f>
        <v>538200</v>
      </c>
      <c r="S112" s="4">
        <f>SUMIFS('Opportunities'!$H$2:$H$1775,'Opportunities'!$E$2:$E$1775,"=partner",'Opportunities'!$V$2:$V$1775,"=emea",'Opportunities'!$M$2:$M$1775,"=jul26")</f>
        <v>0</v>
      </c>
      <c r="T112" s="4">
        <f>SUMIFS('Opportunities'!$H$2:$H$1775,'Opportunities'!$E$2:$E$1775,"=partner",'Opportunities'!$V$2:$V$1775,"=emea",'Opportunities'!$M$2:$M$1775,"=aug26")</f>
        <v>13500</v>
      </c>
      <c r="U112" s="4">
        <f>SUMIFS('Opportunities'!$H$2:$H$1775,'Opportunities'!$E$2:$E$1775,"=partner",'Opportunities'!$V$2:$V$1775,"=emea",'Opportunities'!$M$2:$M$1775,"=sep26")</f>
        <v>0</v>
      </c>
      <c r="V112" s="4">
        <f>SUMIFS('Opportunities'!$H$2:$H$1775,'Opportunities'!$E$2:$E$1775,"=partner",'Opportunities'!$V$2:$V$1775,"=emea",'Opportunities'!$M$2:$M$1775,"=oct26")</f>
        <v>0</v>
      </c>
      <c r="W112" s="4">
        <f>SUMIFS('Opportunities'!$H$2:$H$1775,'Opportunities'!$E$2:$E$1775,"=partner",'Opportunities'!$V$2:$V$1775,"=emea",'Opportunities'!$M$2:$M$1775,"=nov26")</f>
        <v>0</v>
      </c>
      <c r="X112" s="4">
        <f>SUMIFS('Opportunities'!$H$2:$H$1775,'Opportunities'!$E$2:$E$1775,"=partner",'Opportunities'!$V$2:$V$1775,"=emea",'Opportunities'!$M$2:$M$1775,"=dec26")</f>
        <v>0</v>
      </c>
    </row>
    <row r="113">
      <c r="A113" s="0" t="inlineStr">
        <is>
          <t xml:space="preserve">Pipeline created</t>
        </is>
      </c>
      <c r="B113" s="0" t="inlineStr">
        <is>
          <t xml:space="preserve">Partner</t>
        </is>
      </c>
      <c r="C113" s="0" t="inlineStr">
        <is>
          <t xml:space="preserve">APAC</t>
        </is>
      </c>
      <c r="D113" s="4">
        <f>SUMIFS('Opportunities'!$H$2:$H$1775,'Opportunities'!$E$2:$E$1775,"=partner",'Opportunities'!$V$2:$V$1775,"=apac",'Opportunities'!$M$2:$M$1775,"=apr25")</f>
        <v>54300</v>
      </c>
      <c r="E113" s="4">
        <f>SUMIFS('Opportunities'!$H$2:$H$1775,'Opportunities'!$E$2:$E$1775,"=partner",'Opportunities'!$V$2:$V$1775,"=apac",'Opportunities'!$M$2:$M$1775,"=may25")</f>
        <v>50300</v>
      </c>
      <c r="F113" s="4">
        <f>SUMIFS('Opportunities'!$H$2:$H$1775,'Opportunities'!$E$2:$E$1775,"=partner",'Opportunities'!$V$2:$V$1775,"=apac",'Opportunities'!$M$2:$M$1775,"=jun25")</f>
        <v>216700</v>
      </c>
      <c r="G113" s="4">
        <f>SUMIFS('Opportunities'!$H$2:$H$1775,'Opportunities'!$E$2:$E$1775,"=partner",'Opportunities'!$V$2:$V$1775,"=apac",'Opportunities'!$M$2:$M$1775,"=jul25")</f>
        <v>0</v>
      </c>
      <c r="H113" s="4">
        <f>SUMIFS('Opportunities'!$H$2:$H$1775,'Opportunities'!$E$2:$E$1775,"=partner",'Opportunities'!$V$2:$V$1775,"=apac",'Opportunities'!$M$2:$M$1775,"=aug25")</f>
        <v>42900</v>
      </c>
      <c r="I113" s="4">
        <f>SUMIFS('Opportunities'!$H$2:$H$1775,'Opportunities'!$E$2:$E$1775,"=partner",'Opportunities'!$V$2:$V$1775,"=apac",'Opportunities'!$M$2:$M$1775,"=sep25")</f>
        <v>26900</v>
      </c>
      <c r="J113" s="4">
        <f>SUMIFS('Opportunities'!$H$2:$H$1775,'Opportunities'!$E$2:$E$1775,"=partner",'Opportunities'!$V$2:$V$1775,"=apac",'Opportunities'!$M$2:$M$1775,"=oct25")</f>
        <v>0</v>
      </c>
      <c r="K113" s="4">
        <f>SUMIFS('Opportunities'!$H$2:$H$1775,'Opportunities'!$E$2:$E$1775,"=partner",'Opportunities'!$V$2:$V$1775,"=apac",'Opportunities'!$M$2:$M$1775,"=nov25")</f>
        <v>33700</v>
      </c>
      <c r="L113" s="4">
        <f>SUMIFS('Opportunities'!$H$2:$H$1775,'Opportunities'!$E$2:$E$1775,"=partner",'Opportunities'!$V$2:$V$1775,"=apac",'Opportunities'!$M$2:$M$1775,"=dec25")</f>
        <v>107000</v>
      </c>
      <c r="M113" s="4">
        <f>SUMIFS('Opportunities'!$H$2:$H$1775,'Opportunities'!$E$2:$E$1775,"=partner",'Opportunities'!$V$2:$V$1775,"=apac",'Opportunities'!$M$2:$M$1775,"=jan26")</f>
        <v>0</v>
      </c>
      <c r="N113" s="4">
        <f>SUMIFS('Opportunities'!$H$2:$H$1775,'Opportunities'!$E$2:$E$1775,"=partner",'Opportunities'!$V$2:$V$1775,"=apac",'Opportunities'!$M$2:$M$1775,"=feb26")</f>
        <v>20700</v>
      </c>
      <c r="O113" s="4">
        <f>SUMIFS('Opportunities'!$H$2:$H$1775,'Opportunities'!$E$2:$E$1775,"=partner",'Opportunities'!$V$2:$V$1775,"=apac",'Opportunities'!$M$2:$M$1775,"=mar26")</f>
        <v>0</v>
      </c>
      <c r="P113" s="4">
        <f>SUMIFS('Opportunities'!$H$2:$H$1775,'Opportunities'!$E$2:$E$1775,"=partner",'Opportunities'!$V$2:$V$1775,"=apac",'Opportunities'!$M$2:$M$1775,"=apr26")</f>
        <v>46900</v>
      </c>
      <c r="Q113" s="4">
        <f>SUMIFS('Opportunities'!$H$2:$H$1775,'Opportunities'!$E$2:$E$1775,"=partner",'Opportunities'!$V$2:$V$1775,"=apac",'Opportunities'!$M$2:$M$1775,"=may26")</f>
        <v>132800</v>
      </c>
      <c r="R113" s="4">
        <f>SUMIFS('Opportunities'!$H$2:$H$1775,'Opportunities'!$E$2:$E$1775,"=partner",'Opportunities'!$V$2:$V$1775,"=apac",'Opportunities'!$M$2:$M$1775,"=jun26")</f>
        <v>164800</v>
      </c>
      <c r="S113" s="4">
        <f>SUMIFS('Opportunities'!$H$2:$H$1775,'Opportunities'!$E$2:$E$1775,"=partner",'Opportunities'!$V$2:$V$1775,"=apac",'Opportunities'!$M$2:$M$1775,"=jul26")</f>
        <v>0</v>
      </c>
      <c r="T113" s="4">
        <f>SUMIFS('Opportunities'!$H$2:$H$1775,'Opportunities'!$E$2:$E$1775,"=partner",'Opportunities'!$V$2:$V$1775,"=apac",'Opportunities'!$M$2:$M$1775,"=aug26")</f>
        <v>78000</v>
      </c>
      <c r="U113" s="4">
        <f>SUMIFS('Opportunities'!$H$2:$H$1775,'Opportunities'!$E$2:$E$1775,"=partner",'Opportunities'!$V$2:$V$1775,"=apac",'Opportunities'!$M$2:$M$1775,"=sep26")</f>
        <v>193600</v>
      </c>
      <c r="V113" s="4">
        <f>SUMIFS('Opportunities'!$H$2:$H$1775,'Opportunities'!$E$2:$E$1775,"=partner",'Opportunities'!$V$2:$V$1775,"=apac",'Opportunities'!$M$2:$M$1775,"=oct26")</f>
        <v>0</v>
      </c>
      <c r="W113" s="4">
        <f>SUMIFS('Opportunities'!$H$2:$H$1775,'Opportunities'!$E$2:$E$1775,"=partner",'Opportunities'!$V$2:$V$1775,"=apac",'Opportunities'!$M$2:$M$1775,"=nov26")</f>
        <v>0</v>
      </c>
      <c r="X113" s="4">
        <f>SUMIFS('Opportunities'!$H$2:$H$1775,'Opportunities'!$E$2:$E$1775,"=partner",'Opportunities'!$V$2:$V$1775,"=apac",'Opportunities'!$M$2:$M$1775,"=dec26")</f>
        <v>0</v>
      </c>
    </row>
    <row r="114">
      <c r="A114" s="0" t="inlineStr">
        <is>
          <t xml:space="preserve">Pipeline created</t>
        </is>
      </c>
      <c r="B114" s="0" t="inlineStr">
        <is>
          <t xml:space="preserve">Outbound (BDR)</t>
        </is>
      </c>
      <c r="C114" s="0" t="inlineStr">
        <is>
          <t xml:space="preserve">AMER East</t>
        </is>
      </c>
      <c r="D114" s="4">
        <f>SUMIFS('Opportunities'!$H$2:$H$1775,'Opportunities'!$E$2:$E$1775,"=outbound",'Opportunities'!$V$2:$V$1775,"=amer_east",'Opportunities'!$M$2:$M$1775,"=apr25")</f>
        <v>236900</v>
      </c>
      <c r="E114" s="4">
        <f>SUMIFS('Opportunities'!$H$2:$H$1775,'Opportunities'!$E$2:$E$1775,"=outbound",'Opportunities'!$V$2:$V$1775,"=amer_east",'Opportunities'!$M$2:$M$1775,"=may25")</f>
        <v>273000</v>
      </c>
      <c r="F114" s="4">
        <f>SUMIFS('Opportunities'!$H$2:$H$1775,'Opportunities'!$E$2:$E$1775,"=outbound",'Opportunities'!$V$2:$V$1775,"=amer_east",'Opportunities'!$M$2:$M$1775,"=jun25")</f>
        <v>46200</v>
      </c>
      <c r="G114" s="4">
        <f>SUMIFS('Opportunities'!$H$2:$H$1775,'Opportunities'!$E$2:$E$1775,"=outbound",'Opportunities'!$V$2:$V$1775,"=amer_east",'Opportunities'!$M$2:$M$1775,"=jul25")</f>
        <v>350200</v>
      </c>
      <c r="H114" s="4">
        <f>SUMIFS('Opportunities'!$H$2:$H$1775,'Opportunities'!$E$2:$E$1775,"=outbound",'Opportunities'!$V$2:$V$1775,"=amer_east",'Opportunities'!$M$2:$M$1775,"=aug25")</f>
        <v>61400</v>
      </c>
      <c r="I114" s="4">
        <f>SUMIFS('Opportunities'!$H$2:$H$1775,'Opportunities'!$E$2:$E$1775,"=outbound",'Opportunities'!$V$2:$V$1775,"=amer_east",'Opportunities'!$M$2:$M$1775,"=sep25")</f>
        <v>116100</v>
      </c>
      <c r="J114" s="4">
        <f>SUMIFS('Opportunities'!$H$2:$H$1775,'Opportunities'!$E$2:$E$1775,"=outbound",'Opportunities'!$V$2:$V$1775,"=amer_east",'Opportunities'!$M$2:$M$1775,"=oct25")</f>
        <v>30900</v>
      </c>
      <c r="K114" s="4">
        <f>SUMIFS('Opportunities'!$H$2:$H$1775,'Opportunities'!$E$2:$E$1775,"=outbound",'Opportunities'!$V$2:$V$1775,"=amer_east",'Opportunities'!$M$2:$M$1775,"=nov25")</f>
        <v>78300</v>
      </c>
      <c r="L114" s="4">
        <f>SUMIFS('Opportunities'!$H$2:$H$1775,'Opportunities'!$E$2:$E$1775,"=outbound",'Opportunities'!$V$2:$V$1775,"=amer_east",'Opportunities'!$M$2:$M$1775,"=dec25")</f>
        <v>346500</v>
      </c>
      <c r="M114" s="4">
        <f>SUMIFS('Opportunities'!$H$2:$H$1775,'Opportunities'!$E$2:$E$1775,"=outbound",'Opportunities'!$V$2:$V$1775,"=amer_east",'Opportunities'!$M$2:$M$1775,"=jan26")</f>
        <v>237600</v>
      </c>
      <c r="N114" s="4">
        <f>SUMIFS('Opportunities'!$H$2:$H$1775,'Opportunities'!$E$2:$E$1775,"=outbound",'Opportunities'!$V$2:$V$1775,"=amer_east",'Opportunities'!$M$2:$M$1775,"=feb26")</f>
        <v>1174500</v>
      </c>
      <c r="O114" s="4">
        <f>SUMIFS('Opportunities'!$H$2:$H$1775,'Opportunities'!$E$2:$E$1775,"=outbound",'Opportunities'!$V$2:$V$1775,"=amer_east",'Opportunities'!$M$2:$M$1775,"=mar26")</f>
        <v>97400</v>
      </c>
      <c r="P114" s="4">
        <f>SUMIFS('Opportunities'!$H$2:$H$1775,'Opportunities'!$E$2:$E$1775,"=outbound",'Opportunities'!$V$2:$V$1775,"=amer_east",'Opportunities'!$M$2:$M$1775,"=apr26")</f>
        <v>147700</v>
      </c>
      <c r="Q114" s="4">
        <f>SUMIFS('Opportunities'!$H$2:$H$1775,'Opportunities'!$E$2:$E$1775,"=outbound",'Opportunities'!$V$2:$V$1775,"=amer_east",'Opportunities'!$M$2:$M$1775,"=may26")</f>
        <v>35200</v>
      </c>
      <c r="R114" s="4">
        <f>SUMIFS('Opportunities'!$H$2:$H$1775,'Opportunities'!$E$2:$E$1775,"=outbound",'Opportunities'!$V$2:$V$1775,"=amer_east",'Opportunities'!$M$2:$M$1775,"=jun26")</f>
        <v>260200</v>
      </c>
      <c r="S114" s="4">
        <f>SUMIFS('Opportunities'!$H$2:$H$1775,'Opportunities'!$E$2:$E$1775,"=outbound",'Opportunities'!$V$2:$V$1775,"=amer_east",'Opportunities'!$M$2:$M$1775,"=jul26")</f>
        <v>143400</v>
      </c>
      <c r="T114" s="4">
        <f>SUMIFS('Opportunities'!$H$2:$H$1775,'Opportunities'!$E$2:$E$1775,"=outbound",'Opportunities'!$V$2:$V$1775,"=amer_east",'Opportunities'!$M$2:$M$1775,"=aug26")</f>
        <v>85200</v>
      </c>
      <c r="U114" s="4">
        <f>SUMIFS('Opportunities'!$H$2:$H$1775,'Opportunities'!$E$2:$E$1775,"=outbound",'Opportunities'!$V$2:$V$1775,"=amer_east",'Opportunities'!$M$2:$M$1775,"=sep26")</f>
        <v>70000</v>
      </c>
      <c r="V114" s="4">
        <f>SUMIFS('Opportunities'!$H$2:$H$1775,'Opportunities'!$E$2:$E$1775,"=outbound",'Opportunities'!$V$2:$V$1775,"=amer_east",'Opportunities'!$M$2:$M$1775,"=oct26")</f>
        <v>0</v>
      </c>
      <c r="W114" s="4">
        <f>SUMIFS('Opportunities'!$H$2:$H$1775,'Opportunities'!$E$2:$E$1775,"=outbound",'Opportunities'!$V$2:$V$1775,"=amer_east",'Opportunities'!$M$2:$M$1775,"=nov26")</f>
        <v>0</v>
      </c>
      <c r="X114" s="4">
        <f>SUMIFS('Opportunities'!$H$2:$H$1775,'Opportunities'!$E$2:$E$1775,"=outbound",'Opportunities'!$V$2:$V$1775,"=amer_east",'Opportunities'!$M$2:$M$1775,"=dec26")</f>
        <v>0</v>
      </c>
    </row>
    <row r="115">
      <c r="A115" s="0" t="inlineStr">
        <is>
          <t xml:space="preserve">Pipeline created</t>
        </is>
      </c>
      <c r="B115" s="0" t="inlineStr">
        <is>
          <t xml:space="preserve">Outbound (BDR)</t>
        </is>
      </c>
      <c r="C115" s="0" t="inlineStr">
        <is>
          <t xml:space="preserve">AMER West</t>
        </is>
      </c>
      <c r="D115" s="4">
        <f>SUMIFS('Opportunities'!$H$2:$H$1775,'Opportunities'!$E$2:$E$1775,"=outbound",'Opportunities'!$V$2:$V$1775,"=amer_west",'Opportunities'!$M$2:$M$1775,"=apr25")</f>
        <v>344800</v>
      </c>
      <c r="E115" s="4">
        <f>SUMIFS('Opportunities'!$H$2:$H$1775,'Opportunities'!$E$2:$E$1775,"=outbound",'Opportunities'!$V$2:$V$1775,"=amer_west",'Opportunities'!$M$2:$M$1775,"=may25")</f>
        <v>750100</v>
      </c>
      <c r="F115" s="4">
        <f>SUMIFS('Opportunities'!$H$2:$H$1775,'Opportunities'!$E$2:$E$1775,"=outbound",'Opportunities'!$V$2:$V$1775,"=amer_west",'Opportunities'!$M$2:$M$1775,"=jun25")</f>
        <v>84200</v>
      </c>
      <c r="G115" s="4">
        <f>SUMIFS('Opportunities'!$H$2:$H$1775,'Opportunities'!$E$2:$E$1775,"=outbound",'Opportunities'!$V$2:$V$1775,"=amer_west",'Opportunities'!$M$2:$M$1775,"=jul25")</f>
        <v>170000</v>
      </c>
      <c r="H115" s="4">
        <f>SUMIFS('Opportunities'!$H$2:$H$1775,'Opportunities'!$E$2:$E$1775,"=outbound",'Opportunities'!$V$2:$V$1775,"=amer_west",'Opportunities'!$M$2:$M$1775,"=aug25")</f>
        <v>57300</v>
      </c>
      <c r="I115" s="4">
        <f>SUMIFS('Opportunities'!$H$2:$H$1775,'Opportunities'!$E$2:$E$1775,"=outbound",'Opportunities'!$V$2:$V$1775,"=amer_west",'Opportunities'!$M$2:$M$1775,"=sep25")</f>
        <v>304700</v>
      </c>
      <c r="J115" s="4">
        <f>SUMIFS('Opportunities'!$H$2:$H$1775,'Opportunities'!$E$2:$E$1775,"=outbound",'Opportunities'!$V$2:$V$1775,"=amer_west",'Opportunities'!$M$2:$M$1775,"=oct25")</f>
        <v>61200</v>
      </c>
      <c r="K115" s="4">
        <f>SUMIFS('Opportunities'!$H$2:$H$1775,'Opportunities'!$E$2:$E$1775,"=outbound",'Opportunities'!$V$2:$V$1775,"=amer_west",'Opportunities'!$M$2:$M$1775,"=nov25")</f>
        <v>231000</v>
      </c>
      <c r="L115" s="4">
        <f>SUMIFS('Opportunities'!$H$2:$H$1775,'Opportunities'!$E$2:$E$1775,"=outbound",'Opportunities'!$V$2:$V$1775,"=amer_west",'Opportunities'!$M$2:$M$1775,"=dec25")</f>
        <v>237600</v>
      </c>
      <c r="M115" s="4">
        <f>SUMIFS('Opportunities'!$H$2:$H$1775,'Opportunities'!$E$2:$E$1775,"=outbound",'Opportunities'!$V$2:$V$1775,"=amer_west",'Opportunities'!$M$2:$M$1775,"=jan26")</f>
        <v>247500</v>
      </c>
      <c r="N115" s="4">
        <f>SUMIFS('Opportunities'!$H$2:$H$1775,'Opportunities'!$E$2:$E$1775,"=outbound",'Opportunities'!$V$2:$V$1775,"=amer_west",'Opportunities'!$M$2:$M$1775,"=feb26")</f>
        <v>311000</v>
      </c>
      <c r="O115" s="4">
        <f>SUMIFS('Opportunities'!$H$2:$H$1775,'Opportunities'!$E$2:$E$1775,"=outbound",'Opportunities'!$V$2:$V$1775,"=amer_west",'Opportunities'!$M$2:$M$1775,"=mar26")</f>
        <v>276300</v>
      </c>
      <c r="P115" s="4">
        <f>SUMIFS('Opportunities'!$H$2:$H$1775,'Opportunities'!$E$2:$E$1775,"=outbound",'Opportunities'!$V$2:$V$1775,"=amer_west",'Opportunities'!$M$2:$M$1775,"=apr26")</f>
        <v>56200</v>
      </c>
      <c r="Q115" s="4">
        <f>SUMIFS('Opportunities'!$H$2:$H$1775,'Opportunities'!$E$2:$E$1775,"=outbound",'Opportunities'!$V$2:$V$1775,"=amer_west",'Opportunities'!$M$2:$M$1775,"=may26")</f>
        <v>277500</v>
      </c>
      <c r="R115" s="4">
        <f>SUMIFS('Opportunities'!$H$2:$H$1775,'Opportunities'!$E$2:$E$1775,"=outbound",'Opportunities'!$V$2:$V$1775,"=amer_west",'Opportunities'!$M$2:$M$1775,"=jun26")</f>
        <v>223700</v>
      </c>
      <c r="S115" s="4">
        <f>SUMIFS('Opportunities'!$H$2:$H$1775,'Opportunities'!$E$2:$E$1775,"=outbound",'Opportunities'!$V$2:$V$1775,"=amer_west",'Opportunities'!$M$2:$M$1775,"=jul26")</f>
        <v>106400</v>
      </c>
      <c r="T115" s="4">
        <f>SUMIFS('Opportunities'!$H$2:$H$1775,'Opportunities'!$E$2:$E$1775,"=outbound",'Opportunities'!$V$2:$V$1775,"=amer_west",'Opportunities'!$M$2:$M$1775,"=aug26")</f>
        <v>142300</v>
      </c>
      <c r="U115" s="4">
        <f>SUMIFS('Opportunities'!$H$2:$H$1775,'Opportunities'!$E$2:$E$1775,"=outbound",'Opportunities'!$V$2:$V$1775,"=amer_west",'Opportunities'!$M$2:$M$1775,"=sep26")</f>
        <v>18500</v>
      </c>
      <c r="V115" s="4">
        <f>SUMIFS('Opportunities'!$H$2:$H$1775,'Opportunities'!$E$2:$E$1775,"=outbound",'Opportunities'!$V$2:$V$1775,"=amer_west",'Opportunities'!$M$2:$M$1775,"=oct26")</f>
        <v>0</v>
      </c>
      <c r="W115" s="4">
        <f>SUMIFS('Opportunities'!$H$2:$H$1775,'Opportunities'!$E$2:$E$1775,"=outbound",'Opportunities'!$V$2:$V$1775,"=amer_west",'Opportunities'!$M$2:$M$1775,"=nov26")</f>
        <v>0</v>
      </c>
      <c r="X115" s="4">
        <f>SUMIFS('Opportunities'!$H$2:$H$1775,'Opportunities'!$E$2:$E$1775,"=outbound",'Opportunities'!$V$2:$V$1775,"=amer_west",'Opportunities'!$M$2:$M$1775,"=dec26")</f>
        <v>0</v>
      </c>
    </row>
    <row r="116">
      <c r="A116" s="0" t="inlineStr">
        <is>
          <t xml:space="preserve">Pipeline created</t>
        </is>
      </c>
      <c r="B116" s="0" t="inlineStr">
        <is>
          <t xml:space="preserve">Outbound (BDR)</t>
        </is>
      </c>
      <c r="C116" s="0" t="inlineStr">
        <is>
          <t xml:space="preserve">EMEA</t>
        </is>
      </c>
      <c r="D116" s="4">
        <f>SUMIFS('Opportunities'!$H$2:$H$1775,'Opportunities'!$E$2:$E$1775,"=outbound",'Opportunities'!$V$2:$V$1775,"=emea",'Opportunities'!$M$2:$M$1775,"=apr25")</f>
        <v>89300</v>
      </c>
      <c r="E116" s="4">
        <f>SUMIFS('Opportunities'!$H$2:$H$1775,'Opportunities'!$E$2:$E$1775,"=outbound",'Opportunities'!$V$2:$V$1775,"=emea",'Opportunities'!$M$2:$M$1775,"=may25")</f>
        <v>260200</v>
      </c>
      <c r="F116" s="4">
        <f>SUMIFS('Opportunities'!$H$2:$H$1775,'Opportunities'!$E$2:$E$1775,"=outbound",'Opportunities'!$V$2:$V$1775,"=emea",'Opportunities'!$M$2:$M$1775,"=jun25")</f>
        <v>327500</v>
      </c>
      <c r="G116" s="4">
        <f>SUMIFS('Opportunities'!$H$2:$H$1775,'Opportunities'!$E$2:$E$1775,"=outbound",'Opportunities'!$V$2:$V$1775,"=emea",'Opportunities'!$M$2:$M$1775,"=jul25")</f>
        <v>185200</v>
      </c>
      <c r="H116" s="4">
        <f>SUMIFS('Opportunities'!$H$2:$H$1775,'Opportunities'!$E$2:$E$1775,"=outbound",'Opportunities'!$V$2:$V$1775,"=emea",'Opportunities'!$M$2:$M$1775,"=aug25")</f>
        <v>464900</v>
      </c>
      <c r="I116" s="4">
        <f>SUMIFS('Opportunities'!$H$2:$H$1775,'Opportunities'!$E$2:$E$1775,"=outbound",'Opportunities'!$V$2:$V$1775,"=emea",'Opportunities'!$M$2:$M$1775,"=sep25")</f>
        <v>340100</v>
      </c>
      <c r="J116" s="4">
        <f>SUMIFS('Opportunities'!$H$2:$H$1775,'Opportunities'!$E$2:$E$1775,"=outbound",'Opportunities'!$V$2:$V$1775,"=emea",'Opportunities'!$M$2:$M$1775,"=oct25")</f>
        <v>99100</v>
      </c>
      <c r="K116" s="4">
        <f>SUMIFS('Opportunities'!$H$2:$H$1775,'Opportunities'!$E$2:$E$1775,"=outbound",'Opportunities'!$V$2:$V$1775,"=emea",'Opportunities'!$M$2:$M$1775,"=nov25")</f>
        <v>66700</v>
      </c>
      <c r="L116" s="4">
        <f>SUMIFS('Opportunities'!$H$2:$H$1775,'Opportunities'!$E$2:$E$1775,"=outbound",'Opportunities'!$V$2:$V$1775,"=emea",'Opportunities'!$M$2:$M$1775,"=dec25")</f>
        <v>106000</v>
      </c>
      <c r="M116" s="4">
        <f>SUMIFS('Opportunities'!$H$2:$H$1775,'Opportunities'!$E$2:$E$1775,"=outbound",'Opportunities'!$V$2:$V$1775,"=emea",'Opportunities'!$M$2:$M$1775,"=jan26")</f>
        <v>256600</v>
      </c>
      <c r="N116" s="4">
        <f>SUMIFS('Opportunities'!$H$2:$H$1775,'Opportunities'!$E$2:$E$1775,"=outbound",'Opportunities'!$V$2:$V$1775,"=emea",'Opportunities'!$M$2:$M$1775,"=feb26")</f>
        <v>488600</v>
      </c>
      <c r="O116" s="4">
        <f>SUMIFS('Opportunities'!$H$2:$H$1775,'Opportunities'!$E$2:$E$1775,"=outbound",'Opportunities'!$V$2:$V$1775,"=emea",'Opportunities'!$M$2:$M$1775,"=mar26")</f>
        <v>18300</v>
      </c>
      <c r="P116" s="4">
        <f>SUMIFS('Opportunities'!$H$2:$H$1775,'Opportunities'!$E$2:$E$1775,"=outbound",'Opportunities'!$V$2:$V$1775,"=emea",'Opportunities'!$M$2:$M$1775,"=apr26")</f>
        <v>112200</v>
      </c>
      <c r="Q116" s="4">
        <f>SUMIFS('Opportunities'!$H$2:$H$1775,'Opportunities'!$E$2:$E$1775,"=outbound",'Opportunities'!$V$2:$V$1775,"=emea",'Opportunities'!$M$2:$M$1775,"=may26")</f>
        <v>530200</v>
      </c>
      <c r="R116" s="4">
        <f>SUMIFS('Opportunities'!$H$2:$H$1775,'Opportunities'!$E$2:$E$1775,"=outbound",'Opportunities'!$V$2:$V$1775,"=emea",'Opportunities'!$M$2:$M$1775,"=jun26")</f>
        <v>224500</v>
      </c>
      <c r="S116" s="4">
        <f>SUMIFS('Opportunities'!$H$2:$H$1775,'Opportunities'!$E$2:$E$1775,"=outbound",'Opportunities'!$V$2:$V$1775,"=emea",'Opportunities'!$M$2:$M$1775,"=jul26")</f>
        <v>32100</v>
      </c>
      <c r="T116" s="4">
        <f>SUMIFS('Opportunities'!$H$2:$H$1775,'Opportunities'!$E$2:$E$1775,"=outbound",'Opportunities'!$V$2:$V$1775,"=emea",'Opportunities'!$M$2:$M$1775,"=aug26")</f>
        <v>123400</v>
      </c>
      <c r="U116" s="4">
        <f>SUMIFS('Opportunities'!$H$2:$H$1775,'Opportunities'!$E$2:$E$1775,"=outbound",'Opportunities'!$V$2:$V$1775,"=emea",'Opportunities'!$M$2:$M$1775,"=sep26")</f>
        <v>0</v>
      </c>
      <c r="V116" s="4">
        <f>SUMIFS('Opportunities'!$H$2:$H$1775,'Opportunities'!$E$2:$E$1775,"=outbound",'Opportunities'!$V$2:$V$1775,"=emea",'Opportunities'!$M$2:$M$1775,"=oct26")</f>
        <v>0</v>
      </c>
      <c r="W116" s="4">
        <f>SUMIFS('Opportunities'!$H$2:$H$1775,'Opportunities'!$E$2:$E$1775,"=outbound",'Opportunities'!$V$2:$V$1775,"=emea",'Opportunities'!$M$2:$M$1775,"=nov26")</f>
        <v>0</v>
      </c>
      <c r="X116" s="4">
        <f>SUMIFS('Opportunities'!$H$2:$H$1775,'Opportunities'!$E$2:$E$1775,"=outbound",'Opportunities'!$V$2:$V$1775,"=emea",'Opportunities'!$M$2:$M$1775,"=dec26")</f>
        <v>0</v>
      </c>
    </row>
    <row r="117">
      <c r="A117" s="0" t="inlineStr">
        <is>
          <t xml:space="preserve">Pipeline created</t>
        </is>
      </c>
      <c r="B117" s="0" t="inlineStr">
        <is>
          <t xml:space="preserve">Outbound (BDR)</t>
        </is>
      </c>
      <c r="C117" s="0" t="inlineStr">
        <is>
          <t xml:space="preserve">APAC</t>
        </is>
      </c>
      <c r="D117" s="4">
        <f>SUMIFS('Opportunities'!$H$2:$H$1775,'Opportunities'!$E$2:$E$1775,"=outbound",'Opportunities'!$V$2:$V$1775,"=apac",'Opportunities'!$M$2:$M$1775,"=apr25")</f>
        <v>205600</v>
      </c>
      <c r="E117" s="4">
        <f>SUMIFS('Opportunities'!$H$2:$H$1775,'Opportunities'!$E$2:$E$1775,"=outbound",'Opportunities'!$V$2:$V$1775,"=apac",'Opportunities'!$M$2:$M$1775,"=may25")</f>
        <v>281300</v>
      </c>
      <c r="F117" s="4">
        <f>SUMIFS('Opportunities'!$H$2:$H$1775,'Opportunities'!$E$2:$E$1775,"=outbound",'Opportunities'!$V$2:$V$1775,"=apac",'Opportunities'!$M$2:$M$1775,"=jun25")</f>
        <v>216900</v>
      </c>
      <c r="G117" s="4">
        <f>SUMIFS('Opportunities'!$H$2:$H$1775,'Opportunities'!$E$2:$E$1775,"=outbound",'Opportunities'!$V$2:$V$1775,"=apac",'Opportunities'!$M$2:$M$1775,"=jul25")</f>
        <v>120800</v>
      </c>
      <c r="H117" s="4">
        <f>SUMIFS('Opportunities'!$H$2:$H$1775,'Opportunities'!$E$2:$E$1775,"=outbound",'Opportunities'!$V$2:$V$1775,"=apac",'Opportunities'!$M$2:$M$1775,"=aug25")</f>
        <v>278800</v>
      </c>
      <c r="I117" s="4">
        <f>SUMIFS('Opportunities'!$H$2:$H$1775,'Opportunities'!$E$2:$E$1775,"=outbound",'Opportunities'!$V$2:$V$1775,"=apac",'Opportunities'!$M$2:$M$1775,"=sep25")</f>
        <v>228300</v>
      </c>
      <c r="J117" s="4">
        <f>SUMIFS('Opportunities'!$H$2:$H$1775,'Opportunities'!$E$2:$E$1775,"=outbound",'Opportunities'!$V$2:$V$1775,"=apac",'Opportunities'!$M$2:$M$1775,"=oct25")</f>
        <v>173000</v>
      </c>
      <c r="K117" s="4">
        <f>SUMIFS('Opportunities'!$H$2:$H$1775,'Opportunities'!$E$2:$E$1775,"=outbound",'Opportunities'!$V$2:$V$1775,"=apac",'Opportunities'!$M$2:$M$1775,"=nov25")</f>
        <v>220100</v>
      </c>
      <c r="L117" s="4">
        <f>SUMIFS('Opportunities'!$H$2:$H$1775,'Opportunities'!$E$2:$E$1775,"=outbound",'Opportunities'!$V$2:$V$1775,"=apac",'Opportunities'!$M$2:$M$1775,"=dec25")</f>
        <v>93900</v>
      </c>
      <c r="M117" s="4">
        <f>SUMIFS('Opportunities'!$H$2:$H$1775,'Opportunities'!$E$2:$E$1775,"=outbound",'Opportunities'!$V$2:$V$1775,"=apac",'Opportunities'!$M$2:$M$1775,"=jan26")</f>
        <v>101300</v>
      </c>
      <c r="N117" s="4">
        <f>SUMIFS('Opportunities'!$H$2:$H$1775,'Opportunities'!$E$2:$E$1775,"=outbound",'Opportunities'!$V$2:$V$1775,"=apac",'Opportunities'!$M$2:$M$1775,"=feb26")</f>
        <v>167500</v>
      </c>
      <c r="O117" s="4">
        <f>SUMIFS('Opportunities'!$H$2:$H$1775,'Opportunities'!$E$2:$E$1775,"=outbound",'Opportunities'!$V$2:$V$1775,"=apac",'Opportunities'!$M$2:$M$1775,"=mar26")</f>
        <v>654600</v>
      </c>
      <c r="P117" s="4">
        <f>SUMIFS('Opportunities'!$H$2:$H$1775,'Opportunities'!$E$2:$E$1775,"=outbound",'Opportunities'!$V$2:$V$1775,"=apac",'Opportunities'!$M$2:$M$1775,"=apr26")</f>
        <v>266700</v>
      </c>
      <c r="Q117" s="4">
        <f>SUMIFS('Opportunities'!$H$2:$H$1775,'Opportunities'!$E$2:$E$1775,"=outbound",'Opportunities'!$V$2:$V$1775,"=apac",'Opportunities'!$M$2:$M$1775,"=may26")</f>
        <v>365700</v>
      </c>
      <c r="R117" s="4">
        <f>SUMIFS('Opportunities'!$H$2:$H$1775,'Opportunities'!$E$2:$E$1775,"=outbound",'Opportunities'!$V$2:$V$1775,"=apac",'Opportunities'!$M$2:$M$1775,"=jun26")</f>
        <v>398900</v>
      </c>
      <c r="S117" s="4">
        <f>SUMIFS('Opportunities'!$H$2:$H$1775,'Opportunities'!$E$2:$E$1775,"=outbound",'Opportunities'!$V$2:$V$1775,"=apac",'Opportunities'!$M$2:$M$1775,"=jul26")</f>
        <v>104200</v>
      </c>
      <c r="T117" s="4">
        <f>SUMIFS('Opportunities'!$H$2:$H$1775,'Opportunities'!$E$2:$E$1775,"=outbound",'Opportunities'!$V$2:$V$1775,"=apac",'Opportunities'!$M$2:$M$1775,"=aug26")</f>
        <v>241500</v>
      </c>
      <c r="U117" s="4">
        <f>SUMIFS('Opportunities'!$H$2:$H$1775,'Opportunities'!$E$2:$E$1775,"=outbound",'Opportunities'!$V$2:$V$1775,"=apac",'Opportunities'!$M$2:$M$1775,"=sep26")</f>
        <v>446200</v>
      </c>
      <c r="V117" s="4">
        <f>SUMIFS('Opportunities'!$H$2:$H$1775,'Opportunities'!$E$2:$E$1775,"=outbound",'Opportunities'!$V$2:$V$1775,"=apac",'Opportunities'!$M$2:$M$1775,"=oct26")</f>
        <v>0</v>
      </c>
      <c r="W117" s="4">
        <f>SUMIFS('Opportunities'!$H$2:$H$1775,'Opportunities'!$E$2:$E$1775,"=outbound",'Opportunities'!$V$2:$V$1775,"=apac",'Opportunities'!$M$2:$M$1775,"=nov26")</f>
        <v>0</v>
      </c>
      <c r="X117" s="4">
        <f>SUMIFS('Opportunities'!$H$2:$H$1775,'Opportunities'!$E$2:$E$1775,"=outbound",'Opportunities'!$V$2:$V$1775,"=apac",'Opportunities'!$M$2:$M$1775,"=dec26")</f>
        <v>0</v>
      </c>
    </row>
    <row r="118">
      <c r="A118" s="0" t="inlineStr">
        <is>
          <t xml:space="preserve">Pipeline created</t>
        </is>
      </c>
      <c r="B118" s="0" t="inlineStr">
        <is>
          <t xml:space="preserve">Customer referral</t>
        </is>
      </c>
      <c r="C118" s="0" t="inlineStr">
        <is>
          <t xml:space="preserve">AMER East</t>
        </is>
      </c>
      <c r="D118" s="4">
        <f>SUMIFS('Opportunities'!$H$2:$H$1775,'Opportunities'!$E$2:$E$1775,"=referral",'Opportunities'!$V$2:$V$1775,"=amer_east",'Opportunities'!$M$2:$M$1775,"=apr25")</f>
        <v>238300</v>
      </c>
      <c r="E118" s="4">
        <f>SUMIFS('Opportunities'!$H$2:$H$1775,'Opportunities'!$E$2:$E$1775,"=referral",'Opportunities'!$V$2:$V$1775,"=amer_east",'Opportunities'!$M$2:$M$1775,"=may25")</f>
        <v>7300</v>
      </c>
      <c r="F118" s="4">
        <f>SUMIFS('Opportunities'!$H$2:$H$1775,'Opportunities'!$E$2:$E$1775,"=referral",'Opportunities'!$V$2:$V$1775,"=amer_east",'Opportunities'!$M$2:$M$1775,"=jun25")</f>
        <v>65300</v>
      </c>
      <c r="G118" s="4">
        <f>SUMIFS('Opportunities'!$H$2:$H$1775,'Opportunities'!$E$2:$E$1775,"=referral",'Opportunities'!$V$2:$V$1775,"=amer_east",'Opportunities'!$M$2:$M$1775,"=jul25")</f>
        <v>196800</v>
      </c>
      <c r="H118" s="4">
        <f>SUMIFS('Opportunities'!$H$2:$H$1775,'Opportunities'!$E$2:$E$1775,"=referral",'Opportunities'!$V$2:$V$1775,"=amer_east",'Opportunities'!$M$2:$M$1775,"=aug25")</f>
        <v>0</v>
      </c>
      <c r="I118" s="4">
        <f>SUMIFS('Opportunities'!$H$2:$H$1775,'Opportunities'!$E$2:$E$1775,"=referral",'Opportunities'!$V$2:$V$1775,"=amer_east",'Opportunities'!$M$2:$M$1775,"=sep25")</f>
        <v>94300</v>
      </c>
      <c r="J118" s="4">
        <f>SUMIFS('Opportunities'!$H$2:$H$1775,'Opportunities'!$E$2:$E$1775,"=referral",'Opportunities'!$V$2:$V$1775,"=amer_east",'Opportunities'!$M$2:$M$1775,"=oct25")</f>
        <v>9800</v>
      </c>
      <c r="K118" s="4">
        <f>SUMIFS('Opportunities'!$H$2:$H$1775,'Opportunities'!$E$2:$E$1775,"=referral",'Opportunities'!$V$2:$V$1775,"=amer_east",'Opportunities'!$M$2:$M$1775,"=nov25")</f>
        <v>73700</v>
      </c>
      <c r="L118" s="4">
        <f>SUMIFS('Opportunities'!$H$2:$H$1775,'Opportunities'!$E$2:$E$1775,"=referral",'Opportunities'!$V$2:$V$1775,"=amer_east",'Opportunities'!$M$2:$M$1775,"=dec25")</f>
        <v>363800</v>
      </c>
      <c r="M118" s="4">
        <f>SUMIFS('Opportunities'!$H$2:$H$1775,'Opportunities'!$E$2:$E$1775,"=referral",'Opportunities'!$V$2:$V$1775,"=amer_east",'Opportunities'!$M$2:$M$1775,"=jan26")</f>
        <v>43200</v>
      </c>
      <c r="N118" s="4">
        <f>SUMIFS('Opportunities'!$H$2:$H$1775,'Opportunities'!$E$2:$E$1775,"=referral",'Opportunities'!$V$2:$V$1775,"=amer_east",'Opportunities'!$M$2:$M$1775,"=feb26")</f>
        <v>26200</v>
      </c>
      <c r="O118" s="4">
        <f>SUMIFS('Opportunities'!$H$2:$H$1775,'Opportunities'!$E$2:$E$1775,"=referral",'Opportunities'!$V$2:$V$1775,"=amer_east",'Opportunities'!$M$2:$M$1775,"=mar26")</f>
        <v>93800</v>
      </c>
      <c r="P118" s="4">
        <f>SUMIFS('Opportunities'!$H$2:$H$1775,'Opportunities'!$E$2:$E$1775,"=referral",'Opportunities'!$V$2:$V$1775,"=amer_east",'Opportunities'!$M$2:$M$1775,"=apr26")</f>
        <v>48000</v>
      </c>
      <c r="Q118" s="4">
        <f>SUMIFS('Opportunities'!$H$2:$H$1775,'Opportunities'!$E$2:$E$1775,"=referral",'Opportunities'!$V$2:$V$1775,"=amer_east",'Opportunities'!$M$2:$M$1775,"=may26")</f>
        <v>229600</v>
      </c>
      <c r="R118" s="4">
        <f>SUMIFS('Opportunities'!$H$2:$H$1775,'Opportunities'!$E$2:$E$1775,"=referral",'Opportunities'!$V$2:$V$1775,"=amer_east",'Opportunities'!$M$2:$M$1775,"=jun26")</f>
        <v>10500</v>
      </c>
      <c r="S118" s="4">
        <f>SUMIFS('Opportunities'!$H$2:$H$1775,'Opportunities'!$E$2:$E$1775,"=referral",'Opportunities'!$V$2:$V$1775,"=amer_east",'Opportunities'!$M$2:$M$1775,"=jul26")</f>
        <v>122900</v>
      </c>
      <c r="T118" s="4">
        <f>SUMIFS('Opportunities'!$H$2:$H$1775,'Opportunities'!$E$2:$E$1775,"=referral",'Opportunities'!$V$2:$V$1775,"=amer_east",'Opportunities'!$M$2:$M$1775,"=aug26")</f>
        <v>183900</v>
      </c>
      <c r="U118" s="4">
        <f>SUMIFS('Opportunities'!$H$2:$H$1775,'Opportunities'!$E$2:$E$1775,"=referral",'Opportunities'!$V$2:$V$1775,"=amer_east",'Opportunities'!$M$2:$M$1775,"=sep26")</f>
        <v>84800</v>
      </c>
      <c r="V118" s="4">
        <f>SUMIFS('Opportunities'!$H$2:$H$1775,'Opportunities'!$E$2:$E$1775,"=referral",'Opportunities'!$V$2:$V$1775,"=amer_east",'Opportunities'!$M$2:$M$1775,"=oct26")</f>
        <v>0</v>
      </c>
      <c r="W118" s="4">
        <f>SUMIFS('Opportunities'!$H$2:$H$1775,'Opportunities'!$E$2:$E$1775,"=referral",'Opportunities'!$V$2:$V$1775,"=amer_east",'Opportunities'!$M$2:$M$1775,"=nov26")</f>
        <v>0</v>
      </c>
      <c r="X118" s="4">
        <f>SUMIFS('Opportunities'!$H$2:$H$1775,'Opportunities'!$E$2:$E$1775,"=referral",'Opportunities'!$V$2:$V$1775,"=amer_east",'Opportunities'!$M$2:$M$1775,"=dec26")</f>
        <v>0</v>
      </c>
    </row>
    <row r="119">
      <c r="A119" s="0" t="inlineStr">
        <is>
          <t xml:space="preserve">Pipeline created</t>
        </is>
      </c>
      <c r="B119" s="0" t="inlineStr">
        <is>
          <t xml:space="preserve">Customer referral</t>
        </is>
      </c>
      <c r="C119" s="0" t="inlineStr">
        <is>
          <t xml:space="preserve">AMER West</t>
        </is>
      </c>
      <c r="D119" s="4">
        <f>SUMIFS('Opportunities'!$H$2:$H$1775,'Opportunities'!$E$2:$E$1775,"=referral",'Opportunities'!$V$2:$V$1775,"=amer_west",'Opportunities'!$M$2:$M$1775,"=apr25")</f>
        <v>206800</v>
      </c>
      <c r="E119" s="4">
        <f>SUMIFS('Opportunities'!$H$2:$H$1775,'Opportunities'!$E$2:$E$1775,"=referral",'Opportunities'!$V$2:$V$1775,"=amer_west",'Opportunities'!$M$2:$M$1775,"=may25")</f>
        <v>45300</v>
      </c>
      <c r="F119" s="4">
        <f>SUMIFS('Opportunities'!$H$2:$H$1775,'Opportunities'!$E$2:$E$1775,"=referral",'Opportunities'!$V$2:$V$1775,"=amer_west",'Opportunities'!$M$2:$M$1775,"=jun25")</f>
        <v>10900</v>
      </c>
      <c r="G119" s="4">
        <f>SUMIFS('Opportunities'!$H$2:$H$1775,'Opportunities'!$E$2:$E$1775,"=referral",'Opportunities'!$V$2:$V$1775,"=amer_west",'Opportunities'!$M$2:$M$1775,"=jul25")</f>
        <v>54800</v>
      </c>
      <c r="H119" s="4">
        <f>SUMIFS('Opportunities'!$H$2:$H$1775,'Opportunities'!$E$2:$E$1775,"=referral",'Opportunities'!$V$2:$V$1775,"=amer_west",'Opportunities'!$M$2:$M$1775,"=aug25")</f>
        <v>0</v>
      </c>
      <c r="I119" s="4">
        <f>SUMIFS('Opportunities'!$H$2:$H$1775,'Opportunities'!$E$2:$E$1775,"=referral",'Opportunities'!$V$2:$V$1775,"=amer_west",'Opportunities'!$M$2:$M$1775,"=sep25")</f>
        <v>165700</v>
      </c>
      <c r="J119" s="4">
        <f>SUMIFS('Opportunities'!$H$2:$H$1775,'Opportunities'!$E$2:$E$1775,"=referral",'Opportunities'!$V$2:$V$1775,"=amer_west",'Opportunities'!$M$2:$M$1775,"=oct25")</f>
        <v>399400</v>
      </c>
      <c r="K119" s="4">
        <f>SUMIFS('Opportunities'!$H$2:$H$1775,'Opportunities'!$E$2:$E$1775,"=referral",'Opportunities'!$V$2:$V$1775,"=amer_west",'Opportunities'!$M$2:$M$1775,"=nov25")</f>
        <v>568500</v>
      </c>
      <c r="L119" s="4">
        <f>SUMIFS('Opportunities'!$H$2:$H$1775,'Opportunities'!$E$2:$E$1775,"=referral",'Opportunities'!$V$2:$V$1775,"=amer_west",'Opportunities'!$M$2:$M$1775,"=dec25")</f>
        <v>33900</v>
      </c>
      <c r="M119" s="4">
        <f>SUMIFS('Opportunities'!$H$2:$H$1775,'Opportunities'!$E$2:$E$1775,"=referral",'Opportunities'!$V$2:$V$1775,"=amer_west",'Opportunities'!$M$2:$M$1775,"=jan26")</f>
        <v>34800</v>
      </c>
      <c r="N119" s="4">
        <f>SUMIFS('Opportunities'!$H$2:$H$1775,'Opportunities'!$E$2:$E$1775,"=referral",'Opportunities'!$V$2:$V$1775,"=amer_west",'Opportunities'!$M$2:$M$1775,"=feb26")</f>
        <v>19400</v>
      </c>
      <c r="O119" s="4">
        <f>SUMIFS('Opportunities'!$H$2:$H$1775,'Opportunities'!$E$2:$E$1775,"=referral",'Opportunities'!$V$2:$V$1775,"=amer_west",'Opportunities'!$M$2:$M$1775,"=mar26")</f>
        <v>115100</v>
      </c>
      <c r="P119" s="4">
        <f>SUMIFS('Opportunities'!$H$2:$H$1775,'Opportunities'!$E$2:$E$1775,"=referral",'Opportunities'!$V$2:$V$1775,"=amer_west",'Opportunities'!$M$2:$M$1775,"=apr26")</f>
        <v>44700</v>
      </c>
      <c r="Q119" s="4">
        <f>SUMIFS('Opportunities'!$H$2:$H$1775,'Opportunities'!$E$2:$E$1775,"=referral",'Opportunities'!$V$2:$V$1775,"=amer_west",'Opportunities'!$M$2:$M$1775,"=may26")</f>
        <v>108400</v>
      </c>
      <c r="R119" s="4">
        <f>SUMIFS('Opportunities'!$H$2:$H$1775,'Opportunities'!$E$2:$E$1775,"=referral",'Opportunities'!$V$2:$V$1775,"=amer_west",'Opportunities'!$M$2:$M$1775,"=jun26")</f>
        <v>161400</v>
      </c>
      <c r="S119" s="4">
        <f>SUMIFS('Opportunities'!$H$2:$H$1775,'Opportunities'!$E$2:$E$1775,"=referral",'Opportunities'!$V$2:$V$1775,"=amer_west",'Opportunities'!$M$2:$M$1775,"=jul26")</f>
        <v>182900</v>
      </c>
      <c r="T119" s="4">
        <f>SUMIFS('Opportunities'!$H$2:$H$1775,'Opportunities'!$E$2:$E$1775,"=referral",'Opportunities'!$V$2:$V$1775,"=amer_west",'Opportunities'!$M$2:$M$1775,"=aug26")</f>
        <v>64700</v>
      </c>
      <c r="U119" s="4">
        <f>SUMIFS('Opportunities'!$H$2:$H$1775,'Opportunities'!$E$2:$E$1775,"=referral",'Opportunities'!$V$2:$V$1775,"=amer_west",'Opportunities'!$M$2:$M$1775,"=sep26")</f>
        <v>0</v>
      </c>
      <c r="V119" s="4">
        <f>SUMIFS('Opportunities'!$H$2:$H$1775,'Opportunities'!$E$2:$E$1775,"=referral",'Opportunities'!$V$2:$V$1775,"=amer_west",'Opportunities'!$M$2:$M$1775,"=oct26")</f>
        <v>0</v>
      </c>
      <c r="W119" s="4">
        <f>SUMIFS('Opportunities'!$H$2:$H$1775,'Opportunities'!$E$2:$E$1775,"=referral",'Opportunities'!$V$2:$V$1775,"=amer_west",'Opportunities'!$M$2:$M$1775,"=nov26")</f>
        <v>0</v>
      </c>
      <c r="X119" s="4">
        <f>SUMIFS('Opportunities'!$H$2:$H$1775,'Opportunities'!$E$2:$E$1775,"=referral",'Opportunities'!$V$2:$V$1775,"=amer_west",'Opportunities'!$M$2:$M$1775,"=dec26")</f>
        <v>0</v>
      </c>
    </row>
    <row r="120">
      <c r="A120" s="0" t="inlineStr">
        <is>
          <t xml:space="preserve">Pipeline created</t>
        </is>
      </c>
      <c r="B120" s="0" t="inlineStr">
        <is>
          <t xml:space="preserve">Customer referral</t>
        </is>
      </c>
      <c r="C120" s="0" t="inlineStr">
        <is>
          <t xml:space="preserve">EMEA</t>
        </is>
      </c>
      <c r="D120" s="4">
        <f>SUMIFS('Opportunities'!$H$2:$H$1775,'Opportunities'!$E$2:$E$1775,"=referral",'Opportunities'!$V$2:$V$1775,"=emea",'Opportunities'!$M$2:$M$1775,"=apr25")</f>
        <v>175000</v>
      </c>
      <c r="E120" s="4">
        <f>SUMIFS('Opportunities'!$H$2:$H$1775,'Opportunities'!$E$2:$E$1775,"=referral",'Opportunities'!$V$2:$V$1775,"=emea",'Opportunities'!$M$2:$M$1775,"=may25")</f>
        <v>181200</v>
      </c>
      <c r="F120" s="4">
        <f>SUMIFS('Opportunities'!$H$2:$H$1775,'Opportunities'!$E$2:$E$1775,"=referral",'Opportunities'!$V$2:$V$1775,"=emea",'Opportunities'!$M$2:$M$1775,"=jun25")</f>
        <v>38100</v>
      </c>
      <c r="G120" s="4">
        <f>SUMIFS('Opportunities'!$H$2:$H$1775,'Opportunities'!$E$2:$E$1775,"=referral",'Opportunities'!$V$2:$V$1775,"=emea",'Opportunities'!$M$2:$M$1775,"=jul25")</f>
        <v>57300</v>
      </c>
      <c r="H120" s="4">
        <f>SUMIFS('Opportunities'!$H$2:$H$1775,'Opportunities'!$E$2:$E$1775,"=referral",'Opportunities'!$V$2:$V$1775,"=emea",'Opportunities'!$M$2:$M$1775,"=aug25")</f>
        <v>70500</v>
      </c>
      <c r="I120" s="4">
        <f>SUMIFS('Opportunities'!$H$2:$H$1775,'Opportunities'!$E$2:$E$1775,"=referral",'Opportunities'!$V$2:$V$1775,"=emea",'Opportunities'!$M$2:$M$1775,"=sep25")</f>
        <v>36400</v>
      </c>
      <c r="J120" s="4">
        <f>SUMIFS('Opportunities'!$H$2:$H$1775,'Opportunities'!$E$2:$E$1775,"=referral",'Opportunities'!$V$2:$V$1775,"=emea",'Opportunities'!$M$2:$M$1775,"=oct25")</f>
        <v>29000</v>
      </c>
      <c r="K120" s="4">
        <f>SUMIFS('Opportunities'!$H$2:$H$1775,'Opportunities'!$E$2:$E$1775,"=referral",'Opportunities'!$V$2:$V$1775,"=emea",'Opportunities'!$M$2:$M$1775,"=nov25")</f>
        <v>0</v>
      </c>
      <c r="L120" s="4">
        <f>SUMIFS('Opportunities'!$H$2:$H$1775,'Opportunities'!$E$2:$E$1775,"=referral",'Opportunities'!$V$2:$V$1775,"=emea",'Opportunities'!$M$2:$M$1775,"=dec25")</f>
        <v>13400</v>
      </c>
      <c r="M120" s="4">
        <f>SUMIFS('Opportunities'!$H$2:$H$1775,'Opportunities'!$E$2:$E$1775,"=referral",'Opportunities'!$V$2:$V$1775,"=emea",'Opportunities'!$M$2:$M$1775,"=jan26")</f>
        <v>388500</v>
      </c>
      <c r="N120" s="4">
        <f>SUMIFS('Opportunities'!$H$2:$H$1775,'Opportunities'!$E$2:$E$1775,"=referral",'Opportunities'!$V$2:$V$1775,"=emea",'Opportunities'!$M$2:$M$1775,"=feb26")</f>
        <v>24300</v>
      </c>
      <c r="O120" s="4">
        <f>SUMIFS('Opportunities'!$H$2:$H$1775,'Opportunities'!$E$2:$E$1775,"=referral",'Opportunities'!$V$2:$V$1775,"=emea",'Opportunities'!$M$2:$M$1775,"=mar26")</f>
        <v>0</v>
      </c>
      <c r="P120" s="4">
        <f>SUMIFS('Opportunities'!$H$2:$H$1775,'Opportunities'!$E$2:$E$1775,"=referral",'Opportunities'!$V$2:$V$1775,"=emea",'Opportunities'!$M$2:$M$1775,"=apr26")</f>
        <v>8400</v>
      </c>
      <c r="Q120" s="4">
        <f>SUMIFS('Opportunities'!$H$2:$H$1775,'Opportunities'!$E$2:$E$1775,"=referral",'Opportunities'!$V$2:$V$1775,"=emea",'Opportunities'!$M$2:$M$1775,"=may26")</f>
        <v>59800</v>
      </c>
      <c r="R120" s="4">
        <f>SUMIFS('Opportunities'!$H$2:$H$1775,'Opportunities'!$E$2:$E$1775,"=referral",'Opportunities'!$V$2:$V$1775,"=emea",'Opportunities'!$M$2:$M$1775,"=jun26")</f>
        <v>34100</v>
      </c>
      <c r="S120" s="4">
        <f>SUMIFS('Opportunities'!$H$2:$H$1775,'Opportunities'!$E$2:$E$1775,"=referral",'Opportunities'!$V$2:$V$1775,"=emea",'Opportunities'!$M$2:$M$1775,"=jul26")</f>
        <v>13700</v>
      </c>
      <c r="T120" s="4">
        <f>SUMIFS('Opportunities'!$H$2:$H$1775,'Opportunities'!$E$2:$E$1775,"=referral",'Opportunities'!$V$2:$V$1775,"=emea",'Opportunities'!$M$2:$M$1775,"=aug26")</f>
        <v>19300</v>
      </c>
      <c r="U120" s="4">
        <f>SUMIFS('Opportunities'!$H$2:$H$1775,'Opportunities'!$E$2:$E$1775,"=referral",'Opportunities'!$V$2:$V$1775,"=emea",'Opportunities'!$M$2:$M$1775,"=sep26")</f>
        <v>9400</v>
      </c>
      <c r="V120" s="4">
        <f>SUMIFS('Opportunities'!$H$2:$H$1775,'Opportunities'!$E$2:$E$1775,"=referral",'Opportunities'!$V$2:$V$1775,"=emea",'Opportunities'!$M$2:$M$1775,"=oct26")</f>
        <v>0</v>
      </c>
      <c r="W120" s="4">
        <f>SUMIFS('Opportunities'!$H$2:$H$1775,'Opportunities'!$E$2:$E$1775,"=referral",'Opportunities'!$V$2:$V$1775,"=emea",'Opportunities'!$M$2:$M$1775,"=nov26")</f>
        <v>0</v>
      </c>
      <c r="X120" s="4">
        <f>SUMIFS('Opportunities'!$H$2:$H$1775,'Opportunities'!$E$2:$E$1775,"=referral",'Opportunities'!$V$2:$V$1775,"=emea",'Opportunities'!$M$2:$M$1775,"=dec26")</f>
        <v>0</v>
      </c>
    </row>
    <row r="121">
      <c r="A121" s="0" t="inlineStr">
        <is>
          <t xml:space="preserve">Pipeline created</t>
        </is>
      </c>
      <c r="B121" s="0" t="inlineStr">
        <is>
          <t xml:space="preserve">Customer referral</t>
        </is>
      </c>
      <c r="C121" s="0" t="inlineStr">
        <is>
          <t xml:space="preserve">APAC</t>
        </is>
      </c>
      <c r="D121" s="4">
        <f>SUMIFS('Opportunities'!$H$2:$H$1775,'Opportunities'!$E$2:$E$1775,"=referral",'Opportunities'!$V$2:$V$1775,"=apac",'Opportunities'!$M$2:$M$1775,"=apr25")</f>
        <v>0</v>
      </c>
      <c r="E121" s="4">
        <f>SUMIFS('Opportunities'!$H$2:$H$1775,'Opportunities'!$E$2:$E$1775,"=referral",'Opportunities'!$V$2:$V$1775,"=apac",'Opportunities'!$M$2:$M$1775,"=may25")</f>
        <v>0</v>
      </c>
      <c r="F121" s="4">
        <f>SUMIFS('Opportunities'!$H$2:$H$1775,'Opportunities'!$E$2:$E$1775,"=referral",'Opportunities'!$V$2:$V$1775,"=apac",'Opportunities'!$M$2:$M$1775,"=jun25")</f>
        <v>3300</v>
      </c>
      <c r="G121" s="4">
        <f>SUMIFS('Opportunities'!$H$2:$H$1775,'Opportunities'!$E$2:$E$1775,"=referral",'Opportunities'!$V$2:$V$1775,"=apac",'Opportunities'!$M$2:$M$1775,"=jul25")</f>
        <v>46600</v>
      </c>
      <c r="H121" s="4">
        <f>SUMIFS('Opportunities'!$H$2:$H$1775,'Opportunities'!$E$2:$E$1775,"=referral",'Opportunities'!$V$2:$V$1775,"=apac",'Opportunities'!$M$2:$M$1775,"=aug25")</f>
        <v>0</v>
      </c>
      <c r="I121" s="4">
        <f>SUMIFS('Opportunities'!$H$2:$H$1775,'Opportunities'!$E$2:$E$1775,"=referral",'Opportunities'!$V$2:$V$1775,"=apac",'Opportunities'!$M$2:$M$1775,"=sep25")</f>
        <v>36500</v>
      </c>
      <c r="J121" s="4">
        <f>SUMIFS('Opportunities'!$H$2:$H$1775,'Opportunities'!$E$2:$E$1775,"=referral",'Opportunities'!$V$2:$V$1775,"=apac",'Opportunities'!$M$2:$M$1775,"=oct25")</f>
        <v>26600</v>
      </c>
      <c r="K121" s="4">
        <f>SUMIFS('Opportunities'!$H$2:$H$1775,'Opportunities'!$E$2:$E$1775,"=referral",'Opportunities'!$V$2:$V$1775,"=apac",'Opportunities'!$M$2:$M$1775,"=nov25")</f>
        <v>128000</v>
      </c>
      <c r="L121" s="4">
        <f>SUMIFS('Opportunities'!$H$2:$H$1775,'Opportunities'!$E$2:$E$1775,"=referral",'Opportunities'!$V$2:$V$1775,"=apac",'Opportunities'!$M$2:$M$1775,"=dec25")</f>
        <v>26600</v>
      </c>
      <c r="M121" s="4">
        <f>SUMIFS('Opportunities'!$H$2:$H$1775,'Opportunities'!$E$2:$E$1775,"=referral",'Opportunities'!$V$2:$V$1775,"=apac",'Opportunities'!$M$2:$M$1775,"=jan26")</f>
        <v>132100</v>
      </c>
      <c r="N121" s="4">
        <f>SUMIFS('Opportunities'!$H$2:$H$1775,'Opportunities'!$E$2:$E$1775,"=referral",'Opportunities'!$V$2:$V$1775,"=apac",'Opportunities'!$M$2:$M$1775,"=feb26")</f>
        <v>7200</v>
      </c>
      <c r="O121" s="4">
        <f>SUMIFS('Opportunities'!$H$2:$H$1775,'Opportunities'!$E$2:$E$1775,"=referral",'Opportunities'!$V$2:$V$1775,"=apac",'Opportunities'!$M$2:$M$1775,"=mar26")</f>
        <v>0</v>
      </c>
      <c r="P121" s="4">
        <f>SUMIFS('Opportunities'!$H$2:$H$1775,'Opportunities'!$E$2:$E$1775,"=referral",'Opportunities'!$V$2:$V$1775,"=apac",'Opportunities'!$M$2:$M$1775,"=apr26")</f>
        <v>0</v>
      </c>
      <c r="Q121" s="4">
        <f>SUMIFS('Opportunities'!$H$2:$H$1775,'Opportunities'!$E$2:$E$1775,"=referral",'Opportunities'!$V$2:$V$1775,"=apac",'Opportunities'!$M$2:$M$1775,"=may26")</f>
        <v>31300</v>
      </c>
      <c r="R121" s="4">
        <f>SUMIFS('Opportunities'!$H$2:$H$1775,'Opportunities'!$E$2:$E$1775,"=referral",'Opportunities'!$V$2:$V$1775,"=apac",'Opportunities'!$M$2:$M$1775,"=jun26")</f>
        <v>17100</v>
      </c>
      <c r="S121" s="4">
        <f>SUMIFS('Opportunities'!$H$2:$H$1775,'Opportunities'!$E$2:$E$1775,"=referral",'Opportunities'!$V$2:$V$1775,"=apac",'Opportunities'!$M$2:$M$1775,"=jul26")</f>
        <v>0</v>
      </c>
      <c r="T121" s="4">
        <f>SUMIFS('Opportunities'!$H$2:$H$1775,'Opportunities'!$E$2:$E$1775,"=referral",'Opportunities'!$V$2:$V$1775,"=apac",'Opportunities'!$M$2:$M$1775,"=aug26")</f>
        <v>646000</v>
      </c>
      <c r="U121" s="4">
        <f>SUMIFS('Opportunities'!$H$2:$H$1775,'Opportunities'!$E$2:$E$1775,"=referral",'Opportunities'!$V$2:$V$1775,"=apac",'Opportunities'!$M$2:$M$1775,"=sep26")</f>
        <v>0</v>
      </c>
      <c r="V121" s="4">
        <f>SUMIFS('Opportunities'!$H$2:$H$1775,'Opportunities'!$E$2:$E$1775,"=referral",'Opportunities'!$V$2:$V$1775,"=apac",'Opportunities'!$M$2:$M$1775,"=oct26")</f>
        <v>0</v>
      </c>
      <c r="W121" s="4">
        <f>SUMIFS('Opportunities'!$H$2:$H$1775,'Opportunities'!$E$2:$E$1775,"=referral",'Opportunities'!$V$2:$V$1775,"=apac",'Opportunities'!$M$2:$M$1775,"=nov26")</f>
        <v>0</v>
      </c>
      <c r="X121" s="4">
        <f>SUMIFS('Opportunities'!$H$2:$H$1775,'Opportunities'!$E$2:$E$1775,"=referral",'Opportunities'!$V$2:$V$1775,"=apac",'Opportunities'!$M$2:$M$1775,"=dec26")</f>
        <v>0</v>
      </c>
    </row>
    <row r="122">
      <c r="A122" s="0" t="inlineStr">
        <is>
          <t xml:space="preserve">Deals won</t>
        </is>
      </c>
      <c r="B122" s="0" t="inlineStr">
        <is>
          <t xml:space="preserve">Inbound (web &amp; content)</t>
        </is>
      </c>
      <c r="C122" s="0" t="inlineStr">
        <is>
          <t xml:space="preserve">AMER East</t>
        </is>
      </c>
      <c r="D122" s="4">
        <f>COUNTIFS('Opportunities'!$E$2:$E$1775,"=inbound",'Opportunities'!$V$2:$V$1775,"=amer_east",'Opportunities'!$N$2:$N$1775,"=apr25",'Opportunities'!$P$2:$P$1775,"=1",'Opportunities'!$H$2:$H$1775,"&lt;&gt;")</f>
        <v>1</v>
      </c>
      <c r="E122" s="4">
        <f>COUNTIFS('Opportunities'!$E$2:$E$1775,"=inbound",'Opportunities'!$V$2:$V$1775,"=amer_east",'Opportunities'!$N$2:$N$1775,"=may25",'Opportunities'!$P$2:$P$1775,"=1",'Opportunities'!$H$2:$H$1775,"&lt;&gt;")</f>
        <v>1</v>
      </c>
      <c r="F122" s="4">
        <f>COUNTIFS('Opportunities'!$E$2:$E$1775,"=inbound",'Opportunities'!$V$2:$V$1775,"=amer_east",'Opportunities'!$N$2:$N$1775,"=jun25",'Opportunities'!$P$2:$P$1775,"=1",'Opportunities'!$H$2:$H$1775,"&lt;&gt;")</f>
        <v>2</v>
      </c>
      <c r="G122" s="4">
        <f>COUNTIFS('Opportunities'!$E$2:$E$1775,"=inbound",'Opportunities'!$V$2:$V$1775,"=amer_east",'Opportunities'!$N$2:$N$1775,"=jul25",'Opportunities'!$P$2:$P$1775,"=1",'Opportunities'!$H$2:$H$1775,"&lt;&gt;")</f>
        <v>5</v>
      </c>
      <c r="H122" s="4">
        <f>COUNTIFS('Opportunities'!$E$2:$E$1775,"=inbound",'Opportunities'!$V$2:$V$1775,"=amer_east",'Opportunities'!$N$2:$N$1775,"=aug25",'Opportunities'!$P$2:$P$1775,"=1",'Opportunities'!$H$2:$H$1775,"&lt;&gt;")</f>
        <v>2</v>
      </c>
      <c r="I122" s="4">
        <f>COUNTIFS('Opportunities'!$E$2:$E$1775,"=inbound",'Opportunities'!$V$2:$V$1775,"=amer_east",'Opportunities'!$N$2:$N$1775,"=sep25",'Opportunities'!$P$2:$P$1775,"=1",'Opportunities'!$H$2:$H$1775,"&lt;&gt;")</f>
        <v>3</v>
      </c>
      <c r="J122" s="4">
        <f>COUNTIFS('Opportunities'!$E$2:$E$1775,"=inbound",'Opportunities'!$V$2:$V$1775,"=amer_east",'Opportunities'!$N$2:$N$1775,"=oct25",'Opportunities'!$P$2:$P$1775,"=1",'Opportunities'!$H$2:$H$1775,"&lt;&gt;")</f>
        <v>2</v>
      </c>
      <c r="K122" s="4">
        <f>COUNTIFS('Opportunities'!$E$2:$E$1775,"=inbound",'Opportunities'!$V$2:$V$1775,"=amer_east",'Opportunities'!$N$2:$N$1775,"=nov25",'Opportunities'!$P$2:$P$1775,"=1",'Opportunities'!$H$2:$H$1775,"&lt;&gt;")</f>
        <v>1</v>
      </c>
      <c r="L122" s="4">
        <f>COUNTIFS('Opportunities'!$E$2:$E$1775,"=inbound",'Opportunities'!$V$2:$V$1775,"=amer_east",'Opportunities'!$N$2:$N$1775,"=dec25",'Opportunities'!$P$2:$P$1775,"=1",'Opportunities'!$H$2:$H$1775,"&lt;&gt;")</f>
        <v>7</v>
      </c>
      <c r="M122" s="4">
        <f>COUNTIFS('Opportunities'!$E$2:$E$1775,"=inbound",'Opportunities'!$V$2:$V$1775,"=amer_east",'Opportunities'!$N$2:$N$1775,"=jan26",'Opportunities'!$P$2:$P$1775,"=1",'Opportunities'!$H$2:$H$1775,"&lt;&gt;")</f>
        <v>3</v>
      </c>
      <c r="N122" s="4">
        <f>COUNTIFS('Opportunities'!$E$2:$E$1775,"=inbound",'Opportunities'!$V$2:$V$1775,"=amer_east",'Opportunities'!$N$2:$N$1775,"=feb26",'Opportunities'!$P$2:$P$1775,"=1",'Opportunities'!$H$2:$H$1775,"&lt;&gt;")</f>
        <v>3</v>
      </c>
      <c r="O122" s="4">
        <f>COUNTIFS('Opportunities'!$E$2:$E$1775,"=inbound",'Opportunities'!$V$2:$V$1775,"=amer_east",'Opportunities'!$N$2:$N$1775,"=mar26",'Opportunities'!$P$2:$P$1775,"=1",'Opportunities'!$H$2:$H$1775,"&lt;&gt;")</f>
        <v>2</v>
      </c>
      <c r="P122" s="4">
        <f>COUNTIFS('Opportunities'!$E$2:$E$1775,"=inbound",'Opportunities'!$V$2:$V$1775,"=amer_east",'Opportunities'!$N$2:$N$1775,"=apr26",'Opportunities'!$P$2:$P$1775,"=1",'Opportunities'!$H$2:$H$1775,"&lt;&gt;")</f>
        <v>2</v>
      </c>
      <c r="Q122" s="4">
        <f>COUNTIFS('Opportunities'!$E$2:$E$1775,"=inbound",'Opportunities'!$V$2:$V$1775,"=amer_east",'Opportunities'!$N$2:$N$1775,"=may26",'Opportunities'!$P$2:$P$1775,"=1",'Opportunities'!$H$2:$H$1775,"&lt;&gt;")</f>
        <v>6</v>
      </c>
      <c r="R122" s="4">
        <f>COUNTIFS('Opportunities'!$E$2:$E$1775,"=inbound",'Opportunities'!$V$2:$V$1775,"=amer_east",'Opportunities'!$N$2:$N$1775,"=jun26",'Opportunities'!$P$2:$P$1775,"=1",'Opportunities'!$H$2:$H$1775,"&lt;&gt;")</f>
        <v>5</v>
      </c>
      <c r="S122" s="4">
        <f>COUNTIFS('Opportunities'!$E$2:$E$1775,"=inbound",'Opportunities'!$V$2:$V$1775,"=amer_east",'Opportunities'!$N$2:$N$1775,"=jul26",'Opportunities'!$P$2:$P$1775,"=1",'Opportunities'!$H$2:$H$1775,"&lt;&gt;")</f>
        <v>4</v>
      </c>
      <c r="T122" s="4">
        <f>COUNTIFS('Opportunities'!$E$2:$E$1775,"=inbound",'Opportunities'!$V$2:$V$1775,"=amer_east",'Opportunities'!$N$2:$N$1775,"=aug26",'Opportunities'!$P$2:$P$1775,"=1",'Opportunities'!$H$2:$H$1775,"&lt;&gt;")</f>
        <v>3</v>
      </c>
      <c r="U122" s="4">
        <f>COUNTIFS('Opportunities'!$E$2:$E$1775,"=inbound",'Opportunities'!$V$2:$V$1775,"=amer_east",'Opportunities'!$N$2:$N$1775,"=sep26",'Opportunities'!$P$2:$P$1775,"=1",'Opportunities'!$H$2:$H$1775,"&lt;&gt;")</f>
        <v>1</v>
      </c>
      <c r="V122" s="4">
        <f>COUNTIFS('Opportunities'!$E$2:$E$1775,"=inbound",'Opportunities'!$V$2:$V$1775,"=amer_east",'Opportunities'!$N$2:$N$1775,"=oct26",'Opportunities'!$P$2:$P$1775,"=1",'Opportunities'!$H$2:$H$1775,"&lt;&gt;")</f>
        <v>0</v>
      </c>
      <c r="W122" s="4">
        <f>COUNTIFS('Opportunities'!$E$2:$E$1775,"=inbound",'Opportunities'!$V$2:$V$1775,"=amer_east",'Opportunities'!$N$2:$N$1775,"=nov26",'Opportunities'!$P$2:$P$1775,"=1",'Opportunities'!$H$2:$H$1775,"&lt;&gt;")</f>
        <v>0</v>
      </c>
      <c r="X122" s="4">
        <f>COUNTIFS('Opportunities'!$E$2:$E$1775,"=inbound",'Opportunities'!$V$2:$V$1775,"=amer_east",'Opportunities'!$N$2:$N$1775,"=dec26",'Opportunities'!$P$2:$P$1775,"=1",'Opportunities'!$H$2:$H$1775,"&lt;&gt;")</f>
        <v>0</v>
      </c>
    </row>
    <row r="123">
      <c r="A123" s="0" t="inlineStr">
        <is>
          <t xml:space="preserve">Deals won</t>
        </is>
      </c>
      <c r="B123" s="0" t="inlineStr">
        <is>
          <t xml:space="preserve">Inbound (web &amp; content)</t>
        </is>
      </c>
      <c r="C123" s="0" t="inlineStr">
        <is>
          <t xml:space="preserve">AMER West</t>
        </is>
      </c>
      <c r="D123" s="4">
        <f>COUNTIFS('Opportunities'!$E$2:$E$1775,"=inbound",'Opportunities'!$V$2:$V$1775,"=amer_west",'Opportunities'!$N$2:$N$1775,"=apr25",'Opportunities'!$P$2:$P$1775,"=1",'Opportunities'!$H$2:$H$1775,"&lt;&gt;")</f>
        <v>0</v>
      </c>
      <c r="E123" s="4">
        <f>COUNTIFS('Opportunities'!$E$2:$E$1775,"=inbound",'Opportunities'!$V$2:$V$1775,"=amer_west",'Opportunities'!$N$2:$N$1775,"=may25",'Opportunities'!$P$2:$P$1775,"=1",'Opportunities'!$H$2:$H$1775,"&lt;&gt;")</f>
        <v>5</v>
      </c>
      <c r="F123" s="4">
        <f>COUNTIFS('Opportunities'!$E$2:$E$1775,"=inbound",'Opportunities'!$V$2:$V$1775,"=amer_west",'Opportunities'!$N$2:$N$1775,"=jun25",'Opportunities'!$P$2:$P$1775,"=1",'Opportunities'!$H$2:$H$1775,"&lt;&gt;")</f>
        <v>2</v>
      </c>
      <c r="G123" s="4">
        <f>COUNTIFS('Opportunities'!$E$2:$E$1775,"=inbound",'Opportunities'!$V$2:$V$1775,"=amer_west",'Opportunities'!$N$2:$N$1775,"=jul25",'Opportunities'!$P$2:$P$1775,"=1",'Opportunities'!$H$2:$H$1775,"&lt;&gt;")</f>
        <v>2</v>
      </c>
      <c r="H123" s="4">
        <f>COUNTIFS('Opportunities'!$E$2:$E$1775,"=inbound",'Opportunities'!$V$2:$V$1775,"=amer_west",'Opportunities'!$N$2:$N$1775,"=aug25",'Opportunities'!$P$2:$P$1775,"=1",'Opportunities'!$H$2:$H$1775,"&lt;&gt;")</f>
        <v>3</v>
      </c>
      <c r="I123" s="4">
        <f>COUNTIFS('Opportunities'!$E$2:$E$1775,"=inbound",'Opportunities'!$V$2:$V$1775,"=amer_west",'Opportunities'!$N$2:$N$1775,"=sep25",'Opportunities'!$P$2:$P$1775,"=1",'Opportunities'!$H$2:$H$1775,"&lt;&gt;")</f>
        <v>4</v>
      </c>
      <c r="J123" s="4">
        <f>COUNTIFS('Opportunities'!$E$2:$E$1775,"=inbound",'Opportunities'!$V$2:$V$1775,"=amer_west",'Opportunities'!$N$2:$N$1775,"=oct25",'Opportunities'!$P$2:$P$1775,"=1",'Opportunities'!$H$2:$H$1775,"&lt;&gt;")</f>
        <v>2</v>
      </c>
      <c r="K123" s="4">
        <f>COUNTIFS('Opportunities'!$E$2:$E$1775,"=inbound",'Opportunities'!$V$2:$V$1775,"=amer_west",'Opportunities'!$N$2:$N$1775,"=nov25",'Opportunities'!$P$2:$P$1775,"=1",'Opportunities'!$H$2:$H$1775,"&lt;&gt;")</f>
        <v>3</v>
      </c>
      <c r="L123" s="4">
        <f>COUNTIFS('Opportunities'!$E$2:$E$1775,"=inbound",'Opportunities'!$V$2:$V$1775,"=amer_west",'Opportunities'!$N$2:$N$1775,"=dec25",'Opportunities'!$P$2:$P$1775,"=1",'Opportunities'!$H$2:$H$1775,"&lt;&gt;")</f>
        <v>3</v>
      </c>
      <c r="M123" s="4">
        <f>COUNTIFS('Opportunities'!$E$2:$E$1775,"=inbound",'Opportunities'!$V$2:$V$1775,"=amer_west",'Opportunities'!$N$2:$N$1775,"=jan26",'Opportunities'!$P$2:$P$1775,"=1",'Opportunities'!$H$2:$H$1775,"&lt;&gt;")</f>
        <v>3</v>
      </c>
      <c r="N123" s="4">
        <f>COUNTIFS('Opportunities'!$E$2:$E$1775,"=inbound",'Opportunities'!$V$2:$V$1775,"=amer_west",'Opportunities'!$N$2:$N$1775,"=feb26",'Opportunities'!$P$2:$P$1775,"=1",'Opportunities'!$H$2:$H$1775,"&lt;&gt;")</f>
        <v>2</v>
      </c>
      <c r="O123" s="4">
        <f>COUNTIFS('Opportunities'!$E$2:$E$1775,"=inbound",'Opportunities'!$V$2:$V$1775,"=amer_west",'Opportunities'!$N$2:$N$1775,"=mar26",'Opportunities'!$P$2:$P$1775,"=1",'Opportunities'!$H$2:$H$1775,"&lt;&gt;")</f>
        <v>4</v>
      </c>
      <c r="P123" s="4">
        <f>COUNTIFS('Opportunities'!$E$2:$E$1775,"=inbound",'Opportunities'!$V$2:$V$1775,"=amer_west",'Opportunities'!$N$2:$N$1775,"=apr26",'Opportunities'!$P$2:$P$1775,"=1",'Opportunities'!$H$2:$H$1775,"&lt;&gt;")</f>
        <v>3</v>
      </c>
      <c r="Q123" s="4">
        <f>COUNTIFS('Opportunities'!$E$2:$E$1775,"=inbound",'Opportunities'!$V$2:$V$1775,"=amer_west",'Opportunities'!$N$2:$N$1775,"=may26",'Opportunities'!$P$2:$P$1775,"=1",'Opportunities'!$H$2:$H$1775,"&lt;&gt;")</f>
        <v>2</v>
      </c>
      <c r="R123" s="4">
        <f>COUNTIFS('Opportunities'!$E$2:$E$1775,"=inbound",'Opportunities'!$V$2:$V$1775,"=amer_west",'Opportunities'!$N$2:$N$1775,"=jun26",'Opportunities'!$P$2:$P$1775,"=1",'Opportunities'!$H$2:$H$1775,"&lt;&gt;")</f>
        <v>6</v>
      </c>
      <c r="S123" s="4">
        <f>COUNTIFS('Opportunities'!$E$2:$E$1775,"=inbound",'Opportunities'!$V$2:$V$1775,"=amer_west",'Opportunities'!$N$2:$N$1775,"=jul26",'Opportunities'!$P$2:$P$1775,"=1",'Opportunities'!$H$2:$H$1775,"&lt;&gt;")</f>
        <v>4</v>
      </c>
      <c r="T123" s="4">
        <f>COUNTIFS('Opportunities'!$E$2:$E$1775,"=inbound",'Opportunities'!$V$2:$V$1775,"=amer_west",'Opportunities'!$N$2:$N$1775,"=aug26",'Opportunities'!$P$2:$P$1775,"=1",'Opportunities'!$H$2:$H$1775,"&lt;&gt;")</f>
        <v>4</v>
      </c>
      <c r="U123" s="4">
        <f>COUNTIFS('Opportunities'!$E$2:$E$1775,"=inbound",'Opportunities'!$V$2:$V$1775,"=amer_west",'Opportunities'!$N$2:$N$1775,"=sep26",'Opportunities'!$P$2:$P$1775,"=1",'Opportunities'!$H$2:$H$1775,"&lt;&gt;")</f>
        <v>5</v>
      </c>
      <c r="V123" s="4">
        <f>COUNTIFS('Opportunities'!$E$2:$E$1775,"=inbound",'Opportunities'!$V$2:$V$1775,"=amer_west",'Opportunities'!$N$2:$N$1775,"=oct26",'Opportunities'!$P$2:$P$1775,"=1",'Opportunities'!$H$2:$H$1775,"&lt;&gt;")</f>
        <v>0</v>
      </c>
      <c r="W123" s="4">
        <f>COUNTIFS('Opportunities'!$E$2:$E$1775,"=inbound",'Opportunities'!$V$2:$V$1775,"=amer_west",'Opportunities'!$N$2:$N$1775,"=nov26",'Opportunities'!$P$2:$P$1775,"=1",'Opportunities'!$H$2:$H$1775,"&lt;&gt;")</f>
        <v>0</v>
      </c>
      <c r="X123" s="4">
        <f>COUNTIFS('Opportunities'!$E$2:$E$1775,"=inbound",'Opportunities'!$V$2:$V$1775,"=amer_west",'Opportunities'!$N$2:$N$1775,"=dec26",'Opportunities'!$P$2:$P$1775,"=1",'Opportunities'!$H$2:$H$1775,"&lt;&gt;")</f>
        <v>0</v>
      </c>
    </row>
    <row r="124">
      <c r="A124" s="0" t="inlineStr">
        <is>
          <t xml:space="preserve">Deals won</t>
        </is>
      </c>
      <c r="B124" s="0" t="inlineStr">
        <is>
          <t xml:space="preserve">Inbound (web &amp; content)</t>
        </is>
      </c>
      <c r="C124" s="0" t="inlineStr">
        <is>
          <t xml:space="preserve">EMEA</t>
        </is>
      </c>
      <c r="D124" s="4">
        <f>COUNTIFS('Opportunities'!$E$2:$E$1775,"=inbound",'Opportunities'!$V$2:$V$1775,"=emea",'Opportunities'!$N$2:$N$1775,"=apr25",'Opportunities'!$P$2:$P$1775,"=1",'Opportunities'!$H$2:$H$1775,"&lt;&gt;")</f>
        <v>0</v>
      </c>
      <c r="E124" s="4">
        <f>COUNTIFS('Opportunities'!$E$2:$E$1775,"=inbound",'Opportunities'!$V$2:$V$1775,"=emea",'Opportunities'!$N$2:$N$1775,"=may25",'Opportunities'!$P$2:$P$1775,"=1",'Opportunities'!$H$2:$H$1775,"&lt;&gt;")</f>
        <v>0</v>
      </c>
      <c r="F124" s="4">
        <f>COUNTIFS('Opportunities'!$E$2:$E$1775,"=inbound",'Opportunities'!$V$2:$V$1775,"=emea",'Opportunities'!$N$2:$N$1775,"=jun25",'Opportunities'!$P$2:$P$1775,"=1",'Opportunities'!$H$2:$H$1775,"&lt;&gt;")</f>
        <v>3</v>
      </c>
      <c r="G124" s="4">
        <f>COUNTIFS('Opportunities'!$E$2:$E$1775,"=inbound",'Opportunities'!$V$2:$V$1775,"=emea",'Opportunities'!$N$2:$N$1775,"=jul25",'Opportunities'!$P$2:$P$1775,"=1",'Opportunities'!$H$2:$H$1775,"&lt;&gt;")</f>
        <v>5</v>
      </c>
      <c r="H124" s="4">
        <f>COUNTIFS('Opportunities'!$E$2:$E$1775,"=inbound",'Opportunities'!$V$2:$V$1775,"=emea",'Opportunities'!$N$2:$N$1775,"=aug25",'Opportunities'!$P$2:$P$1775,"=1",'Opportunities'!$H$2:$H$1775,"&lt;&gt;")</f>
        <v>3</v>
      </c>
      <c r="I124" s="4">
        <f>COUNTIFS('Opportunities'!$E$2:$E$1775,"=inbound",'Opportunities'!$V$2:$V$1775,"=emea",'Opportunities'!$N$2:$N$1775,"=sep25",'Opportunities'!$P$2:$P$1775,"=1",'Opportunities'!$H$2:$H$1775,"&lt;&gt;")</f>
        <v>7</v>
      </c>
      <c r="J124" s="4">
        <f>COUNTIFS('Opportunities'!$E$2:$E$1775,"=inbound",'Opportunities'!$V$2:$V$1775,"=emea",'Opportunities'!$N$2:$N$1775,"=oct25",'Opportunities'!$P$2:$P$1775,"=1",'Opportunities'!$H$2:$H$1775,"&lt;&gt;")</f>
        <v>2</v>
      </c>
      <c r="K124" s="4">
        <f>COUNTIFS('Opportunities'!$E$2:$E$1775,"=inbound",'Opportunities'!$V$2:$V$1775,"=emea",'Opportunities'!$N$2:$N$1775,"=nov25",'Opportunities'!$P$2:$P$1775,"=1",'Opportunities'!$H$2:$H$1775,"&lt;&gt;")</f>
        <v>4</v>
      </c>
      <c r="L124" s="4">
        <f>COUNTIFS('Opportunities'!$E$2:$E$1775,"=inbound",'Opportunities'!$V$2:$V$1775,"=emea",'Opportunities'!$N$2:$N$1775,"=dec25",'Opportunities'!$P$2:$P$1775,"=1",'Opportunities'!$H$2:$H$1775,"&lt;&gt;")</f>
        <v>7</v>
      </c>
      <c r="M124" s="4">
        <f>COUNTIFS('Opportunities'!$E$2:$E$1775,"=inbound",'Opportunities'!$V$2:$V$1775,"=emea",'Opportunities'!$N$2:$N$1775,"=jan26",'Opportunities'!$P$2:$P$1775,"=1",'Opportunities'!$H$2:$H$1775,"&lt;&gt;")</f>
        <v>9</v>
      </c>
      <c r="N124" s="4">
        <f>COUNTIFS('Opportunities'!$E$2:$E$1775,"=inbound",'Opportunities'!$V$2:$V$1775,"=emea",'Opportunities'!$N$2:$N$1775,"=feb26",'Opportunities'!$P$2:$P$1775,"=1",'Opportunities'!$H$2:$H$1775,"&lt;&gt;")</f>
        <v>5</v>
      </c>
      <c r="O124" s="4">
        <f>COUNTIFS('Opportunities'!$E$2:$E$1775,"=inbound",'Opportunities'!$V$2:$V$1775,"=emea",'Opportunities'!$N$2:$N$1775,"=mar26",'Opportunities'!$P$2:$P$1775,"=1",'Opportunities'!$H$2:$H$1775,"&lt;&gt;")</f>
        <v>7</v>
      </c>
      <c r="P124" s="4">
        <f>COUNTIFS('Opportunities'!$E$2:$E$1775,"=inbound",'Opportunities'!$V$2:$V$1775,"=emea",'Opportunities'!$N$2:$N$1775,"=apr26",'Opportunities'!$P$2:$P$1775,"=1",'Opportunities'!$H$2:$H$1775,"&lt;&gt;")</f>
        <v>3</v>
      </c>
      <c r="Q124" s="4">
        <f>COUNTIFS('Opportunities'!$E$2:$E$1775,"=inbound",'Opportunities'!$V$2:$V$1775,"=emea",'Opportunities'!$N$2:$N$1775,"=may26",'Opportunities'!$P$2:$P$1775,"=1",'Opportunities'!$H$2:$H$1775,"&lt;&gt;")</f>
        <v>3</v>
      </c>
      <c r="R124" s="4">
        <f>COUNTIFS('Opportunities'!$E$2:$E$1775,"=inbound",'Opportunities'!$V$2:$V$1775,"=emea",'Opportunities'!$N$2:$N$1775,"=jun26",'Opportunities'!$P$2:$P$1775,"=1",'Opportunities'!$H$2:$H$1775,"&lt;&gt;")</f>
        <v>6</v>
      </c>
      <c r="S124" s="4">
        <f>COUNTIFS('Opportunities'!$E$2:$E$1775,"=inbound",'Opportunities'!$V$2:$V$1775,"=emea",'Opportunities'!$N$2:$N$1775,"=jul26",'Opportunities'!$P$2:$P$1775,"=1",'Opportunities'!$H$2:$H$1775,"&lt;&gt;")</f>
        <v>2</v>
      </c>
      <c r="T124" s="4">
        <f>COUNTIFS('Opportunities'!$E$2:$E$1775,"=inbound",'Opportunities'!$V$2:$V$1775,"=emea",'Opportunities'!$N$2:$N$1775,"=aug26",'Opportunities'!$P$2:$P$1775,"=1",'Opportunities'!$H$2:$H$1775,"&lt;&gt;")</f>
        <v>2</v>
      </c>
      <c r="U124" s="4">
        <f>COUNTIFS('Opportunities'!$E$2:$E$1775,"=inbound",'Opportunities'!$V$2:$V$1775,"=emea",'Opportunities'!$N$2:$N$1775,"=sep26",'Opportunities'!$P$2:$P$1775,"=1",'Opportunities'!$H$2:$H$1775,"&lt;&gt;")</f>
        <v>6</v>
      </c>
      <c r="V124" s="4">
        <f>COUNTIFS('Opportunities'!$E$2:$E$1775,"=inbound",'Opportunities'!$V$2:$V$1775,"=emea",'Opportunities'!$N$2:$N$1775,"=oct26",'Opportunities'!$P$2:$P$1775,"=1",'Opportunities'!$H$2:$H$1775,"&lt;&gt;")</f>
        <v>0</v>
      </c>
      <c r="W124" s="4">
        <f>COUNTIFS('Opportunities'!$E$2:$E$1775,"=inbound",'Opportunities'!$V$2:$V$1775,"=emea",'Opportunities'!$N$2:$N$1775,"=nov26",'Opportunities'!$P$2:$P$1775,"=1",'Opportunities'!$H$2:$H$1775,"&lt;&gt;")</f>
        <v>0</v>
      </c>
      <c r="X124" s="4">
        <f>COUNTIFS('Opportunities'!$E$2:$E$1775,"=inbound",'Opportunities'!$V$2:$V$1775,"=emea",'Opportunities'!$N$2:$N$1775,"=dec26",'Opportunities'!$P$2:$P$1775,"=1",'Opportunities'!$H$2:$H$1775,"&lt;&gt;")</f>
        <v>0</v>
      </c>
    </row>
    <row r="125">
      <c r="A125" s="0" t="inlineStr">
        <is>
          <t xml:space="preserve">Deals won</t>
        </is>
      </c>
      <c r="B125" s="0" t="inlineStr">
        <is>
          <t xml:space="preserve">Inbound (web &amp; content)</t>
        </is>
      </c>
      <c r="C125" s="0" t="inlineStr">
        <is>
          <t xml:space="preserve">APAC</t>
        </is>
      </c>
      <c r="D125" s="4">
        <f>COUNTIFS('Opportunities'!$E$2:$E$1775,"=inbound",'Opportunities'!$V$2:$V$1775,"=apac",'Opportunities'!$N$2:$N$1775,"=apr25",'Opportunities'!$P$2:$P$1775,"=1",'Opportunities'!$H$2:$H$1775,"&lt;&gt;")</f>
        <v>0</v>
      </c>
      <c r="E125" s="4">
        <f>COUNTIFS('Opportunities'!$E$2:$E$1775,"=inbound",'Opportunities'!$V$2:$V$1775,"=apac",'Opportunities'!$N$2:$N$1775,"=may25",'Opportunities'!$P$2:$P$1775,"=1",'Opportunities'!$H$2:$H$1775,"&lt;&gt;")</f>
        <v>1</v>
      </c>
      <c r="F125" s="4">
        <f>COUNTIFS('Opportunities'!$E$2:$E$1775,"=inbound",'Opportunities'!$V$2:$V$1775,"=apac",'Opportunities'!$N$2:$N$1775,"=jun25",'Opportunities'!$P$2:$P$1775,"=1",'Opportunities'!$H$2:$H$1775,"&lt;&gt;")</f>
        <v>2</v>
      </c>
      <c r="G125" s="4">
        <f>COUNTIFS('Opportunities'!$E$2:$E$1775,"=inbound",'Opportunities'!$V$2:$V$1775,"=apac",'Opportunities'!$N$2:$N$1775,"=jul25",'Opportunities'!$P$2:$P$1775,"=1",'Opportunities'!$H$2:$H$1775,"&lt;&gt;")</f>
        <v>2</v>
      </c>
      <c r="H125" s="4">
        <f>COUNTIFS('Opportunities'!$E$2:$E$1775,"=inbound",'Opportunities'!$V$2:$V$1775,"=apac",'Opportunities'!$N$2:$N$1775,"=aug25",'Opportunities'!$P$2:$P$1775,"=1",'Opportunities'!$H$2:$H$1775,"&lt;&gt;")</f>
        <v>0</v>
      </c>
      <c r="I125" s="4">
        <f>COUNTIFS('Opportunities'!$E$2:$E$1775,"=inbound",'Opportunities'!$V$2:$V$1775,"=apac",'Opportunities'!$N$2:$N$1775,"=sep25",'Opportunities'!$P$2:$P$1775,"=1",'Opportunities'!$H$2:$H$1775,"&lt;&gt;")</f>
        <v>6</v>
      </c>
      <c r="J125" s="4">
        <f>COUNTIFS('Opportunities'!$E$2:$E$1775,"=inbound",'Opportunities'!$V$2:$V$1775,"=apac",'Opportunities'!$N$2:$N$1775,"=oct25",'Opportunities'!$P$2:$P$1775,"=1",'Opportunities'!$H$2:$H$1775,"&lt;&gt;")</f>
        <v>0</v>
      </c>
      <c r="K125" s="4">
        <f>COUNTIFS('Opportunities'!$E$2:$E$1775,"=inbound",'Opportunities'!$V$2:$V$1775,"=apac",'Opportunities'!$N$2:$N$1775,"=nov25",'Opportunities'!$P$2:$P$1775,"=1",'Opportunities'!$H$2:$H$1775,"&lt;&gt;")</f>
        <v>0</v>
      </c>
      <c r="L125" s="4">
        <f>COUNTIFS('Opportunities'!$E$2:$E$1775,"=inbound",'Opportunities'!$V$2:$V$1775,"=apac",'Opportunities'!$N$2:$N$1775,"=dec25",'Opportunities'!$P$2:$P$1775,"=1",'Opportunities'!$H$2:$H$1775,"&lt;&gt;")</f>
        <v>3</v>
      </c>
      <c r="M125" s="4">
        <f>COUNTIFS('Opportunities'!$E$2:$E$1775,"=inbound",'Opportunities'!$V$2:$V$1775,"=apac",'Opportunities'!$N$2:$N$1775,"=jan26",'Opportunities'!$P$2:$P$1775,"=1",'Opportunities'!$H$2:$H$1775,"&lt;&gt;")</f>
        <v>0</v>
      </c>
      <c r="N125" s="4">
        <f>COUNTIFS('Opportunities'!$E$2:$E$1775,"=inbound",'Opportunities'!$V$2:$V$1775,"=apac",'Opportunities'!$N$2:$N$1775,"=feb26",'Opportunities'!$P$2:$P$1775,"=1",'Opportunities'!$H$2:$H$1775,"&lt;&gt;")</f>
        <v>1</v>
      </c>
      <c r="O125" s="4">
        <f>COUNTIFS('Opportunities'!$E$2:$E$1775,"=inbound",'Opportunities'!$V$2:$V$1775,"=apac",'Opportunities'!$N$2:$N$1775,"=mar26",'Opportunities'!$P$2:$P$1775,"=1",'Opportunities'!$H$2:$H$1775,"&lt;&gt;")</f>
        <v>0</v>
      </c>
      <c r="P125" s="4">
        <f>COUNTIFS('Opportunities'!$E$2:$E$1775,"=inbound",'Opportunities'!$V$2:$V$1775,"=apac",'Opportunities'!$N$2:$N$1775,"=apr26",'Opportunities'!$P$2:$P$1775,"=1",'Opportunities'!$H$2:$H$1775,"&lt;&gt;")</f>
        <v>3</v>
      </c>
      <c r="Q125" s="4">
        <f>COUNTIFS('Opportunities'!$E$2:$E$1775,"=inbound",'Opportunities'!$V$2:$V$1775,"=apac",'Opportunities'!$N$2:$N$1775,"=may26",'Opportunities'!$P$2:$P$1775,"=1",'Opportunities'!$H$2:$H$1775,"&lt;&gt;")</f>
        <v>3</v>
      </c>
      <c r="R125" s="4">
        <f>COUNTIFS('Opportunities'!$E$2:$E$1775,"=inbound",'Opportunities'!$V$2:$V$1775,"=apac",'Opportunities'!$N$2:$N$1775,"=jun26",'Opportunities'!$P$2:$P$1775,"=1",'Opportunities'!$H$2:$H$1775,"&lt;&gt;")</f>
        <v>6</v>
      </c>
      <c r="S125" s="4">
        <f>COUNTIFS('Opportunities'!$E$2:$E$1775,"=inbound",'Opportunities'!$V$2:$V$1775,"=apac",'Opportunities'!$N$2:$N$1775,"=jul26",'Opportunities'!$P$2:$P$1775,"=1",'Opportunities'!$H$2:$H$1775,"&lt;&gt;")</f>
        <v>1</v>
      </c>
      <c r="T125" s="4">
        <f>COUNTIFS('Opportunities'!$E$2:$E$1775,"=inbound",'Opportunities'!$V$2:$V$1775,"=apac",'Opportunities'!$N$2:$N$1775,"=aug26",'Opportunities'!$P$2:$P$1775,"=1",'Opportunities'!$H$2:$H$1775,"&lt;&gt;")</f>
        <v>3</v>
      </c>
      <c r="U125" s="4">
        <f>COUNTIFS('Opportunities'!$E$2:$E$1775,"=inbound",'Opportunities'!$V$2:$V$1775,"=apac",'Opportunities'!$N$2:$N$1775,"=sep26",'Opportunities'!$P$2:$P$1775,"=1",'Opportunities'!$H$2:$H$1775,"&lt;&gt;")</f>
        <v>2</v>
      </c>
      <c r="V125" s="4">
        <f>COUNTIFS('Opportunities'!$E$2:$E$1775,"=inbound",'Opportunities'!$V$2:$V$1775,"=apac",'Opportunities'!$N$2:$N$1775,"=oct26",'Opportunities'!$P$2:$P$1775,"=1",'Opportunities'!$H$2:$H$1775,"&lt;&gt;")</f>
        <v>0</v>
      </c>
      <c r="W125" s="4">
        <f>COUNTIFS('Opportunities'!$E$2:$E$1775,"=inbound",'Opportunities'!$V$2:$V$1775,"=apac",'Opportunities'!$N$2:$N$1775,"=nov26",'Opportunities'!$P$2:$P$1775,"=1",'Opportunities'!$H$2:$H$1775,"&lt;&gt;")</f>
        <v>0</v>
      </c>
      <c r="X125" s="4">
        <f>COUNTIFS('Opportunities'!$E$2:$E$1775,"=inbound",'Opportunities'!$V$2:$V$1775,"=apac",'Opportunities'!$N$2:$N$1775,"=dec26",'Opportunities'!$P$2:$P$1775,"=1",'Opportunities'!$H$2:$H$1775,"&lt;&gt;")</f>
        <v>0</v>
      </c>
    </row>
    <row r="126">
      <c r="A126" s="0" t="inlineStr">
        <is>
          <t xml:space="preserve">Deals won</t>
        </is>
      </c>
      <c r="B126" s="0" t="inlineStr">
        <is>
          <t xml:space="preserve">Paid digital</t>
        </is>
      </c>
      <c r="C126" s="0" t="inlineStr">
        <is>
          <t xml:space="preserve">AMER East</t>
        </is>
      </c>
      <c r="D126" s="4">
        <f>COUNTIFS('Opportunities'!$E$2:$E$1775,"=paid",'Opportunities'!$V$2:$V$1775,"=amer_east",'Opportunities'!$N$2:$N$1775,"=apr25",'Opportunities'!$P$2:$P$1775,"=1",'Opportunities'!$H$2:$H$1775,"&lt;&gt;")</f>
        <v>0</v>
      </c>
      <c r="E126" s="4">
        <f>COUNTIFS('Opportunities'!$E$2:$E$1775,"=paid",'Opportunities'!$V$2:$V$1775,"=amer_east",'Opportunities'!$N$2:$N$1775,"=may25",'Opportunities'!$P$2:$P$1775,"=1",'Opportunities'!$H$2:$H$1775,"&lt;&gt;")</f>
        <v>2</v>
      </c>
      <c r="F126" s="4">
        <f>COUNTIFS('Opportunities'!$E$2:$E$1775,"=paid",'Opportunities'!$V$2:$V$1775,"=amer_east",'Opportunities'!$N$2:$N$1775,"=jun25",'Opportunities'!$P$2:$P$1775,"=1",'Opportunities'!$H$2:$H$1775,"&lt;&gt;")</f>
        <v>2</v>
      </c>
      <c r="G126" s="4">
        <f>COUNTIFS('Opportunities'!$E$2:$E$1775,"=paid",'Opportunities'!$V$2:$V$1775,"=amer_east",'Opportunities'!$N$2:$N$1775,"=jul25",'Opportunities'!$P$2:$P$1775,"=1",'Opportunities'!$H$2:$H$1775,"&lt;&gt;")</f>
        <v>0</v>
      </c>
      <c r="H126" s="4">
        <f>COUNTIFS('Opportunities'!$E$2:$E$1775,"=paid",'Opportunities'!$V$2:$V$1775,"=amer_east",'Opportunities'!$N$2:$N$1775,"=aug25",'Opportunities'!$P$2:$P$1775,"=1",'Opportunities'!$H$2:$H$1775,"&lt;&gt;")</f>
        <v>0</v>
      </c>
      <c r="I126" s="4">
        <f>COUNTIFS('Opportunities'!$E$2:$E$1775,"=paid",'Opportunities'!$V$2:$V$1775,"=amer_east",'Opportunities'!$N$2:$N$1775,"=sep25",'Opportunities'!$P$2:$P$1775,"=1",'Opportunities'!$H$2:$H$1775,"&lt;&gt;")</f>
        <v>5</v>
      </c>
      <c r="J126" s="4">
        <f>COUNTIFS('Opportunities'!$E$2:$E$1775,"=paid",'Opportunities'!$V$2:$V$1775,"=amer_east",'Opportunities'!$N$2:$N$1775,"=oct25",'Opportunities'!$P$2:$P$1775,"=1",'Opportunities'!$H$2:$H$1775,"&lt;&gt;")</f>
        <v>0</v>
      </c>
      <c r="K126" s="4">
        <f>COUNTIFS('Opportunities'!$E$2:$E$1775,"=paid",'Opportunities'!$V$2:$V$1775,"=amer_east",'Opportunities'!$N$2:$N$1775,"=nov25",'Opportunities'!$P$2:$P$1775,"=1",'Opportunities'!$H$2:$H$1775,"&lt;&gt;")</f>
        <v>1</v>
      </c>
      <c r="L126" s="4">
        <f>COUNTIFS('Opportunities'!$E$2:$E$1775,"=paid",'Opportunities'!$V$2:$V$1775,"=amer_east",'Opportunities'!$N$2:$N$1775,"=dec25",'Opportunities'!$P$2:$P$1775,"=1",'Opportunities'!$H$2:$H$1775,"&lt;&gt;")</f>
        <v>0</v>
      </c>
      <c r="M126" s="4">
        <f>COUNTIFS('Opportunities'!$E$2:$E$1775,"=paid",'Opportunities'!$V$2:$V$1775,"=amer_east",'Opportunities'!$N$2:$N$1775,"=jan26",'Opportunities'!$P$2:$P$1775,"=1",'Opportunities'!$H$2:$H$1775,"&lt;&gt;")</f>
        <v>1</v>
      </c>
      <c r="N126" s="4">
        <f>COUNTIFS('Opportunities'!$E$2:$E$1775,"=paid",'Opportunities'!$V$2:$V$1775,"=amer_east",'Opportunities'!$N$2:$N$1775,"=feb26",'Opportunities'!$P$2:$P$1775,"=1",'Opportunities'!$H$2:$H$1775,"&lt;&gt;")</f>
        <v>1</v>
      </c>
      <c r="O126" s="4">
        <f>COUNTIFS('Opportunities'!$E$2:$E$1775,"=paid",'Opportunities'!$V$2:$V$1775,"=amer_east",'Opportunities'!$N$2:$N$1775,"=mar26",'Opportunities'!$P$2:$P$1775,"=1",'Opportunities'!$H$2:$H$1775,"&lt;&gt;")</f>
        <v>3</v>
      </c>
      <c r="P126" s="4">
        <f>COUNTIFS('Opportunities'!$E$2:$E$1775,"=paid",'Opportunities'!$V$2:$V$1775,"=amer_east",'Opportunities'!$N$2:$N$1775,"=apr26",'Opportunities'!$P$2:$P$1775,"=1",'Opportunities'!$H$2:$H$1775,"&lt;&gt;")</f>
        <v>0</v>
      </c>
      <c r="Q126" s="4">
        <f>COUNTIFS('Opportunities'!$E$2:$E$1775,"=paid",'Opportunities'!$V$2:$V$1775,"=amer_east",'Opportunities'!$N$2:$N$1775,"=may26",'Opportunities'!$P$2:$P$1775,"=1",'Opportunities'!$H$2:$H$1775,"&lt;&gt;")</f>
        <v>1</v>
      </c>
      <c r="R126" s="4">
        <f>COUNTIFS('Opportunities'!$E$2:$E$1775,"=paid",'Opportunities'!$V$2:$V$1775,"=amer_east",'Opportunities'!$N$2:$N$1775,"=jun26",'Opportunities'!$P$2:$P$1775,"=1",'Opportunities'!$H$2:$H$1775,"&lt;&gt;")</f>
        <v>0</v>
      </c>
      <c r="S126" s="4">
        <f>COUNTIFS('Opportunities'!$E$2:$E$1775,"=paid",'Opportunities'!$V$2:$V$1775,"=amer_east",'Opportunities'!$N$2:$N$1775,"=jul26",'Opportunities'!$P$2:$P$1775,"=1",'Opportunities'!$H$2:$H$1775,"&lt;&gt;")</f>
        <v>2</v>
      </c>
      <c r="T126" s="4">
        <f>COUNTIFS('Opportunities'!$E$2:$E$1775,"=paid",'Opportunities'!$V$2:$V$1775,"=amer_east",'Opportunities'!$N$2:$N$1775,"=aug26",'Opportunities'!$P$2:$P$1775,"=1",'Opportunities'!$H$2:$H$1775,"&lt;&gt;")</f>
        <v>1</v>
      </c>
      <c r="U126" s="4">
        <f>COUNTIFS('Opportunities'!$E$2:$E$1775,"=paid",'Opportunities'!$V$2:$V$1775,"=amer_east",'Opportunities'!$N$2:$N$1775,"=sep26",'Opportunities'!$P$2:$P$1775,"=1",'Opportunities'!$H$2:$H$1775,"&lt;&gt;")</f>
        <v>1</v>
      </c>
      <c r="V126" s="4">
        <f>COUNTIFS('Opportunities'!$E$2:$E$1775,"=paid",'Opportunities'!$V$2:$V$1775,"=amer_east",'Opportunities'!$N$2:$N$1775,"=oct26",'Opportunities'!$P$2:$P$1775,"=1",'Opportunities'!$H$2:$H$1775,"&lt;&gt;")</f>
        <v>0</v>
      </c>
      <c r="W126" s="4">
        <f>COUNTIFS('Opportunities'!$E$2:$E$1775,"=paid",'Opportunities'!$V$2:$V$1775,"=amer_east",'Opportunities'!$N$2:$N$1775,"=nov26",'Opportunities'!$P$2:$P$1775,"=1",'Opportunities'!$H$2:$H$1775,"&lt;&gt;")</f>
        <v>0</v>
      </c>
      <c r="X126" s="4">
        <f>COUNTIFS('Opportunities'!$E$2:$E$1775,"=paid",'Opportunities'!$V$2:$V$1775,"=amer_east",'Opportunities'!$N$2:$N$1775,"=dec26",'Opportunities'!$P$2:$P$1775,"=1",'Opportunities'!$H$2:$H$1775,"&lt;&gt;")</f>
        <v>0</v>
      </c>
    </row>
    <row r="127">
      <c r="A127" s="0" t="inlineStr">
        <is>
          <t xml:space="preserve">Deals won</t>
        </is>
      </c>
      <c r="B127" s="0" t="inlineStr">
        <is>
          <t xml:space="preserve">Paid digital</t>
        </is>
      </c>
      <c r="C127" s="0" t="inlineStr">
        <is>
          <t xml:space="preserve">AMER West</t>
        </is>
      </c>
      <c r="D127" s="4">
        <f>COUNTIFS('Opportunities'!$E$2:$E$1775,"=paid",'Opportunities'!$V$2:$V$1775,"=amer_west",'Opportunities'!$N$2:$N$1775,"=apr25",'Opportunities'!$P$2:$P$1775,"=1",'Opportunities'!$H$2:$H$1775,"&lt;&gt;")</f>
        <v>1</v>
      </c>
      <c r="E127" s="4">
        <f>COUNTIFS('Opportunities'!$E$2:$E$1775,"=paid",'Opportunities'!$V$2:$V$1775,"=amer_west",'Opportunities'!$N$2:$N$1775,"=may25",'Opportunities'!$P$2:$P$1775,"=1",'Opportunities'!$H$2:$H$1775,"&lt;&gt;")</f>
        <v>1</v>
      </c>
      <c r="F127" s="4">
        <f>COUNTIFS('Opportunities'!$E$2:$E$1775,"=paid",'Opportunities'!$V$2:$V$1775,"=amer_west",'Opportunities'!$N$2:$N$1775,"=jun25",'Opportunities'!$P$2:$P$1775,"=1",'Opportunities'!$H$2:$H$1775,"&lt;&gt;")</f>
        <v>1</v>
      </c>
      <c r="G127" s="4">
        <f>COUNTIFS('Opportunities'!$E$2:$E$1775,"=paid",'Opportunities'!$V$2:$V$1775,"=amer_west",'Opportunities'!$N$2:$N$1775,"=jul25",'Opportunities'!$P$2:$P$1775,"=1",'Opportunities'!$H$2:$H$1775,"&lt;&gt;")</f>
        <v>1</v>
      </c>
      <c r="H127" s="4">
        <f>COUNTIFS('Opportunities'!$E$2:$E$1775,"=paid",'Opportunities'!$V$2:$V$1775,"=amer_west",'Opportunities'!$N$2:$N$1775,"=aug25",'Opportunities'!$P$2:$P$1775,"=1",'Opportunities'!$H$2:$H$1775,"&lt;&gt;")</f>
        <v>0</v>
      </c>
      <c r="I127" s="4">
        <f>COUNTIFS('Opportunities'!$E$2:$E$1775,"=paid",'Opportunities'!$V$2:$V$1775,"=amer_west",'Opportunities'!$N$2:$N$1775,"=sep25",'Opportunities'!$P$2:$P$1775,"=1",'Opportunities'!$H$2:$H$1775,"&lt;&gt;")</f>
        <v>0</v>
      </c>
      <c r="J127" s="4">
        <f>COUNTIFS('Opportunities'!$E$2:$E$1775,"=paid",'Opportunities'!$V$2:$V$1775,"=amer_west",'Opportunities'!$N$2:$N$1775,"=oct25",'Opportunities'!$P$2:$P$1775,"=1",'Opportunities'!$H$2:$H$1775,"&lt;&gt;")</f>
        <v>1</v>
      </c>
      <c r="K127" s="4">
        <f>COUNTIFS('Opportunities'!$E$2:$E$1775,"=paid",'Opportunities'!$V$2:$V$1775,"=amer_west",'Opportunities'!$N$2:$N$1775,"=nov25",'Opportunities'!$P$2:$P$1775,"=1",'Opportunities'!$H$2:$H$1775,"&lt;&gt;")</f>
        <v>2</v>
      </c>
      <c r="L127" s="4">
        <f>COUNTIFS('Opportunities'!$E$2:$E$1775,"=paid",'Opportunities'!$V$2:$V$1775,"=amer_west",'Opportunities'!$N$2:$N$1775,"=dec25",'Opportunities'!$P$2:$P$1775,"=1",'Opportunities'!$H$2:$H$1775,"&lt;&gt;")</f>
        <v>0</v>
      </c>
      <c r="M127" s="4">
        <f>COUNTIFS('Opportunities'!$E$2:$E$1775,"=paid",'Opportunities'!$V$2:$V$1775,"=amer_west",'Opportunities'!$N$2:$N$1775,"=jan26",'Opportunities'!$P$2:$P$1775,"=1",'Opportunities'!$H$2:$H$1775,"&lt;&gt;")</f>
        <v>0</v>
      </c>
      <c r="N127" s="4">
        <f>COUNTIFS('Opportunities'!$E$2:$E$1775,"=paid",'Opportunities'!$V$2:$V$1775,"=amer_west",'Opportunities'!$N$2:$N$1775,"=feb26",'Opportunities'!$P$2:$P$1775,"=1",'Opportunities'!$H$2:$H$1775,"&lt;&gt;")</f>
        <v>0</v>
      </c>
      <c r="O127" s="4">
        <f>COUNTIFS('Opportunities'!$E$2:$E$1775,"=paid",'Opportunities'!$V$2:$V$1775,"=amer_west",'Opportunities'!$N$2:$N$1775,"=mar26",'Opportunities'!$P$2:$P$1775,"=1",'Opportunities'!$H$2:$H$1775,"&lt;&gt;")</f>
        <v>2</v>
      </c>
      <c r="P127" s="4">
        <f>COUNTIFS('Opportunities'!$E$2:$E$1775,"=paid",'Opportunities'!$V$2:$V$1775,"=amer_west",'Opportunities'!$N$2:$N$1775,"=apr26",'Opportunities'!$P$2:$P$1775,"=1",'Opportunities'!$H$2:$H$1775,"&lt;&gt;")</f>
        <v>1</v>
      </c>
      <c r="Q127" s="4">
        <f>COUNTIFS('Opportunities'!$E$2:$E$1775,"=paid",'Opportunities'!$V$2:$V$1775,"=amer_west",'Opportunities'!$N$2:$N$1775,"=may26",'Opportunities'!$P$2:$P$1775,"=1",'Opportunities'!$H$2:$H$1775,"&lt;&gt;")</f>
        <v>0</v>
      </c>
      <c r="R127" s="4">
        <f>COUNTIFS('Opportunities'!$E$2:$E$1775,"=paid",'Opportunities'!$V$2:$V$1775,"=amer_west",'Opportunities'!$N$2:$N$1775,"=jun26",'Opportunities'!$P$2:$P$1775,"=1",'Opportunities'!$H$2:$H$1775,"&lt;&gt;")</f>
        <v>4</v>
      </c>
      <c r="S127" s="4">
        <f>COUNTIFS('Opportunities'!$E$2:$E$1775,"=paid",'Opportunities'!$V$2:$V$1775,"=amer_west",'Opportunities'!$N$2:$N$1775,"=jul26",'Opportunities'!$P$2:$P$1775,"=1",'Opportunities'!$H$2:$H$1775,"&lt;&gt;")</f>
        <v>2</v>
      </c>
      <c r="T127" s="4">
        <f>COUNTIFS('Opportunities'!$E$2:$E$1775,"=paid",'Opportunities'!$V$2:$V$1775,"=amer_west",'Opportunities'!$N$2:$N$1775,"=aug26",'Opportunities'!$P$2:$P$1775,"=1",'Opportunities'!$H$2:$H$1775,"&lt;&gt;")</f>
        <v>0</v>
      </c>
      <c r="U127" s="4">
        <f>COUNTIFS('Opportunities'!$E$2:$E$1775,"=paid",'Opportunities'!$V$2:$V$1775,"=amer_west",'Opportunities'!$N$2:$N$1775,"=sep26",'Opportunities'!$P$2:$P$1775,"=1",'Opportunities'!$H$2:$H$1775,"&lt;&gt;")</f>
        <v>3</v>
      </c>
      <c r="V127" s="4">
        <f>COUNTIFS('Opportunities'!$E$2:$E$1775,"=paid",'Opportunities'!$V$2:$V$1775,"=amer_west",'Opportunities'!$N$2:$N$1775,"=oct26",'Opportunities'!$P$2:$P$1775,"=1",'Opportunities'!$H$2:$H$1775,"&lt;&gt;")</f>
        <v>0</v>
      </c>
      <c r="W127" s="4">
        <f>COUNTIFS('Opportunities'!$E$2:$E$1775,"=paid",'Opportunities'!$V$2:$V$1775,"=amer_west",'Opportunities'!$N$2:$N$1775,"=nov26",'Opportunities'!$P$2:$P$1775,"=1",'Opportunities'!$H$2:$H$1775,"&lt;&gt;")</f>
        <v>0</v>
      </c>
      <c r="X127" s="4">
        <f>COUNTIFS('Opportunities'!$E$2:$E$1775,"=paid",'Opportunities'!$V$2:$V$1775,"=amer_west",'Opportunities'!$N$2:$N$1775,"=dec26",'Opportunities'!$P$2:$P$1775,"=1",'Opportunities'!$H$2:$H$1775,"&lt;&gt;")</f>
        <v>0</v>
      </c>
    </row>
    <row r="128">
      <c r="A128" s="0" t="inlineStr">
        <is>
          <t xml:space="preserve">Deals won</t>
        </is>
      </c>
      <c r="B128" s="0" t="inlineStr">
        <is>
          <t xml:space="preserve">Paid digital</t>
        </is>
      </c>
      <c r="C128" s="0" t="inlineStr">
        <is>
          <t xml:space="preserve">EMEA</t>
        </is>
      </c>
      <c r="D128" s="4">
        <f>COUNTIFS('Opportunities'!$E$2:$E$1775,"=paid",'Opportunities'!$V$2:$V$1775,"=emea",'Opportunities'!$N$2:$N$1775,"=apr25",'Opportunities'!$P$2:$P$1775,"=1",'Opportunities'!$H$2:$H$1775,"&lt;&gt;")</f>
        <v>0</v>
      </c>
      <c r="E128" s="4">
        <f>COUNTIFS('Opportunities'!$E$2:$E$1775,"=paid",'Opportunities'!$V$2:$V$1775,"=emea",'Opportunities'!$N$2:$N$1775,"=may25",'Opportunities'!$P$2:$P$1775,"=1",'Opportunities'!$H$2:$H$1775,"&lt;&gt;")</f>
        <v>1</v>
      </c>
      <c r="F128" s="4">
        <f>COUNTIFS('Opportunities'!$E$2:$E$1775,"=paid",'Opportunities'!$V$2:$V$1775,"=emea",'Opportunities'!$N$2:$N$1775,"=jun25",'Opportunities'!$P$2:$P$1775,"=1",'Opportunities'!$H$2:$H$1775,"&lt;&gt;")</f>
        <v>1</v>
      </c>
      <c r="G128" s="4">
        <f>COUNTIFS('Opportunities'!$E$2:$E$1775,"=paid",'Opportunities'!$V$2:$V$1775,"=emea",'Opportunities'!$N$2:$N$1775,"=jul25",'Opportunities'!$P$2:$P$1775,"=1",'Opportunities'!$H$2:$H$1775,"&lt;&gt;")</f>
        <v>0</v>
      </c>
      <c r="H128" s="4">
        <f>COUNTIFS('Opportunities'!$E$2:$E$1775,"=paid",'Opportunities'!$V$2:$V$1775,"=emea",'Opportunities'!$N$2:$N$1775,"=aug25",'Opportunities'!$P$2:$P$1775,"=1",'Opportunities'!$H$2:$H$1775,"&lt;&gt;")</f>
        <v>0</v>
      </c>
      <c r="I128" s="4">
        <f>COUNTIFS('Opportunities'!$E$2:$E$1775,"=paid",'Opportunities'!$V$2:$V$1775,"=emea",'Opportunities'!$N$2:$N$1775,"=sep25",'Opportunities'!$P$2:$P$1775,"=1",'Opportunities'!$H$2:$H$1775,"&lt;&gt;")</f>
        <v>2</v>
      </c>
      <c r="J128" s="4">
        <f>COUNTIFS('Opportunities'!$E$2:$E$1775,"=paid",'Opportunities'!$V$2:$V$1775,"=emea",'Opportunities'!$N$2:$N$1775,"=oct25",'Opportunities'!$P$2:$P$1775,"=1",'Opportunities'!$H$2:$H$1775,"&lt;&gt;")</f>
        <v>1</v>
      </c>
      <c r="K128" s="4">
        <f>COUNTIFS('Opportunities'!$E$2:$E$1775,"=paid",'Opportunities'!$V$2:$V$1775,"=emea",'Opportunities'!$N$2:$N$1775,"=nov25",'Opportunities'!$P$2:$P$1775,"=1",'Opportunities'!$H$2:$H$1775,"&lt;&gt;")</f>
        <v>1</v>
      </c>
      <c r="L128" s="4">
        <f>COUNTIFS('Opportunities'!$E$2:$E$1775,"=paid",'Opportunities'!$V$2:$V$1775,"=emea",'Opportunities'!$N$2:$N$1775,"=dec25",'Opportunities'!$P$2:$P$1775,"=1",'Opportunities'!$H$2:$H$1775,"&lt;&gt;")</f>
        <v>0</v>
      </c>
      <c r="M128" s="4">
        <f>COUNTIFS('Opportunities'!$E$2:$E$1775,"=paid",'Opportunities'!$V$2:$V$1775,"=emea",'Opportunities'!$N$2:$N$1775,"=jan26",'Opportunities'!$P$2:$P$1775,"=1",'Opportunities'!$H$2:$H$1775,"&lt;&gt;")</f>
        <v>0</v>
      </c>
      <c r="N128" s="4">
        <f>COUNTIFS('Opportunities'!$E$2:$E$1775,"=paid",'Opportunities'!$V$2:$V$1775,"=emea",'Opportunities'!$N$2:$N$1775,"=feb26",'Opportunities'!$P$2:$P$1775,"=1",'Opportunities'!$H$2:$H$1775,"&lt;&gt;")</f>
        <v>0</v>
      </c>
      <c r="O128" s="4">
        <f>COUNTIFS('Opportunities'!$E$2:$E$1775,"=paid",'Opportunities'!$V$2:$V$1775,"=emea",'Opportunities'!$N$2:$N$1775,"=mar26",'Opportunities'!$P$2:$P$1775,"=1",'Opportunities'!$H$2:$H$1775,"&lt;&gt;")</f>
        <v>2</v>
      </c>
      <c r="P128" s="4">
        <f>COUNTIFS('Opportunities'!$E$2:$E$1775,"=paid",'Opportunities'!$V$2:$V$1775,"=emea",'Opportunities'!$N$2:$N$1775,"=apr26",'Opportunities'!$P$2:$P$1775,"=1",'Opportunities'!$H$2:$H$1775,"&lt;&gt;")</f>
        <v>2</v>
      </c>
      <c r="Q128" s="4">
        <f>COUNTIFS('Opportunities'!$E$2:$E$1775,"=paid",'Opportunities'!$V$2:$V$1775,"=emea",'Opportunities'!$N$2:$N$1775,"=may26",'Opportunities'!$P$2:$P$1775,"=1",'Opportunities'!$H$2:$H$1775,"&lt;&gt;")</f>
        <v>0</v>
      </c>
      <c r="R128" s="4">
        <f>COUNTIFS('Opportunities'!$E$2:$E$1775,"=paid",'Opportunities'!$V$2:$V$1775,"=emea",'Opportunities'!$N$2:$N$1775,"=jun26",'Opportunities'!$P$2:$P$1775,"=1",'Opportunities'!$H$2:$H$1775,"&lt;&gt;")</f>
        <v>2</v>
      </c>
      <c r="S128" s="4">
        <f>COUNTIFS('Opportunities'!$E$2:$E$1775,"=paid",'Opportunities'!$V$2:$V$1775,"=emea",'Opportunities'!$N$2:$N$1775,"=jul26",'Opportunities'!$P$2:$P$1775,"=1",'Opportunities'!$H$2:$H$1775,"&lt;&gt;")</f>
        <v>0</v>
      </c>
      <c r="T128" s="4">
        <f>COUNTIFS('Opportunities'!$E$2:$E$1775,"=paid",'Opportunities'!$V$2:$V$1775,"=emea",'Opportunities'!$N$2:$N$1775,"=aug26",'Opportunities'!$P$2:$P$1775,"=1",'Opportunities'!$H$2:$H$1775,"&lt;&gt;")</f>
        <v>1</v>
      </c>
      <c r="U128" s="4">
        <f>COUNTIFS('Opportunities'!$E$2:$E$1775,"=paid",'Opportunities'!$V$2:$V$1775,"=emea",'Opportunities'!$N$2:$N$1775,"=sep26",'Opportunities'!$P$2:$P$1775,"=1",'Opportunities'!$H$2:$H$1775,"&lt;&gt;")</f>
        <v>0</v>
      </c>
      <c r="V128" s="4">
        <f>COUNTIFS('Opportunities'!$E$2:$E$1775,"=paid",'Opportunities'!$V$2:$V$1775,"=emea",'Opportunities'!$N$2:$N$1775,"=oct26",'Opportunities'!$P$2:$P$1775,"=1",'Opportunities'!$H$2:$H$1775,"&lt;&gt;")</f>
        <v>0</v>
      </c>
      <c r="W128" s="4">
        <f>COUNTIFS('Opportunities'!$E$2:$E$1775,"=paid",'Opportunities'!$V$2:$V$1775,"=emea",'Opportunities'!$N$2:$N$1775,"=nov26",'Opportunities'!$P$2:$P$1775,"=1",'Opportunities'!$H$2:$H$1775,"&lt;&gt;")</f>
        <v>0</v>
      </c>
      <c r="X128" s="4">
        <f>COUNTIFS('Opportunities'!$E$2:$E$1775,"=paid",'Opportunities'!$V$2:$V$1775,"=emea",'Opportunities'!$N$2:$N$1775,"=dec26",'Opportunities'!$P$2:$P$1775,"=1",'Opportunities'!$H$2:$H$1775,"&lt;&gt;")</f>
        <v>0</v>
      </c>
    </row>
    <row r="129">
      <c r="A129" s="0" t="inlineStr">
        <is>
          <t xml:space="preserve">Deals won</t>
        </is>
      </c>
      <c r="B129" s="0" t="inlineStr">
        <is>
          <t xml:space="preserve">Paid digital</t>
        </is>
      </c>
      <c r="C129" s="0" t="inlineStr">
        <is>
          <t xml:space="preserve">APAC</t>
        </is>
      </c>
      <c r="D129" s="4">
        <f>COUNTIFS('Opportunities'!$E$2:$E$1775,"=paid",'Opportunities'!$V$2:$V$1775,"=apac",'Opportunities'!$N$2:$N$1775,"=apr25",'Opportunities'!$P$2:$P$1775,"=1",'Opportunities'!$H$2:$H$1775,"&lt;&gt;")</f>
        <v>0</v>
      </c>
      <c r="E129" s="4">
        <f>COUNTIFS('Opportunities'!$E$2:$E$1775,"=paid",'Opportunities'!$V$2:$V$1775,"=apac",'Opportunities'!$N$2:$N$1775,"=may25",'Opportunities'!$P$2:$P$1775,"=1",'Opportunities'!$H$2:$H$1775,"&lt;&gt;")</f>
        <v>0</v>
      </c>
      <c r="F129" s="4">
        <f>COUNTIFS('Opportunities'!$E$2:$E$1775,"=paid",'Opportunities'!$V$2:$V$1775,"=apac",'Opportunities'!$N$2:$N$1775,"=jun25",'Opportunities'!$P$2:$P$1775,"=1",'Opportunities'!$H$2:$H$1775,"&lt;&gt;")</f>
        <v>0</v>
      </c>
      <c r="G129" s="4">
        <f>COUNTIFS('Opportunities'!$E$2:$E$1775,"=paid",'Opportunities'!$V$2:$V$1775,"=apac",'Opportunities'!$N$2:$N$1775,"=jul25",'Opportunities'!$P$2:$P$1775,"=1",'Opportunities'!$H$2:$H$1775,"&lt;&gt;")</f>
        <v>1</v>
      </c>
      <c r="H129" s="4">
        <f>COUNTIFS('Opportunities'!$E$2:$E$1775,"=paid",'Opportunities'!$V$2:$V$1775,"=apac",'Opportunities'!$N$2:$N$1775,"=aug25",'Opportunities'!$P$2:$P$1775,"=1",'Opportunities'!$H$2:$H$1775,"&lt;&gt;")</f>
        <v>0</v>
      </c>
      <c r="I129" s="4">
        <f>COUNTIFS('Opportunities'!$E$2:$E$1775,"=paid",'Opportunities'!$V$2:$V$1775,"=apac",'Opportunities'!$N$2:$N$1775,"=sep25",'Opportunities'!$P$2:$P$1775,"=1",'Opportunities'!$H$2:$H$1775,"&lt;&gt;")</f>
        <v>1</v>
      </c>
      <c r="J129" s="4">
        <f>COUNTIFS('Opportunities'!$E$2:$E$1775,"=paid",'Opportunities'!$V$2:$V$1775,"=apac",'Opportunities'!$N$2:$N$1775,"=oct25",'Opportunities'!$P$2:$P$1775,"=1",'Opportunities'!$H$2:$H$1775,"&lt;&gt;")</f>
        <v>0</v>
      </c>
      <c r="K129" s="4">
        <f>COUNTIFS('Opportunities'!$E$2:$E$1775,"=paid",'Opportunities'!$V$2:$V$1775,"=apac",'Opportunities'!$N$2:$N$1775,"=nov25",'Opportunities'!$P$2:$P$1775,"=1",'Opportunities'!$H$2:$H$1775,"&lt;&gt;")</f>
        <v>1</v>
      </c>
      <c r="L129" s="4">
        <f>COUNTIFS('Opportunities'!$E$2:$E$1775,"=paid",'Opportunities'!$V$2:$V$1775,"=apac",'Opportunities'!$N$2:$N$1775,"=dec25",'Opportunities'!$P$2:$P$1775,"=1",'Opportunities'!$H$2:$H$1775,"&lt;&gt;")</f>
        <v>1</v>
      </c>
      <c r="M129" s="4">
        <f>COUNTIFS('Opportunities'!$E$2:$E$1775,"=paid",'Opportunities'!$V$2:$V$1775,"=apac",'Opportunities'!$N$2:$N$1775,"=jan26",'Opportunities'!$P$2:$P$1775,"=1",'Opportunities'!$H$2:$H$1775,"&lt;&gt;")</f>
        <v>0</v>
      </c>
      <c r="N129" s="4">
        <f>COUNTIFS('Opportunities'!$E$2:$E$1775,"=paid",'Opportunities'!$V$2:$V$1775,"=apac",'Opportunities'!$N$2:$N$1775,"=feb26",'Opportunities'!$P$2:$P$1775,"=1",'Opportunities'!$H$2:$H$1775,"&lt;&gt;")</f>
        <v>0</v>
      </c>
      <c r="O129" s="4">
        <f>COUNTIFS('Opportunities'!$E$2:$E$1775,"=paid",'Opportunities'!$V$2:$V$1775,"=apac",'Opportunities'!$N$2:$N$1775,"=mar26",'Opportunities'!$P$2:$P$1775,"=1",'Opportunities'!$H$2:$H$1775,"&lt;&gt;")</f>
        <v>0</v>
      </c>
      <c r="P129" s="4">
        <f>COUNTIFS('Opportunities'!$E$2:$E$1775,"=paid",'Opportunities'!$V$2:$V$1775,"=apac",'Opportunities'!$N$2:$N$1775,"=apr26",'Opportunities'!$P$2:$P$1775,"=1",'Opportunities'!$H$2:$H$1775,"&lt;&gt;")</f>
        <v>1</v>
      </c>
      <c r="Q129" s="4">
        <f>COUNTIFS('Opportunities'!$E$2:$E$1775,"=paid",'Opportunities'!$V$2:$V$1775,"=apac",'Opportunities'!$N$2:$N$1775,"=may26",'Opportunities'!$P$2:$P$1775,"=1",'Opportunities'!$H$2:$H$1775,"&lt;&gt;")</f>
        <v>1</v>
      </c>
      <c r="R129" s="4">
        <f>COUNTIFS('Opportunities'!$E$2:$E$1775,"=paid",'Opportunities'!$V$2:$V$1775,"=apac",'Opportunities'!$N$2:$N$1775,"=jun26",'Opportunities'!$P$2:$P$1775,"=1",'Opportunities'!$H$2:$H$1775,"&lt;&gt;")</f>
        <v>1</v>
      </c>
      <c r="S129" s="4">
        <f>COUNTIFS('Opportunities'!$E$2:$E$1775,"=paid",'Opportunities'!$V$2:$V$1775,"=apac",'Opportunities'!$N$2:$N$1775,"=jul26",'Opportunities'!$P$2:$P$1775,"=1",'Opportunities'!$H$2:$H$1775,"&lt;&gt;")</f>
        <v>0</v>
      </c>
      <c r="T129" s="4">
        <f>COUNTIFS('Opportunities'!$E$2:$E$1775,"=paid",'Opportunities'!$V$2:$V$1775,"=apac",'Opportunities'!$N$2:$N$1775,"=aug26",'Opportunities'!$P$2:$P$1775,"=1",'Opportunities'!$H$2:$H$1775,"&lt;&gt;")</f>
        <v>1</v>
      </c>
      <c r="U129" s="4">
        <f>COUNTIFS('Opportunities'!$E$2:$E$1775,"=paid",'Opportunities'!$V$2:$V$1775,"=apac",'Opportunities'!$N$2:$N$1775,"=sep26",'Opportunities'!$P$2:$P$1775,"=1",'Opportunities'!$H$2:$H$1775,"&lt;&gt;")</f>
        <v>1</v>
      </c>
      <c r="V129" s="4">
        <f>COUNTIFS('Opportunities'!$E$2:$E$1775,"=paid",'Opportunities'!$V$2:$V$1775,"=apac",'Opportunities'!$N$2:$N$1775,"=oct26",'Opportunities'!$P$2:$P$1775,"=1",'Opportunities'!$H$2:$H$1775,"&lt;&gt;")</f>
        <v>0</v>
      </c>
      <c r="W129" s="4">
        <f>COUNTIFS('Opportunities'!$E$2:$E$1775,"=paid",'Opportunities'!$V$2:$V$1775,"=apac",'Opportunities'!$N$2:$N$1775,"=nov26",'Opportunities'!$P$2:$P$1775,"=1",'Opportunities'!$H$2:$H$1775,"&lt;&gt;")</f>
        <v>0</v>
      </c>
      <c r="X129" s="4">
        <f>COUNTIFS('Opportunities'!$E$2:$E$1775,"=paid",'Opportunities'!$V$2:$V$1775,"=apac",'Opportunities'!$N$2:$N$1775,"=dec26",'Opportunities'!$P$2:$P$1775,"=1",'Opportunities'!$H$2:$H$1775,"&lt;&gt;")</f>
        <v>0</v>
      </c>
    </row>
    <row r="130">
      <c r="A130" s="0" t="inlineStr">
        <is>
          <t xml:space="preserve">Deals won</t>
        </is>
      </c>
      <c r="B130" s="0" t="inlineStr">
        <is>
          <t xml:space="preserve">Events &amp; field</t>
        </is>
      </c>
      <c r="C130" s="0" t="inlineStr">
        <is>
          <t xml:space="preserve">AMER East</t>
        </is>
      </c>
      <c r="D130" s="4">
        <f>COUNTIFS('Opportunities'!$E$2:$E$1775,"=events",'Opportunities'!$V$2:$V$1775,"=amer_east",'Opportunities'!$N$2:$N$1775,"=apr25",'Opportunities'!$P$2:$P$1775,"=1",'Opportunities'!$H$2:$H$1775,"&lt;&gt;")</f>
        <v>0</v>
      </c>
      <c r="E130" s="4">
        <f>COUNTIFS('Opportunities'!$E$2:$E$1775,"=events",'Opportunities'!$V$2:$V$1775,"=amer_east",'Opportunities'!$N$2:$N$1775,"=may25",'Opportunities'!$P$2:$P$1775,"=1",'Opportunities'!$H$2:$H$1775,"&lt;&gt;")</f>
        <v>1</v>
      </c>
      <c r="F130" s="4">
        <f>COUNTIFS('Opportunities'!$E$2:$E$1775,"=events",'Opportunities'!$V$2:$V$1775,"=amer_east",'Opportunities'!$N$2:$N$1775,"=jun25",'Opportunities'!$P$2:$P$1775,"=1",'Opportunities'!$H$2:$H$1775,"&lt;&gt;")</f>
        <v>2</v>
      </c>
      <c r="G130" s="4">
        <f>COUNTIFS('Opportunities'!$E$2:$E$1775,"=events",'Opportunities'!$V$2:$V$1775,"=amer_east",'Opportunities'!$N$2:$N$1775,"=jul25",'Opportunities'!$P$2:$P$1775,"=1",'Opportunities'!$H$2:$H$1775,"&lt;&gt;")</f>
        <v>2</v>
      </c>
      <c r="H130" s="4">
        <f>COUNTIFS('Opportunities'!$E$2:$E$1775,"=events",'Opportunities'!$V$2:$V$1775,"=amer_east",'Opportunities'!$N$2:$N$1775,"=aug25",'Opportunities'!$P$2:$P$1775,"=1",'Opportunities'!$H$2:$H$1775,"&lt;&gt;")</f>
        <v>3</v>
      </c>
      <c r="I130" s="4">
        <f>COUNTIFS('Opportunities'!$E$2:$E$1775,"=events",'Opportunities'!$V$2:$V$1775,"=amer_east",'Opportunities'!$N$2:$N$1775,"=sep25",'Opportunities'!$P$2:$P$1775,"=1",'Opportunities'!$H$2:$H$1775,"&lt;&gt;")</f>
        <v>0</v>
      </c>
      <c r="J130" s="4">
        <f>COUNTIFS('Opportunities'!$E$2:$E$1775,"=events",'Opportunities'!$V$2:$V$1775,"=amer_east",'Opportunities'!$N$2:$N$1775,"=oct25",'Opportunities'!$P$2:$P$1775,"=1",'Opportunities'!$H$2:$H$1775,"&lt;&gt;")</f>
        <v>1</v>
      </c>
      <c r="K130" s="4">
        <f>COUNTIFS('Opportunities'!$E$2:$E$1775,"=events",'Opportunities'!$V$2:$V$1775,"=amer_east",'Opportunities'!$N$2:$N$1775,"=nov25",'Opportunities'!$P$2:$P$1775,"=1",'Opportunities'!$H$2:$H$1775,"&lt;&gt;")</f>
        <v>2</v>
      </c>
      <c r="L130" s="4">
        <f>COUNTIFS('Opportunities'!$E$2:$E$1775,"=events",'Opportunities'!$V$2:$V$1775,"=amer_east",'Opportunities'!$N$2:$N$1775,"=dec25",'Opportunities'!$P$2:$P$1775,"=1",'Opportunities'!$H$2:$H$1775,"&lt;&gt;")</f>
        <v>2</v>
      </c>
      <c r="M130" s="4">
        <f>COUNTIFS('Opportunities'!$E$2:$E$1775,"=events",'Opportunities'!$V$2:$V$1775,"=amer_east",'Opportunities'!$N$2:$N$1775,"=jan26",'Opportunities'!$P$2:$P$1775,"=1",'Opportunities'!$H$2:$H$1775,"&lt;&gt;")</f>
        <v>0</v>
      </c>
      <c r="N130" s="4">
        <f>COUNTIFS('Opportunities'!$E$2:$E$1775,"=events",'Opportunities'!$V$2:$V$1775,"=amer_east",'Opportunities'!$N$2:$N$1775,"=feb26",'Opportunities'!$P$2:$P$1775,"=1",'Opportunities'!$H$2:$H$1775,"&lt;&gt;")</f>
        <v>0</v>
      </c>
      <c r="O130" s="4">
        <f>COUNTIFS('Opportunities'!$E$2:$E$1775,"=events",'Opportunities'!$V$2:$V$1775,"=amer_east",'Opportunities'!$N$2:$N$1775,"=mar26",'Opportunities'!$P$2:$P$1775,"=1",'Opportunities'!$H$2:$H$1775,"&lt;&gt;")</f>
        <v>1</v>
      </c>
      <c r="P130" s="4">
        <f>COUNTIFS('Opportunities'!$E$2:$E$1775,"=events",'Opportunities'!$V$2:$V$1775,"=amer_east",'Opportunities'!$N$2:$N$1775,"=apr26",'Opportunities'!$P$2:$P$1775,"=1",'Opportunities'!$H$2:$H$1775,"&lt;&gt;")</f>
        <v>1</v>
      </c>
      <c r="Q130" s="4">
        <f>COUNTIFS('Opportunities'!$E$2:$E$1775,"=events",'Opportunities'!$V$2:$V$1775,"=amer_east",'Opportunities'!$N$2:$N$1775,"=may26",'Opportunities'!$P$2:$P$1775,"=1",'Opportunities'!$H$2:$H$1775,"&lt;&gt;")</f>
        <v>1</v>
      </c>
      <c r="R130" s="4">
        <f>COUNTIFS('Opportunities'!$E$2:$E$1775,"=events",'Opportunities'!$V$2:$V$1775,"=amer_east",'Opportunities'!$N$2:$N$1775,"=jun26",'Opportunities'!$P$2:$P$1775,"=1",'Opportunities'!$H$2:$H$1775,"&lt;&gt;")</f>
        <v>2</v>
      </c>
      <c r="S130" s="4">
        <f>COUNTIFS('Opportunities'!$E$2:$E$1775,"=events",'Opportunities'!$V$2:$V$1775,"=amer_east",'Opportunities'!$N$2:$N$1775,"=jul26",'Opportunities'!$P$2:$P$1775,"=1",'Opportunities'!$H$2:$H$1775,"&lt;&gt;")</f>
        <v>3</v>
      </c>
      <c r="T130" s="4">
        <f>COUNTIFS('Opportunities'!$E$2:$E$1775,"=events",'Opportunities'!$V$2:$V$1775,"=amer_east",'Opportunities'!$N$2:$N$1775,"=aug26",'Opportunities'!$P$2:$P$1775,"=1",'Opportunities'!$H$2:$H$1775,"&lt;&gt;")</f>
        <v>0</v>
      </c>
      <c r="U130" s="4">
        <f>COUNTIFS('Opportunities'!$E$2:$E$1775,"=events",'Opportunities'!$V$2:$V$1775,"=amer_east",'Opportunities'!$N$2:$N$1775,"=sep26",'Opportunities'!$P$2:$P$1775,"=1",'Opportunities'!$H$2:$H$1775,"&lt;&gt;")</f>
        <v>2</v>
      </c>
      <c r="V130" s="4">
        <f>COUNTIFS('Opportunities'!$E$2:$E$1775,"=events",'Opportunities'!$V$2:$V$1775,"=amer_east",'Opportunities'!$N$2:$N$1775,"=oct26",'Opportunities'!$P$2:$P$1775,"=1",'Opportunities'!$H$2:$H$1775,"&lt;&gt;")</f>
        <v>0</v>
      </c>
      <c r="W130" s="4">
        <f>COUNTIFS('Opportunities'!$E$2:$E$1775,"=events",'Opportunities'!$V$2:$V$1775,"=amer_east",'Opportunities'!$N$2:$N$1775,"=nov26",'Opportunities'!$P$2:$P$1775,"=1",'Opportunities'!$H$2:$H$1775,"&lt;&gt;")</f>
        <v>0</v>
      </c>
      <c r="X130" s="4">
        <f>COUNTIFS('Opportunities'!$E$2:$E$1775,"=events",'Opportunities'!$V$2:$V$1775,"=amer_east",'Opportunities'!$N$2:$N$1775,"=dec26",'Opportunities'!$P$2:$P$1775,"=1",'Opportunities'!$H$2:$H$1775,"&lt;&gt;")</f>
        <v>0</v>
      </c>
    </row>
    <row r="131">
      <c r="A131" s="0" t="inlineStr">
        <is>
          <t xml:space="preserve">Deals won</t>
        </is>
      </c>
      <c r="B131" s="0" t="inlineStr">
        <is>
          <t xml:space="preserve">Events &amp; field</t>
        </is>
      </c>
      <c r="C131" s="0" t="inlineStr">
        <is>
          <t xml:space="preserve">AMER West</t>
        </is>
      </c>
      <c r="D131" s="4">
        <f>COUNTIFS('Opportunities'!$E$2:$E$1775,"=events",'Opportunities'!$V$2:$V$1775,"=amer_west",'Opportunities'!$N$2:$N$1775,"=apr25",'Opportunities'!$P$2:$P$1775,"=1",'Opportunities'!$H$2:$H$1775,"&lt;&gt;")</f>
        <v>0</v>
      </c>
      <c r="E131" s="4">
        <f>COUNTIFS('Opportunities'!$E$2:$E$1775,"=events",'Opportunities'!$V$2:$V$1775,"=amer_west",'Opportunities'!$N$2:$N$1775,"=may25",'Opportunities'!$P$2:$P$1775,"=1",'Opportunities'!$H$2:$H$1775,"&lt;&gt;")</f>
        <v>0</v>
      </c>
      <c r="F131" s="4">
        <f>COUNTIFS('Opportunities'!$E$2:$E$1775,"=events",'Opportunities'!$V$2:$V$1775,"=amer_west",'Opportunities'!$N$2:$N$1775,"=jun25",'Opportunities'!$P$2:$P$1775,"=1",'Opportunities'!$H$2:$H$1775,"&lt;&gt;")</f>
        <v>1</v>
      </c>
      <c r="G131" s="4">
        <f>COUNTIFS('Opportunities'!$E$2:$E$1775,"=events",'Opportunities'!$V$2:$V$1775,"=amer_west",'Opportunities'!$N$2:$N$1775,"=jul25",'Opportunities'!$P$2:$P$1775,"=1",'Opportunities'!$H$2:$H$1775,"&lt;&gt;")</f>
        <v>0</v>
      </c>
      <c r="H131" s="4">
        <f>COUNTIFS('Opportunities'!$E$2:$E$1775,"=events",'Opportunities'!$V$2:$V$1775,"=amer_west",'Opportunities'!$N$2:$N$1775,"=aug25",'Opportunities'!$P$2:$P$1775,"=1",'Opportunities'!$H$2:$H$1775,"&lt;&gt;")</f>
        <v>0</v>
      </c>
      <c r="I131" s="4">
        <f>COUNTIFS('Opportunities'!$E$2:$E$1775,"=events",'Opportunities'!$V$2:$V$1775,"=amer_west",'Opportunities'!$N$2:$N$1775,"=sep25",'Opportunities'!$P$2:$P$1775,"=1",'Opportunities'!$H$2:$H$1775,"&lt;&gt;")</f>
        <v>1</v>
      </c>
      <c r="J131" s="4">
        <f>COUNTIFS('Opportunities'!$E$2:$E$1775,"=events",'Opportunities'!$V$2:$V$1775,"=amer_west",'Opportunities'!$N$2:$N$1775,"=oct25",'Opportunities'!$P$2:$P$1775,"=1",'Opportunities'!$H$2:$H$1775,"&lt;&gt;")</f>
        <v>1</v>
      </c>
      <c r="K131" s="4">
        <f>COUNTIFS('Opportunities'!$E$2:$E$1775,"=events",'Opportunities'!$V$2:$V$1775,"=amer_west",'Opportunities'!$N$2:$N$1775,"=nov25",'Opportunities'!$P$2:$P$1775,"=1",'Opportunities'!$H$2:$H$1775,"&lt;&gt;")</f>
        <v>1</v>
      </c>
      <c r="L131" s="4">
        <f>COUNTIFS('Opportunities'!$E$2:$E$1775,"=events",'Opportunities'!$V$2:$V$1775,"=amer_west",'Opportunities'!$N$2:$N$1775,"=dec25",'Opportunities'!$P$2:$P$1775,"=1",'Opportunities'!$H$2:$H$1775,"&lt;&gt;")</f>
        <v>4</v>
      </c>
      <c r="M131" s="4">
        <f>COUNTIFS('Opportunities'!$E$2:$E$1775,"=events",'Opportunities'!$V$2:$V$1775,"=amer_west",'Opportunities'!$N$2:$N$1775,"=jan26",'Opportunities'!$P$2:$P$1775,"=1",'Opportunities'!$H$2:$H$1775,"&lt;&gt;")</f>
        <v>1</v>
      </c>
      <c r="N131" s="4">
        <f>COUNTIFS('Opportunities'!$E$2:$E$1775,"=events",'Opportunities'!$V$2:$V$1775,"=amer_west",'Opportunities'!$N$2:$N$1775,"=feb26",'Opportunities'!$P$2:$P$1775,"=1",'Opportunities'!$H$2:$H$1775,"&lt;&gt;")</f>
        <v>3</v>
      </c>
      <c r="O131" s="4">
        <f>COUNTIFS('Opportunities'!$E$2:$E$1775,"=events",'Opportunities'!$V$2:$V$1775,"=amer_west",'Opportunities'!$N$2:$N$1775,"=mar26",'Opportunities'!$P$2:$P$1775,"=1",'Opportunities'!$H$2:$H$1775,"&lt;&gt;")</f>
        <v>0</v>
      </c>
      <c r="P131" s="4">
        <f>COUNTIFS('Opportunities'!$E$2:$E$1775,"=events",'Opportunities'!$V$2:$V$1775,"=amer_west",'Opportunities'!$N$2:$N$1775,"=apr26",'Opportunities'!$P$2:$P$1775,"=1",'Opportunities'!$H$2:$H$1775,"&lt;&gt;")</f>
        <v>4</v>
      </c>
      <c r="Q131" s="4">
        <f>COUNTIFS('Opportunities'!$E$2:$E$1775,"=events",'Opportunities'!$V$2:$V$1775,"=amer_west",'Opportunities'!$N$2:$N$1775,"=may26",'Opportunities'!$P$2:$P$1775,"=1",'Opportunities'!$H$2:$H$1775,"&lt;&gt;")</f>
        <v>1</v>
      </c>
      <c r="R131" s="4">
        <f>COUNTIFS('Opportunities'!$E$2:$E$1775,"=events",'Opportunities'!$V$2:$V$1775,"=amer_west",'Opportunities'!$N$2:$N$1775,"=jun26",'Opportunities'!$P$2:$P$1775,"=1",'Opportunities'!$H$2:$H$1775,"&lt;&gt;")</f>
        <v>2</v>
      </c>
      <c r="S131" s="4">
        <f>COUNTIFS('Opportunities'!$E$2:$E$1775,"=events",'Opportunities'!$V$2:$V$1775,"=amer_west",'Opportunities'!$N$2:$N$1775,"=jul26",'Opportunities'!$P$2:$P$1775,"=1",'Opportunities'!$H$2:$H$1775,"&lt;&gt;")</f>
        <v>1</v>
      </c>
      <c r="T131" s="4">
        <f>COUNTIFS('Opportunities'!$E$2:$E$1775,"=events",'Opportunities'!$V$2:$V$1775,"=amer_west",'Opportunities'!$N$2:$N$1775,"=aug26",'Opportunities'!$P$2:$P$1775,"=1",'Opportunities'!$H$2:$H$1775,"&lt;&gt;")</f>
        <v>0</v>
      </c>
      <c r="U131" s="4">
        <f>COUNTIFS('Opportunities'!$E$2:$E$1775,"=events",'Opportunities'!$V$2:$V$1775,"=amer_west",'Opportunities'!$N$2:$N$1775,"=sep26",'Opportunities'!$P$2:$P$1775,"=1",'Opportunities'!$H$2:$H$1775,"&lt;&gt;")</f>
        <v>0</v>
      </c>
      <c r="V131" s="4">
        <f>COUNTIFS('Opportunities'!$E$2:$E$1775,"=events",'Opportunities'!$V$2:$V$1775,"=amer_west",'Opportunities'!$N$2:$N$1775,"=oct26",'Opportunities'!$P$2:$P$1775,"=1",'Opportunities'!$H$2:$H$1775,"&lt;&gt;")</f>
        <v>0</v>
      </c>
      <c r="W131" s="4">
        <f>COUNTIFS('Opportunities'!$E$2:$E$1775,"=events",'Opportunities'!$V$2:$V$1775,"=amer_west",'Opportunities'!$N$2:$N$1775,"=nov26",'Opportunities'!$P$2:$P$1775,"=1",'Opportunities'!$H$2:$H$1775,"&lt;&gt;")</f>
        <v>0</v>
      </c>
      <c r="X131" s="4">
        <f>COUNTIFS('Opportunities'!$E$2:$E$1775,"=events",'Opportunities'!$V$2:$V$1775,"=amer_west",'Opportunities'!$N$2:$N$1775,"=dec26",'Opportunities'!$P$2:$P$1775,"=1",'Opportunities'!$H$2:$H$1775,"&lt;&gt;")</f>
        <v>0</v>
      </c>
    </row>
    <row r="132">
      <c r="A132" s="0" t="inlineStr">
        <is>
          <t xml:space="preserve">Deals won</t>
        </is>
      </c>
      <c r="B132" s="0" t="inlineStr">
        <is>
          <t xml:space="preserve">Events &amp; field</t>
        </is>
      </c>
      <c r="C132" s="0" t="inlineStr">
        <is>
          <t xml:space="preserve">EMEA</t>
        </is>
      </c>
      <c r="D132" s="4">
        <f>COUNTIFS('Opportunities'!$E$2:$E$1775,"=events",'Opportunities'!$V$2:$V$1775,"=emea",'Opportunities'!$N$2:$N$1775,"=apr25",'Opportunities'!$P$2:$P$1775,"=1",'Opportunities'!$H$2:$H$1775,"&lt;&gt;")</f>
        <v>0</v>
      </c>
      <c r="E132" s="4">
        <f>COUNTIFS('Opportunities'!$E$2:$E$1775,"=events",'Opportunities'!$V$2:$V$1775,"=emea",'Opportunities'!$N$2:$N$1775,"=may25",'Opportunities'!$P$2:$P$1775,"=1",'Opportunities'!$H$2:$H$1775,"&lt;&gt;")</f>
        <v>1</v>
      </c>
      <c r="F132" s="4">
        <f>COUNTIFS('Opportunities'!$E$2:$E$1775,"=events",'Opportunities'!$V$2:$V$1775,"=emea",'Opportunities'!$N$2:$N$1775,"=jun25",'Opportunities'!$P$2:$P$1775,"=1",'Opportunities'!$H$2:$H$1775,"&lt;&gt;")</f>
        <v>1</v>
      </c>
      <c r="G132" s="4">
        <f>COUNTIFS('Opportunities'!$E$2:$E$1775,"=events",'Opportunities'!$V$2:$V$1775,"=emea",'Opportunities'!$N$2:$N$1775,"=jul25",'Opportunities'!$P$2:$P$1775,"=1",'Opportunities'!$H$2:$H$1775,"&lt;&gt;")</f>
        <v>1</v>
      </c>
      <c r="H132" s="4">
        <f>COUNTIFS('Opportunities'!$E$2:$E$1775,"=events",'Opportunities'!$V$2:$V$1775,"=emea",'Opportunities'!$N$2:$N$1775,"=aug25",'Opportunities'!$P$2:$P$1775,"=1",'Opportunities'!$H$2:$H$1775,"&lt;&gt;")</f>
        <v>2</v>
      </c>
      <c r="I132" s="4">
        <f>COUNTIFS('Opportunities'!$E$2:$E$1775,"=events",'Opportunities'!$V$2:$V$1775,"=emea",'Opportunities'!$N$2:$N$1775,"=sep25",'Opportunities'!$P$2:$P$1775,"=1",'Opportunities'!$H$2:$H$1775,"&lt;&gt;")</f>
        <v>2</v>
      </c>
      <c r="J132" s="4">
        <f>COUNTIFS('Opportunities'!$E$2:$E$1775,"=events",'Opportunities'!$V$2:$V$1775,"=emea",'Opportunities'!$N$2:$N$1775,"=oct25",'Opportunities'!$P$2:$P$1775,"=1",'Opportunities'!$H$2:$H$1775,"&lt;&gt;")</f>
        <v>2</v>
      </c>
      <c r="K132" s="4">
        <f>COUNTIFS('Opportunities'!$E$2:$E$1775,"=events",'Opportunities'!$V$2:$V$1775,"=emea",'Opportunities'!$N$2:$N$1775,"=nov25",'Opportunities'!$P$2:$P$1775,"=1",'Opportunities'!$H$2:$H$1775,"&lt;&gt;")</f>
        <v>0</v>
      </c>
      <c r="L132" s="4">
        <f>COUNTIFS('Opportunities'!$E$2:$E$1775,"=events",'Opportunities'!$V$2:$V$1775,"=emea",'Opportunities'!$N$2:$N$1775,"=dec25",'Opportunities'!$P$2:$P$1775,"=1",'Opportunities'!$H$2:$H$1775,"&lt;&gt;")</f>
        <v>3</v>
      </c>
      <c r="M132" s="4">
        <f>COUNTIFS('Opportunities'!$E$2:$E$1775,"=events",'Opportunities'!$V$2:$V$1775,"=emea",'Opportunities'!$N$2:$N$1775,"=jan26",'Opportunities'!$P$2:$P$1775,"=1",'Opportunities'!$H$2:$H$1775,"&lt;&gt;")</f>
        <v>0</v>
      </c>
      <c r="N132" s="4">
        <f>COUNTIFS('Opportunities'!$E$2:$E$1775,"=events",'Opportunities'!$V$2:$V$1775,"=emea",'Opportunities'!$N$2:$N$1775,"=feb26",'Opportunities'!$P$2:$P$1775,"=1",'Opportunities'!$H$2:$H$1775,"&lt;&gt;")</f>
        <v>0</v>
      </c>
      <c r="O132" s="4">
        <f>COUNTIFS('Opportunities'!$E$2:$E$1775,"=events",'Opportunities'!$V$2:$V$1775,"=emea",'Opportunities'!$N$2:$N$1775,"=mar26",'Opportunities'!$P$2:$P$1775,"=1",'Opportunities'!$H$2:$H$1775,"&lt;&gt;")</f>
        <v>1</v>
      </c>
      <c r="P132" s="4">
        <f>COUNTIFS('Opportunities'!$E$2:$E$1775,"=events",'Opportunities'!$V$2:$V$1775,"=emea",'Opportunities'!$N$2:$N$1775,"=apr26",'Opportunities'!$P$2:$P$1775,"=1",'Opportunities'!$H$2:$H$1775,"&lt;&gt;")</f>
        <v>1</v>
      </c>
      <c r="Q132" s="4">
        <f>COUNTIFS('Opportunities'!$E$2:$E$1775,"=events",'Opportunities'!$V$2:$V$1775,"=emea",'Opportunities'!$N$2:$N$1775,"=may26",'Opportunities'!$P$2:$P$1775,"=1",'Opportunities'!$H$2:$H$1775,"&lt;&gt;")</f>
        <v>2</v>
      </c>
      <c r="R132" s="4">
        <f>COUNTIFS('Opportunities'!$E$2:$E$1775,"=events",'Opportunities'!$V$2:$V$1775,"=emea",'Opportunities'!$N$2:$N$1775,"=jun26",'Opportunities'!$P$2:$P$1775,"=1",'Opportunities'!$H$2:$H$1775,"&lt;&gt;")</f>
        <v>0</v>
      </c>
      <c r="S132" s="4">
        <f>COUNTIFS('Opportunities'!$E$2:$E$1775,"=events",'Opportunities'!$V$2:$V$1775,"=emea",'Opportunities'!$N$2:$N$1775,"=jul26",'Opportunities'!$P$2:$P$1775,"=1",'Opportunities'!$H$2:$H$1775,"&lt;&gt;")</f>
        <v>5</v>
      </c>
      <c r="T132" s="4">
        <f>COUNTIFS('Opportunities'!$E$2:$E$1775,"=events",'Opportunities'!$V$2:$V$1775,"=emea",'Opportunities'!$N$2:$N$1775,"=aug26",'Opportunities'!$P$2:$P$1775,"=1",'Opportunities'!$H$2:$H$1775,"&lt;&gt;")</f>
        <v>0</v>
      </c>
      <c r="U132" s="4">
        <f>COUNTIFS('Opportunities'!$E$2:$E$1775,"=events",'Opportunities'!$V$2:$V$1775,"=emea",'Opportunities'!$N$2:$N$1775,"=sep26",'Opportunities'!$P$2:$P$1775,"=1",'Opportunities'!$H$2:$H$1775,"&lt;&gt;")</f>
        <v>2</v>
      </c>
      <c r="V132" s="4">
        <f>COUNTIFS('Opportunities'!$E$2:$E$1775,"=events",'Opportunities'!$V$2:$V$1775,"=emea",'Opportunities'!$N$2:$N$1775,"=oct26",'Opportunities'!$P$2:$P$1775,"=1",'Opportunities'!$H$2:$H$1775,"&lt;&gt;")</f>
        <v>0</v>
      </c>
      <c r="W132" s="4">
        <f>COUNTIFS('Opportunities'!$E$2:$E$1775,"=events",'Opportunities'!$V$2:$V$1775,"=emea",'Opportunities'!$N$2:$N$1775,"=nov26",'Opportunities'!$P$2:$P$1775,"=1",'Opportunities'!$H$2:$H$1775,"&lt;&gt;")</f>
        <v>0</v>
      </c>
      <c r="X132" s="4">
        <f>COUNTIFS('Opportunities'!$E$2:$E$1775,"=events",'Opportunities'!$V$2:$V$1775,"=emea",'Opportunities'!$N$2:$N$1775,"=dec26",'Opportunities'!$P$2:$P$1775,"=1",'Opportunities'!$H$2:$H$1775,"&lt;&gt;")</f>
        <v>0</v>
      </c>
    </row>
    <row r="133">
      <c r="A133" s="0" t="inlineStr">
        <is>
          <t xml:space="preserve">Deals won</t>
        </is>
      </c>
      <c r="B133" s="0" t="inlineStr">
        <is>
          <t xml:space="preserve">Events &amp; field</t>
        </is>
      </c>
      <c r="C133" s="0" t="inlineStr">
        <is>
          <t xml:space="preserve">APAC</t>
        </is>
      </c>
      <c r="D133" s="4">
        <f>COUNTIFS('Opportunities'!$E$2:$E$1775,"=events",'Opportunities'!$V$2:$V$1775,"=apac",'Opportunities'!$N$2:$N$1775,"=apr25",'Opportunities'!$P$2:$P$1775,"=1",'Opportunities'!$H$2:$H$1775,"&lt;&gt;")</f>
        <v>0</v>
      </c>
      <c r="E133" s="4">
        <f>COUNTIFS('Opportunities'!$E$2:$E$1775,"=events",'Opportunities'!$V$2:$V$1775,"=apac",'Opportunities'!$N$2:$N$1775,"=may25",'Opportunities'!$P$2:$P$1775,"=1",'Opportunities'!$H$2:$H$1775,"&lt;&gt;")</f>
        <v>0</v>
      </c>
      <c r="F133" s="4">
        <f>COUNTIFS('Opportunities'!$E$2:$E$1775,"=events",'Opportunities'!$V$2:$V$1775,"=apac",'Opportunities'!$N$2:$N$1775,"=jun25",'Opportunities'!$P$2:$P$1775,"=1",'Opportunities'!$H$2:$H$1775,"&lt;&gt;")</f>
        <v>1</v>
      </c>
      <c r="G133" s="4">
        <f>COUNTIFS('Opportunities'!$E$2:$E$1775,"=events",'Opportunities'!$V$2:$V$1775,"=apac",'Opportunities'!$N$2:$N$1775,"=jul25",'Opportunities'!$P$2:$P$1775,"=1",'Opportunities'!$H$2:$H$1775,"&lt;&gt;")</f>
        <v>1</v>
      </c>
      <c r="H133" s="4">
        <f>COUNTIFS('Opportunities'!$E$2:$E$1775,"=events",'Opportunities'!$V$2:$V$1775,"=apac",'Opportunities'!$N$2:$N$1775,"=aug25",'Opportunities'!$P$2:$P$1775,"=1",'Opportunities'!$H$2:$H$1775,"&lt;&gt;")</f>
        <v>3</v>
      </c>
      <c r="I133" s="4">
        <f>COUNTIFS('Opportunities'!$E$2:$E$1775,"=events",'Opportunities'!$V$2:$V$1775,"=apac",'Opportunities'!$N$2:$N$1775,"=sep25",'Opportunities'!$P$2:$P$1775,"=1",'Opportunities'!$H$2:$H$1775,"&lt;&gt;")</f>
        <v>0</v>
      </c>
      <c r="J133" s="4">
        <f>COUNTIFS('Opportunities'!$E$2:$E$1775,"=events",'Opportunities'!$V$2:$V$1775,"=apac",'Opportunities'!$N$2:$N$1775,"=oct25",'Opportunities'!$P$2:$P$1775,"=1",'Opportunities'!$H$2:$H$1775,"&lt;&gt;")</f>
        <v>1</v>
      </c>
      <c r="K133" s="4">
        <f>COUNTIFS('Opportunities'!$E$2:$E$1775,"=events",'Opportunities'!$V$2:$V$1775,"=apac",'Opportunities'!$N$2:$N$1775,"=nov25",'Opportunities'!$P$2:$P$1775,"=1",'Opportunities'!$H$2:$H$1775,"&lt;&gt;")</f>
        <v>0</v>
      </c>
      <c r="L133" s="4">
        <f>COUNTIFS('Opportunities'!$E$2:$E$1775,"=events",'Opportunities'!$V$2:$V$1775,"=apac",'Opportunities'!$N$2:$N$1775,"=dec25",'Opportunities'!$P$2:$P$1775,"=1",'Opportunities'!$H$2:$H$1775,"&lt;&gt;")</f>
        <v>1</v>
      </c>
      <c r="M133" s="4">
        <f>COUNTIFS('Opportunities'!$E$2:$E$1775,"=events",'Opportunities'!$V$2:$V$1775,"=apac",'Opportunities'!$N$2:$N$1775,"=jan26",'Opportunities'!$P$2:$P$1775,"=1",'Opportunities'!$H$2:$H$1775,"&lt;&gt;")</f>
        <v>0</v>
      </c>
      <c r="N133" s="4">
        <f>COUNTIFS('Opportunities'!$E$2:$E$1775,"=events",'Opportunities'!$V$2:$V$1775,"=apac",'Opportunities'!$N$2:$N$1775,"=feb26",'Opportunities'!$P$2:$P$1775,"=1",'Opportunities'!$H$2:$H$1775,"&lt;&gt;")</f>
        <v>0</v>
      </c>
      <c r="O133" s="4">
        <f>COUNTIFS('Opportunities'!$E$2:$E$1775,"=events",'Opportunities'!$V$2:$V$1775,"=apac",'Opportunities'!$N$2:$N$1775,"=mar26",'Opportunities'!$P$2:$P$1775,"=1",'Opportunities'!$H$2:$H$1775,"&lt;&gt;")</f>
        <v>0</v>
      </c>
      <c r="P133" s="4">
        <f>COUNTIFS('Opportunities'!$E$2:$E$1775,"=events",'Opportunities'!$V$2:$V$1775,"=apac",'Opportunities'!$N$2:$N$1775,"=apr26",'Opportunities'!$P$2:$P$1775,"=1",'Opportunities'!$H$2:$H$1775,"&lt;&gt;")</f>
        <v>0</v>
      </c>
      <c r="Q133" s="4">
        <f>COUNTIFS('Opportunities'!$E$2:$E$1775,"=events",'Opportunities'!$V$2:$V$1775,"=apac",'Opportunities'!$N$2:$N$1775,"=may26",'Opportunities'!$P$2:$P$1775,"=1",'Opportunities'!$H$2:$H$1775,"&lt;&gt;")</f>
        <v>1</v>
      </c>
      <c r="R133" s="4">
        <f>COUNTIFS('Opportunities'!$E$2:$E$1775,"=events",'Opportunities'!$V$2:$V$1775,"=apac",'Opportunities'!$N$2:$N$1775,"=jun26",'Opportunities'!$P$2:$P$1775,"=1",'Opportunities'!$H$2:$H$1775,"&lt;&gt;")</f>
        <v>2</v>
      </c>
      <c r="S133" s="4">
        <f>COUNTIFS('Opportunities'!$E$2:$E$1775,"=events",'Opportunities'!$V$2:$V$1775,"=apac",'Opportunities'!$N$2:$N$1775,"=jul26",'Opportunities'!$P$2:$P$1775,"=1",'Opportunities'!$H$2:$H$1775,"&lt;&gt;")</f>
        <v>2</v>
      </c>
      <c r="T133" s="4">
        <f>COUNTIFS('Opportunities'!$E$2:$E$1775,"=events",'Opportunities'!$V$2:$V$1775,"=apac",'Opportunities'!$N$2:$N$1775,"=aug26",'Opportunities'!$P$2:$P$1775,"=1",'Opportunities'!$H$2:$H$1775,"&lt;&gt;")</f>
        <v>1</v>
      </c>
      <c r="U133" s="4">
        <f>COUNTIFS('Opportunities'!$E$2:$E$1775,"=events",'Opportunities'!$V$2:$V$1775,"=apac",'Opportunities'!$N$2:$N$1775,"=sep26",'Opportunities'!$P$2:$P$1775,"=1",'Opportunities'!$H$2:$H$1775,"&lt;&gt;")</f>
        <v>1</v>
      </c>
      <c r="V133" s="4">
        <f>COUNTIFS('Opportunities'!$E$2:$E$1775,"=events",'Opportunities'!$V$2:$V$1775,"=apac",'Opportunities'!$N$2:$N$1775,"=oct26",'Opportunities'!$P$2:$P$1775,"=1",'Opportunities'!$H$2:$H$1775,"&lt;&gt;")</f>
        <v>0</v>
      </c>
      <c r="W133" s="4">
        <f>COUNTIFS('Opportunities'!$E$2:$E$1775,"=events",'Opportunities'!$V$2:$V$1775,"=apac",'Opportunities'!$N$2:$N$1775,"=nov26",'Opportunities'!$P$2:$P$1775,"=1",'Opportunities'!$H$2:$H$1775,"&lt;&gt;")</f>
        <v>0</v>
      </c>
      <c r="X133" s="4">
        <f>COUNTIFS('Opportunities'!$E$2:$E$1775,"=events",'Opportunities'!$V$2:$V$1775,"=apac",'Opportunities'!$N$2:$N$1775,"=dec26",'Opportunities'!$P$2:$P$1775,"=1",'Opportunities'!$H$2:$H$1775,"&lt;&gt;")</f>
        <v>0</v>
      </c>
    </row>
    <row r="134">
      <c r="A134" s="0" t="inlineStr">
        <is>
          <t xml:space="preserve">Deals won</t>
        </is>
      </c>
      <c r="B134" s="0" t="inlineStr">
        <is>
          <t xml:space="preserve">Partner</t>
        </is>
      </c>
      <c r="C134" s="0" t="inlineStr">
        <is>
          <t xml:space="preserve">AMER East</t>
        </is>
      </c>
      <c r="D134" s="4">
        <f>COUNTIFS('Opportunities'!$E$2:$E$1775,"=partner",'Opportunities'!$V$2:$V$1775,"=amer_east",'Opportunities'!$N$2:$N$1775,"=apr25",'Opportunities'!$P$2:$P$1775,"=1",'Opportunities'!$H$2:$H$1775,"&lt;&gt;")</f>
        <v>0</v>
      </c>
      <c r="E134" s="4">
        <f>COUNTIFS('Opportunities'!$E$2:$E$1775,"=partner",'Opportunities'!$V$2:$V$1775,"=amer_east",'Opportunities'!$N$2:$N$1775,"=may25",'Opportunities'!$P$2:$P$1775,"=1",'Opportunities'!$H$2:$H$1775,"&lt;&gt;")</f>
        <v>0</v>
      </c>
      <c r="F134" s="4">
        <f>COUNTIFS('Opportunities'!$E$2:$E$1775,"=partner",'Opportunities'!$V$2:$V$1775,"=amer_east",'Opportunities'!$N$2:$N$1775,"=jun25",'Opportunities'!$P$2:$P$1775,"=1",'Opportunities'!$H$2:$H$1775,"&lt;&gt;")</f>
        <v>0</v>
      </c>
      <c r="G134" s="4">
        <f>COUNTIFS('Opportunities'!$E$2:$E$1775,"=partner",'Opportunities'!$V$2:$V$1775,"=amer_east",'Opportunities'!$N$2:$N$1775,"=jul25",'Opportunities'!$P$2:$P$1775,"=1",'Opportunities'!$H$2:$H$1775,"&lt;&gt;")</f>
        <v>1</v>
      </c>
      <c r="H134" s="4">
        <f>COUNTIFS('Opportunities'!$E$2:$E$1775,"=partner",'Opportunities'!$V$2:$V$1775,"=amer_east",'Opportunities'!$N$2:$N$1775,"=aug25",'Opportunities'!$P$2:$P$1775,"=1",'Opportunities'!$H$2:$H$1775,"&lt;&gt;")</f>
        <v>0</v>
      </c>
      <c r="I134" s="4">
        <f>COUNTIFS('Opportunities'!$E$2:$E$1775,"=partner",'Opportunities'!$V$2:$V$1775,"=amer_east",'Opportunities'!$N$2:$N$1775,"=sep25",'Opportunities'!$P$2:$P$1775,"=1",'Opportunities'!$H$2:$H$1775,"&lt;&gt;")</f>
        <v>3</v>
      </c>
      <c r="J134" s="4">
        <f>COUNTIFS('Opportunities'!$E$2:$E$1775,"=partner",'Opportunities'!$V$2:$V$1775,"=amer_east",'Opportunities'!$N$2:$N$1775,"=oct25",'Opportunities'!$P$2:$P$1775,"=1",'Opportunities'!$H$2:$H$1775,"&lt;&gt;")</f>
        <v>1</v>
      </c>
      <c r="K134" s="4">
        <f>COUNTIFS('Opportunities'!$E$2:$E$1775,"=partner",'Opportunities'!$V$2:$V$1775,"=amer_east",'Opportunities'!$N$2:$N$1775,"=nov25",'Opportunities'!$P$2:$P$1775,"=1",'Opportunities'!$H$2:$H$1775,"&lt;&gt;")</f>
        <v>1</v>
      </c>
      <c r="L134" s="4">
        <f>COUNTIFS('Opportunities'!$E$2:$E$1775,"=partner",'Opportunities'!$V$2:$V$1775,"=amer_east",'Opportunities'!$N$2:$N$1775,"=dec25",'Opportunities'!$P$2:$P$1775,"=1",'Opportunities'!$H$2:$H$1775,"&lt;&gt;")</f>
        <v>1</v>
      </c>
      <c r="M134" s="4">
        <f>COUNTIFS('Opportunities'!$E$2:$E$1775,"=partner",'Opportunities'!$V$2:$V$1775,"=amer_east",'Opportunities'!$N$2:$N$1775,"=jan26",'Opportunities'!$P$2:$P$1775,"=1",'Opportunities'!$H$2:$H$1775,"&lt;&gt;")</f>
        <v>1</v>
      </c>
      <c r="N134" s="4">
        <f>COUNTIFS('Opportunities'!$E$2:$E$1775,"=partner",'Opportunities'!$V$2:$V$1775,"=amer_east",'Opportunities'!$N$2:$N$1775,"=feb26",'Opportunities'!$P$2:$P$1775,"=1",'Opportunities'!$H$2:$H$1775,"&lt;&gt;")</f>
        <v>0</v>
      </c>
      <c r="O134" s="4">
        <f>COUNTIFS('Opportunities'!$E$2:$E$1775,"=partner",'Opportunities'!$V$2:$V$1775,"=amer_east",'Opportunities'!$N$2:$N$1775,"=mar26",'Opportunities'!$P$2:$P$1775,"=1",'Opportunities'!$H$2:$H$1775,"&lt;&gt;")</f>
        <v>2</v>
      </c>
      <c r="P134" s="4">
        <f>COUNTIFS('Opportunities'!$E$2:$E$1775,"=partner",'Opportunities'!$V$2:$V$1775,"=amer_east",'Opportunities'!$N$2:$N$1775,"=apr26",'Opportunities'!$P$2:$P$1775,"=1",'Opportunities'!$H$2:$H$1775,"&lt;&gt;")</f>
        <v>0</v>
      </c>
      <c r="Q134" s="4">
        <f>COUNTIFS('Opportunities'!$E$2:$E$1775,"=partner",'Opportunities'!$V$2:$V$1775,"=amer_east",'Opportunities'!$N$2:$N$1775,"=may26",'Opportunities'!$P$2:$P$1775,"=1",'Opportunities'!$H$2:$H$1775,"&lt;&gt;")</f>
        <v>0</v>
      </c>
      <c r="R134" s="4">
        <f>COUNTIFS('Opportunities'!$E$2:$E$1775,"=partner",'Opportunities'!$V$2:$V$1775,"=amer_east",'Opportunities'!$N$2:$N$1775,"=jun26",'Opportunities'!$P$2:$P$1775,"=1",'Opportunities'!$H$2:$H$1775,"&lt;&gt;")</f>
        <v>3</v>
      </c>
      <c r="S134" s="4">
        <f>COUNTIFS('Opportunities'!$E$2:$E$1775,"=partner",'Opportunities'!$V$2:$V$1775,"=amer_east",'Opportunities'!$N$2:$N$1775,"=jul26",'Opportunities'!$P$2:$P$1775,"=1",'Opportunities'!$H$2:$H$1775,"&lt;&gt;")</f>
        <v>2</v>
      </c>
      <c r="T134" s="4">
        <f>COUNTIFS('Opportunities'!$E$2:$E$1775,"=partner",'Opportunities'!$V$2:$V$1775,"=amer_east",'Opportunities'!$N$2:$N$1775,"=aug26",'Opportunities'!$P$2:$P$1775,"=1",'Opportunities'!$H$2:$H$1775,"&lt;&gt;")</f>
        <v>1</v>
      </c>
      <c r="U134" s="4">
        <f>COUNTIFS('Opportunities'!$E$2:$E$1775,"=partner",'Opportunities'!$V$2:$V$1775,"=amer_east",'Opportunities'!$N$2:$N$1775,"=sep26",'Opportunities'!$P$2:$P$1775,"=1",'Opportunities'!$H$2:$H$1775,"&lt;&gt;")</f>
        <v>3</v>
      </c>
      <c r="V134" s="4">
        <f>COUNTIFS('Opportunities'!$E$2:$E$1775,"=partner",'Opportunities'!$V$2:$V$1775,"=amer_east",'Opportunities'!$N$2:$N$1775,"=oct26",'Opportunities'!$P$2:$P$1775,"=1",'Opportunities'!$H$2:$H$1775,"&lt;&gt;")</f>
        <v>0</v>
      </c>
      <c r="W134" s="4">
        <f>COUNTIFS('Opportunities'!$E$2:$E$1775,"=partner",'Opportunities'!$V$2:$V$1775,"=amer_east",'Opportunities'!$N$2:$N$1775,"=nov26",'Opportunities'!$P$2:$P$1775,"=1",'Opportunities'!$H$2:$H$1775,"&lt;&gt;")</f>
        <v>0</v>
      </c>
      <c r="X134" s="4">
        <f>COUNTIFS('Opportunities'!$E$2:$E$1775,"=partner",'Opportunities'!$V$2:$V$1775,"=amer_east",'Opportunities'!$N$2:$N$1775,"=dec26",'Opportunities'!$P$2:$P$1775,"=1",'Opportunities'!$H$2:$H$1775,"&lt;&gt;")</f>
        <v>0</v>
      </c>
    </row>
    <row r="135">
      <c r="A135" s="0" t="inlineStr">
        <is>
          <t xml:space="preserve">Deals won</t>
        </is>
      </c>
      <c r="B135" s="0" t="inlineStr">
        <is>
          <t xml:space="preserve">Partner</t>
        </is>
      </c>
      <c r="C135" s="0" t="inlineStr">
        <is>
          <t xml:space="preserve">AMER West</t>
        </is>
      </c>
      <c r="D135" s="4">
        <f>COUNTIFS('Opportunities'!$E$2:$E$1775,"=partner",'Opportunities'!$V$2:$V$1775,"=amer_west",'Opportunities'!$N$2:$N$1775,"=apr25",'Opportunities'!$P$2:$P$1775,"=1",'Opportunities'!$H$2:$H$1775,"&lt;&gt;")</f>
        <v>1</v>
      </c>
      <c r="E135" s="4">
        <f>COUNTIFS('Opportunities'!$E$2:$E$1775,"=partner",'Opportunities'!$V$2:$V$1775,"=amer_west",'Opportunities'!$N$2:$N$1775,"=may25",'Opportunities'!$P$2:$P$1775,"=1",'Opportunities'!$H$2:$H$1775,"&lt;&gt;")</f>
        <v>1</v>
      </c>
      <c r="F135" s="4">
        <f>COUNTIFS('Opportunities'!$E$2:$E$1775,"=partner",'Opportunities'!$V$2:$V$1775,"=amer_west",'Opportunities'!$N$2:$N$1775,"=jun25",'Opportunities'!$P$2:$P$1775,"=1",'Opportunities'!$H$2:$H$1775,"&lt;&gt;")</f>
        <v>2</v>
      </c>
      <c r="G135" s="4">
        <f>COUNTIFS('Opportunities'!$E$2:$E$1775,"=partner",'Opportunities'!$V$2:$V$1775,"=amer_west",'Opportunities'!$N$2:$N$1775,"=jul25",'Opportunities'!$P$2:$P$1775,"=1",'Opportunities'!$H$2:$H$1775,"&lt;&gt;")</f>
        <v>0</v>
      </c>
      <c r="H135" s="4">
        <f>COUNTIFS('Opportunities'!$E$2:$E$1775,"=partner",'Opportunities'!$V$2:$V$1775,"=amer_west",'Opportunities'!$N$2:$N$1775,"=aug25",'Opportunities'!$P$2:$P$1775,"=1",'Opportunities'!$H$2:$H$1775,"&lt;&gt;")</f>
        <v>2</v>
      </c>
      <c r="I135" s="4">
        <f>COUNTIFS('Opportunities'!$E$2:$E$1775,"=partner",'Opportunities'!$V$2:$V$1775,"=amer_west",'Opportunities'!$N$2:$N$1775,"=sep25",'Opportunities'!$P$2:$P$1775,"=1",'Opportunities'!$H$2:$H$1775,"&lt;&gt;")</f>
        <v>3</v>
      </c>
      <c r="J135" s="4">
        <f>COUNTIFS('Opportunities'!$E$2:$E$1775,"=partner",'Opportunities'!$V$2:$V$1775,"=amer_west",'Opportunities'!$N$2:$N$1775,"=oct25",'Opportunities'!$P$2:$P$1775,"=1",'Opportunities'!$H$2:$H$1775,"&lt;&gt;")</f>
        <v>0</v>
      </c>
      <c r="K135" s="4">
        <f>COUNTIFS('Opportunities'!$E$2:$E$1775,"=partner",'Opportunities'!$V$2:$V$1775,"=amer_west",'Opportunities'!$N$2:$N$1775,"=nov25",'Opportunities'!$P$2:$P$1775,"=1",'Opportunities'!$H$2:$H$1775,"&lt;&gt;")</f>
        <v>0</v>
      </c>
      <c r="L135" s="4">
        <f>COUNTIFS('Opportunities'!$E$2:$E$1775,"=partner",'Opportunities'!$V$2:$V$1775,"=amer_west",'Opportunities'!$N$2:$N$1775,"=dec25",'Opportunities'!$P$2:$P$1775,"=1",'Opportunities'!$H$2:$H$1775,"&lt;&gt;")</f>
        <v>3</v>
      </c>
      <c r="M135" s="4">
        <f>COUNTIFS('Opportunities'!$E$2:$E$1775,"=partner",'Opportunities'!$V$2:$V$1775,"=amer_west",'Opportunities'!$N$2:$N$1775,"=jan26",'Opportunities'!$P$2:$P$1775,"=1",'Opportunities'!$H$2:$H$1775,"&lt;&gt;")</f>
        <v>0</v>
      </c>
      <c r="N135" s="4">
        <f>COUNTIFS('Opportunities'!$E$2:$E$1775,"=partner",'Opportunities'!$V$2:$V$1775,"=amer_west",'Opportunities'!$N$2:$N$1775,"=feb26",'Opportunities'!$P$2:$P$1775,"=1",'Opportunities'!$H$2:$H$1775,"&lt;&gt;")</f>
        <v>1</v>
      </c>
      <c r="O135" s="4">
        <f>COUNTIFS('Opportunities'!$E$2:$E$1775,"=partner",'Opportunities'!$V$2:$V$1775,"=amer_west",'Opportunities'!$N$2:$N$1775,"=mar26",'Opportunities'!$P$2:$P$1775,"=1",'Opportunities'!$H$2:$H$1775,"&lt;&gt;")</f>
        <v>2</v>
      </c>
      <c r="P135" s="4">
        <f>COUNTIFS('Opportunities'!$E$2:$E$1775,"=partner",'Opportunities'!$V$2:$V$1775,"=amer_west",'Opportunities'!$N$2:$N$1775,"=apr26",'Opportunities'!$P$2:$P$1775,"=1",'Opportunities'!$H$2:$H$1775,"&lt;&gt;")</f>
        <v>1</v>
      </c>
      <c r="Q135" s="4">
        <f>COUNTIFS('Opportunities'!$E$2:$E$1775,"=partner",'Opportunities'!$V$2:$V$1775,"=amer_west",'Opportunities'!$N$2:$N$1775,"=may26",'Opportunities'!$P$2:$P$1775,"=1",'Opportunities'!$H$2:$H$1775,"&lt;&gt;")</f>
        <v>1</v>
      </c>
      <c r="R135" s="4">
        <f>COUNTIFS('Opportunities'!$E$2:$E$1775,"=partner",'Opportunities'!$V$2:$V$1775,"=amer_west",'Opportunities'!$N$2:$N$1775,"=jun26",'Opportunities'!$P$2:$P$1775,"=1",'Opportunities'!$H$2:$H$1775,"&lt;&gt;")</f>
        <v>2</v>
      </c>
      <c r="S135" s="4">
        <f>COUNTIFS('Opportunities'!$E$2:$E$1775,"=partner",'Opportunities'!$V$2:$V$1775,"=amer_west",'Opportunities'!$N$2:$N$1775,"=jul26",'Opportunities'!$P$2:$P$1775,"=1",'Opportunities'!$H$2:$H$1775,"&lt;&gt;")</f>
        <v>3</v>
      </c>
      <c r="T135" s="4">
        <f>COUNTIFS('Opportunities'!$E$2:$E$1775,"=partner",'Opportunities'!$V$2:$V$1775,"=amer_west",'Opportunities'!$N$2:$N$1775,"=aug26",'Opportunities'!$P$2:$P$1775,"=1",'Opportunities'!$H$2:$H$1775,"&lt;&gt;")</f>
        <v>0</v>
      </c>
      <c r="U135" s="4">
        <f>COUNTIFS('Opportunities'!$E$2:$E$1775,"=partner",'Opportunities'!$V$2:$V$1775,"=amer_west",'Opportunities'!$N$2:$N$1775,"=sep26",'Opportunities'!$P$2:$P$1775,"=1",'Opportunities'!$H$2:$H$1775,"&lt;&gt;")</f>
        <v>0</v>
      </c>
      <c r="V135" s="4">
        <f>COUNTIFS('Opportunities'!$E$2:$E$1775,"=partner",'Opportunities'!$V$2:$V$1775,"=amer_west",'Opportunities'!$N$2:$N$1775,"=oct26",'Opportunities'!$P$2:$P$1775,"=1",'Opportunities'!$H$2:$H$1775,"&lt;&gt;")</f>
        <v>0</v>
      </c>
      <c r="W135" s="4">
        <f>COUNTIFS('Opportunities'!$E$2:$E$1775,"=partner",'Opportunities'!$V$2:$V$1775,"=amer_west",'Opportunities'!$N$2:$N$1775,"=nov26",'Opportunities'!$P$2:$P$1775,"=1",'Opportunities'!$H$2:$H$1775,"&lt;&gt;")</f>
        <v>0</v>
      </c>
      <c r="X135" s="4">
        <f>COUNTIFS('Opportunities'!$E$2:$E$1775,"=partner",'Opportunities'!$V$2:$V$1775,"=amer_west",'Opportunities'!$N$2:$N$1775,"=dec26",'Opportunities'!$P$2:$P$1775,"=1",'Opportunities'!$H$2:$H$1775,"&lt;&gt;")</f>
        <v>0</v>
      </c>
    </row>
    <row r="136">
      <c r="A136" s="0" t="inlineStr">
        <is>
          <t xml:space="preserve">Deals won</t>
        </is>
      </c>
      <c r="B136" s="0" t="inlineStr">
        <is>
          <t xml:space="preserve">Partner</t>
        </is>
      </c>
      <c r="C136" s="0" t="inlineStr">
        <is>
          <t xml:space="preserve">EMEA</t>
        </is>
      </c>
      <c r="D136" s="4">
        <f>COUNTIFS('Opportunities'!$E$2:$E$1775,"=partner",'Opportunities'!$V$2:$V$1775,"=emea",'Opportunities'!$N$2:$N$1775,"=apr25",'Opportunities'!$P$2:$P$1775,"=1",'Opportunities'!$H$2:$H$1775,"&lt;&gt;")</f>
        <v>0</v>
      </c>
      <c r="E136" s="4">
        <f>COUNTIFS('Opportunities'!$E$2:$E$1775,"=partner",'Opportunities'!$V$2:$V$1775,"=emea",'Opportunities'!$N$2:$N$1775,"=may25",'Opportunities'!$P$2:$P$1775,"=1",'Opportunities'!$H$2:$H$1775,"&lt;&gt;")</f>
        <v>0</v>
      </c>
      <c r="F136" s="4">
        <f>COUNTIFS('Opportunities'!$E$2:$E$1775,"=partner",'Opportunities'!$V$2:$V$1775,"=emea",'Opportunities'!$N$2:$N$1775,"=jun25",'Opportunities'!$P$2:$P$1775,"=1",'Opportunities'!$H$2:$H$1775,"&lt;&gt;")</f>
        <v>3</v>
      </c>
      <c r="G136" s="4">
        <f>COUNTIFS('Opportunities'!$E$2:$E$1775,"=partner",'Opportunities'!$V$2:$V$1775,"=emea",'Opportunities'!$N$2:$N$1775,"=jul25",'Opportunities'!$P$2:$P$1775,"=1",'Opportunities'!$H$2:$H$1775,"&lt;&gt;")</f>
        <v>1</v>
      </c>
      <c r="H136" s="4">
        <f>COUNTIFS('Opportunities'!$E$2:$E$1775,"=partner",'Opportunities'!$V$2:$V$1775,"=emea",'Opportunities'!$N$2:$N$1775,"=aug25",'Opportunities'!$P$2:$P$1775,"=1",'Opportunities'!$H$2:$H$1775,"&lt;&gt;")</f>
        <v>0</v>
      </c>
      <c r="I136" s="4">
        <f>COUNTIFS('Opportunities'!$E$2:$E$1775,"=partner",'Opportunities'!$V$2:$V$1775,"=emea",'Opportunities'!$N$2:$N$1775,"=sep25",'Opportunities'!$P$2:$P$1775,"=1",'Opportunities'!$H$2:$H$1775,"&lt;&gt;")</f>
        <v>3</v>
      </c>
      <c r="J136" s="4">
        <f>COUNTIFS('Opportunities'!$E$2:$E$1775,"=partner",'Opportunities'!$V$2:$V$1775,"=emea",'Opportunities'!$N$2:$N$1775,"=oct25",'Opportunities'!$P$2:$P$1775,"=1",'Opportunities'!$H$2:$H$1775,"&lt;&gt;")</f>
        <v>1</v>
      </c>
      <c r="K136" s="4">
        <f>COUNTIFS('Opportunities'!$E$2:$E$1775,"=partner",'Opportunities'!$V$2:$V$1775,"=emea",'Opportunities'!$N$2:$N$1775,"=nov25",'Opportunities'!$P$2:$P$1775,"=1",'Opportunities'!$H$2:$H$1775,"&lt;&gt;")</f>
        <v>1</v>
      </c>
      <c r="L136" s="4">
        <f>COUNTIFS('Opportunities'!$E$2:$E$1775,"=partner",'Opportunities'!$V$2:$V$1775,"=emea",'Opportunities'!$N$2:$N$1775,"=dec25",'Opportunities'!$P$2:$P$1775,"=1",'Opportunities'!$H$2:$H$1775,"&lt;&gt;")</f>
        <v>2</v>
      </c>
      <c r="M136" s="4">
        <f>COUNTIFS('Opportunities'!$E$2:$E$1775,"=partner",'Opportunities'!$V$2:$V$1775,"=emea",'Opportunities'!$N$2:$N$1775,"=jan26",'Opportunities'!$P$2:$P$1775,"=1",'Opportunities'!$H$2:$H$1775,"&lt;&gt;")</f>
        <v>0</v>
      </c>
      <c r="N136" s="4">
        <f>COUNTIFS('Opportunities'!$E$2:$E$1775,"=partner",'Opportunities'!$V$2:$V$1775,"=emea",'Opportunities'!$N$2:$N$1775,"=feb26",'Opportunities'!$P$2:$P$1775,"=1",'Opportunities'!$H$2:$H$1775,"&lt;&gt;")</f>
        <v>0</v>
      </c>
      <c r="O136" s="4">
        <f>COUNTIFS('Opportunities'!$E$2:$E$1775,"=partner",'Opportunities'!$V$2:$V$1775,"=emea",'Opportunities'!$N$2:$N$1775,"=mar26",'Opportunities'!$P$2:$P$1775,"=1",'Opportunities'!$H$2:$H$1775,"&lt;&gt;")</f>
        <v>1</v>
      </c>
      <c r="P136" s="4">
        <f>COUNTIFS('Opportunities'!$E$2:$E$1775,"=partner",'Opportunities'!$V$2:$V$1775,"=emea",'Opportunities'!$N$2:$N$1775,"=apr26",'Opportunities'!$P$2:$P$1775,"=1",'Opportunities'!$H$2:$H$1775,"&lt;&gt;")</f>
        <v>1</v>
      </c>
      <c r="Q136" s="4">
        <f>COUNTIFS('Opportunities'!$E$2:$E$1775,"=partner",'Opportunities'!$V$2:$V$1775,"=emea",'Opportunities'!$N$2:$N$1775,"=may26",'Opportunities'!$P$2:$P$1775,"=1",'Opportunities'!$H$2:$H$1775,"&lt;&gt;")</f>
        <v>0</v>
      </c>
      <c r="R136" s="4">
        <f>COUNTIFS('Opportunities'!$E$2:$E$1775,"=partner",'Opportunities'!$V$2:$V$1775,"=emea",'Opportunities'!$N$2:$N$1775,"=jun26",'Opportunities'!$P$2:$P$1775,"=1",'Opportunities'!$H$2:$H$1775,"&lt;&gt;")</f>
        <v>0</v>
      </c>
      <c r="S136" s="4">
        <f>COUNTIFS('Opportunities'!$E$2:$E$1775,"=partner",'Opportunities'!$V$2:$V$1775,"=emea",'Opportunities'!$N$2:$N$1775,"=jul26",'Opportunities'!$P$2:$P$1775,"=1",'Opportunities'!$H$2:$H$1775,"&lt;&gt;")</f>
        <v>1</v>
      </c>
      <c r="T136" s="4">
        <f>COUNTIFS('Opportunities'!$E$2:$E$1775,"=partner",'Opportunities'!$V$2:$V$1775,"=emea",'Opportunities'!$N$2:$N$1775,"=aug26",'Opportunities'!$P$2:$P$1775,"=1",'Opportunities'!$H$2:$H$1775,"&lt;&gt;")</f>
        <v>0</v>
      </c>
      <c r="U136" s="4">
        <f>COUNTIFS('Opportunities'!$E$2:$E$1775,"=partner",'Opportunities'!$V$2:$V$1775,"=emea",'Opportunities'!$N$2:$N$1775,"=sep26",'Opportunities'!$P$2:$P$1775,"=1",'Opportunities'!$H$2:$H$1775,"&lt;&gt;")</f>
        <v>1</v>
      </c>
      <c r="V136" s="4">
        <f>COUNTIFS('Opportunities'!$E$2:$E$1775,"=partner",'Opportunities'!$V$2:$V$1775,"=emea",'Opportunities'!$N$2:$N$1775,"=oct26",'Opportunities'!$P$2:$P$1775,"=1",'Opportunities'!$H$2:$H$1775,"&lt;&gt;")</f>
        <v>0</v>
      </c>
      <c r="W136" s="4">
        <f>COUNTIFS('Opportunities'!$E$2:$E$1775,"=partner",'Opportunities'!$V$2:$V$1775,"=emea",'Opportunities'!$N$2:$N$1775,"=nov26",'Opportunities'!$P$2:$P$1775,"=1",'Opportunities'!$H$2:$H$1775,"&lt;&gt;")</f>
        <v>0</v>
      </c>
      <c r="X136" s="4">
        <f>COUNTIFS('Opportunities'!$E$2:$E$1775,"=partner",'Opportunities'!$V$2:$V$1775,"=emea",'Opportunities'!$N$2:$N$1775,"=dec26",'Opportunities'!$P$2:$P$1775,"=1",'Opportunities'!$H$2:$H$1775,"&lt;&gt;")</f>
        <v>0</v>
      </c>
    </row>
    <row r="137">
      <c r="A137" s="0" t="inlineStr">
        <is>
          <t xml:space="preserve">Deals won</t>
        </is>
      </c>
      <c r="B137" s="0" t="inlineStr">
        <is>
          <t xml:space="preserve">Partner</t>
        </is>
      </c>
      <c r="C137" s="0" t="inlineStr">
        <is>
          <t xml:space="preserve">APAC</t>
        </is>
      </c>
      <c r="D137" s="4">
        <f>COUNTIFS('Opportunities'!$E$2:$E$1775,"=partner",'Opportunities'!$V$2:$V$1775,"=apac",'Opportunities'!$N$2:$N$1775,"=apr25",'Opportunities'!$P$2:$P$1775,"=1",'Opportunities'!$H$2:$H$1775,"&lt;&gt;")</f>
        <v>0</v>
      </c>
      <c r="E137" s="4">
        <f>COUNTIFS('Opportunities'!$E$2:$E$1775,"=partner",'Opportunities'!$V$2:$V$1775,"=apac",'Opportunities'!$N$2:$N$1775,"=may25",'Opportunities'!$P$2:$P$1775,"=1",'Opportunities'!$H$2:$H$1775,"&lt;&gt;")</f>
        <v>0</v>
      </c>
      <c r="F137" s="4">
        <f>COUNTIFS('Opportunities'!$E$2:$E$1775,"=partner",'Opportunities'!$V$2:$V$1775,"=apac",'Opportunities'!$N$2:$N$1775,"=jun25",'Opportunities'!$P$2:$P$1775,"=1",'Opportunities'!$H$2:$H$1775,"&lt;&gt;")</f>
        <v>0</v>
      </c>
      <c r="G137" s="4">
        <f>COUNTIFS('Opportunities'!$E$2:$E$1775,"=partner",'Opportunities'!$V$2:$V$1775,"=apac",'Opportunities'!$N$2:$N$1775,"=jul25",'Opportunities'!$P$2:$P$1775,"=1",'Opportunities'!$H$2:$H$1775,"&lt;&gt;")</f>
        <v>0</v>
      </c>
      <c r="H137" s="4">
        <f>COUNTIFS('Opportunities'!$E$2:$E$1775,"=partner",'Opportunities'!$V$2:$V$1775,"=apac",'Opportunities'!$N$2:$N$1775,"=aug25",'Opportunities'!$P$2:$P$1775,"=1",'Opportunities'!$H$2:$H$1775,"&lt;&gt;")</f>
        <v>1</v>
      </c>
      <c r="I137" s="4">
        <f>COUNTIFS('Opportunities'!$E$2:$E$1775,"=partner",'Opportunities'!$V$2:$V$1775,"=apac",'Opportunities'!$N$2:$N$1775,"=sep25",'Opportunities'!$P$2:$P$1775,"=1",'Opportunities'!$H$2:$H$1775,"&lt;&gt;")</f>
        <v>2</v>
      </c>
      <c r="J137" s="4">
        <f>COUNTIFS('Opportunities'!$E$2:$E$1775,"=partner",'Opportunities'!$V$2:$V$1775,"=apac",'Opportunities'!$N$2:$N$1775,"=oct25",'Opportunities'!$P$2:$P$1775,"=1",'Opportunities'!$H$2:$H$1775,"&lt;&gt;")</f>
        <v>0</v>
      </c>
      <c r="K137" s="4">
        <f>COUNTIFS('Opportunities'!$E$2:$E$1775,"=partner",'Opportunities'!$V$2:$V$1775,"=apac",'Opportunities'!$N$2:$N$1775,"=nov25",'Opportunities'!$P$2:$P$1775,"=1",'Opportunities'!$H$2:$H$1775,"&lt;&gt;")</f>
        <v>1</v>
      </c>
      <c r="L137" s="4">
        <f>COUNTIFS('Opportunities'!$E$2:$E$1775,"=partner",'Opportunities'!$V$2:$V$1775,"=apac",'Opportunities'!$N$2:$N$1775,"=dec25",'Opportunities'!$P$2:$P$1775,"=1",'Opportunities'!$H$2:$H$1775,"&lt;&gt;")</f>
        <v>0</v>
      </c>
      <c r="M137" s="4">
        <f>COUNTIFS('Opportunities'!$E$2:$E$1775,"=partner",'Opportunities'!$V$2:$V$1775,"=apac",'Opportunities'!$N$2:$N$1775,"=jan26",'Opportunities'!$P$2:$P$1775,"=1",'Opportunities'!$H$2:$H$1775,"&lt;&gt;")</f>
        <v>0</v>
      </c>
      <c r="N137" s="4">
        <f>COUNTIFS('Opportunities'!$E$2:$E$1775,"=partner",'Opportunities'!$V$2:$V$1775,"=apac",'Opportunities'!$N$2:$N$1775,"=feb26",'Opportunities'!$P$2:$P$1775,"=1",'Opportunities'!$H$2:$H$1775,"&lt;&gt;")</f>
        <v>0</v>
      </c>
      <c r="O137" s="4">
        <f>COUNTIFS('Opportunities'!$E$2:$E$1775,"=partner",'Opportunities'!$V$2:$V$1775,"=apac",'Opportunities'!$N$2:$N$1775,"=mar26",'Opportunities'!$P$2:$P$1775,"=1",'Opportunities'!$H$2:$H$1775,"&lt;&gt;")</f>
        <v>0</v>
      </c>
      <c r="P137" s="4">
        <f>COUNTIFS('Opportunities'!$E$2:$E$1775,"=partner",'Opportunities'!$V$2:$V$1775,"=apac",'Opportunities'!$N$2:$N$1775,"=apr26",'Opportunities'!$P$2:$P$1775,"=1",'Opportunities'!$H$2:$H$1775,"&lt;&gt;")</f>
        <v>0</v>
      </c>
      <c r="Q137" s="4">
        <f>COUNTIFS('Opportunities'!$E$2:$E$1775,"=partner",'Opportunities'!$V$2:$V$1775,"=apac",'Opportunities'!$N$2:$N$1775,"=may26",'Opportunities'!$P$2:$P$1775,"=1",'Opportunities'!$H$2:$H$1775,"&lt;&gt;")</f>
        <v>0</v>
      </c>
      <c r="R137" s="4">
        <f>COUNTIFS('Opportunities'!$E$2:$E$1775,"=partner",'Opportunities'!$V$2:$V$1775,"=apac",'Opportunities'!$N$2:$N$1775,"=jun26",'Opportunities'!$P$2:$P$1775,"=1",'Opportunities'!$H$2:$H$1775,"&lt;&gt;")</f>
        <v>1</v>
      </c>
      <c r="S137" s="4">
        <f>COUNTIFS('Opportunities'!$E$2:$E$1775,"=partner",'Opportunities'!$V$2:$V$1775,"=apac",'Opportunities'!$N$2:$N$1775,"=jul26",'Opportunities'!$P$2:$P$1775,"=1",'Opportunities'!$H$2:$H$1775,"&lt;&gt;")</f>
        <v>3</v>
      </c>
      <c r="T137" s="4">
        <f>COUNTIFS('Opportunities'!$E$2:$E$1775,"=partner",'Opportunities'!$V$2:$V$1775,"=apac",'Opportunities'!$N$2:$N$1775,"=aug26",'Opportunities'!$P$2:$P$1775,"=1",'Opportunities'!$H$2:$H$1775,"&lt;&gt;")</f>
        <v>1</v>
      </c>
      <c r="U137" s="4">
        <f>COUNTIFS('Opportunities'!$E$2:$E$1775,"=partner",'Opportunities'!$V$2:$V$1775,"=apac",'Opportunities'!$N$2:$N$1775,"=sep26",'Opportunities'!$P$2:$P$1775,"=1",'Opportunities'!$H$2:$H$1775,"&lt;&gt;")</f>
        <v>0</v>
      </c>
      <c r="V137" s="4">
        <f>COUNTIFS('Opportunities'!$E$2:$E$1775,"=partner",'Opportunities'!$V$2:$V$1775,"=apac",'Opportunities'!$N$2:$N$1775,"=oct26",'Opportunities'!$P$2:$P$1775,"=1",'Opportunities'!$H$2:$H$1775,"&lt;&gt;")</f>
        <v>0</v>
      </c>
      <c r="W137" s="4">
        <f>COUNTIFS('Opportunities'!$E$2:$E$1775,"=partner",'Opportunities'!$V$2:$V$1775,"=apac",'Opportunities'!$N$2:$N$1775,"=nov26",'Opportunities'!$P$2:$P$1775,"=1",'Opportunities'!$H$2:$H$1775,"&lt;&gt;")</f>
        <v>0</v>
      </c>
      <c r="X137" s="4">
        <f>COUNTIFS('Opportunities'!$E$2:$E$1775,"=partner",'Opportunities'!$V$2:$V$1775,"=apac",'Opportunities'!$N$2:$N$1775,"=dec26",'Opportunities'!$P$2:$P$1775,"=1",'Opportunities'!$H$2:$H$1775,"&lt;&gt;")</f>
        <v>0</v>
      </c>
    </row>
    <row r="138">
      <c r="A138" s="0" t="inlineStr">
        <is>
          <t xml:space="preserve">Deals won</t>
        </is>
      </c>
      <c r="B138" s="0" t="inlineStr">
        <is>
          <t xml:space="preserve">Outbound (BDR)</t>
        </is>
      </c>
      <c r="C138" s="0" t="inlineStr">
        <is>
          <t xml:space="preserve">AMER East</t>
        </is>
      </c>
      <c r="D138" s="4">
        <f>COUNTIFS('Opportunities'!$E$2:$E$1775,"=outbound",'Opportunities'!$V$2:$V$1775,"=amer_east",'Opportunities'!$N$2:$N$1775,"=apr25",'Opportunities'!$P$2:$P$1775,"=1",'Opportunities'!$H$2:$H$1775,"&lt;&gt;")</f>
        <v>0</v>
      </c>
      <c r="E138" s="4">
        <f>COUNTIFS('Opportunities'!$E$2:$E$1775,"=outbound",'Opportunities'!$V$2:$V$1775,"=amer_east",'Opportunities'!$N$2:$N$1775,"=may25",'Opportunities'!$P$2:$P$1775,"=1",'Opportunities'!$H$2:$H$1775,"&lt;&gt;")</f>
        <v>0</v>
      </c>
      <c r="F138" s="4">
        <f>COUNTIFS('Opportunities'!$E$2:$E$1775,"=outbound",'Opportunities'!$V$2:$V$1775,"=amer_east",'Opportunities'!$N$2:$N$1775,"=jun25",'Opportunities'!$P$2:$P$1775,"=1",'Opportunities'!$H$2:$H$1775,"&lt;&gt;")</f>
        <v>1</v>
      </c>
      <c r="G138" s="4">
        <f>COUNTIFS('Opportunities'!$E$2:$E$1775,"=outbound",'Opportunities'!$V$2:$V$1775,"=amer_east",'Opportunities'!$N$2:$N$1775,"=jul25",'Opportunities'!$P$2:$P$1775,"=1",'Opportunities'!$H$2:$H$1775,"&lt;&gt;")</f>
        <v>1</v>
      </c>
      <c r="H138" s="4">
        <f>COUNTIFS('Opportunities'!$E$2:$E$1775,"=outbound",'Opportunities'!$V$2:$V$1775,"=amer_east",'Opportunities'!$N$2:$N$1775,"=aug25",'Opportunities'!$P$2:$P$1775,"=1",'Opportunities'!$H$2:$H$1775,"&lt;&gt;")</f>
        <v>0</v>
      </c>
      <c r="I138" s="4">
        <f>COUNTIFS('Opportunities'!$E$2:$E$1775,"=outbound",'Opportunities'!$V$2:$V$1775,"=amer_east",'Opportunities'!$N$2:$N$1775,"=sep25",'Opportunities'!$P$2:$P$1775,"=1",'Opportunities'!$H$2:$H$1775,"&lt;&gt;")</f>
        <v>1</v>
      </c>
      <c r="J138" s="4">
        <f>COUNTIFS('Opportunities'!$E$2:$E$1775,"=outbound",'Opportunities'!$V$2:$V$1775,"=amer_east",'Opportunities'!$N$2:$N$1775,"=oct25",'Opportunities'!$P$2:$P$1775,"=1",'Opportunities'!$H$2:$H$1775,"&lt;&gt;")</f>
        <v>1</v>
      </c>
      <c r="K138" s="4">
        <f>COUNTIFS('Opportunities'!$E$2:$E$1775,"=outbound",'Opportunities'!$V$2:$V$1775,"=amer_east",'Opportunities'!$N$2:$N$1775,"=nov25",'Opportunities'!$P$2:$P$1775,"=1",'Opportunities'!$H$2:$H$1775,"&lt;&gt;")</f>
        <v>0</v>
      </c>
      <c r="L138" s="4">
        <f>COUNTIFS('Opportunities'!$E$2:$E$1775,"=outbound",'Opportunities'!$V$2:$V$1775,"=amer_east",'Opportunities'!$N$2:$N$1775,"=dec25",'Opportunities'!$P$2:$P$1775,"=1",'Opportunities'!$H$2:$H$1775,"&lt;&gt;")</f>
        <v>2</v>
      </c>
      <c r="M138" s="4">
        <f>COUNTIFS('Opportunities'!$E$2:$E$1775,"=outbound",'Opportunities'!$V$2:$V$1775,"=amer_east",'Opportunities'!$N$2:$N$1775,"=jan26",'Opportunities'!$P$2:$P$1775,"=1",'Opportunities'!$H$2:$H$1775,"&lt;&gt;")</f>
        <v>2</v>
      </c>
      <c r="N138" s="4">
        <f>COUNTIFS('Opportunities'!$E$2:$E$1775,"=outbound",'Opportunities'!$V$2:$V$1775,"=amer_east",'Opportunities'!$N$2:$N$1775,"=feb26",'Opportunities'!$P$2:$P$1775,"=1",'Opportunities'!$H$2:$H$1775,"&lt;&gt;")</f>
        <v>0</v>
      </c>
      <c r="O138" s="4">
        <f>COUNTIFS('Opportunities'!$E$2:$E$1775,"=outbound",'Opportunities'!$V$2:$V$1775,"=amer_east",'Opportunities'!$N$2:$N$1775,"=mar26",'Opportunities'!$P$2:$P$1775,"=1",'Opportunities'!$H$2:$H$1775,"&lt;&gt;")</f>
        <v>2</v>
      </c>
      <c r="P138" s="4">
        <f>COUNTIFS('Opportunities'!$E$2:$E$1775,"=outbound",'Opportunities'!$V$2:$V$1775,"=amer_east",'Opportunities'!$N$2:$N$1775,"=apr26",'Opportunities'!$P$2:$P$1775,"=1",'Opportunities'!$H$2:$H$1775,"&lt;&gt;")</f>
        <v>0</v>
      </c>
      <c r="Q138" s="4">
        <f>COUNTIFS('Opportunities'!$E$2:$E$1775,"=outbound",'Opportunities'!$V$2:$V$1775,"=amer_east",'Opportunities'!$N$2:$N$1775,"=may26",'Opportunities'!$P$2:$P$1775,"=1",'Opportunities'!$H$2:$H$1775,"&lt;&gt;")</f>
        <v>2</v>
      </c>
      <c r="R138" s="4">
        <f>COUNTIFS('Opportunities'!$E$2:$E$1775,"=outbound",'Opportunities'!$V$2:$V$1775,"=amer_east",'Opportunities'!$N$2:$N$1775,"=jun26",'Opportunities'!$P$2:$P$1775,"=1",'Opportunities'!$H$2:$H$1775,"&lt;&gt;")</f>
        <v>2</v>
      </c>
      <c r="S138" s="4">
        <f>COUNTIFS('Opportunities'!$E$2:$E$1775,"=outbound",'Opportunities'!$V$2:$V$1775,"=amer_east",'Opportunities'!$N$2:$N$1775,"=jul26",'Opportunities'!$P$2:$P$1775,"=1",'Opportunities'!$H$2:$H$1775,"&lt;&gt;")</f>
        <v>0</v>
      </c>
      <c r="T138" s="4">
        <f>COUNTIFS('Opportunities'!$E$2:$E$1775,"=outbound",'Opportunities'!$V$2:$V$1775,"=amer_east",'Opportunities'!$N$2:$N$1775,"=aug26",'Opportunities'!$P$2:$P$1775,"=1",'Opportunities'!$H$2:$H$1775,"&lt;&gt;")</f>
        <v>2</v>
      </c>
      <c r="U138" s="4">
        <f>COUNTIFS('Opportunities'!$E$2:$E$1775,"=outbound",'Opportunities'!$V$2:$V$1775,"=amer_east",'Opportunities'!$N$2:$N$1775,"=sep26",'Opportunities'!$P$2:$P$1775,"=1",'Opportunities'!$H$2:$H$1775,"&lt;&gt;")</f>
        <v>0</v>
      </c>
      <c r="V138" s="4">
        <f>COUNTIFS('Opportunities'!$E$2:$E$1775,"=outbound",'Opportunities'!$V$2:$V$1775,"=amer_east",'Opportunities'!$N$2:$N$1775,"=oct26",'Opportunities'!$P$2:$P$1775,"=1",'Opportunities'!$H$2:$H$1775,"&lt;&gt;")</f>
        <v>0</v>
      </c>
      <c r="W138" s="4">
        <f>COUNTIFS('Opportunities'!$E$2:$E$1775,"=outbound",'Opportunities'!$V$2:$V$1775,"=amer_east",'Opportunities'!$N$2:$N$1775,"=nov26",'Opportunities'!$P$2:$P$1775,"=1",'Opportunities'!$H$2:$H$1775,"&lt;&gt;")</f>
        <v>0</v>
      </c>
      <c r="X138" s="4">
        <f>COUNTIFS('Opportunities'!$E$2:$E$1775,"=outbound",'Opportunities'!$V$2:$V$1775,"=amer_east",'Opportunities'!$N$2:$N$1775,"=dec26",'Opportunities'!$P$2:$P$1775,"=1",'Opportunities'!$H$2:$H$1775,"&lt;&gt;")</f>
        <v>0</v>
      </c>
    </row>
    <row r="139">
      <c r="A139" s="0" t="inlineStr">
        <is>
          <t xml:space="preserve">Deals won</t>
        </is>
      </c>
      <c r="B139" s="0" t="inlineStr">
        <is>
          <t xml:space="preserve">Outbound (BDR)</t>
        </is>
      </c>
      <c r="C139" s="0" t="inlineStr">
        <is>
          <t xml:space="preserve">AMER West</t>
        </is>
      </c>
      <c r="D139" s="4">
        <f>COUNTIFS('Opportunities'!$E$2:$E$1775,"=outbound",'Opportunities'!$V$2:$V$1775,"=amer_west",'Opportunities'!$N$2:$N$1775,"=apr25",'Opportunities'!$P$2:$P$1775,"=1",'Opportunities'!$H$2:$H$1775,"&lt;&gt;")</f>
        <v>0</v>
      </c>
      <c r="E139" s="4">
        <f>COUNTIFS('Opportunities'!$E$2:$E$1775,"=outbound",'Opportunities'!$V$2:$V$1775,"=amer_west",'Opportunities'!$N$2:$N$1775,"=may25",'Opportunities'!$P$2:$P$1775,"=1",'Opportunities'!$H$2:$H$1775,"&lt;&gt;")</f>
        <v>1</v>
      </c>
      <c r="F139" s="4">
        <f>COUNTIFS('Opportunities'!$E$2:$E$1775,"=outbound",'Opportunities'!$V$2:$V$1775,"=amer_west",'Opportunities'!$N$2:$N$1775,"=jun25",'Opportunities'!$P$2:$P$1775,"=1",'Opportunities'!$H$2:$H$1775,"&lt;&gt;")</f>
        <v>0</v>
      </c>
      <c r="G139" s="4">
        <f>COUNTIFS('Opportunities'!$E$2:$E$1775,"=outbound",'Opportunities'!$V$2:$V$1775,"=amer_west",'Opportunities'!$N$2:$N$1775,"=jul25",'Opportunities'!$P$2:$P$1775,"=1",'Opportunities'!$H$2:$H$1775,"&lt;&gt;")</f>
        <v>1</v>
      </c>
      <c r="H139" s="4">
        <f>COUNTIFS('Opportunities'!$E$2:$E$1775,"=outbound",'Opportunities'!$V$2:$V$1775,"=amer_west",'Opportunities'!$N$2:$N$1775,"=aug25",'Opportunities'!$P$2:$P$1775,"=1",'Opportunities'!$H$2:$H$1775,"&lt;&gt;")</f>
        <v>1</v>
      </c>
      <c r="I139" s="4">
        <f>COUNTIFS('Opportunities'!$E$2:$E$1775,"=outbound",'Opportunities'!$V$2:$V$1775,"=amer_west",'Opportunities'!$N$2:$N$1775,"=sep25",'Opportunities'!$P$2:$P$1775,"=1",'Opportunities'!$H$2:$H$1775,"&lt;&gt;")</f>
        <v>0</v>
      </c>
      <c r="J139" s="4">
        <f>COUNTIFS('Opportunities'!$E$2:$E$1775,"=outbound",'Opportunities'!$V$2:$V$1775,"=amer_west",'Opportunities'!$N$2:$N$1775,"=oct25",'Opportunities'!$P$2:$P$1775,"=1",'Opportunities'!$H$2:$H$1775,"&lt;&gt;")</f>
        <v>0</v>
      </c>
      <c r="K139" s="4">
        <f>COUNTIFS('Opportunities'!$E$2:$E$1775,"=outbound",'Opportunities'!$V$2:$V$1775,"=amer_west",'Opportunities'!$N$2:$N$1775,"=nov25",'Opportunities'!$P$2:$P$1775,"=1",'Opportunities'!$H$2:$H$1775,"&lt;&gt;")</f>
        <v>1</v>
      </c>
      <c r="L139" s="4">
        <f>COUNTIFS('Opportunities'!$E$2:$E$1775,"=outbound",'Opportunities'!$V$2:$V$1775,"=amer_west",'Opportunities'!$N$2:$N$1775,"=dec25",'Opportunities'!$P$2:$P$1775,"=1",'Opportunities'!$H$2:$H$1775,"&lt;&gt;")</f>
        <v>1</v>
      </c>
      <c r="M139" s="4">
        <f>COUNTIFS('Opportunities'!$E$2:$E$1775,"=outbound",'Opportunities'!$V$2:$V$1775,"=amer_west",'Opportunities'!$N$2:$N$1775,"=jan26",'Opportunities'!$P$2:$P$1775,"=1",'Opportunities'!$H$2:$H$1775,"&lt;&gt;")</f>
        <v>1</v>
      </c>
      <c r="N139" s="4">
        <f>COUNTIFS('Opportunities'!$E$2:$E$1775,"=outbound",'Opportunities'!$V$2:$V$1775,"=amer_west",'Opportunities'!$N$2:$N$1775,"=feb26",'Opportunities'!$P$2:$P$1775,"=1",'Opportunities'!$H$2:$H$1775,"&lt;&gt;")</f>
        <v>0</v>
      </c>
      <c r="O139" s="4">
        <f>COUNTIFS('Opportunities'!$E$2:$E$1775,"=outbound",'Opportunities'!$V$2:$V$1775,"=amer_west",'Opportunities'!$N$2:$N$1775,"=mar26",'Opportunities'!$P$2:$P$1775,"=1",'Opportunities'!$H$2:$H$1775,"&lt;&gt;")</f>
        <v>4</v>
      </c>
      <c r="P139" s="4">
        <f>COUNTIFS('Opportunities'!$E$2:$E$1775,"=outbound",'Opportunities'!$V$2:$V$1775,"=amer_west",'Opportunities'!$N$2:$N$1775,"=apr26",'Opportunities'!$P$2:$P$1775,"=1",'Opportunities'!$H$2:$H$1775,"&lt;&gt;")</f>
        <v>0</v>
      </c>
      <c r="Q139" s="4">
        <f>COUNTIFS('Opportunities'!$E$2:$E$1775,"=outbound",'Opportunities'!$V$2:$V$1775,"=amer_west",'Opportunities'!$N$2:$N$1775,"=may26",'Opportunities'!$P$2:$P$1775,"=1",'Opportunities'!$H$2:$H$1775,"&lt;&gt;")</f>
        <v>0</v>
      </c>
      <c r="R139" s="4">
        <f>COUNTIFS('Opportunities'!$E$2:$E$1775,"=outbound",'Opportunities'!$V$2:$V$1775,"=amer_west",'Opportunities'!$N$2:$N$1775,"=jun26",'Opportunities'!$P$2:$P$1775,"=1",'Opportunities'!$H$2:$H$1775,"&lt;&gt;")</f>
        <v>2</v>
      </c>
      <c r="S139" s="4">
        <f>COUNTIFS('Opportunities'!$E$2:$E$1775,"=outbound",'Opportunities'!$V$2:$V$1775,"=amer_west",'Opportunities'!$N$2:$N$1775,"=jul26",'Opportunities'!$P$2:$P$1775,"=1",'Opportunities'!$H$2:$H$1775,"&lt;&gt;")</f>
        <v>2</v>
      </c>
      <c r="T139" s="4">
        <f>COUNTIFS('Opportunities'!$E$2:$E$1775,"=outbound",'Opportunities'!$V$2:$V$1775,"=amer_west",'Opportunities'!$N$2:$N$1775,"=aug26",'Opportunities'!$P$2:$P$1775,"=1",'Opportunities'!$H$2:$H$1775,"&lt;&gt;")</f>
        <v>1</v>
      </c>
      <c r="U139" s="4">
        <f>COUNTIFS('Opportunities'!$E$2:$E$1775,"=outbound",'Opportunities'!$V$2:$V$1775,"=amer_west",'Opportunities'!$N$2:$N$1775,"=sep26",'Opportunities'!$P$2:$P$1775,"=1",'Opportunities'!$H$2:$H$1775,"&lt;&gt;")</f>
        <v>0</v>
      </c>
      <c r="V139" s="4">
        <f>COUNTIFS('Opportunities'!$E$2:$E$1775,"=outbound",'Opportunities'!$V$2:$V$1775,"=amer_west",'Opportunities'!$N$2:$N$1775,"=oct26",'Opportunities'!$P$2:$P$1775,"=1",'Opportunities'!$H$2:$H$1775,"&lt;&gt;")</f>
        <v>0</v>
      </c>
      <c r="W139" s="4">
        <f>COUNTIFS('Opportunities'!$E$2:$E$1775,"=outbound",'Opportunities'!$V$2:$V$1775,"=amer_west",'Opportunities'!$N$2:$N$1775,"=nov26",'Opportunities'!$P$2:$P$1775,"=1",'Opportunities'!$H$2:$H$1775,"&lt;&gt;")</f>
        <v>0</v>
      </c>
      <c r="X139" s="4">
        <f>COUNTIFS('Opportunities'!$E$2:$E$1775,"=outbound",'Opportunities'!$V$2:$V$1775,"=amer_west",'Opportunities'!$N$2:$N$1775,"=dec26",'Opportunities'!$P$2:$P$1775,"=1",'Opportunities'!$H$2:$H$1775,"&lt;&gt;")</f>
        <v>0</v>
      </c>
    </row>
    <row r="140">
      <c r="A140" s="0" t="inlineStr">
        <is>
          <t xml:space="preserve">Deals won</t>
        </is>
      </c>
      <c r="B140" s="0" t="inlineStr">
        <is>
          <t xml:space="preserve">Outbound (BDR)</t>
        </is>
      </c>
      <c r="C140" s="0" t="inlineStr">
        <is>
          <t xml:space="preserve">EMEA</t>
        </is>
      </c>
      <c r="D140" s="4">
        <f>COUNTIFS('Opportunities'!$E$2:$E$1775,"=outbound",'Opportunities'!$V$2:$V$1775,"=emea",'Opportunities'!$N$2:$N$1775,"=apr25",'Opportunities'!$P$2:$P$1775,"=1",'Opportunities'!$H$2:$H$1775,"&lt;&gt;")</f>
        <v>0</v>
      </c>
      <c r="E140" s="4">
        <f>COUNTIFS('Opportunities'!$E$2:$E$1775,"=outbound",'Opportunities'!$V$2:$V$1775,"=emea",'Opportunities'!$N$2:$N$1775,"=may25",'Opportunities'!$P$2:$P$1775,"=1",'Opportunities'!$H$2:$H$1775,"&lt;&gt;")</f>
        <v>0</v>
      </c>
      <c r="F140" s="4">
        <f>COUNTIFS('Opportunities'!$E$2:$E$1775,"=outbound",'Opportunities'!$V$2:$V$1775,"=emea",'Opportunities'!$N$2:$N$1775,"=jun25",'Opportunities'!$P$2:$P$1775,"=1",'Opportunities'!$H$2:$H$1775,"&lt;&gt;")</f>
        <v>1</v>
      </c>
      <c r="G140" s="4">
        <f>COUNTIFS('Opportunities'!$E$2:$E$1775,"=outbound",'Opportunities'!$V$2:$V$1775,"=emea",'Opportunities'!$N$2:$N$1775,"=jul25",'Opportunities'!$P$2:$P$1775,"=1",'Opportunities'!$H$2:$H$1775,"&lt;&gt;")</f>
        <v>0</v>
      </c>
      <c r="H140" s="4">
        <f>COUNTIFS('Opportunities'!$E$2:$E$1775,"=outbound",'Opportunities'!$V$2:$V$1775,"=emea",'Opportunities'!$N$2:$N$1775,"=aug25",'Opportunities'!$P$2:$P$1775,"=1",'Opportunities'!$H$2:$H$1775,"&lt;&gt;")</f>
        <v>0</v>
      </c>
      <c r="I140" s="4">
        <f>COUNTIFS('Opportunities'!$E$2:$E$1775,"=outbound",'Opportunities'!$V$2:$V$1775,"=emea",'Opportunities'!$N$2:$N$1775,"=sep25",'Opportunities'!$P$2:$P$1775,"=1",'Opportunities'!$H$2:$H$1775,"&lt;&gt;")</f>
        <v>4</v>
      </c>
      <c r="J140" s="4">
        <f>COUNTIFS('Opportunities'!$E$2:$E$1775,"=outbound",'Opportunities'!$V$2:$V$1775,"=emea",'Opportunities'!$N$2:$N$1775,"=oct25",'Opportunities'!$P$2:$P$1775,"=1",'Opportunities'!$H$2:$H$1775,"&lt;&gt;")</f>
        <v>1</v>
      </c>
      <c r="K140" s="4">
        <f>COUNTIFS('Opportunities'!$E$2:$E$1775,"=outbound",'Opportunities'!$V$2:$V$1775,"=emea",'Opportunities'!$N$2:$N$1775,"=nov25",'Opportunities'!$P$2:$P$1775,"=1",'Opportunities'!$H$2:$H$1775,"&lt;&gt;")</f>
        <v>3</v>
      </c>
      <c r="L140" s="4">
        <f>COUNTIFS('Opportunities'!$E$2:$E$1775,"=outbound",'Opportunities'!$V$2:$V$1775,"=emea",'Opportunities'!$N$2:$N$1775,"=dec25",'Opportunities'!$P$2:$P$1775,"=1",'Opportunities'!$H$2:$H$1775,"&lt;&gt;")</f>
        <v>0</v>
      </c>
      <c r="M140" s="4">
        <f>COUNTIFS('Opportunities'!$E$2:$E$1775,"=outbound",'Opportunities'!$V$2:$V$1775,"=emea",'Opportunities'!$N$2:$N$1775,"=jan26",'Opportunities'!$P$2:$P$1775,"=1",'Opportunities'!$H$2:$H$1775,"&lt;&gt;")</f>
        <v>2</v>
      </c>
      <c r="N140" s="4">
        <f>COUNTIFS('Opportunities'!$E$2:$E$1775,"=outbound",'Opportunities'!$V$2:$V$1775,"=emea",'Opportunities'!$N$2:$N$1775,"=feb26",'Opportunities'!$P$2:$P$1775,"=1",'Opportunities'!$H$2:$H$1775,"&lt;&gt;")</f>
        <v>1</v>
      </c>
      <c r="O140" s="4">
        <f>COUNTIFS('Opportunities'!$E$2:$E$1775,"=outbound",'Opportunities'!$V$2:$V$1775,"=emea",'Opportunities'!$N$2:$N$1775,"=mar26",'Opportunities'!$P$2:$P$1775,"=1",'Opportunities'!$H$2:$H$1775,"&lt;&gt;")</f>
        <v>3</v>
      </c>
      <c r="P140" s="4">
        <f>COUNTIFS('Opportunities'!$E$2:$E$1775,"=outbound",'Opportunities'!$V$2:$V$1775,"=emea",'Opportunities'!$N$2:$N$1775,"=apr26",'Opportunities'!$P$2:$P$1775,"=1",'Opportunities'!$H$2:$H$1775,"&lt;&gt;")</f>
        <v>2</v>
      </c>
      <c r="Q140" s="4">
        <f>COUNTIFS('Opportunities'!$E$2:$E$1775,"=outbound",'Opportunities'!$V$2:$V$1775,"=emea",'Opportunities'!$N$2:$N$1775,"=may26",'Opportunities'!$P$2:$P$1775,"=1",'Opportunities'!$H$2:$H$1775,"&lt;&gt;")</f>
        <v>1</v>
      </c>
      <c r="R140" s="4">
        <f>COUNTIFS('Opportunities'!$E$2:$E$1775,"=outbound",'Opportunities'!$V$2:$V$1775,"=emea",'Opportunities'!$N$2:$N$1775,"=jun26",'Opportunities'!$P$2:$P$1775,"=1",'Opportunities'!$H$2:$H$1775,"&lt;&gt;")</f>
        <v>2</v>
      </c>
      <c r="S140" s="4">
        <f>COUNTIFS('Opportunities'!$E$2:$E$1775,"=outbound",'Opportunities'!$V$2:$V$1775,"=emea",'Opportunities'!$N$2:$N$1775,"=jul26",'Opportunities'!$P$2:$P$1775,"=1",'Opportunities'!$H$2:$H$1775,"&lt;&gt;")</f>
        <v>0</v>
      </c>
      <c r="T140" s="4">
        <f>COUNTIFS('Opportunities'!$E$2:$E$1775,"=outbound",'Opportunities'!$V$2:$V$1775,"=emea",'Opportunities'!$N$2:$N$1775,"=aug26",'Opportunities'!$P$2:$P$1775,"=1",'Opportunities'!$H$2:$H$1775,"&lt;&gt;")</f>
        <v>1</v>
      </c>
      <c r="U140" s="4">
        <f>COUNTIFS('Opportunities'!$E$2:$E$1775,"=outbound",'Opportunities'!$V$2:$V$1775,"=emea",'Opportunities'!$N$2:$N$1775,"=sep26",'Opportunities'!$P$2:$P$1775,"=1",'Opportunities'!$H$2:$H$1775,"&lt;&gt;")</f>
        <v>0</v>
      </c>
      <c r="V140" s="4">
        <f>COUNTIFS('Opportunities'!$E$2:$E$1775,"=outbound",'Opportunities'!$V$2:$V$1775,"=emea",'Opportunities'!$N$2:$N$1775,"=oct26",'Opportunities'!$P$2:$P$1775,"=1",'Opportunities'!$H$2:$H$1775,"&lt;&gt;")</f>
        <v>0</v>
      </c>
      <c r="W140" s="4">
        <f>COUNTIFS('Opportunities'!$E$2:$E$1775,"=outbound",'Opportunities'!$V$2:$V$1775,"=emea",'Opportunities'!$N$2:$N$1775,"=nov26",'Opportunities'!$P$2:$P$1775,"=1",'Opportunities'!$H$2:$H$1775,"&lt;&gt;")</f>
        <v>0</v>
      </c>
      <c r="X140" s="4">
        <f>COUNTIFS('Opportunities'!$E$2:$E$1775,"=outbound",'Opportunities'!$V$2:$V$1775,"=emea",'Opportunities'!$N$2:$N$1775,"=dec26",'Opportunities'!$P$2:$P$1775,"=1",'Opportunities'!$H$2:$H$1775,"&lt;&gt;")</f>
        <v>0</v>
      </c>
    </row>
    <row r="141">
      <c r="A141" s="0" t="inlineStr">
        <is>
          <t xml:space="preserve">Deals won</t>
        </is>
      </c>
      <c r="B141" s="0" t="inlineStr">
        <is>
          <t xml:space="preserve">Outbound (BDR)</t>
        </is>
      </c>
      <c r="C141" s="0" t="inlineStr">
        <is>
          <t xml:space="preserve">APAC</t>
        </is>
      </c>
      <c r="D141" s="4">
        <f>COUNTIFS('Opportunities'!$E$2:$E$1775,"=outbound",'Opportunities'!$V$2:$V$1775,"=apac",'Opportunities'!$N$2:$N$1775,"=apr25",'Opportunities'!$P$2:$P$1775,"=1",'Opportunities'!$H$2:$H$1775,"&lt;&gt;")</f>
        <v>0</v>
      </c>
      <c r="E141" s="4">
        <f>COUNTIFS('Opportunities'!$E$2:$E$1775,"=outbound",'Opportunities'!$V$2:$V$1775,"=apac",'Opportunities'!$N$2:$N$1775,"=may25",'Opportunities'!$P$2:$P$1775,"=1",'Opportunities'!$H$2:$H$1775,"&lt;&gt;")</f>
        <v>1</v>
      </c>
      <c r="F141" s="4">
        <f>COUNTIFS('Opportunities'!$E$2:$E$1775,"=outbound",'Opportunities'!$V$2:$V$1775,"=apac",'Opportunities'!$N$2:$N$1775,"=jun25",'Opportunities'!$P$2:$P$1775,"=1",'Opportunities'!$H$2:$H$1775,"&lt;&gt;")</f>
        <v>0</v>
      </c>
      <c r="G141" s="4">
        <f>COUNTIFS('Opportunities'!$E$2:$E$1775,"=outbound",'Opportunities'!$V$2:$V$1775,"=apac",'Opportunities'!$N$2:$N$1775,"=jul25",'Opportunities'!$P$2:$P$1775,"=1",'Opportunities'!$H$2:$H$1775,"&lt;&gt;")</f>
        <v>1</v>
      </c>
      <c r="H141" s="4">
        <f>COUNTIFS('Opportunities'!$E$2:$E$1775,"=outbound",'Opportunities'!$V$2:$V$1775,"=apac",'Opportunities'!$N$2:$N$1775,"=aug25",'Opportunities'!$P$2:$P$1775,"=1",'Opportunities'!$H$2:$H$1775,"&lt;&gt;")</f>
        <v>1</v>
      </c>
      <c r="I141" s="4">
        <f>COUNTIFS('Opportunities'!$E$2:$E$1775,"=outbound",'Opportunities'!$V$2:$V$1775,"=apac",'Opportunities'!$N$2:$N$1775,"=sep25",'Opportunities'!$P$2:$P$1775,"=1",'Opportunities'!$H$2:$H$1775,"&lt;&gt;")</f>
        <v>1</v>
      </c>
      <c r="J141" s="4">
        <f>COUNTIFS('Opportunities'!$E$2:$E$1775,"=outbound",'Opportunities'!$V$2:$V$1775,"=apac",'Opportunities'!$N$2:$N$1775,"=oct25",'Opportunities'!$P$2:$P$1775,"=1",'Opportunities'!$H$2:$H$1775,"&lt;&gt;")</f>
        <v>1</v>
      </c>
      <c r="K141" s="4">
        <f>COUNTIFS('Opportunities'!$E$2:$E$1775,"=outbound",'Opportunities'!$V$2:$V$1775,"=apac",'Opportunities'!$N$2:$N$1775,"=nov25",'Opportunities'!$P$2:$P$1775,"=1",'Opportunities'!$H$2:$H$1775,"&lt;&gt;")</f>
        <v>1</v>
      </c>
      <c r="L141" s="4">
        <f>COUNTIFS('Opportunities'!$E$2:$E$1775,"=outbound",'Opportunities'!$V$2:$V$1775,"=apac",'Opportunities'!$N$2:$N$1775,"=dec25",'Opportunities'!$P$2:$P$1775,"=1",'Opportunities'!$H$2:$H$1775,"&lt;&gt;")</f>
        <v>5</v>
      </c>
      <c r="M141" s="4">
        <f>COUNTIFS('Opportunities'!$E$2:$E$1775,"=outbound",'Opportunities'!$V$2:$V$1775,"=apac",'Opportunities'!$N$2:$N$1775,"=jan26",'Opportunities'!$P$2:$P$1775,"=1",'Opportunities'!$H$2:$H$1775,"&lt;&gt;")</f>
        <v>2</v>
      </c>
      <c r="N141" s="4">
        <f>COUNTIFS('Opportunities'!$E$2:$E$1775,"=outbound",'Opportunities'!$V$2:$V$1775,"=apac",'Opportunities'!$N$2:$N$1775,"=feb26",'Opportunities'!$P$2:$P$1775,"=1",'Opportunities'!$H$2:$H$1775,"&lt;&gt;")</f>
        <v>1</v>
      </c>
      <c r="O141" s="4">
        <f>COUNTIFS('Opportunities'!$E$2:$E$1775,"=outbound",'Opportunities'!$V$2:$V$1775,"=apac",'Opportunities'!$N$2:$N$1775,"=mar26",'Opportunities'!$P$2:$P$1775,"=1",'Opportunities'!$H$2:$H$1775,"&lt;&gt;")</f>
        <v>1</v>
      </c>
      <c r="P141" s="4">
        <f>COUNTIFS('Opportunities'!$E$2:$E$1775,"=outbound",'Opportunities'!$V$2:$V$1775,"=apac",'Opportunities'!$N$2:$N$1775,"=apr26",'Opportunities'!$P$2:$P$1775,"=1",'Opportunities'!$H$2:$H$1775,"&lt;&gt;")</f>
        <v>0</v>
      </c>
      <c r="Q141" s="4">
        <f>COUNTIFS('Opportunities'!$E$2:$E$1775,"=outbound",'Opportunities'!$V$2:$V$1775,"=apac",'Opportunities'!$N$2:$N$1775,"=may26",'Opportunities'!$P$2:$P$1775,"=1",'Opportunities'!$H$2:$H$1775,"&lt;&gt;")</f>
        <v>0</v>
      </c>
      <c r="R141" s="4">
        <f>COUNTIFS('Opportunities'!$E$2:$E$1775,"=outbound",'Opportunities'!$V$2:$V$1775,"=apac",'Opportunities'!$N$2:$N$1775,"=jun26",'Opportunities'!$P$2:$P$1775,"=1",'Opportunities'!$H$2:$H$1775,"&lt;&gt;")</f>
        <v>3</v>
      </c>
      <c r="S141" s="4">
        <f>COUNTIFS('Opportunities'!$E$2:$E$1775,"=outbound",'Opportunities'!$V$2:$V$1775,"=apac",'Opportunities'!$N$2:$N$1775,"=jul26",'Opportunities'!$P$2:$P$1775,"=1",'Opportunities'!$H$2:$H$1775,"&lt;&gt;")</f>
        <v>2</v>
      </c>
      <c r="T141" s="4">
        <f>COUNTIFS('Opportunities'!$E$2:$E$1775,"=outbound",'Opportunities'!$V$2:$V$1775,"=apac",'Opportunities'!$N$2:$N$1775,"=aug26",'Opportunities'!$P$2:$P$1775,"=1",'Opportunities'!$H$2:$H$1775,"&lt;&gt;")</f>
        <v>0</v>
      </c>
      <c r="U141" s="4">
        <f>COUNTIFS('Opportunities'!$E$2:$E$1775,"=outbound",'Opportunities'!$V$2:$V$1775,"=apac",'Opportunities'!$N$2:$N$1775,"=sep26",'Opportunities'!$P$2:$P$1775,"=1",'Opportunities'!$H$2:$H$1775,"&lt;&gt;")</f>
        <v>2</v>
      </c>
      <c r="V141" s="4">
        <f>COUNTIFS('Opportunities'!$E$2:$E$1775,"=outbound",'Opportunities'!$V$2:$V$1775,"=apac",'Opportunities'!$N$2:$N$1775,"=oct26",'Opportunities'!$P$2:$P$1775,"=1",'Opportunities'!$H$2:$H$1775,"&lt;&gt;")</f>
        <v>0</v>
      </c>
      <c r="W141" s="4">
        <f>COUNTIFS('Opportunities'!$E$2:$E$1775,"=outbound",'Opportunities'!$V$2:$V$1775,"=apac",'Opportunities'!$N$2:$N$1775,"=nov26",'Opportunities'!$P$2:$P$1775,"=1",'Opportunities'!$H$2:$H$1775,"&lt;&gt;")</f>
        <v>0</v>
      </c>
      <c r="X141" s="4">
        <f>COUNTIFS('Opportunities'!$E$2:$E$1775,"=outbound",'Opportunities'!$V$2:$V$1775,"=apac",'Opportunities'!$N$2:$N$1775,"=dec26",'Opportunities'!$P$2:$P$1775,"=1",'Opportunities'!$H$2:$H$1775,"&lt;&gt;")</f>
        <v>0</v>
      </c>
    </row>
    <row r="142">
      <c r="A142" s="0" t="inlineStr">
        <is>
          <t xml:space="preserve">Deals won</t>
        </is>
      </c>
      <c r="B142" s="0" t="inlineStr">
        <is>
          <t xml:space="preserve">Customer referral</t>
        </is>
      </c>
      <c r="C142" s="0" t="inlineStr">
        <is>
          <t xml:space="preserve">AMER East</t>
        </is>
      </c>
      <c r="D142" s="4">
        <f>COUNTIFS('Opportunities'!$E$2:$E$1775,"=referral",'Opportunities'!$V$2:$V$1775,"=amer_east",'Opportunities'!$N$2:$N$1775,"=apr25",'Opportunities'!$P$2:$P$1775,"=1",'Opportunities'!$H$2:$H$1775,"&lt;&gt;")</f>
        <v>0</v>
      </c>
      <c r="E142" s="4">
        <f>COUNTIFS('Opportunities'!$E$2:$E$1775,"=referral",'Opportunities'!$V$2:$V$1775,"=amer_east",'Opportunities'!$N$2:$N$1775,"=may25",'Opportunities'!$P$2:$P$1775,"=1",'Opportunities'!$H$2:$H$1775,"&lt;&gt;")</f>
        <v>1</v>
      </c>
      <c r="F142" s="4">
        <f>COUNTIFS('Opportunities'!$E$2:$E$1775,"=referral",'Opportunities'!$V$2:$V$1775,"=amer_east",'Opportunities'!$N$2:$N$1775,"=jun25",'Opportunities'!$P$2:$P$1775,"=1",'Opportunities'!$H$2:$H$1775,"&lt;&gt;")</f>
        <v>2</v>
      </c>
      <c r="G142" s="4">
        <f>COUNTIFS('Opportunities'!$E$2:$E$1775,"=referral",'Opportunities'!$V$2:$V$1775,"=amer_east",'Opportunities'!$N$2:$N$1775,"=jul25",'Opportunities'!$P$2:$P$1775,"=1",'Opportunities'!$H$2:$H$1775,"&lt;&gt;")</f>
        <v>2</v>
      </c>
      <c r="H142" s="4">
        <f>COUNTIFS('Opportunities'!$E$2:$E$1775,"=referral",'Opportunities'!$V$2:$V$1775,"=amer_east",'Opportunities'!$N$2:$N$1775,"=aug25",'Opportunities'!$P$2:$P$1775,"=1",'Opportunities'!$H$2:$H$1775,"&lt;&gt;")</f>
        <v>0</v>
      </c>
      <c r="I142" s="4">
        <f>COUNTIFS('Opportunities'!$E$2:$E$1775,"=referral",'Opportunities'!$V$2:$V$1775,"=amer_east",'Opportunities'!$N$2:$N$1775,"=sep25",'Opportunities'!$P$2:$P$1775,"=1",'Opportunities'!$H$2:$H$1775,"&lt;&gt;")</f>
        <v>0</v>
      </c>
      <c r="J142" s="4">
        <f>COUNTIFS('Opportunities'!$E$2:$E$1775,"=referral",'Opportunities'!$V$2:$V$1775,"=amer_east",'Opportunities'!$N$2:$N$1775,"=oct25",'Opportunities'!$P$2:$P$1775,"=1",'Opportunities'!$H$2:$H$1775,"&lt;&gt;")</f>
        <v>0</v>
      </c>
      <c r="K142" s="4">
        <f>COUNTIFS('Opportunities'!$E$2:$E$1775,"=referral",'Opportunities'!$V$2:$V$1775,"=amer_east",'Opportunities'!$N$2:$N$1775,"=nov25",'Opportunities'!$P$2:$P$1775,"=1",'Opportunities'!$H$2:$H$1775,"&lt;&gt;")</f>
        <v>2</v>
      </c>
      <c r="L142" s="4">
        <f>COUNTIFS('Opportunities'!$E$2:$E$1775,"=referral",'Opportunities'!$V$2:$V$1775,"=amer_east",'Opportunities'!$N$2:$N$1775,"=dec25",'Opportunities'!$P$2:$P$1775,"=1",'Opportunities'!$H$2:$H$1775,"&lt;&gt;")</f>
        <v>1</v>
      </c>
      <c r="M142" s="4">
        <f>COUNTIFS('Opportunities'!$E$2:$E$1775,"=referral",'Opportunities'!$V$2:$V$1775,"=amer_east",'Opportunities'!$N$2:$N$1775,"=jan26",'Opportunities'!$P$2:$P$1775,"=1",'Opportunities'!$H$2:$H$1775,"&lt;&gt;")</f>
        <v>0</v>
      </c>
      <c r="N142" s="4">
        <f>COUNTIFS('Opportunities'!$E$2:$E$1775,"=referral",'Opportunities'!$V$2:$V$1775,"=amer_east",'Opportunities'!$N$2:$N$1775,"=feb26",'Opportunities'!$P$2:$P$1775,"=1",'Opportunities'!$H$2:$H$1775,"&lt;&gt;")</f>
        <v>1</v>
      </c>
      <c r="O142" s="4">
        <f>COUNTIFS('Opportunities'!$E$2:$E$1775,"=referral",'Opportunities'!$V$2:$V$1775,"=amer_east",'Opportunities'!$N$2:$N$1775,"=mar26",'Opportunities'!$P$2:$P$1775,"=1",'Opportunities'!$H$2:$H$1775,"&lt;&gt;")</f>
        <v>2</v>
      </c>
      <c r="P142" s="4">
        <f>COUNTIFS('Opportunities'!$E$2:$E$1775,"=referral",'Opportunities'!$V$2:$V$1775,"=amer_east",'Opportunities'!$N$2:$N$1775,"=apr26",'Opportunities'!$P$2:$P$1775,"=1",'Opportunities'!$H$2:$H$1775,"&lt;&gt;")</f>
        <v>0</v>
      </c>
      <c r="Q142" s="4">
        <f>COUNTIFS('Opportunities'!$E$2:$E$1775,"=referral",'Opportunities'!$V$2:$V$1775,"=amer_east",'Opportunities'!$N$2:$N$1775,"=may26",'Opportunities'!$P$2:$P$1775,"=1",'Opportunities'!$H$2:$H$1775,"&lt;&gt;")</f>
        <v>1</v>
      </c>
      <c r="R142" s="4">
        <f>COUNTIFS('Opportunities'!$E$2:$E$1775,"=referral",'Opportunities'!$V$2:$V$1775,"=amer_east",'Opportunities'!$N$2:$N$1775,"=jun26",'Opportunities'!$P$2:$P$1775,"=1",'Opportunities'!$H$2:$H$1775,"&lt;&gt;")</f>
        <v>3</v>
      </c>
      <c r="S142" s="4">
        <f>COUNTIFS('Opportunities'!$E$2:$E$1775,"=referral",'Opportunities'!$V$2:$V$1775,"=amer_east",'Opportunities'!$N$2:$N$1775,"=jul26",'Opportunities'!$P$2:$P$1775,"=1",'Opportunities'!$H$2:$H$1775,"&lt;&gt;")</f>
        <v>0</v>
      </c>
      <c r="T142" s="4">
        <f>COUNTIFS('Opportunities'!$E$2:$E$1775,"=referral",'Opportunities'!$V$2:$V$1775,"=amer_east",'Opportunities'!$N$2:$N$1775,"=aug26",'Opportunities'!$P$2:$P$1775,"=1",'Opportunities'!$H$2:$H$1775,"&lt;&gt;")</f>
        <v>1</v>
      </c>
      <c r="U142" s="4">
        <f>COUNTIFS('Opportunities'!$E$2:$E$1775,"=referral",'Opportunities'!$V$2:$V$1775,"=amer_east",'Opportunities'!$N$2:$N$1775,"=sep26",'Opportunities'!$P$2:$P$1775,"=1",'Opportunities'!$H$2:$H$1775,"&lt;&gt;")</f>
        <v>0</v>
      </c>
      <c r="V142" s="4">
        <f>COUNTIFS('Opportunities'!$E$2:$E$1775,"=referral",'Opportunities'!$V$2:$V$1775,"=amer_east",'Opportunities'!$N$2:$N$1775,"=oct26",'Opportunities'!$P$2:$P$1775,"=1",'Opportunities'!$H$2:$H$1775,"&lt;&gt;")</f>
        <v>0</v>
      </c>
      <c r="W142" s="4">
        <f>COUNTIFS('Opportunities'!$E$2:$E$1775,"=referral",'Opportunities'!$V$2:$V$1775,"=amer_east",'Opportunities'!$N$2:$N$1775,"=nov26",'Opportunities'!$P$2:$P$1775,"=1",'Opportunities'!$H$2:$H$1775,"&lt;&gt;")</f>
        <v>0</v>
      </c>
      <c r="X142" s="4">
        <f>COUNTIFS('Opportunities'!$E$2:$E$1775,"=referral",'Opportunities'!$V$2:$V$1775,"=amer_east",'Opportunities'!$N$2:$N$1775,"=dec26",'Opportunities'!$P$2:$P$1775,"=1",'Opportunities'!$H$2:$H$1775,"&lt;&gt;")</f>
        <v>0</v>
      </c>
    </row>
    <row r="143">
      <c r="A143" s="0" t="inlineStr">
        <is>
          <t xml:space="preserve">Deals won</t>
        </is>
      </c>
      <c r="B143" s="0" t="inlineStr">
        <is>
          <t xml:space="preserve">Customer referral</t>
        </is>
      </c>
      <c r="C143" s="0" t="inlineStr">
        <is>
          <t xml:space="preserve">AMER West</t>
        </is>
      </c>
      <c r="D143" s="4">
        <f>COUNTIFS('Opportunities'!$E$2:$E$1775,"=referral",'Opportunities'!$V$2:$V$1775,"=amer_west",'Opportunities'!$N$2:$N$1775,"=apr25",'Opportunities'!$P$2:$P$1775,"=1",'Opportunities'!$H$2:$H$1775,"&lt;&gt;")</f>
        <v>0</v>
      </c>
      <c r="E143" s="4">
        <f>COUNTIFS('Opportunities'!$E$2:$E$1775,"=referral",'Opportunities'!$V$2:$V$1775,"=amer_west",'Opportunities'!$N$2:$N$1775,"=may25",'Opportunities'!$P$2:$P$1775,"=1",'Opportunities'!$H$2:$H$1775,"&lt;&gt;")</f>
        <v>0</v>
      </c>
      <c r="F143" s="4">
        <f>COUNTIFS('Opportunities'!$E$2:$E$1775,"=referral",'Opportunities'!$V$2:$V$1775,"=amer_west",'Opportunities'!$N$2:$N$1775,"=jun25",'Opportunities'!$P$2:$P$1775,"=1",'Opportunities'!$H$2:$H$1775,"&lt;&gt;")</f>
        <v>1</v>
      </c>
      <c r="G143" s="4">
        <f>COUNTIFS('Opportunities'!$E$2:$E$1775,"=referral",'Opportunities'!$V$2:$V$1775,"=amer_west",'Opportunities'!$N$2:$N$1775,"=jul25",'Opportunities'!$P$2:$P$1775,"=1",'Opportunities'!$H$2:$H$1775,"&lt;&gt;")</f>
        <v>0</v>
      </c>
      <c r="H143" s="4">
        <f>COUNTIFS('Opportunities'!$E$2:$E$1775,"=referral",'Opportunities'!$V$2:$V$1775,"=amer_west",'Opportunities'!$N$2:$N$1775,"=aug25",'Opportunities'!$P$2:$P$1775,"=1",'Opportunities'!$H$2:$H$1775,"&lt;&gt;")</f>
        <v>1</v>
      </c>
      <c r="I143" s="4">
        <f>COUNTIFS('Opportunities'!$E$2:$E$1775,"=referral",'Opportunities'!$V$2:$V$1775,"=amer_west",'Opportunities'!$N$2:$N$1775,"=sep25",'Opportunities'!$P$2:$P$1775,"=1",'Opportunities'!$H$2:$H$1775,"&lt;&gt;")</f>
        <v>1</v>
      </c>
      <c r="J143" s="4">
        <f>COUNTIFS('Opportunities'!$E$2:$E$1775,"=referral",'Opportunities'!$V$2:$V$1775,"=amer_west",'Opportunities'!$N$2:$N$1775,"=oct25",'Opportunities'!$P$2:$P$1775,"=1",'Opportunities'!$H$2:$H$1775,"&lt;&gt;")</f>
        <v>0</v>
      </c>
      <c r="K143" s="4">
        <f>COUNTIFS('Opportunities'!$E$2:$E$1775,"=referral",'Opportunities'!$V$2:$V$1775,"=amer_west",'Opportunities'!$N$2:$N$1775,"=nov25",'Opportunities'!$P$2:$P$1775,"=1",'Opportunities'!$H$2:$H$1775,"&lt;&gt;")</f>
        <v>0</v>
      </c>
      <c r="L143" s="4">
        <f>COUNTIFS('Opportunities'!$E$2:$E$1775,"=referral",'Opportunities'!$V$2:$V$1775,"=amer_west",'Opportunities'!$N$2:$N$1775,"=dec25",'Opportunities'!$P$2:$P$1775,"=1",'Opportunities'!$H$2:$H$1775,"&lt;&gt;")</f>
        <v>0</v>
      </c>
      <c r="M143" s="4">
        <f>COUNTIFS('Opportunities'!$E$2:$E$1775,"=referral",'Opportunities'!$V$2:$V$1775,"=amer_west",'Opportunities'!$N$2:$N$1775,"=jan26",'Opportunities'!$P$2:$P$1775,"=1",'Opportunities'!$H$2:$H$1775,"&lt;&gt;")</f>
        <v>0</v>
      </c>
      <c r="N143" s="4">
        <f>COUNTIFS('Opportunities'!$E$2:$E$1775,"=referral",'Opportunities'!$V$2:$V$1775,"=amer_west",'Opportunities'!$N$2:$N$1775,"=feb26",'Opportunities'!$P$2:$P$1775,"=1",'Opportunities'!$H$2:$H$1775,"&lt;&gt;")</f>
        <v>1</v>
      </c>
      <c r="O143" s="4">
        <f>COUNTIFS('Opportunities'!$E$2:$E$1775,"=referral",'Opportunities'!$V$2:$V$1775,"=amer_west",'Opportunities'!$N$2:$N$1775,"=mar26",'Opportunities'!$P$2:$P$1775,"=1",'Opportunities'!$H$2:$H$1775,"&lt;&gt;")</f>
        <v>4</v>
      </c>
      <c r="P143" s="4">
        <f>COUNTIFS('Opportunities'!$E$2:$E$1775,"=referral",'Opportunities'!$V$2:$V$1775,"=amer_west",'Opportunities'!$N$2:$N$1775,"=apr26",'Opportunities'!$P$2:$P$1775,"=1",'Opportunities'!$H$2:$H$1775,"&lt;&gt;")</f>
        <v>0</v>
      </c>
      <c r="Q143" s="4">
        <f>COUNTIFS('Opportunities'!$E$2:$E$1775,"=referral",'Opportunities'!$V$2:$V$1775,"=amer_west",'Opportunities'!$N$2:$N$1775,"=may26",'Opportunities'!$P$2:$P$1775,"=1",'Opportunities'!$H$2:$H$1775,"&lt;&gt;")</f>
        <v>1</v>
      </c>
      <c r="R143" s="4">
        <f>COUNTIFS('Opportunities'!$E$2:$E$1775,"=referral",'Opportunities'!$V$2:$V$1775,"=amer_west",'Opportunities'!$N$2:$N$1775,"=jun26",'Opportunities'!$P$2:$P$1775,"=1",'Opportunities'!$H$2:$H$1775,"&lt;&gt;")</f>
        <v>2</v>
      </c>
      <c r="S143" s="4">
        <f>COUNTIFS('Opportunities'!$E$2:$E$1775,"=referral",'Opportunities'!$V$2:$V$1775,"=amer_west",'Opportunities'!$N$2:$N$1775,"=jul26",'Opportunities'!$P$2:$P$1775,"=1",'Opportunities'!$H$2:$H$1775,"&lt;&gt;")</f>
        <v>1</v>
      </c>
      <c r="T143" s="4">
        <f>COUNTIFS('Opportunities'!$E$2:$E$1775,"=referral",'Opportunities'!$V$2:$V$1775,"=amer_west",'Opportunities'!$N$2:$N$1775,"=aug26",'Opportunities'!$P$2:$P$1775,"=1",'Opportunities'!$H$2:$H$1775,"&lt;&gt;")</f>
        <v>2</v>
      </c>
      <c r="U143" s="4">
        <f>COUNTIFS('Opportunities'!$E$2:$E$1775,"=referral",'Opportunities'!$V$2:$V$1775,"=amer_west",'Opportunities'!$N$2:$N$1775,"=sep26",'Opportunities'!$P$2:$P$1775,"=1",'Opportunities'!$H$2:$H$1775,"&lt;&gt;")</f>
        <v>1</v>
      </c>
      <c r="V143" s="4">
        <f>COUNTIFS('Opportunities'!$E$2:$E$1775,"=referral",'Opportunities'!$V$2:$V$1775,"=amer_west",'Opportunities'!$N$2:$N$1775,"=oct26",'Opportunities'!$P$2:$P$1775,"=1",'Opportunities'!$H$2:$H$1775,"&lt;&gt;")</f>
        <v>0</v>
      </c>
      <c r="W143" s="4">
        <f>COUNTIFS('Opportunities'!$E$2:$E$1775,"=referral",'Opportunities'!$V$2:$V$1775,"=amer_west",'Opportunities'!$N$2:$N$1775,"=nov26",'Opportunities'!$P$2:$P$1775,"=1",'Opportunities'!$H$2:$H$1775,"&lt;&gt;")</f>
        <v>0</v>
      </c>
      <c r="X143" s="4">
        <f>COUNTIFS('Opportunities'!$E$2:$E$1775,"=referral",'Opportunities'!$V$2:$V$1775,"=amer_west",'Opportunities'!$N$2:$N$1775,"=dec26",'Opportunities'!$P$2:$P$1775,"=1",'Opportunities'!$H$2:$H$1775,"&lt;&gt;")</f>
        <v>0</v>
      </c>
    </row>
    <row r="144">
      <c r="A144" s="0" t="inlineStr">
        <is>
          <t xml:space="preserve">Deals won</t>
        </is>
      </c>
      <c r="B144" s="0" t="inlineStr">
        <is>
          <t xml:space="preserve">Customer referral</t>
        </is>
      </c>
      <c r="C144" s="0" t="inlineStr">
        <is>
          <t xml:space="preserve">EMEA</t>
        </is>
      </c>
      <c r="D144" s="4">
        <f>COUNTIFS('Opportunities'!$E$2:$E$1775,"=referral",'Opportunities'!$V$2:$V$1775,"=emea",'Opportunities'!$N$2:$N$1775,"=apr25",'Opportunities'!$P$2:$P$1775,"=1",'Opportunities'!$H$2:$H$1775,"&lt;&gt;")</f>
        <v>0</v>
      </c>
      <c r="E144" s="4">
        <f>COUNTIFS('Opportunities'!$E$2:$E$1775,"=referral",'Opportunities'!$V$2:$V$1775,"=emea",'Opportunities'!$N$2:$N$1775,"=may25",'Opportunities'!$P$2:$P$1775,"=1",'Opportunities'!$H$2:$H$1775,"&lt;&gt;")</f>
        <v>2</v>
      </c>
      <c r="F144" s="4">
        <f>COUNTIFS('Opportunities'!$E$2:$E$1775,"=referral",'Opportunities'!$V$2:$V$1775,"=emea",'Opportunities'!$N$2:$N$1775,"=jun25",'Opportunities'!$P$2:$P$1775,"=1",'Opportunities'!$H$2:$H$1775,"&lt;&gt;")</f>
        <v>1</v>
      </c>
      <c r="G144" s="4">
        <f>COUNTIFS('Opportunities'!$E$2:$E$1775,"=referral",'Opportunities'!$V$2:$V$1775,"=emea",'Opportunities'!$N$2:$N$1775,"=jul25",'Opportunities'!$P$2:$P$1775,"=1",'Opportunities'!$H$2:$H$1775,"&lt;&gt;")</f>
        <v>0</v>
      </c>
      <c r="H144" s="4">
        <f>COUNTIFS('Opportunities'!$E$2:$E$1775,"=referral",'Opportunities'!$V$2:$V$1775,"=emea",'Opportunities'!$N$2:$N$1775,"=aug25",'Opportunities'!$P$2:$P$1775,"=1",'Opportunities'!$H$2:$H$1775,"&lt;&gt;")</f>
        <v>0</v>
      </c>
      <c r="I144" s="4">
        <f>COUNTIFS('Opportunities'!$E$2:$E$1775,"=referral",'Opportunities'!$V$2:$V$1775,"=emea",'Opportunities'!$N$2:$N$1775,"=sep25",'Opportunities'!$P$2:$P$1775,"=1",'Opportunities'!$H$2:$H$1775,"&lt;&gt;")</f>
        <v>2</v>
      </c>
      <c r="J144" s="4">
        <f>COUNTIFS('Opportunities'!$E$2:$E$1775,"=referral",'Opportunities'!$V$2:$V$1775,"=emea",'Opportunities'!$N$2:$N$1775,"=oct25",'Opportunities'!$P$2:$P$1775,"=1",'Opportunities'!$H$2:$H$1775,"&lt;&gt;")</f>
        <v>0</v>
      </c>
      <c r="K144" s="4">
        <f>COUNTIFS('Opportunities'!$E$2:$E$1775,"=referral",'Opportunities'!$V$2:$V$1775,"=emea",'Opportunities'!$N$2:$N$1775,"=nov25",'Opportunities'!$P$2:$P$1775,"=1",'Opportunities'!$H$2:$H$1775,"&lt;&gt;")</f>
        <v>1</v>
      </c>
      <c r="L144" s="4">
        <f>COUNTIFS('Opportunities'!$E$2:$E$1775,"=referral",'Opportunities'!$V$2:$V$1775,"=emea",'Opportunities'!$N$2:$N$1775,"=dec25",'Opportunities'!$P$2:$P$1775,"=1",'Opportunities'!$H$2:$H$1775,"&lt;&gt;")</f>
        <v>1</v>
      </c>
      <c r="M144" s="4">
        <f>COUNTIFS('Opportunities'!$E$2:$E$1775,"=referral",'Opportunities'!$V$2:$V$1775,"=emea",'Opportunities'!$N$2:$N$1775,"=jan26",'Opportunities'!$P$2:$P$1775,"=1",'Opportunities'!$H$2:$H$1775,"&lt;&gt;")</f>
        <v>1</v>
      </c>
      <c r="N144" s="4">
        <f>COUNTIFS('Opportunities'!$E$2:$E$1775,"=referral",'Opportunities'!$V$2:$V$1775,"=emea",'Opportunities'!$N$2:$N$1775,"=feb26",'Opportunities'!$P$2:$P$1775,"=1",'Opportunities'!$H$2:$H$1775,"&lt;&gt;")</f>
        <v>0</v>
      </c>
      <c r="O144" s="4">
        <f>COUNTIFS('Opportunities'!$E$2:$E$1775,"=referral",'Opportunities'!$V$2:$V$1775,"=emea",'Opportunities'!$N$2:$N$1775,"=mar26",'Opportunities'!$P$2:$P$1775,"=1",'Opportunities'!$H$2:$H$1775,"&lt;&gt;")</f>
        <v>2</v>
      </c>
      <c r="P144" s="4">
        <f>COUNTIFS('Opportunities'!$E$2:$E$1775,"=referral",'Opportunities'!$V$2:$V$1775,"=emea",'Opportunities'!$N$2:$N$1775,"=apr26",'Opportunities'!$P$2:$P$1775,"=1",'Opportunities'!$H$2:$H$1775,"&lt;&gt;")</f>
        <v>0</v>
      </c>
      <c r="Q144" s="4">
        <f>COUNTIFS('Opportunities'!$E$2:$E$1775,"=referral",'Opportunities'!$V$2:$V$1775,"=emea",'Opportunities'!$N$2:$N$1775,"=may26",'Opportunities'!$P$2:$P$1775,"=1",'Opportunities'!$H$2:$H$1775,"&lt;&gt;")</f>
        <v>1</v>
      </c>
      <c r="R144" s="4">
        <f>COUNTIFS('Opportunities'!$E$2:$E$1775,"=referral",'Opportunities'!$V$2:$V$1775,"=emea",'Opportunities'!$N$2:$N$1775,"=jun26",'Opportunities'!$P$2:$P$1775,"=1",'Opportunities'!$H$2:$H$1775,"&lt;&gt;")</f>
        <v>0</v>
      </c>
      <c r="S144" s="4">
        <f>COUNTIFS('Opportunities'!$E$2:$E$1775,"=referral",'Opportunities'!$V$2:$V$1775,"=emea",'Opportunities'!$N$2:$N$1775,"=jul26",'Opportunities'!$P$2:$P$1775,"=1",'Opportunities'!$H$2:$H$1775,"&lt;&gt;")</f>
        <v>1</v>
      </c>
      <c r="T144" s="4">
        <f>COUNTIFS('Opportunities'!$E$2:$E$1775,"=referral",'Opportunities'!$V$2:$V$1775,"=emea",'Opportunities'!$N$2:$N$1775,"=aug26",'Opportunities'!$P$2:$P$1775,"=1",'Opportunities'!$H$2:$H$1775,"&lt;&gt;")</f>
        <v>1</v>
      </c>
      <c r="U144" s="4">
        <f>COUNTIFS('Opportunities'!$E$2:$E$1775,"=referral",'Opportunities'!$V$2:$V$1775,"=emea",'Opportunities'!$N$2:$N$1775,"=sep26",'Opportunities'!$P$2:$P$1775,"=1",'Opportunities'!$H$2:$H$1775,"&lt;&gt;")</f>
        <v>0</v>
      </c>
      <c r="V144" s="4">
        <f>COUNTIFS('Opportunities'!$E$2:$E$1775,"=referral",'Opportunities'!$V$2:$V$1775,"=emea",'Opportunities'!$N$2:$N$1775,"=oct26",'Opportunities'!$P$2:$P$1775,"=1",'Opportunities'!$H$2:$H$1775,"&lt;&gt;")</f>
        <v>0</v>
      </c>
      <c r="W144" s="4">
        <f>COUNTIFS('Opportunities'!$E$2:$E$1775,"=referral",'Opportunities'!$V$2:$V$1775,"=emea",'Opportunities'!$N$2:$N$1775,"=nov26",'Opportunities'!$P$2:$P$1775,"=1",'Opportunities'!$H$2:$H$1775,"&lt;&gt;")</f>
        <v>0</v>
      </c>
      <c r="X144" s="4">
        <f>COUNTIFS('Opportunities'!$E$2:$E$1775,"=referral",'Opportunities'!$V$2:$V$1775,"=emea",'Opportunities'!$N$2:$N$1775,"=dec26",'Opportunities'!$P$2:$P$1775,"=1",'Opportunities'!$H$2:$H$1775,"&lt;&gt;")</f>
        <v>0</v>
      </c>
    </row>
    <row r="145">
      <c r="A145" s="0" t="inlineStr">
        <is>
          <t xml:space="preserve">Deals won</t>
        </is>
      </c>
      <c r="B145" s="0" t="inlineStr">
        <is>
          <t xml:space="preserve">Customer referral</t>
        </is>
      </c>
      <c r="C145" s="0" t="inlineStr">
        <is>
          <t xml:space="preserve">APAC</t>
        </is>
      </c>
      <c r="D145" s="4">
        <f>COUNTIFS('Opportunities'!$E$2:$E$1775,"=referral",'Opportunities'!$V$2:$V$1775,"=apac",'Opportunities'!$N$2:$N$1775,"=apr25",'Opportunities'!$P$2:$P$1775,"=1",'Opportunities'!$H$2:$H$1775,"&lt;&gt;")</f>
        <v>0</v>
      </c>
      <c r="E145" s="4">
        <f>COUNTIFS('Opportunities'!$E$2:$E$1775,"=referral",'Opportunities'!$V$2:$V$1775,"=apac",'Opportunities'!$N$2:$N$1775,"=may25",'Opportunities'!$P$2:$P$1775,"=1",'Opportunities'!$H$2:$H$1775,"&lt;&gt;")</f>
        <v>0</v>
      </c>
      <c r="F145" s="4">
        <f>COUNTIFS('Opportunities'!$E$2:$E$1775,"=referral",'Opportunities'!$V$2:$V$1775,"=apac",'Opportunities'!$N$2:$N$1775,"=jun25",'Opportunities'!$P$2:$P$1775,"=1",'Opportunities'!$H$2:$H$1775,"&lt;&gt;")</f>
        <v>0</v>
      </c>
      <c r="G145" s="4">
        <f>COUNTIFS('Opportunities'!$E$2:$E$1775,"=referral",'Opportunities'!$V$2:$V$1775,"=apac",'Opportunities'!$N$2:$N$1775,"=jul25",'Opportunities'!$P$2:$P$1775,"=1",'Opportunities'!$H$2:$H$1775,"&lt;&gt;")</f>
        <v>0</v>
      </c>
      <c r="H145" s="4">
        <f>COUNTIFS('Opportunities'!$E$2:$E$1775,"=referral",'Opportunities'!$V$2:$V$1775,"=apac",'Opportunities'!$N$2:$N$1775,"=aug25",'Opportunities'!$P$2:$P$1775,"=1",'Opportunities'!$H$2:$H$1775,"&lt;&gt;")</f>
        <v>0</v>
      </c>
      <c r="I145" s="4">
        <f>COUNTIFS('Opportunities'!$E$2:$E$1775,"=referral",'Opportunities'!$V$2:$V$1775,"=apac",'Opportunities'!$N$2:$N$1775,"=sep25",'Opportunities'!$P$2:$P$1775,"=1",'Opportunities'!$H$2:$H$1775,"&lt;&gt;")</f>
        <v>2</v>
      </c>
      <c r="J145" s="4">
        <f>COUNTIFS('Opportunities'!$E$2:$E$1775,"=referral",'Opportunities'!$V$2:$V$1775,"=apac",'Opportunities'!$N$2:$N$1775,"=oct25",'Opportunities'!$P$2:$P$1775,"=1",'Opportunities'!$H$2:$H$1775,"&lt;&gt;")</f>
        <v>1</v>
      </c>
      <c r="K145" s="4">
        <f>COUNTIFS('Opportunities'!$E$2:$E$1775,"=referral",'Opportunities'!$V$2:$V$1775,"=apac",'Opportunities'!$N$2:$N$1775,"=nov25",'Opportunities'!$P$2:$P$1775,"=1",'Opportunities'!$H$2:$H$1775,"&lt;&gt;")</f>
        <v>0</v>
      </c>
      <c r="L145" s="4">
        <f>COUNTIFS('Opportunities'!$E$2:$E$1775,"=referral",'Opportunities'!$V$2:$V$1775,"=apac",'Opportunities'!$N$2:$N$1775,"=dec25",'Opportunities'!$P$2:$P$1775,"=1",'Opportunities'!$H$2:$H$1775,"&lt;&gt;")</f>
        <v>1</v>
      </c>
      <c r="M145" s="4">
        <f>COUNTIFS('Opportunities'!$E$2:$E$1775,"=referral",'Opportunities'!$V$2:$V$1775,"=apac",'Opportunities'!$N$2:$N$1775,"=jan26",'Opportunities'!$P$2:$P$1775,"=1",'Opportunities'!$H$2:$H$1775,"&lt;&gt;")</f>
        <v>1</v>
      </c>
      <c r="N145" s="4">
        <f>COUNTIFS('Opportunities'!$E$2:$E$1775,"=referral",'Opportunities'!$V$2:$V$1775,"=apac",'Opportunities'!$N$2:$N$1775,"=feb26",'Opportunities'!$P$2:$P$1775,"=1",'Opportunities'!$H$2:$H$1775,"&lt;&gt;")</f>
        <v>0</v>
      </c>
      <c r="O145" s="4">
        <f>COUNTIFS('Opportunities'!$E$2:$E$1775,"=referral",'Opportunities'!$V$2:$V$1775,"=apac",'Opportunities'!$N$2:$N$1775,"=mar26",'Opportunities'!$P$2:$P$1775,"=1",'Opportunities'!$H$2:$H$1775,"&lt;&gt;")</f>
        <v>0</v>
      </c>
      <c r="P145" s="4">
        <f>COUNTIFS('Opportunities'!$E$2:$E$1775,"=referral",'Opportunities'!$V$2:$V$1775,"=apac",'Opportunities'!$N$2:$N$1775,"=apr26",'Opportunities'!$P$2:$P$1775,"=1",'Opportunities'!$H$2:$H$1775,"&lt;&gt;")</f>
        <v>0</v>
      </c>
      <c r="Q145" s="4">
        <f>COUNTIFS('Opportunities'!$E$2:$E$1775,"=referral",'Opportunities'!$V$2:$V$1775,"=apac",'Opportunities'!$N$2:$N$1775,"=may26",'Opportunities'!$P$2:$P$1775,"=1",'Opportunities'!$H$2:$H$1775,"&lt;&gt;")</f>
        <v>0</v>
      </c>
      <c r="R145" s="4">
        <f>COUNTIFS('Opportunities'!$E$2:$E$1775,"=referral",'Opportunities'!$V$2:$V$1775,"=apac",'Opportunities'!$N$2:$N$1775,"=jun26",'Opportunities'!$P$2:$P$1775,"=1",'Opportunities'!$H$2:$H$1775,"&lt;&gt;")</f>
        <v>0</v>
      </c>
      <c r="S145" s="4">
        <f>COUNTIFS('Opportunities'!$E$2:$E$1775,"=referral",'Opportunities'!$V$2:$V$1775,"=apac",'Opportunities'!$N$2:$N$1775,"=jul26",'Opportunities'!$P$2:$P$1775,"=1",'Opportunities'!$H$2:$H$1775,"&lt;&gt;")</f>
        <v>2</v>
      </c>
      <c r="T145" s="4">
        <f>COUNTIFS('Opportunities'!$E$2:$E$1775,"=referral",'Opportunities'!$V$2:$V$1775,"=apac",'Opportunities'!$N$2:$N$1775,"=aug26",'Opportunities'!$P$2:$P$1775,"=1",'Opportunities'!$H$2:$H$1775,"&lt;&gt;")</f>
        <v>0</v>
      </c>
      <c r="U145" s="4">
        <f>COUNTIFS('Opportunities'!$E$2:$E$1775,"=referral",'Opportunities'!$V$2:$V$1775,"=apac",'Opportunities'!$N$2:$N$1775,"=sep26",'Opportunities'!$P$2:$P$1775,"=1",'Opportunities'!$H$2:$H$1775,"&lt;&gt;")</f>
        <v>0</v>
      </c>
      <c r="V145" s="4">
        <f>COUNTIFS('Opportunities'!$E$2:$E$1775,"=referral",'Opportunities'!$V$2:$V$1775,"=apac",'Opportunities'!$N$2:$N$1775,"=oct26",'Opportunities'!$P$2:$P$1775,"=1",'Opportunities'!$H$2:$H$1775,"&lt;&gt;")</f>
        <v>0</v>
      </c>
      <c r="W145" s="4">
        <f>COUNTIFS('Opportunities'!$E$2:$E$1775,"=referral",'Opportunities'!$V$2:$V$1775,"=apac",'Opportunities'!$N$2:$N$1775,"=nov26",'Opportunities'!$P$2:$P$1775,"=1",'Opportunities'!$H$2:$H$1775,"&lt;&gt;")</f>
        <v>0</v>
      </c>
      <c r="X145" s="4">
        <f>COUNTIFS('Opportunities'!$E$2:$E$1775,"=referral",'Opportunities'!$V$2:$V$1775,"=apac",'Opportunities'!$N$2:$N$1775,"=dec26",'Opportunities'!$P$2:$P$1775,"=1",'Opportunities'!$H$2:$H$1775,"&lt;&gt;")</f>
        <v>0</v>
      </c>
    </row>
    <row r="146">
      <c r="A146" s="0" t="inlineStr">
        <is>
          <t xml:space="preserve">Bookings</t>
        </is>
      </c>
      <c r="B146" s="0" t="inlineStr">
        <is>
          <t xml:space="preserve">Inbound (web &amp; content)</t>
        </is>
      </c>
      <c r="C146" s="0" t="inlineStr">
        <is>
          <t xml:space="preserve">AMER East</t>
        </is>
      </c>
      <c r="D146" s="4">
        <f>SUMIFS('Opportunities'!$H$2:$H$1775,'Opportunities'!$E$2:$E$1775,"=inbound",'Opportunities'!$V$2:$V$1775,"=amer_east",'Opportunities'!$N$2:$N$1775,"=apr25",'Opportunities'!$P$2:$P$1775,"=1")</f>
        <v>6800</v>
      </c>
      <c r="E146" s="4">
        <f>SUMIFS('Opportunities'!$H$2:$H$1775,'Opportunities'!$E$2:$E$1775,"=inbound",'Opportunities'!$V$2:$V$1775,"=amer_east",'Opportunities'!$N$2:$N$1775,"=may25",'Opportunities'!$P$2:$P$1775,"=1")</f>
        <v>32800</v>
      </c>
      <c r="F146" s="4">
        <f>SUMIFS('Opportunities'!$H$2:$H$1775,'Opportunities'!$E$2:$E$1775,"=inbound",'Opportunities'!$V$2:$V$1775,"=amer_east",'Opportunities'!$N$2:$N$1775,"=jun25",'Opportunities'!$P$2:$P$1775,"=1")</f>
        <v>41100</v>
      </c>
      <c r="G146" s="4">
        <f>SUMIFS('Opportunities'!$H$2:$H$1775,'Opportunities'!$E$2:$E$1775,"=inbound",'Opportunities'!$V$2:$V$1775,"=amer_east",'Opportunities'!$N$2:$N$1775,"=jul25",'Opportunities'!$P$2:$P$1775,"=1")</f>
        <v>47700</v>
      </c>
      <c r="H146" s="4">
        <f>SUMIFS('Opportunities'!$H$2:$H$1775,'Opportunities'!$E$2:$E$1775,"=inbound",'Opportunities'!$V$2:$V$1775,"=amer_east",'Opportunities'!$N$2:$N$1775,"=aug25",'Opportunities'!$P$2:$P$1775,"=1")</f>
        <v>33100</v>
      </c>
      <c r="I146" s="4">
        <f>SUMIFS('Opportunities'!$H$2:$H$1775,'Opportunities'!$E$2:$E$1775,"=inbound",'Opportunities'!$V$2:$V$1775,"=amer_east",'Opportunities'!$N$2:$N$1775,"=sep25",'Opportunities'!$P$2:$P$1775,"=1")</f>
        <v>15600</v>
      </c>
      <c r="J146" s="4">
        <f>SUMIFS('Opportunities'!$H$2:$H$1775,'Opportunities'!$E$2:$E$1775,"=inbound",'Opportunities'!$V$2:$V$1775,"=amer_east",'Opportunities'!$N$2:$N$1775,"=oct25",'Opportunities'!$P$2:$P$1775,"=1")</f>
        <v>63600</v>
      </c>
      <c r="K146" s="4">
        <f>SUMIFS('Opportunities'!$H$2:$H$1775,'Opportunities'!$E$2:$E$1775,"=inbound",'Opportunities'!$V$2:$V$1775,"=amer_east",'Opportunities'!$N$2:$N$1775,"=nov25",'Opportunities'!$P$2:$P$1775,"=1")</f>
        <v>15800</v>
      </c>
      <c r="L146" s="4">
        <f>SUMIFS('Opportunities'!$H$2:$H$1775,'Opportunities'!$E$2:$E$1775,"=inbound",'Opportunities'!$V$2:$V$1775,"=amer_east",'Opportunities'!$N$2:$N$1775,"=dec25",'Opportunities'!$P$2:$P$1775,"=1")</f>
        <v>230500</v>
      </c>
      <c r="M146" s="4">
        <f>SUMIFS('Opportunities'!$H$2:$H$1775,'Opportunities'!$E$2:$E$1775,"=inbound",'Opportunities'!$V$2:$V$1775,"=amer_east",'Opportunities'!$N$2:$N$1775,"=jan26",'Opportunities'!$P$2:$P$1775,"=1")</f>
        <v>36700</v>
      </c>
      <c r="N146" s="4">
        <f>SUMIFS('Opportunities'!$H$2:$H$1775,'Opportunities'!$E$2:$E$1775,"=inbound",'Opportunities'!$V$2:$V$1775,"=amer_east",'Opportunities'!$N$2:$N$1775,"=feb26",'Opportunities'!$P$2:$P$1775,"=1")</f>
        <v>112600</v>
      </c>
      <c r="O146" s="4">
        <f>SUMIFS('Opportunities'!$H$2:$H$1775,'Opportunities'!$E$2:$E$1775,"=inbound",'Opportunities'!$V$2:$V$1775,"=amer_east",'Opportunities'!$N$2:$N$1775,"=mar26",'Opportunities'!$P$2:$P$1775,"=1")</f>
        <v>53700</v>
      </c>
      <c r="P146" s="4">
        <f>SUMIFS('Opportunities'!$H$2:$H$1775,'Opportunities'!$E$2:$E$1775,"=inbound",'Opportunities'!$V$2:$V$1775,"=amer_east",'Opportunities'!$N$2:$N$1775,"=apr26",'Opportunities'!$P$2:$P$1775,"=1")</f>
        <v>17900</v>
      </c>
      <c r="Q146" s="4">
        <f>SUMIFS('Opportunities'!$H$2:$H$1775,'Opportunities'!$E$2:$E$1775,"=inbound",'Opportunities'!$V$2:$V$1775,"=amer_east",'Opportunities'!$N$2:$N$1775,"=may26",'Opportunities'!$P$2:$P$1775,"=1")</f>
        <v>123300</v>
      </c>
      <c r="R146" s="4">
        <f>SUMIFS('Opportunities'!$H$2:$H$1775,'Opportunities'!$E$2:$E$1775,"=inbound",'Opportunities'!$V$2:$V$1775,"=amer_east",'Opportunities'!$N$2:$N$1775,"=jun26",'Opportunities'!$P$2:$P$1775,"=1")</f>
        <v>363100</v>
      </c>
      <c r="S146" s="4">
        <f>SUMIFS('Opportunities'!$H$2:$H$1775,'Opportunities'!$E$2:$E$1775,"=inbound",'Opportunities'!$V$2:$V$1775,"=amer_east",'Opportunities'!$N$2:$N$1775,"=jul26",'Opportunities'!$P$2:$P$1775,"=1")</f>
        <v>156400</v>
      </c>
      <c r="T146" s="4">
        <f>SUMIFS('Opportunities'!$H$2:$H$1775,'Opportunities'!$E$2:$E$1775,"=inbound",'Opportunities'!$V$2:$V$1775,"=amer_east",'Opportunities'!$N$2:$N$1775,"=aug26",'Opportunities'!$P$2:$P$1775,"=1")</f>
        <v>38000</v>
      </c>
      <c r="U146" s="4">
        <f>SUMIFS('Opportunities'!$H$2:$H$1775,'Opportunities'!$E$2:$E$1775,"=inbound",'Opportunities'!$V$2:$V$1775,"=amer_east",'Opportunities'!$N$2:$N$1775,"=sep26",'Opportunities'!$P$2:$P$1775,"=1")</f>
        <v>8100</v>
      </c>
      <c r="V146" s="4">
        <f>SUMIFS('Opportunities'!$H$2:$H$1775,'Opportunities'!$E$2:$E$1775,"=inbound",'Opportunities'!$V$2:$V$1775,"=amer_east",'Opportunities'!$N$2:$N$1775,"=oct26",'Opportunities'!$P$2:$P$1775,"=1")</f>
        <v>0</v>
      </c>
      <c r="W146" s="4">
        <f>SUMIFS('Opportunities'!$H$2:$H$1775,'Opportunities'!$E$2:$E$1775,"=inbound",'Opportunities'!$V$2:$V$1775,"=amer_east",'Opportunities'!$N$2:$N$1775,"=nov26",'Opportunities'!$P$2:$P$1775,"=1")</f>
        <v>0</v>
      </c>
      <c r="X146" s="4">
        <f>SUMIFS('Opportunities'!$H$2:$H$1775,'Opportunities'!$E$2:$E$1775,"=inbound",'Opportunities'!$V$2:$V$1775,"=amer_east",'Opportunities'!$N$2:$N$1775,"=dec26",'Opportunities'!$P$2:$P$1775,"=1")</f>
        <v>0</v>
      </c>
    </row>
    <row r="147">
      <c r="A147" s="0" t="inlineStr">
        <is>
          <t xml:space="preserve">Bookings</t>
        </is>
      </c>
      <c r="B147" s="0" t="inlineStr">
        <is>
          <t xml:space="preserve">Inbound (web &amp; content)</t>
        </is>
      </c>
      <c r="C147" s="0" t="inlineStr">
        <is>
          <t xml:space="preserve">AMER West</t>
        </is>
      </c>
      <c r="D147" s="4">
        <f>SUMIFS('Opportunities'!$H$2:$H$1775,'Opportunities'!$E$2:$E$1775,"=inbound",'Opportunities'!$V$2:$V$1775,"=amer_west",'Opportunities'!$N$2:$N$1775,"=apr25",'Opportunities'!$P$2:$P$1775,"=1")</f>
        <v>0</v>
      </c>
      <c r="E147" s="4">
        <f>SUMIFS('Opportunities'!$H$2:$H$1775,'Opportunities'!$E$2:$E$1775,"=inbound",'Opportunities'!$V$2:$V$1775,"=amer_west",'Opportunities'!$N$2:$N$1775,"=may25",'Opportunities'!$P$2:$P$1775,"=1")</f>
        <v>82600</v>
      </c>
      <c r="F147" s="4">
        <f>SUMIFS('Opportunities'!$H$2:$H$1775,'Opportunities'!$E$2:$E$1775,"=inbound",'Opportunities'!$V$2:$V$1775,"=amer_west",'Opportunities'!$N$2:$N$1775,"=jun25",'Opportunities'!$P$2:$P$1775,"=1")</f>
        <v>23300</v>
      </c>
      <c r="G147" s="4">
        <f>SUMIFS('Opportunities'!$H$2:$H$1775,'Opportunities'!$E$2:$E$1775,"=inbound",'Opportunities'!$V$2:$V$1775,"=amer_west",'Opportunities'!$N$2:$N$1775,"=jul25",'Opportunities'!$P$2:$P$1775,"=1")</f>
        <v>26200</v>
      </c>
      <c r="H147" s="4">
        <f>SUMIFS('Opportunities'!$H$2:$H$1775,'Opportunities'!$E$2:$E$1775,"=inbound",'Opportunities'!$V$2:$V$1775,"=amer_west",'Opportunities'!$N$2:$N$1775,"=aug25",'Opportunities'!$P$2:$P$1775,"=1")</f>
        <v>28700</v>
      </c>
      <c r="I147" s="4">
        <f>SUMIFS('Opportunities'!$H$2:$H$1775,'Opportunities'!$E$2:$E$1775,"=inbound",'Opportunities'!$V$2:$V$1775,"=amer_west",'Opportunities'!$N$2:$N$1775,"=sep25",'Opportunities'!$P$2:$P$1775,"=1")</f>
        <v>179000</v>
      </c>
      <c r="J147" s="4">
        <f>SUMIFS('Opportunities'!$H$2:$H$1775,'Opportunities'!$E$2:$E$1775,"=inbound",'Opportunities'!$V$2:$V$1775,"=amer_west",'Opportunities'!$N$2:$N$1775,"=oct25",'Opportunities'!$P$2:$P$1775,"=1")</f>
        <v>46900</v>
      </c>
      <c r="K147" s="4">
        <f>SUMIFS('Opportunities'!$H$2:$H$1775,'Opportunities'!$E$2:$E$1775,"=inbound",'Opportunities'!$V$2:$V$1775,"=amer_west",'Opportunities'!$N$2:$N$1775,"=nov25",'Opportunities'!$P$2:$P$1775,"=1")</f>
        <v>115900</v>
      </c>
      <c r="L147" s="4">
        <f>SUMIFS('Opportunities'!$H$2:$H$1775,'Opportunities'!$E$2:$E$1775,"=inbound",'Opportunities'!$V$2:$V$1775,"=amer_west",'Opportunities'!$N$2:$N$1775,"=dec25",'Opportunities'!$P$2:$P$1775,"=1")</f>
        <v>68100</v>
      </c>
      <c r="M147" s="4">
        <f>SUMIFS('Opportunities'!$H$2:$H$1775,'Opportunities'!$E$2:$E$1775,"=inbound",'Opportunities'!$V$2:$V$1775,"=amer_west",'Opportunities'!$N$2:$N$1775,"=jan26",'Opportunities'!$P$2:$P$1775,"=1")</f>
        <v>35100</v>
      </c>
      <c r="N147" s="4">
        <f>SUMIFS('Opportunities'!$H$2:$H$1775,'Opportunities'!$E$2:$E$1775,"=inbound",'Opportunities'!$V$2:$V$1775,"=amer_west",'Opportunities'!$N$2:$N$1775,"=feb26",'Opportunities'!$P$2:$P$1775,"=1")</f>
        <v>713600</v>
      </c>
      <c r="O147" s="4">
        <f>SUMIFS('Opportunities'!$H$2:$H$1775,'Opportunities'!$E$2:$E$1775,"=inbound",'Opportunities'!$V$2:$V$1775,"=amer_west",'Opportunities'!$N$2:$N$1775,"=mar26",'Opportunities'!$P$2:$P$1775,"=1")</f>
        <v>432300</v>
      </c>
      <c r="P147" s="4">
        <f>SUMIFS('Opportunities'!$H$2:$H$1775,'Opportunities'!$E$2:$E$1775,"=inbound",'Opportunities'!$V$2:$V$1775,"=amer_west",'Opportunities'!$N$2:$N$1775,"=apr26",'Opportunities'!$P$2:$P$1775,"=1")</f>
        <v>105200</v>
      </c>
      <c r="Q147" s="4">
        <f>SUMIFS('Opportunities'!$H$2:$H$1775,'Opportunities'!$E$2:$E$1775,"=inbound",'Opportunities'!$V$2:$V$1775,"=amer_west",'Opportunities'!$N$2:$N$1775,"=may26",'Opportunities'!$P$2:$P$1775,"=1")</f>
        <v>62900</v>
      </c>
      <c r="R147" s="4">
        <f>SUMIFS('Opportunities'!$H$2:$H$1775,'Opportunities'!$E$2:$E$1775,"=inbound",'Opportunities'!$V$2:$V$1775,"=amer_west",'Opportunities'!$N$2:$N$1775,"=jun26",'Opportunities'!$P$2:$P$1775,"=1")</f>
        <v>370800</v>
      </c>
      <c r="S147" s="4">
        <f>SUMIFS('Opportunities'!$H$2:$H$1775,'Opportunities'!$E$2:$E$1775,"=inbound",'Opportunities'!$V$2:$V$1775,"=amer_west",'Opportunities'!$N$2:$N$1775,"=jul26",'Opportunities'!$P$2:$P$1775,"=1")</f>
        <v>216500</v>
      </c>
      <c r="T147" s="4">
        <f>SUMIFS('Opportunities'!$H$2:$H$1775,'Opportunities'!$E$2:$E$1775,"=inbound",'Opportunities'!$V$2:$V$1775,"=amer_west",'Opportunities'!$N$2:$N$1775,"=aug26",'Opportunities'!$P$2:$P$1775,"=1")</f>
        <v>95000</v>
      </c>
      <c r="U147" s="4">
        <f>SUMIFS('Opportunities'!$H$2:$H$1775,'Opportunities'!$E$2:$E$1775,"=inbound",'Opportunities'!$V$2:$V$1775,"=amer_west",'Opportunities'!$N$2:$N$1775,"=sep26",'Opportunities'!$P$2:$P$1775,"=1")</f>
        <v>497600</v>
      </c>
      <c r="V147" s="4">
        <f>SUMIFS('Opportunities'!$H$2:$H$1775,'Opportunities'!$E$2:$E$1775,"=inbound",'Opportunities'!$V$2:$V$1775,"=amer_west",'Opportunities'!$N$2:$N$1775,"=oct26",'Opportunities'!$P$2:$P$1775,"=1")</f>
        <v>0</v>
      </c>
      <c r="W147" s="4">
        <f>SUMIFS('Opportunities'!$H$2:$H$1775,'Opportunities'!$E$2:$E$1775,"=inbound",'Opportunities'!$V$2:$V$1775,"=amer_west",'Opportunities'!$N$2:$N$1775,"=nov26",'Opportunities'!$P$2:$P$1775,"=1")</f>
        <v>0</v>
      </c>
      <c r="X147" s="4">
        <f>SUMIFS('Opportunities'!$H$2:$H$1775,'Opportunities'!$E$2:$E$1775,"=inbound",'Opportunities'!$V$2:$V$1775,"=amer_west",'Opportunities'!$N$2:$N$1775,"=dec26",'Opportunities'!$P$2:$P$1775,"=1")</f>
        <v>0</v>
      </c>
    </row>
    <row r="148">
      <c r="A148" s="0" t="inlineStr">
        <is>
          <t xml:space="preserve">Bookings</t>
        </is>
      </c>
      <c r="B148" s="0" t="inlineStr">
        <is>
          <t xml:space="preserve">Inbound (web &amp; content)</t>
        </is>
      </c>
      <c r="C148" s="0" t="inlineStr">
        <is>
          <t xml:space="preserve">EMEA</t>
        </is>
      </c>
      <c r="D148" s="4">
        <f>SUMIFS('Opportunities'!$H$2:$H$1775,'Opportunities'!$E$2:$E$1775,"=inbound",'Opportunities'!$V$2:$V$1775,"=emea",'Opportunities'!$N$2:$N$1775,"=apr25",'Opportunities'!$P$2:$P$1775,"=1")</f>
        <v>0</v>
      </c>
      <c r="E148" s="4">
        <f>SUMIFS('Opportunities'!$H$2:$H$1775,'Opportunities'!$E$2:$E$1775,"=inbound",'Opportunities'!$V$2:$V$1775,"=emea",'Opportunities'!$N$2:$N$1775,"=may25",'Opportunities'!$P$2:$P$1775,"=1")</f>
        <v>0</v>
      </c>
      <c r="F148" s="4">
        <f>SUMIFS('Opportunities'!$H$2:$H$1775,'Opportunities'!$E$2:$E$1775,"=inbound",'Opportunities'!$V$2:$V$1775,"=emea",'Opportunities'!$N$2:$N$1775,"=jun25",'Opportunities'!$P$2:$P$1775,"=1")</f>
        <v>43800</v>
      </c>
      <c r="G148" s="4">
        <f>SUMIFS('Opportunities'!$H$2:$H$1775,'Opportunities'!$E$2:$E$1775,"=inbound",'Opportunities'!$V$2:$V$1775,"=emea",'Opportunities'!$N$2:$N$1775,"=jul25",'Opportunities'!$P$2:$P$1775,"=1")</f>
        <v>217200</v>
      </c>
      <c r="H148" s="4">
        <f>SUMIFS('Opportunities'!$H$2:$H$1775,'Opportunities'!$E$2:$E$1775,"=inbound",'Opportunities'!$V$2:$V$1775,"=emea",'Opportunities'!$N$2:$N$1775,"=aug25",'Opportunities'!$P$2:$P$1775,"=1")</f>
        <v>40700</v>
      </c>
      <c r="I148" s="4">
        <f>SUMIFS('Opportunities'!$H$2:$H$1775,'Opportunities'!$E$2:$E$1775,"=inbound",'Opportunities'!$V$2:$V$1775,"=emea",'Opportunities'!$N$2:$N$1775,"=sep25",'Opportunities'!$P$2:$P$1775,"=1")</f>
        <v>670500</v>
      </c>
      <c r="J148" s="4">
        <f>SUMIFS('Opportunities'!$H$2:$H$1775,'Opportunities'!$E$2:$E$1775,"=inbound",'Opportunities'!$V$2:$V$1775,"=emea",'Opportunities'!$N$2:$N$1775,"=oct25",'Opportunities'!$P$2:$P$1775,"=1")</f>
        <v>71400</v>
      </c>
      <c r="K148" s="4">
        <f>SUMIFS('Opportunities'!$H$2:$H$1775,'Opportunities'!$E$2:$E$1775,"=inbound",'Opportunities'!$V$2:$V$1775,"=emea",'Opportunities'!$N$2:$N$1775,"=nov25",'Opportunities'!$P$2:$P$1775,"=1")</f>
        <v>126400</v>
      </c>
      <c r="L148" s="4">
        <f>SUMIFS('Opportunities'!$H$2:$H$1775,'Opportunities'!$E$2:$E$1775,"=inbound",'Opportunities'!$V$2:$V$1775,"=emea",'Opportunities'!$N$2:$N$1775,"=dec25",'Opportunities'!$P$2:$P$1775,"=1")</f>
        <v>156900</v>
      </c>
      <c r="M148" s="4">
        <f>SUMIFS('Opportunities'!$H$2:$H$1775,'Opportunities'!$E$2:$E$1775,"=inbound",'Opportunities'!$V$2:$V$1775,"=emea",'Opportunities'!$N$2:$N$1775,"=jan26",'Opportunities'!$P$2:$P$1775,"=1")</f>
        <v>689300</v>
      </c>
      <c r="N148" s="4">
        <f>SUMIFS('Opportunities'!$H$2:$H$1775,'Opportunities'!$E$2:$E$1775,"=inbound",'Opportunities'!$V$2:$V$1775,"=emea",'Opportunities'!$N$2:$N$1775,"=feb26",'Opportunities'!$P$2:$P$1775,"=1")</f>
        <v>96300</v>
      </c>
      <c r="O148" s="4">
        <f>SUMIFS('Opportunities'!$H$2:$H$1775,'Opportunities'!$E$2:$E$1775,"=inbound",'Opportunities'!$V$2:$V$1775,"=emea",'Opportunities'!$N$2:$N$1775,"=mar26",'Opportunities'!$P$2:$P$1775,"=1")</f>
        <v>190000</v>
      </c>
      <c r="P148" s="4">
        <f>SUMIFS('Opportunities'!$H$2:$H$1775,'Opportunities'!$E$2:$E$1775,"=inbound",'Opportunities'!$V$2:$V$1775,"=emea",'Opportunities'!$N$2:$N$1775,"=apr26",'Opportunities'!$P$2:$P$1775,"=1")</f>
        <v>161200</v>
      </c>
      <c r="Q148" s="4">
        <f>SUMIFS('Opportunities'!$H$2:$H$1775,'Opportunities'!$E$2:$E$1775,"=inbound",'Opportunities'!$V$2:$V$1775,"=emea",'Opportunities'!$N$2:$N$1775,"=may26",'Opportunities'!$P$2:$P$1775,"=1")</f>
        <v>50600</v>
      </c>
      <c r="R148" s="4">
        <f>SUMIFS('Opportunities'!$H$2:$H$1775,'Opportunities'!$E$2:$E$1775,"=inbound",'Opportunities'!$V$2:$V$1775,"=emea",'Opportunities'!$N$2:$N$1775,"=jun26",'Opportunities'!$P$2:$P$1775,"=1")</f>
        <v>151700</v>
      </c>
      <c r="S148" s="4">
        <f>SUMIFS('Opportunities'!$H$2:$H$1775,'Opportunities'!$E$2:$E$1775,"=inbound",'Opportunities'!$V$2:$V$1775,"=emea",'Opportunities'!$N$2:$N$1775,"=jul26",'Opportunities'!$P$2:$P$1775,"=1")</f>
        <v>46000</v>
      </c>
      <c r="T148" s="4">
        <f>SUMIFS('Opportunities'!$H$2:$H$1775,'Opportunities'!$E$2:$E$1775,"=inbound",'Opportunities'!$V$2:$V$1775,"=emea",'Opportunities'!$N$2:$N$1775,"=aug26",'Opportunities'!$P$2:$P$1775,"=1")</f>
        <v>104400</v>
      </c>
      <c r="U148" s="4">
        <f>SUMIFS('Opportunities'!$H$2:$H$1775,'Opportunities'!$E$2:$E$1775,"=inbound",'Opportunities'!$V$2:$V$1775,"=emea",'Opportunities'!$N$2:$N$1775,"=sep26",'Opportunities'!$P$2:$P$1775,"=1")</f>
        <v>477700</v>
      </c>
      <c r="V148" s="4">
        <f>SUMIFS('Opportunities'!$H$2:$H$1775,'Opportunities'!$E$2:$E$1775,"=inbound",'Opportunities'!$V$2:$V$1775,"=emea",'Opportunities'!$N$2:$N$1775,"=oct26",'Opportunities'!$P$2:$P$1775,"=1")</f>
        <v>0</v>
      </c>
      <c r="W148" s="4">
        <f>SUMIFS('Opportunities'!$H$2:$H$1775,'Opportunities'!$E$2:$E$1775,"=inbound",'Opportunities'!$V$2:$V$1775,"=emea",'Opportunities'!$N$2:$N$1775,"=nov26",'Opportunities'!$P$2:$P$1775,"=1")</f>
        <v>0</v>
      </c>
      <c r="X148" s="4">
        <f>SUMIFS('Opportunities'!$H$2:$H$1775,'Opportunities'!$E$2:$E$1775,"=inbound",'Opportunities'!$V$2:$V$1775,"=emea",'Opportunities'!$N$2:$N$1775,"=dec26",'Opportunities'!$P$2:$P$1775,"=1")</f>
        <v>0</v>
      </c>
    </row>
    <row r="149">
      <c r="A149" s="0" t="inlineStr">
        <is>
          <t xml:space="preserve">Bookings</t>
        </is>
      </c>
      <c r="B149" s="0" t="inlineStr">
        <is>
          <t xml:space="preserve">Inbound (web &amp; content)</t>
        </is>
      </c>
      <c r="C149" s="0" t="inlineStr">
        <is>
          <t xml:space="preserve">APAC</t>
        </is>
      </c>
      <c r="D149" s="4">
        <f>SUMIFS('Opportunities'!$H$2:$H$1775,'Opportunities'!$E$2:$E$1775,"=inbound",'Opportunities'!$V$2:$V$1775,"=apac",'Opportunities'!$N$2:$N$1775,"=apr25",'Opportunities'!$P$2:$P$1775,"=1")</f>
        <v>0</v>
      </c>
      <c r="E149" s="4">
        <f>SUMIFS('Opportunities'!$H$2:$H$1775,'Opportunities'!$E$2:$E$1775,"=inbound",'Opportunities'!$V$2:$V$1775,"=apac",'Opportunities'!$N$2:$N$1775,"=may25",'Opportunities'!$P$2:$P$1775,"=1")</f>
        <v>25000</v>
      </c>
      <c r="F149" s="4">
        <f>SUMIFS('Opportunities'!$H$2:$H$1775,'Opportunities'!$E$2:$E$1775,"=inbound",'Opportunities'!$V$2:$V$1775,"=apac",'Opportunities'!$N$2:$N$1775,"=jun25",'Opportunities'!$P$2:$P$1775,"=1")</f>
        <v>134000</v>
      </c>
      <c r="G149" s="4">
        <f>SUMIFS('Opportunities'!$H$2:$H$1775,'Opportunities'!$E$2:$E$1775,"=inbound",'Opportunities'!$V$2:$V$1775,"=apac",'Opportunities'!$N$2:$N$1775,"=jul25",'Opportunities'!$P$2:$P$1775,"=1")</f>
        <v>48400</v>
      </c>
      <c r="H149" s="4">
        <f>SUMIFS('Opportunities'!$H$2:$H$1775,'Opportunities'!$E$2:$E$1775,"=inbound",'Opportunities'!$V$2:$V$1775,"=apac",'Opportunities'!$N$2:$N$1775,"=aug25",'Opportunities'!$P$2:$P$1775,"=1")</f>
        <v>0</v>
      </c>
      <c r="I149" s="4">
        <f>SUMIFS('Opportunities'!$H$2:$H$1775,'Opportunities'!$E$2:$E$1775,"=inbound",'Opportunities'!$V$2:$V$1775,"=apac",'Opportunities'!$N$2:$N$1775,"=sep25",'Opportunities'!$P$2:$P$1775,"=1")</f>
        <v>256000</v>
      </c>
      <c r="J149" s="4">
        <f>SUMIFS('Opportunities'!$H$2:$H$1775,'Opportunities'!$E$2:$E$1775,"=inbound",'Opportunities'!$V$2:$V$1775,"=apac",'Opportunities'!$N$2:$N$1775,"=oct25",'Opportunities'!$P$2:$P$1775,"=1")</f>
        <v>0</v>
      </c>
      <c r="K149" s="4">
        <f>SUMIFS('Opportunities'!$H$2:$H$1775,'Opportunities'!$E$2:$E$1775,"=inbound",'Opportunities'!$V$2:$V$1775,"=apac",'Opportunities'!$N$2:$N$1775,"=nov25",'Opportunities'!$P$2:$P$1775,"=1")</f>
        <v>0</v>
      </c>
      <c r="L149" s="4">
        <f>SUMIFS('Opportunities'!$H$2:$H$1775,'Opportunities'!$E$2:$E$1775,"=inbound",'Opportunities'!$V$2:$V$1775,"=apac",'Opportunities'!$N$2:$N$1775,"=dec25",'Opportunities'!$P$2:$P$1775,"=1")</f>
        <v>118600</v>
      </c>
      <c r="M149" s="4">
        <f>SUMIFS('Opportunities'!$H$2:$H$1775,'Opportunities'!$E$2:$E$1775,"=inbound",'Opportunities'!$V$2:$V$1775,"=apac",'Opportunities'!$N$2:$N$1775,"=jan26",'Opportunities'!$P$2:$P$1775,"=1")</f>
        <v>0</v>
      </c>
      <c r="N149" s="4">
        <f>SUMIFS('Opportunities'!$H$2:$H$1775,'Opportunities'!$E$2:$E$1775,"=inbound",'Opportunities'!$V$2:$V$1775,"=apac",'Opportunities'!$N$2:$N$1775,"=feb26",'Opportunities'!$P$2:$P$1775,"=1")</f>
        <v>89800</v>
      </c>
      <c r="O149" s="4">
        <f>SUMIFS('Opportunities'!$H$2:$H$1775,'Opportunities'!$E$2:$E$1775,"=inbound",'Opportunities'!$V$2:$V$1775,"=apac",'Opportunities'!$N$2:$N$1775,"=mar26",'Opportunities'!$P$2:$P$1775,"=1")</f>
        <v>0</v>
      </c>
      <c r="P149" s="4">
        <f>SUMIFS('Opportunities'!$H$2:$H$1775,'Opportunities'!$E$2:$E$1775,"=inbound",'Opportunities'!$V$2:$V$1775,"=apac",'Opportunities'!$N$2:$N$1775,"=apr26",'Opportunities'!$P$2:$P$1775,"=1")</f>
        <v>55300</v>
      </c>
      <c r="Q149" s="4">
        <f>SUMIFS('Opportunities'!$H$2:$H$1775,'Opportunities'!$E$2:$E$1775,"=inbound",'Opportunities'!$V$2:$V$1775,"=apac",'Opportunities'!$N$2:$N$1775,"=may26",'Opportunities'!$P$2:$P$1775,"=1")</f>
        <v>79100</v>
      </c>
      <c r="R149" s="4">
        <f>SUMIFS('Opportunities'!$H$2:$H$1775,'Opportunities'!$E$2:$E$1775,"=inbound",'Opportunities'!$V$2:$V$1775,"=apac",'Opportunities'!$N$2:$N$1775,"=jun26",'Opportunities'!$P$2:$P$1775,"=1")</f>
        <v>182600</v>
      </c>
      <c r="S149" s="4">
        <f>SUMIFS('Opportunities'!$H$2:$H$1775,'Opportunities'!$E$2:$E$1775,"=inbound",'Opportunities'!$V$2:$V$1775,"=apac",'Opportunities'!$N$2:$N$1775,"=jul26",'Opportunities'!$P$2:$P$1775,"=1")</f>
        <v>18600</v>
      </c>
      <c r="T149" s="4">
        <f>SUMIFS('Opportunities'!$H$2:$H$1775,'Opportunities'!$E$2:$E$1775,"=inbound",'Opportunities'!$V$2:$V$1775,"=apac",'Opportunities'!$N$2:$N$1775,"=aug26",'Opportunities'!$P$2:$P$1775,"=1")</f>
        <v>216700</v>
      </c>
      <c r="U149" s="4">
        <f>SUMIFS('Opportunities'!$H$2:$H$1775,'Opportunities'!$E$2:$E$1775,"=inbound",'Opportunities'!$V$2:$V$1775,"=apac",'Opportunities'!$N$2:$N$1775,"=sep26",'Opportunities'!$P$2:$P$1775,"=1")</f>
        <v>46300</v>
      </c>
      <c r="V149" s="4">
        <f>SUMIFS('Opportunities'!$H$2:$H$1775,'Opportunities'!$E$2:$E$1775,"=inbound",'Opportunities'!$V$2:$V$1775,"=apac",'Opportunities'!$N$2:$N$1775,"=oct26",'Opportunities'!$P$2:$P$1775,"=1")</f>
        <v>0</v>
      </c>
      <c r="W149" s="4">
        <f>SUMIFS('Opportunities'!$H$2:$H$1775,'Opportunities'!$E$2:$E$1775,"=inbound",'Opportunities'!$V$2:$V$1775,"=apac",'Opportunities'!$N$2:$N$1775,"=nov26",'Opportunities'!$P$2:$P$1775,"=1")</f>
        <v>0</v>
      </c>
      <c r="X149" s="4">
        <f>SUMIFS('Opportunities'!$H$2:$H$1775,'Opportunities'!$E$2:$E$1775,"=inbound",'Opportunities'!$V$2:$V$1775,"=apac",'Opportunities'!$N$2:$N$1775,"=dec26",'Opportunities'!$P$2:$P$1775,"=1")</f>
        <v>0</v>
      </c>
    </row>
    <row r="150">
      <c r="A150" s="0" t="inlineStr">
        <is>
          <t xml:space="preserve">Bookings</t>
        </is>
      </c>
      <c r="B150" s="0" t="inlineStr">
        <is>
          <t xml:space="preserve">Paid digital</t>
        </is>
      </c>
      <c r="C150" s="0" t="inlineStr">
        <is>
          <t xml:space="preserve">AMER East</t>
        </is>
      </c>
      <c r="D150" s="4">
        <f>SUMIFS('Opportunities'!$H$2:$H$1775,'Opportunities'!$E$2:$E$1775,"=paid",'Opportunities'!$V$2:$V$1775,"=amer_east",'Opportunities'!$N$2:$N$1775,"=apr25",'Opportunities'!$P$2:$P$1775,"=1")</f>
        <v>0</v>
      </c>
      <c r="E150" s="4">
        <f>SUMIFS('Opportunities'!$H$2:$H$1775,'Opportunities'!$E$2:$E$1775,"=paid",'Opportunities'!$V$2:$V$1775,"=amer_east",'Opportunities'!$N$2:$N$1775,"=may25",'Opportunities'!$P$2:$P$1775,"=1")</f>
        <v>61400</v>
      </c>
      <c r="F150" s="4">
        <f>SUMIFS('Opportunities'!$H$2:$H$1775,'Opportunities'!$E$2:$E$1775,"=paid",'Opportunities'!$V$2:$V$1775,"=amer_east",'Opportunities'!$N$2:$N$1775,"=jun25",'Opportunities'!$P$2:$P$1775,"=1")</f>
        <v>19500</v>
      </c>
      <c r="G150" s="4">
        <f>SUMIFS('Opportunities'!$H$2:$H$1775,'Opportunities'!$E$2:$E$1775,"=paid",'Opportunities'!$V$2:$V$1775,"=amer_east",'Opportunities'!$N$2:$N$1775,"=jul25",'Opportunities'!$P$2:$P$1775,"=1")</f>
        <v>0</v>
      </c>
      <c r="H150" s="4">
        <f>SUMIFS('Opportunities'!$H$2:$H$1775,'Opportunities'!$E$2:$E$1775,"=paid",'Opportunities'!$V$2:$V$1775,"=amer_east",'Opportunities'!$N$2:$N$1775,"=aug25",'Opportunities'!$P$2:$P$1775,"=1")</f>
        <v>0</v>
      </c>
      <c r="I150" s="4">
        <f>SUMIFS('Opportunities'!$H$2:$H$1775,'Opportunities'!$E$2:$E$1775,"=paid",'Opportunities'!$V$2:$V$1775,"=amer_east",'Opportunities'!$N$2:$N$1775,"=sep25",'Opportunities'!$P$2:$P$1775,"=1")</f>
        <v>56600</v>
      </c>
      <c r="J150" s="4">
        <f>SUMIFS('Opportunities'!$H$2:$H$1775,'Opportunities'!$E$2:$E$1775,"=paid",'Opportunities'!$V$2:$V$1775,"=amer_east",'Opportunities'!$N$2:$N$1775,"=oct25",'Opportunities'!$P$2:$P$1775,"=1")</f>
        <v>0</v>
      </c>
      <c r="K150" s="4">
        <f>SUMIFS('Opportunities'!$H$2:$H$1775,'Opportunities'!$E$2:$E$1775,"=paid",'Opportunities'!$V$2:$V$1775,"=amer_east",'Opportunities'!$N$2:$N$1775,"=nov25",'Opportunities'!$P$2:$P$1775,"=1")</f>
        <v>23400</v>
      </c>
      <c r="L150" s="4">
        <f>SUMIFS('Opportunities'!$H$2:$H$1775,'Opportunities'!$E$2:$E$1775,"=paid",'Opportunities'!$V$2:$V$1775,"=amer_east",'Opportunities'!$N$2:$N$1775,"=dec25",'Opportunities'!$P$2:$P$1775,"=1")</f>
        <v>0</v>
      </c>
      <c r="M150" s="4">
        <f>SUMIFS('Opportunities'!$H$2:$H$1775,'Opportunities'!$E$2:$E$1775,"=paid",'Opportunities'!$V$2:$V$1775,"=amer_east",'Opportunities'!$N$2:$N$1775,"=jan26",'Opportunities'!$P$2:$P$1775,"=1")</f>
        <v>6200</v>
      </c>
      <c r="N150" s="4">
        <f>SUMIFS('Opportunities'!$H$2:$H$1775,'Opportunities'!$E$2:$E$1775,"=paid",'Opportunities'!$V$2:$V$1775,"=amer_east",'Opportunities'!$N$2:$N$1775,"=feb26",'Opportunities'!$P$2:$P$1775,"=1")</f>
        <v>3600</v>
      </c>
      <c r="O150" s="4">
        <f>SUMIFS('Opportunities'!$H$2:$H$1775,'Opportunities'!$E$2:$E$1775,"=paid",'Opportunities'!$V$2:$V$1775,"=amer_east",'Opportunities'!$N$2:$N$1775,"=mar26",'Opportunities'!$P$2:$P$1775,"=1")</f>
        <v>229800</v>
      </c>
      <c r="P150" s="4">
        <f>SUMIFS('Opportunities'!$H$2:$H$1775,'Opportunities'!$E$2:$E$1775,"=paid",'Opportunities'!$V$2:$V$1775,"=amer_east",'Opportunities'!$N$2:$N$1775,"=apr26",'Opportunities'!$P$2:$P$1775,"=1")</f>
        <v>0</v>
      </c>
      <c r="Q150" s="4">
        <f>SUMIFS('Opportunities'!$H$2:$H$1775,'Opportunities'!$E$2:$E$1775,"=paid",'Opportunities'!$V$2:$V$1775,"=amer_east",'Opportunities'!$N$2:$N$1775,"=may26",'Opportunities'!$P$2:$P$1775,"=1")</f>
        <v>4500</v>
      </c>
      <c r="R150" s="4">
        <f>SUMIFS('Opportunities'!$H$2:$H$1775,'Opportunities'!$E$2:$E$1775,"=paid",'Opportunities'!$V$2:$V$1775,"=amer_east",'Opportunities'!$N$2:$N$1775,"=jun26",'Opportunities'!$P$2:$P$1775,"=1")</f>
        <v>0</v>
      </c>
      <c r="S150" s="4">
        <f>SUMIFS('Opportunities'!$H$2:$H$1775,'Opportunities'!$E$2:$E$1775,"=paid",'Opportunities'!$V$2:$V$1775,"=amer_east",'Opportunities'!$N$2:$N$1775,"=jul26",'Opportunities'!$P$2:$P$1775,"=1")</f>
        <v>15500</v>
      </c>
      <c r="T150" s="4">
        <f>SUMIFS('Opportunities'!$H$2:$H$1775,'Opportunities'!$E$2:$E$1775,"=paid",'Opportunities'!$V$2:$V$1775,"=amer_east",'Opportunities'!$N$2:$N$1775,"=aug26",'Opportunities'!$P$2:$P$1775,"=1")</f>
        <v>37300</v>
      </c>
      <c r="U150" s="4">
        <f>SUMIFS('Opportunities'!$H$2:$H$1775,'Opportunities'!$E$2:$E$1775,"=paid",'Opportunities'!$V$2:$V$1775,"=amer_east",'Opportunities'!$N$2:$N$1775,"=sep26",'Opportunities'!$P$2:$P$1775,"=1")</f>
        <v>8700</v>
      </c>
      <c r="V150" s="4">
        <f>SUMIFS('Opportunities'!$H$2:$H$1775,'Opportunities'!$E$2:$E$1775,"=paid",'Opportunities'!$V$2:$V$1775,"=amer_east",'Opportunities'!$N$2:$N$1775,"=oct26",'Opportunities'!$P$2:$P$1775,"=1")</f>
        <v>0</v>
      </c>
      <c r="W150" s="4">
        <f>SUMIFS('Opportunities'!$H$2:$H$1775,'Opportunities'!$E$2:$E$1775,"=paid",'Opportunities'!$V$2:$V$1775,"=amer_east",'Opportunities'!$N$2:$N$1775,"=nov26",'Opportunities'!$P$2:$P$1775,"=1")</f>
        <v>0</v>
      </c>
      <c r="X150" s="4">
        <f>SUMIFS('Opportunities'!$H$2:$H$1775,'Opportunities'!$E$2:$E$1775,"=paid",'Opportunities'!$V$2:$V$1775,"=amer_east",'Opportunities'!$N$2:$N$1775,"=dec26",'Opportunities'!$P$2:$P$1775,"=1")</f>
        <v>0</v>
      </c>
    </row>
    <row r="151">
      <c r="A151" s="0" t="inlineStr">
        <is>
          <t xml:space="preserve">Bookings</t>
        </is>
      </c>
      <c r="B151" s="0" t="inlineStr">
        <is>
          <t xml:space="preserve">Paid digital</t>
        </is>
      </c>
      <c r="C151" s="0" t="inlineStr">
        <is>
          <t xml:space="preserve">AMER West</t>
        </is>
      </c>
      <c r="D151" s="4">
        <f>SUMIFS('Opportunities'!$H$2:$H$1775,'Opportunities'!$E$2:$E$1775,"=paid",'Opportunities'!$V$2:$V$1775,"=amer_west",'Opportunities'!$N$2:$N$1775,"=apr25",'Opportunities'!$P$2:$P$1775,"=1")</f>
        <v>32500</v>
      </c>
      <c r="E151" s="4">
        <f>SUMIFS('Opportunities'!$H$2:$H$1775,'Opportunities'!$E$2:$E$1775,"=paid",'Opportunities'!$V$2:$V$1775,"=amer_west",'Opportunities'!$N$2:$N$1775,"=may25",'Opportunities'!$P$2:$P$1775,"=1")</f>
        <v>13100</v>
      </c>
      <c r="F151" s="4">
        <f>SUMIFS('Opportunities'!$H$2:$H$1775,'Opportunities'!$E$2:$E$1775,"=paid",'Opportunities'!$V$2:$V$1775,"=amer_west",'Opportunities'!$N$2:$N$1775,"=jun25",'Opportunities'!$P$2:$P$1775,"=1")</f>
        <v>3500</v>
      </c>
      <c r="G151" s="4">
        <f>SUMIFS('Opportunities'!$H$2:$H$1775,'Opportunities'!$E$2:$E$1775,"=paid",'Opportunities'!$V$2:$V$1775,"=amer_west",'Opportunities'!$N$2:$N$1775,"=jul25",'Opportunities'!$P$2:$P$1775,"=1")</f>
        <v>31700</v>
      </c>
      <c r="H151" s="4">
        <f>SUMIFS('Opportunities'!$H$2:$H$1775,'Opportunities'!$E$2:$E$1775,"=paid",'Opportunities'!$V$2:$V$1775,"=amer_west",'Opportunities'!$N$2:$N$1775,"=aug25",'Opportunities'!$P$2:$P$1775,"=1")</f>
        <v>0</v>
      </c>
      <c r="I151" s="4">
        <f>SUMIFS('Opportunities'!$H$2:$H$1775,'Opportunities'!$E$2:$E$1775,"=paid",'Opportunities'!$V$2:$V$1775,"=amer_west",'Opportunities'!$N$2:$N$1775,"=sep25",'Opportunities'!$P$2:$P$1775,"=1")</f>
        <v>0</v>
      </c>
      <c r="J151" s="4">
        <f>SUMIFS('Opportunities'!$H$2:$H$1775,'Opportunities'!$E$2:$E$1775,"=paid",'Opportunities'!$V$2:$V$1775,"=amer_west",'Opportunities'!$N$2:$N$1775,"=oct25",'Opportunities'!$P$2:$P$1775,"=1")</f>
        <v>13900</v>
      </c>
      <c r="K151" s="4">
        <f>SUMIFS('Opportunities'!$H$2:$H$1775,'Opportunities'!$E$2:$E$1775,"=paid",'Opportunities'!$V$2:$V$1775,"=amer_west",'Opportunities'!$N$2:$N$1775,"=nov25",'Opportunities'!$P$2:$P$1775,"=1")</f>
        <v>59600</v>
      </c>
      <c r="L151" s="4">
        <f>SUMIFS('Opportunities'!$H$2:$H$1775,'Opportunities'!$E$2:$E$1775,"=paid",'Opportunities'!$V$2:$V$1775,"=amer_west",'Opportunities'!$N$2:$N$1775,"=dec25",'Opportunities'!$P$2:$P$1775,"=1")</f>
        <v>0</v>
      </c>
      <c r="M151" s="4">
        <f>SUMIFS('Opportunities'!$H$2:$H$1775,'Opportunities'!$E$2:$E$1775,"=paid",'Opportunities'!$V$2:$V$1775,"=amer_west",'Opportunities'!$N$2:$N$1775,"=jan26",'Opportunities'!$P$2:$P$1775,"=1")</f>
        <v>0</v>
      </c>
      <c r="N151" s="4">
        <f>SUMIFS('Opportunities'!$H$2:$H$1775,'Opportunities'!$E$2:$E$1775,"=paid",'Opportunities'!$V$2:$V$1775,"=amer_west",'Opportunities'!$N$2:$N$1775,"=feb26",'Opportunities'!$P$2:$P$1775,"=1")</f>
        <v>0</v>
      </c>
      <c r="O151" s="4">
        <f>SUMIFS('Opportunities'!$H$2:$H$1775,'Opportunities'!$E$2:$E$1775,"=paid",'Opportunities'!$V$2:$V$1775,"=amer_west",'Opportunities'!$N$2:$N$1775,"=mar26",'Opportunities'!$P$2:$P$1775,"=1")</f>
        <v>349900</v>
      </c>
      <c r="P151" s="4">
        <f>SUMIFS('Opportunities'!$H$2:$H$1775,'Opportunities'!$E$2:$E$1775,"=paid",'Opportunities'!$V$2:$V$1775,"=amer_west",'Opportunities'!$N$2:$N$1775,"=apr26",'Opportunities'!$P$2:$P$1775,"=1")</f>
        <v>20500</v>
      </c>
      <c r="Q151" s="4">
        <f>SUMIFS('Opportunities'!$H$2:$H$1775,'Opportunities'!$E$2:$E$1775,"=paid",'Opportunities'!$V$2:$V$1775,"=amer_west",'Opportunities'!$N$2:$N$1775,"=may26",'Opportunities'!$P$2:$P$1775,"=1")</f>
        <v>0</v>
      </c>
      <c r="R151" s="4">
        <f>SUMIFS('Opportunities'!$H$2:$H$1775,'Opportunities'!$E$2:$E$1775,"=paid",'Opportunities'!$V$2:$V$1775,"=amer_west",'Opportunities'!$N$2:$N$1775,"=jun26",'Opportunities'!$P$2:$P$1775,"=1")</f>
        <v>122900</v>
      </c>
      <c r="S151" s="4">
        <f>SUMIFS('Opportunities'!$H$2:$H$1775,'Opportunities'!$E$2:$E$1775,"=paid",'Opportunities'!$V$2:$V$1775,"=amer_west",'Opportunities'!$N$2:$N$1775,"=jul26",'Opportunities'!$P$2:$P$1775,"=1")</f>
        <v>29900</v>
      </c>
      <c r="T151" s="4">
        <f>SUMIFS('Opportunities'!$H$2:$H$1775,'Opportunities'!$E$2:$E$1775,"=paid",'Opportunities'!$V$2:$V$1775,"=amer_west",'Opportunities'!$N$2:$N$1775,"=aug26",'Opportunities'!$P$2:$P$1775,"=1")</f>
        <v>0</v>
      </c>
      <c r="U151" s="4">
        <f>SUMIFS('Opportunities'!$H$2:$H$1775,'Opportunities'!$E$2:$E$1775,"=paid",'Opportunities'!$V$2:$V$1775,"=amer_west",'Opportunities'!$N$2:$N$1775,"=sep26",'Opportunities'!$P$2:$P$1775,"=1")</f>
        <v>471600</v>
      </c>
      <c r="V151" s="4">
        <f>SUMIFS('Opportunities'!$H$2:$H$1775,'Opportunities'!$E$2:$E$1775,"=paid",'Opportunities'!$V$2:$V$1775,"=amer_west",'Opportunities'!$N$2:$N$1775,"=oct26",'Opportunities'!$P$2:$P$1775,"=1")</f>
        <v>0</v>
      </c>
      <c r="W151" s="4">
        <f>SUMIFS('Opportunities'!$H$2:$H$1775,'Opportunities'!$E$2:$E$1775,"=paid",'Opportunities'!$V$2:$V$1775,"=amer_west",'Opportunities'!$N$2:$N$1775,"=nov26",'Opportunities'!$P$2:$P$1775,"=1")</f>
        <v>0</v>
      </c>
      <c r="X151" s="4">
        <f>SUMIFS('Opportunities'!$H$2:$H$1775,'Opportunities'!$E$2:$E$1775,"=paid",'Opportunities'!$V$2:$V$1775,"=amer_west",'Opportunities'!$N$2:$N$1775,"=dec26",'Opportunities'!$P$2:$P$1775,"=1")</f>
        <v>0</v>
      </c>
    </row>
    <row r="152">
      <c r="A152" s="0" t="inlineStr">
        <is>
          <t xml:space="preserve">Bookings</t>
        </is>
      </c>
      <c r="B152" s="0" t="inlineStr">
        <is>
          <t xml:space="preserve">Paid digital</t>
        </is>
      </c>
      <c r="C152" s="0" t="inlineStr">
        <is>
          <t xml:space="preserve">EMEA</t>
        </is>
      </c>
      <c r="D152" s="4">
        <f>SUMIFS('Opportunities'!$H$2:$H$1775,'Opportunities'!$E$2:$E$1775,"=paid",'Opportunities'!$V$2:$V$1775,"=emea",'Opportunities'!$N$2:$N$1775,"=apr25",'Opportunities'!$P$2:$P$1775,"=1")</f>
        <v>0</v>
      </c>
      <c r="E152" s="4">
        <f>SUMIFS('Opportunities'!$H$2:$H$1775,'Opportunities'!$E$2:$E$1775,"=paid",'Opportunities'!$V$2:$V$1775,"=emea",'Opportunities'!$N$2:$N$1775,"=may25",'Opportunities'!$P$2:$P$1775,"=1")</f>
        <v>39000</v>
      </c>
      <c r="F152" s="4">
        <f>SUMIFS('Opportunities'!$H$2:$H$1775,'Opportunities'!$E$2:$E$1775,"=paid",'Opportunities'!$V$2:$V$1775,"=emea",'Opportunities'!$N$2:$N$1775,"=jun25",'Opportunities'!$P$2:$P$1775,"=1")</f>
        <v>245800</v>
      </c>
      <c r="G152" s="4">
        <f>SUMIFS('Opportunities'!$H$2:$H$1775,'Opportunities'!$E$2:$E$1775,"=paid",'Opportunities'!$V$2:$V$1775,"=emea",'Opportunities'!$N$2:$N$1775,"=jul25",'Opportunities'!$P$2:$P$1775,"=1")</f>
        <v>0</v>
      </c>
      <c r="H152" s="4">
        <f>SUMIFS('Opportunities'!$H$2:$H$1775,'Opportunities'!$E$2:$E$1775,"=paid",'Opportunities'!$V$2:$V$1775,"=emea",'Opportunities'!$N$2:$N$1775,"=aug25",'Opportunities'!$P$2:$P$1775,"=1")</f>
        <v>0</v>
      </c>
      <c r="I152" s="4">
        <f>SUMIFS('Opportunities'!$H$2:$H$1775,'Opportunities'!$E$2:$E$1775,"=paid",'Opportunities'!$V$2:$V$1775,"=emea",'Opportunities'!$N$2:$N$1775,"=sep25",'Opportunities'!$P$2:$P$1775,"=1")</f>
        <v>59300</v>
      </c>
      <c r="J152" s="4">
        <f>SUMIFS('Opportunities'!$H$2:$H$1775,'Opportunities'!$E$2:$E$1775,"=paid",'Opportunities'!$V$2:$V$1775,"=emea",'Opportunities'!$N$2:$N$1775,"=oct25",'Opportunities'!$P$2:$P$1775,"=1")</f>
        <v>21700</v>
      </c>
      <c r="K152" s="4">
        <f>SUMIFS('Opportunities'!$H$2:$H$1775,'Opportunities'!$E$2:$E$1775,"=paid",'Opportunities'!$V$2:$V$1775,"=emea",'Opportunities'!$N$2:$N$1775,"=nov25",'Opportunities'!$P$2:$P$1775,"=1")</f>
        <v>28700</v>
      </c>
      <c r="L152" s="4">
        <f>SUMIFS('Opportunities'!$H$2:$H$1775,'Opportunities'!$E$2:$E$1775,"=paid",'Opportunities'!$V$2:$V$1775,"=emea",'Opportunities'!$N$2:$N$1775,"=dec25",'Opportunities'!$P$2:$P$1775,"=1")</f>
        <v>0</v>
      </c>
      <c r="M152" s="4">
        <f>SUMIFS('Opportunities'!$H$2:$H$1775,'Opportunities'!$E$2:$E$1775,"=paid",'Opportunities'!$V$2:$V$1775,"=emea",'Opportunities'!$N$2:$N$1775,"=jan26",'Opportunities'!$P$2:$P$1775,"=1")</f>
        <v>0</v>
      </c>
      <c r="N152" s="4">
        <f>SUMIFS('Opportunities'!$H$2:$H$1775,'Opportunities'!$E$2:$E$1775,"=paid",'Opportunities'!$V$2:$V$1775,"=emea",'Opportunities'!$N$2:$N$1775,"=feb26",'Opportunities'!$P$2:$P$1775,"=1")</f>
        <v>0</v>
      </c>
      <c r="O152" s="4">
        <f>SUMIFS('Opportunities'!$H$2:$H$1775,'Opportunities'!$E$2:$E$1775,"=paid",'Opportunities'!$V$2:$V$1775,"=emea",'Opportunities'!$N$2:$N$1775,"=mar26",'Opportunities'!$P$2:$P$1775,"=1")</f>
        <v>10600</v>
      </c>
      <c r="P152" s="4">
        <f>SUMIFS('Opportunities'!$H$2:$H$1775,'Opportunities'!$E$2:$E$1775,"=paid",'Opportunities'!$V$2:$V$1775,"=emea",'Opportunities'!$N$2:$N$1775,"=apr26",'Opportunities'!$P$2:$P$1775,"=1")</f>
        <v>59600</v>
      </c>
      <c r="Q152" s="4">
        <f>SUMIFS('Opportunities'!$H$2:$H$1775,'Opportunities'!$E$2:$E$1775,"=paid",'Opportunities'!$V$2:$V$1775,"=emea",'Opportunities'!$N$2:$N$1775,"=may26",'Opportunities'!$P$2:$P$1775,"=1")</f>
        <v>0</v>
      </c>
      <c r="R152" s="4">
        <f>SUMIFS('Opportunities'!$H$2:$H$1775,'Opportunities'!$E$2:$E$1775,"=paid",'Opportunities'!$V$2:$V$1775,"=emea",'Opportunities'!$N$2:$N$1775,"=jun26",'Opportunities'!$P$2:$P$1775,"=1")</f>
        <v>139600</v>
      </c>
      <c r="S152" s="4">
        <f>SUMIFS('Opportunities'!$H$2:$H$1775,'Opportunities'!$E$2:$E$1775,"=paid",'Opportunities'!$V$2:$V$1775,"=emea",'Opportunities'!$N$2:$N$1775,"=jul26",'Opportunities'!$P$2:$P$1775,"=1")</f>
        <v>0</v>
      </c>
      <c r="T152" s="4">
        <f>SUMIFS('Opportunities'!$H$2:$H$1775,'Opportunities'!$E$2:$E$1775,"=paid",'Opportunities'!$V$2:$V$1775,"=emea",'Opportunities'!$N$2:$N$1775,"=aug26",'Opportunities'!$P$2:$P$1775,"=1")</f>
        <v>7400</v>
      </c>
      <c r="U152" s="4">
        <f>SUMIFS('Opportunities'!$H$2:$H$1775,'Opportunities'!$E$2:$E$1775,"=paid",'Opportunities'!$V$2:$V$1775,"=emea",'Opportunities'!$N$2:$N$1775,"=sep26",'Opportunities'!$P$2:$P$1775,"=1")</f>
        <v>0</v>
      </c>
      <c r="V152" s="4">
        <f>SUMIFS('Opportunities'!$H$2:$H$1775,'Opportunities'!$E$2:$E$1775,"=paid",'Opportunities'!$V$2:$V$1775,"=emea",'Opportunities'!$N$2:$N$1775,"=oct26",'Opportunities'!$P$2:$P$1775,"=1")</f>
        <v>0</v>
      </c>
      <c r="W152" s="4">
        <f>SUMIFS('Opportunities'!$H$2:$H$1775,'Opportunities'!$E$2:$E$1775,"=paid",'Opportunities'!$V$2:$V$1775,"=emea",'Opportunities'!$N$2:$N$1775,"=nov26",'Opportunities'!$P$2:$P$1775,"=1")</f>
        <v>0</v>
      </c>
      <c r="X152" s="4">
        <f>SUMIFS('Opportunities'!$H$2:$H$1775,'Opportunities'!$E$2:$E$1775,"=paid",'Opportunities'!$V$2:$V$1775,"=emea",'Opportunities'!$N$2:$N$1775,"=dec26",'Opportunities'!$P$2:$P$1775,"=1")</f>
        <v>0</v>
      </c>
    </row>
    <row r="153">
      <c r="A153" s="0" t="inlineStr">
        <is>
          <t xml:space="preserve">Bookings</t>
        </is>
      </c>
      <c r="B153" s="0" t="inlineStr">
        <is>
          <t xml:space="preserve">Paid digital</t>
        </is>
      </c>
      <c r="C153" s="0" t="inlineStr">
        <is>
          <t xml:space="preserve">APAC</t>
        </is>
      </c>
      <c r="D153" s="4">
        <f>SUMIFS('Opportunities'!$H$2:$H$1775,'Opportunities'!$E$2:$E$1775,"=paid",'Opportunities'!$V$2:$V$1775,"=apac",'Opportunities'!$N$2:$N$1775,"=apr25",'Opportunities'!$P$2:$P$1775,"=1")</f>
        <v>0</v>
      </c>
      <c r="E153" s="4">
        <f>SUMIFS('Opportunities'!$H$2:$H$1775,'Opportunities'!$E$2:$E$1775,"=paid",'Opportunities'!$V$2:$V$1775,"=apac",'Opportunities'!$N$2:$N$1775,"=may25",'Opportunities'!$P$2:$P$1775,"=1")</f>
        <v>0</v>
      </c>
      <c r="F153" s="4">
        <f>SUMIFS('Opportunities'!$H$2:$H$1775,'Opportunities'!$E$2:$E$1775,"=paid",'Opportunities'!$V$2:$V$1775,"=apac",'Opportunities'!$N$2:$N$1775,"=jun25",'Opportunities'!$P$2:$P$1775,"=1")</f>
        <v>0</v>
      </c>
      <c r="G153" s="4">
        <f>SUMIFS('Opportunities'!$H$2:$H$1775,'Opportunities'!$E$2:$E$1775,"=paid",'Opportunities'!$V$2:$V$1775,"=apac",'Opportunities'!$N$2:$N$1775,"=jul25",'Opportunities'!$P$2:$P$1775,"=1")</f>
        <v>15100</v>
      </c>
      <c r="H153" s="4">
        <f>SUMIFS('Opportunities'!$H$2:$H$1775,'Opportunities'!$E$2:$E$1775,"=paid",'Opportunities'!$V$2:$V$1775,"=apac",'Opportunities'!$N$2:$N$1775,"=aug25",'Opportunities'!$P$2:$P$1775,"=1")</f>
        <v>0</v>
      </c>
      <c r="I153" s="4">
        <f>SUMIFS('Opportunities'!$H$2:$H$1775,'Opportunities'!$E$2:$E$1775,"=paid",'Opportunities'!$V$2:$V$1775,"=apac",'Opportunities'!$N$2:$N$1775,"=sep25",'Opportunities'!$P$2:$P$1775,"=1")</f>
        <v>139000</v>
      </c>
      <c r="J153" s="4">
        <f>SUMIFS('Opportunities'!$H$2:$H$1775,'Opportunities'!$E$2:$E$1775,"=paid",'Opportunities'!$V$2:$V$1775,"=apac",'Opportunities'!$N$2:$N$1775,"=oct25",'Opportunities'!$P$2:$P$1775,"=1")</f>
        <v>0</v>
      </c>
      <c r="K153" s="4">
        <f>SUMIFS('Opportunities'!$H$2:$H$1775,'Opportunities'!$E$2:$E$1775,"=paid",'Opportunities'!$V$2:$V$1775,"=apac",'Opportunities'!$N$2:$N$1775,"=nov25",'Opportunities'!$P$2:$P$1775,"=1")</f>
        <v>21900</v>
      </c>
      <c r="L153" s="4">
        <f>SUMIFS('Opportunities'!$H$2:$H$1775,'Opportunities'!$E$2:$E$1775,"=paid",'Opportunities'!$V$2:$V$1775,"=apac",'Opportunities'!$N$2:$N$1775,"=dec25",'Opportunities'!$P$2:$P$1775,"=1")</f>
        <v>13000</v>
      </c>
      <c r="M153" s="4">
        <f>SUMIFS('Opportunities'!$H$2:$H$1775,'Opportunities'!$E$2:$E$1775,"=paid",'Opportunities'!$V$2:$V$1775,"=apac",'Opportunities'!$N$2:$N$1775,"=jan26",'Opportunities'!$P$2:$P$1775,"=1")</f>
        <v>0</v>
      </c>
      <c r="N153" s="4">
        <f>SUMIFS('Opportunities'!$H$2:$H$1775,'Opportunities'!$E$2:$E$1775,"=paid",'Opportunities'!$V$2:$V$1775,"=apac",'Opportunities'!$N$2:$N$1775,"=feb26",'Opportunities'!$P$2:$P$1775,"=1")</f>
        <v>0</v>
      </c>
      <c r="O153" s="4">
        <f>SUMIFS('Opportunities'!$H$2:$H$1775,'Opportunities'!$E$2:$E$1775,"=paid",'Opportunities'!$V$2:$V$1775,"=apac",'Opportunities'!$N$2:$N$1775,"=mar26",'Opportunities'!$P$2:$P$1775,"=1")</f>
        <v>0</v>
      </c>
      <c r="P153" s="4">
        <f>SUMIFS('Opportunities'!$H$2:$H$1775,'Opportunities'!$E$2:$E$1775,"=paid",'Opportunities'!$V$2:$V$1775,"=apac",'Opportunities'!$N$2:$N$1775,"=apr26",'Opportunities'!$P$2:$P$1775,"=1")</f>
        <v>188400</v>
      </c>
      <c r="Q153" s="4">
        <f>SUMIFS('Opportunities'!$H$2:$H$1775,'Opportunities'!$E$2:$E$1775,"=paid",'Opportunities'!$V$2:$V$1775,"=apac",'Opportunities'!$N$2:$N$1775,"=may26",'Opportunities'!$P$2:$P$1775,"=1")</f>
        <v>17300</v>
      </c>
      <c r="R153" s="4">
        <f>SUMIFS('Opportunities'!$H$2:$H$1775,'Opportunities'!$E$2:$E$1775,"=paid",'Opportunities'!$V$2:$V$1775,"=apac",'Opportunities'!$N$2:$N$1775,"=jun26",'Opportunities'!$P$2:$P$1775,"=1")</f>
        <v>11600</v>
      </c>
      <c r="S153" s="4">
        <f>SUMIFS('Opportunities'!$H$2:$H$1775,'Opportunities'!$E$2:$E$1775,"=paid",'Opportunities'!$V$2:$V$1775,"=apac",'Opportunities'!$N$2:$N$1775,"=jul26",'Opportunities'!$P$2:$P$1775,"=1")</f>
        <v>0</v>
      </c>
      <c r="T153" s="4">
        <f>SUMIFS('Opportunities'!$H$2:$H$1775,'Opportunities'!$E$2:$E$1775,"=paid",'Opportunities'!$V$2:$V$1775,"=apac",'Opportunities'!$N$2:$N$1775,"=aug26",'Opportunities'!$P$2:$P$1775,"=1")</f>
        <v>18100</v>
      </c>
      <c r="U153" s="4">
        <f>SUMIFS('Opportunities'!$H$2:$H$1775,'Opportunities'!$E$2:$E$1775,"=paid",'Opportunities'!$V$2:$V$1775,"=apac",'Opportunities'!$N$2:$N$1775,"=sep26",'Opportunities'!$P$2:$P$1775,"=1")</f>
        <v>2500</v>
      </c>
      <c r="V153" s="4">
        <f>SUMIFS('Opportunities'!$H$2:$H$1775,'Opportunities'!$E$2:$E$1775,"=paid",'Opportunities'!$V$2:$V$1775,"=apac",'Opportunities'!$N$2:$N$1775,"=oct26",'Opportunities'!$P$2:$P$1775,"=1")</f>
        <v>0</v>
      </c>
      <c r="W153" s="4">
        <f>SUMIFS('Opportunities'!$H$2:$H$1775,'Opportunities'!$E$2:$E$1775,"=paid",'Opportunities'!$V$2:$V$1775,"=apac",'Opportunities'!$N$2:$N$1775,"=nov26",'Opportunities'!$P$2:$P$1775,"=1")</f>
        <v>0</v>
      </c>
      <c r="X153" s="4">
        <f>SUMIFS('Opportunities'!$H$2:$H$1775,'Opportunities'!$E$2:$E$1775,"=paid",'Opportunities'!$V$2:$V$1775,"=apac",'Opportunities'!$N$2:$N$1775,"=dec26",'Opportunities'!$P$2:$P$1775,"=1")</f>
        <v>0</v>
      </c>
    </row>
    <row r="154">
      <c r="A154" s="0" t="inlineStr">
        <is>
          <t xml:space="preserve">Bookings</t>
        </is>
      </c>
      <c r="B154" s="0" t="inlineStr">
        <is>
          <t xml:space="preserve">Events &amp; field</t>
        </is>
      </c>
      <c r="C154" s="0" t="inlineStr">
        <is>
          <t xml:space="preserve">AMER East</t>
        </is>
      </c>
      <c r="D154" s="4">
        <f>SUMIFS('Opportunities'!$H$2:$H$1775,'Opportunities'!$E$2:$E$1775,"=events",'Opportunities'!$V$2:$V$1775,"=amer_east",'Opportunities'!$N$2:$N$1775,"=apr25",'Opportunities'!$P$2:$P$1775,"=1")</f>
        <v>0</v>
      </c>
      <c r="E154" s="4">
        <f>SUMIFS('Opportunities'!$H$2:$H$1775,'Opportunities'!$E$2:$E$1775,"=events",'Opportunities'!$V$2:$V$1775,"=amer_east",'Opportunities'!$N$2:$N$1775,"=may25",'Opportunities'!$P$2:$P$1775,"=1")</f>
        <v>15400</v>
      </c>
      <c r="F154" s="4">
        <f>SUMIFS('Opportunities'!$H$2:$H$1775,'Opportunities'!$E$2:$E$1775,"=events",'Opportunities'!$V$2:$V$1775,"=amer_east",'Opportunities'!$N$2:$N$1775,"=jun25",'Opportunities'!$P$2:$P$1775,"=1")</f>
        <v>21500</v>
      </c>
      <c r="G154" s="4">
        <f>SUMIFS('Opportunities'!$H$2:$H$1775,'Opportunities'!$E$2:$E$1775,"=events",'Opportunities'!$V$2:$V$1775,"=amer_east",'Opportunities'!$N$2:$N$1775,"=jul25",'Opportunities'!$P$2:$P$1775,"=1")</f>
        <v>30700</v>
      </c>
      <c r="H154" s="4">
        <f>SUMIFS('Opportunities'!$H$2:$H$1775,'Opportunities'!$E$2:$E$1775,"=events",'Opportunities'!$V$2:$V$1775,"=amer_east",'Opportunities'!$N$2:$N$1775,"=aug25",'Opportunities'!$P$2:$P$1775,"=1")</f>
        <v>136700</v>
      </c>
      <c r="I154" s="4">
        <f>SUMIFS('Opportunities'!$H$2:$H$1775,'Opportunities'!$E$2:$E$1775,"=events",'Opportunities'!$V$2:$V$1775,"=amer_east",'Opportunities'!$N$2:$N$1775,"=sep25",'Opportunities'!$P$2:$P$1775,"=1")</f>
        <v>0</v>
      </c>
      <c r="J154" s="4">
        <f>SUMIFS('Opportunities'!$H$2:$H$1775,'Opportunities'!$E$2:$E$1775,"=events",'Opportunities'!$V$2:$V$1775,"=amer_east",'Opportunities'!$N$2:$N$1775,"=oct25",'Opportunities'!$P$2:$P$1775,"=1")</f>
        <v>12300</v>
      </c>
      <c r="K154" s="4">
        <f>SUMIFS('Opportunities'!$H$2:$H$1775,'Opportunities'!$E$2:$E$1775,"=events",'Opportunities'!$V$2:$V$1775,"=amer_east",'Opportunities'!$N$2:$N$1775,"=nov25",'Opportunities'!$P$2:$P$1775,"=1")</f>
        <v>53300</v>
      </c>
      <c r="L154" s="4">
        <f>SUMIFS('Opportunities'!$H$2:$H$1775,'Opportunities'!$E$2:$E$1775,"=events",'Opportunities'!$V$2:$V$1775,"=amer_east",'Opportunities'!$N$2:$N$1775,"=dec25",'Opportunities'!$P$2:$P$1775,"=1")</f>
        <v>79100</v>
      </c>
      <c r="M154" s="4">
        <f>SUMIFS('Opportunities'!$H$2:$H$1775,'Opportunities'!$E$2:$E$1775,"=events",'Opportunities'!$V$2:$V$1775,"=amer_east",'Opportunities'!$N$2:$N$1775,"=jan26",'Opportunities'!$P$2:$P$1775,"=1")</f>
        <v>0</v>
      </c>
      <c r="N154" s="4">
        <f>SUMIFS('Opportunities'!$H$2:$H$1775,'Opportunities'!$E$2:$E$1775,"=events",'Opportunities'!$V$2:$V$1775,"=amer_east",'Opportunities'!$N$2:$N$1775,"=feb26",'Opportunities'!$P$2:$P$1775,"=1")</f>
        <v>0</v>
      </c>
      <c r="O154" s="4">
        <f>SUMIFS('Opportunities'!$H$2:$H$1775,'Opportunities'!$E$2:$E$1775,"=events",'Opportunities'!$V$2:$V$1775,"=amer_east",'Opportunities'!$N$2:$N$1775,"=mar26",'Opportunities'!$P$2:$P$1775,"=1")</f>
        <v>16400</v>
      </c>
      <c r="P154" s="4">
        <f>SUMIFS('Opportunities'!$H$2:$H$1775,'Opportunities'!$E$2:$E$1775,"=events",'Opportunities'!$V$2:$V$1775,"=amer_east",'Opportunities'!$N$2:$N$1775,"=apr26",'Opportunities'!$P$2:$P$1775,"=1")</f>
        <v>9200</v>
      </c>
      <c r="Q154" s="4">
        <f>SUMIFS('Opportunities'!$H$2:$H$1775,'Opportunities'!$E$2:$E$1775,"=events",'Opportunities'!$V$2:$V$1775,"=amer_east",'Opportunities'!$N$2:$N$1775,"=may26",'Opportunities'!$P$2:$P$1775,"=1")</f>
        <v>15500</v>
      </c>
      <c r="R154" s="4">
        <f>SUMIFS('Opportunities'!$H$2:$H$1775,'Opportunities'!$E$2:$E$1775,"=events",'Opportunities'!$V$2:$V$1775,"=amer_east",'Opportunities'!$N$2:$N$1775,"=jun26",'Opportunities'!$P$2:$P$1775,"=1")</f>
        <v>28800</v>
      </c>
      <c r="S154" s="4">
        <f>SUMIFS('Opportunities'!$H$2:$H$1775,'Opportunities'!$E$2:$E$1775,"=events",'Opportunities'!$V$2:$V$1775,"=amer_east",'Opportunities'!$N$2:$N$1775,"=jul26",'Opportunities'!$P$2:$P$1775,"=1")</f>
        <v>32200</v>
      </c>
      <c r="T154" s="4">
        <f>SUMIFS('Opportunities'!$H$2:$H$1775,'Opportunities'!$E$2:$E$1775,"=events",'Opportunities'!$V$2:$V$1775,"=amer_east",'Opportunities'!$N$2:$N$1775,"=aug26",'Opportunities'!$P$2:$P$1775,"=1")</f>
        <v>0</v>
      </c>
      <c r="U154" s="4">
        <f>SUMIFS('Opportunities'!$H$2:$H$1775,'Opportunities'!$E$2:$E$1775,"=events",'Opportunities'!$V$2:$V$1775,"=amer_east",'Opportunities'!$N$2:$N$1775,"=sep26",'Opportunities'!$P$2:$P$1775,"=1")</f>
        <v>21800</v>
      </c>
      <c r="V154" s="4">
        <f>SUMIFS('Opportunities'!$H$2:$H$1775,'Opportunities'!$E$2:$E$1775,"=events",'Opportunities'!$V$2:$V$1775,"=amer_east",'Opportunities'!$N$2:$N$1775,"=oct26",'Opportunities'!$P$2:$P$1775,"=1")</f>
        <v>0</v>
      </c>
      <c r="W154" s="4">
        <f>SUMIFS('Opportunities'!$H$2:$H$1775,'Opportunities'!$E$2:$E$1775,"=events",'Opportunities'!$V$2:$V$1775,"=amer_east",'Opportunities'!$N$2:$N$1775,"=nov26",'Opportunities'!$P$2:$P$1775,"=1")</f>
        <v>0</v>
      </c>
      <c r="X154" s="4">
        <f>SUMIFS('Opportunities'!$H$2:$H$1775,'Opportunities'!$E$2:$E$1775,"=events",'Opportunities'!$V$2:$V$1775,"=amer_east",'Opportunities'!$N$2:$N$1775,"=dec26",'Opportunities'!$P$2:$P$1775,"=1")</f>
        <v>0</v>
      </c>
    </row>
    <row r="155">
      <c r="A155" s="0" t="inlineStr">
        <is>
          <t xml:space="preserve">Bookings</t>
        </is>
      </c>
      <c r="B155" s="0" t="inlineStr">
        <is>
          <t xml:space="preserve">Events &amp; field</t>
        </is>
      </c>
      <c r="C155" s="0" t="inlineStr">
        <is>
          <t xml:space="preserve">AMER West</t>
        </is>
      </c>
      <c r="D155" s="4">
        <f>SUMIFS('Opportunities'!$H$2:$H$1775,'Opportunities'!$E$2:$E$1775,"=events",'Opportunities'!$V$2:$V$1775,"=amer_west",'Opportunities'!$N$2:$N$1775,"=apr25",'Opportunities'!$P$2:$P$1775,"=1")</f>
        <v>0</v>
      </c>
      <c r="E155" s="4">
        <f>SUMIFS('Opportunities'!$H$2:$H$1775,'Opportunities'!$E$2:$E$1775,"=events",'Opportunities'!$V$2:$V$1775,"=amer_west",'Opportunities'!$N$2:$N$1775,"=may25",'Opportunities'!$P$2:$P$1775,"=1")</f>
        <v>0</v>
      </c>
      <c r="F155" s="4">
        <f>SUMIFS('Opportunities'!$H$2:$H$1775,'Opportunities'!$E$2:$E$1775,"=events",'Opportunities'!$V$2:$V$1775,"=amer_west",'Opportunities'!$N$2:$N$1775,"=jun25",'Opportunities'!$P$2:$P$1775,"=1")</f>
        <v>3000</v>
      </c>
      <c r="G155" s="4">
        <f>SUMIFS('Opportunities'!$H$2:$H$1775,'Opportunities'!$E$2:$E$1775,"=events",'Opportunities'!$V$2:$V$1775,"=amer_west",'Opportunities'!$N$2:$N$1775,"=jul25",'Opportunities'!$P$2:$P$1775,"=1")</f>
        <v>0</v>
      </c>
      <c r="H155" s="4">
        <f>SUMIFS('Opportunities'!$H$2:$H$1775,'Opportunities'!$E$2:$E$1775,"=events",'Opportunities'!$V$2:$V$1775,"=amer_west",'Opportunities'!$N$2:$N$1775,"=aug25",'Opportunities'!$P$2:$P$1775,"=1")</f>
        <v>0</v>
      </c>
      <c r="I155" s="4">
        <f>SUMIFS('Opportunities'!$H$2:$H$1775,'Opportunities'!$E$2:$E$1775,"=events",'Opportunities'!$V$2:$V$1775,"=amer_west",'Opportunities'!$N$2:$N$1775,"=sep25",'Opportunities'!$P$2:$P$1775,"=1")</f>
        <v>38600</v>
      </c>
      <c r="J155" s="4">
        <f>SUMIFS('Opportunities'!$H$2:$H$1775,'Opportunities'!$E$2:$E$1775,"=events",'Opportunities'!$V$2:$V$1775,"=amer_west",'Opportunities'!$N$2:$N$1775,"=oct25",'Opportunities'!$P$2:$P$1775,"=1")</f>
        <v>2500</v>
      </c>
      <c r="K155" s="4">
        <f>SUMIFS('Opportunities'!$H$2:$H$1775,'Opportunities'!$E$2:$E$1775,"=events",'Opportunities'!$V$2:$V$1775,"=amer_west",'Opportunities'!$N$2:$N$1775,"=nov25",'Opportunities'!$P$2:$P$1775,"=1")</f>
        <v>20600</v>
      </c>
      <c r="L155" s="4">
        <f>SUMIFS('Opportunities'!$H$2:$H$1775,'Opportunities'!$E$2:$E$1775,"=events",'Opportunities'!$V$2:$V$1775,"=amer_west",'Opportunities'!$N$2:$N$1775,"=dec25",'Opportunities'!$P$2:$P$1775,"=1")</f>
        <v>76000</v>
      </c>
      <c r="M155" s="4">
        <f>SUMIFS('Opportunities'!$H$2:$H$1775,'Opportunities'!$E$2:$E$1775,"=events",'Opportunities'!$V$2:$V$1775,"=amer_west",'Opportunities'!$N$2:$N$1775,"=jan26",'Opportunities'!$P$2:$P$1775,"=1")</f>
        <v>54800</v>
      </c>
      <c r="N155" s="4">
        <f>SUMIFS('Opportunities'!$H$2:$H$1775,'Opportunities'!$E$2:$E$1775,"=events",'Opportunities'!$V$2:$V$1775,"=amer_west",'Opportunities'!$N$2:$N$1775,"=feb26",'Opportunities'!$P$2:$P$1775,"=1")</f>
        <v>126200</v>
      </c>
      <c r="O155" s="4">
        <f>SUMIFS('Opportunities'!$H$2:$H$1775,'Opportunities'!$E$2:$E$1775,"=events",'Opportunities'!$V$2:$V$1775,"=amer_west",'Opportunities'!$N$2:$N$1775,"=mar26",'Opportunities'!$P$2:$P$1775,"=1")</f>
        <v>0</v>
      </c>
      <c r="P155" s="4">
        <f>SUMIFS('Opportunities'!$H$2:$H$1775,'Opportunities'!$E$2:$E$1775,"=events",'Opportunities'!$V$2:$V$1775,"=amer_west",'Opportunities'!$N$2:$N$1775,"=apr26",'Opportunities'!$P$2:$P$1775,"=1")</f>
        <v>46600</v>
      </c>
      <c r="Q155" s="4">
        <f>SUMIFS('Opportunities'!$H$2:$H$1775,'Opportunities'!$E$2:$E$1775,"=events",'Opportunities'!$V$2:$V$1775,"=amer_west",'Opportunities'!$N$2:$N$1775,"=may26",'Opportunities'!$P$2:$P$1775,"=1")</f>
        <v>26100</v>
      </c>
      <c r="R155" s="4">
        <f>SUMIFS('Opportunities'!$H$2:$H$1775,'Opportunities'!$E$2:$E$1775,"=events",'Opportunities'!$V$2:$V$1775,"=amer_west",'Opportunities'!$N$2:$N$1775,"=jun26",'Opportunities'!$P$2:$P$1775,"=1")</f>
        <v>62400</v>
      </c>
      <c r="S155" s="4">
        <f>SUMIFS('Opportunities'!$H$2:$H$1775,'Opportunities'!$E$2:$E$1775,"=events",'Opportunities'!$V$2:$V$1775,"=amer_west",'Opportunities'!$N$2:$N$1775,"=jul26",'Opportunities'!$P$2:$P$1775,"=1")</f>
        <v>22700</v>
      </c>
      <c r="T155" s="4">
        <f>SUMIFS('Opportunities'!$H$2:$H$1775,'Opportunities'!$E$2:$E$1775,"=events",'Opportunities'!$V$2:$V$1775,"=amer_west",'Opportunities'!$N$2:$N$1775,"=aug26",'Opportunities'!$P$2:$P$1775,"=1")</f>
        <v>0</v>
      </c>
      <c r="U155" s="4">
        <f>SUMIFS('Opportunities'!$H$2:$H$1775,'Opportunities'!$E$2:$E$1775,"=events",'Opportunities'!$V$2:$V$1775,"=amer_west",'Opportunities'!$N$2:$N$1775,"=sep26",'Opportunities'!$P$2:$P$1775,"=1")</f>
        <v>0</v>
      </c>
      <c r="V155" s="4">
        <f>SUMIFS('Opportunities'!$H$2:$H$1775,'Opportunities'!$E$2:$E$1775,"=events",'Opportunities'!$V$2:$V$1775,"=amer_west",'Opportunities'!$N$2:$N$1775,"=oct26",'Opportunities'!$P$2:$P$1775,"=1")</f>
        <v>0</v>
      </c>
      <c r="W155" s="4">
        <f>SUMIFS('Opportunities'!$H$2:$H$1775,'Opportunities'!$E$2:$E$1775,"=events",'Opportunities'!$V$2:$V$1775,"=amer_west",'Opportunities'!$N$2:$N$1775,"=nov26",'Opportunities'!$P$2:$P$1775,"=1")</f>
        <v>0</v>
      </c>
      <c r="X155" s="4">
        <f>SUMIFS('Opportunities'!$H$2:$H$1775,'Opportunities'!$E$2:$E$1775,"=events",'Opportunities'!$V$2:$V$1775,"=amer_west",'Opportunities'!$N$2:$N$1775,"=dec26",'Opportunities'!$P$2:$P$1775,"=1")</f>
        <v>0</v>
      </c>
    </row>
    <row r="156">
      <c r="A156" s="0" t="inlineStr">
        <is>
          <t xml:space="preserve">Bookings</t>
        </is>
      </c>
      <c r="B156" s="0" t="inlineStr">
        <is>
          <t xml:space="preserve">Events &amp; field</t>
        </is>
      </c>
      <c r="C156" s="0" t="inlineStr">
        <is>
          <t xml:space="preserve">EMEA</t>
        </is>
      </c>
      <c r="D156" s="4">
        <f>SUMIFS('Opportunities'!$H$2:$H$1775,'Opportunities'!$E$2:$E$1775,"=events",'Opportunities'!$V$2:$V$1775,"=emea",'Opportunities'!$N$2:$N$1775,"=apr25",'Opportunities'!$P$2:$P$1775,"=1")</f>
        <v>0</v>
      </c>
      <c r="E156" s="4">
        <f>SUMIFS('Opportunities'!$H$2:$H$1775,'Opportunities'!$E$2:$E$1775,"=events",'Opportunities'!$V$2:$V$1775,"=emea",'Opportunities'!$N$2:$N$1775,"=may25",'Opportunities'!$P$2:$P$1775,"=1")</f>
        <v>3500</v>
      </c>
      <c r="F156" s="4">
        <f>SUMIFS('Opportunities'!$H$2:$H$1775,'Opportunities'!$E$2:$E$1775,"=events",'Opportunities'!$V$2:$V$1775,"=emea",'Opportunities'!$N$2:$N$1775,"=jun25",'Opportunities'!$P$2:$P$1775,"=1")</f>
        <v>12100</v>
      </c>
      <c r="G156" s="4">
        <f>SUMIFS('Opportunities'!$H$2:$H$1775,'Opportunities'!$E$2:$E$1775,"=events",'Opportunities'!$V$2:$V$1775,"=emea",'Opportunities'!$N$2:$N$1775,"=jul25",'Opportunities'!$P$2:$P$1775,"=1")</f>
        <v>15700</v>
      </c>
      <c r="H156" s="4">
        <f>SUMIFS('Opportunities'!$H$2:$H$1775,'Opportunities'!$E$2:$E$1775,"=events",'Opportunities'!$V$2:$V$1775,"=emea",'Opportunities'!$N$2:$N$1775,"=aug25",'Opportunities'!$P$2:$P$1775,"=1")</f>
        <v>16800</v>
      </c>
      <c r="I156" s="4">
        <f>SUMIFS('Opportunities'!$H$2:$H$1775,'Opportunities'!$E$2:$E$1775,"=events",'Opportunities'!$V$2:$V$1775,"=emea",'Opportunities'!$N$2:$N$1775,"=sep25",'Opportunities'!$P$2:$P$1775,"=1")</f>
        <v>137500</v>
      </c>
      <c r="J156" s="4">
        <f>SUMIFS('Opportunities'!$H$2:$H$1775,'Opportunities'!$E$2:$E$1775,"=events",'Opportunities'!$V$2:$V$1775,"=emea",'Opportunities'!$N$2:$N$1775,"=oct25",'Opportunities'!$P$2:$P$1775,"=1")</f>
        <v>133700</v>
      </c>
      <c r="K156" s="4">
        <f>SUMIFS('Opportunities'!$H$2:$H$1775,'Opportunities'!$E$2:$E$1775,"=events",'Opportunities'!$V$2:$V$1775,"=emea",'Opportunities'!$N$2:$N$1775,"=nov25",'Opportunities'!$P$2:$P$1775,"=1")</f>
        <v>0</v>
      </c>
      <c r="L156" s="4">
        <f>SUMIFS('Opportunities'!$H$2:$H$1775,'Opportunities'!$E$2:$E$1775,"=events",'Opportunities'!$V$2:$V$1775,"=emea",'Opportunities'!$N$2:$N$1775,"=dec25",'Opportunities'!$P$2:$P$1775,"=1")</f>
        <v>128300</v>
      </c>
      <c r="M156" s="4">
        <f>SUMIFS('Opportunities'!$H$2:$H$1775,'Opportunities'!$E$2:$E$1775,"=events",'Opportunities'!$V$2:$V$1775,"=emea",'Opportunities'!$N$2:$N$1775,"=jan26",'Opportunities'!$P$2:$P$1775,"=1")</f>
        <v>0</v>
      </c>
      <c r="N156" s="4">
        <f>SUMIFS('Opportunities'!$H$2:$H$1775,'Opportunities'!$E$2:$E$1775,"=events",'Opportunities'!$V$2:$V$1775,"=emea",'Opportunities'!$N$2:$N$1775,"=feb26",'Opportunities'!$P$2:$P$1775,"=1")</f>
        <v>0</v>
      </c>
      <c r="O156" s="4">
        <f>SUMIFS('Opportunities'!$H$2:$H$1775,'Opportunities'!$E$2:$E$1775,"=events",'Opportunities'!$V$2:$V$1775,"=emea",'Opportunities'!$N$2:$N$1775,"=mar26",'Opportunities'!$P$2:$P$1775,"=1")</f>
        <v>19000</v>
      </c>
      <c r="P156" s="4">
        <f>SUMIFS('Opportunities'!$H$2:$H$1775,'Opportunities'!$E$2:$E$1775,"=events",'Opportunities'!$V$2:$V$1775,"=emea",'Opportunities'!$N$2:$N$1775,"=apr26",'Opportunities'!$P$2:$P$1775,"=1")</f>
        <v>28700</v>
      </c>
      <c r="Q156" s="4">
        <f>SUMIFS('Opportunities'!$H$2:$H$1775,'Opportunities'!$E$2:$E$1775,"=events",'Opportunities'!$V$2:$V$1775,"=emea",'Opportunities'!$N$2:$N$1775,"=may26",'Opportunities'!$P$2:$P$1775,"=1")</f>
        <v>126100</v>
      </c>
      <c r="R156" s="4">
        <f>SUMIFS('Opportunities'!$H$2:$H$1775,'Opportunities'!$E$2:$E$1775,"=events",'Opportunities'!$V$2:$V$1775,"=emea",'Opportunities'!$N$2:$N$1775,"=jun26",'Opportunities'!$P$2:$P$1775,"=1")</f>
        <v>0</v>
      </c>
      <c r="S156" s="4">
        <f>SUMIFS('Opportunities'!$H$2:$H$1775,'Opportunities'!$E$2:$E$1775,"=events",'Opportunities'!$V$2:$V$1775,"=emea",'Opportunities'!$N$2:$N$1775,"=jul26",'Opportunities'!$P$2:$P$1775,"=1")</f>
        <v>137400</v>
      </c>
      <c r="T156" s="4">
        <f>SUMIFS('Opportunities'!$H$2:$H$1775,'Opportunities'!$E$2:$E$1775,"=events",'Opportunities'!$V$2:$V$1775,"=emea",'Opportunities'!$N$2:$N$1775,"=aug26",'Opportunities'!$P$2:$P$1775,"=1")</f>
        <v>0</v>
      </c>
      <c r="U156" s="4">
        <f>SUMIFS('Opportunities'!$H$2:$H$1775,'Opportunities'!$E$2:$E$1775,"=events",'Opportunities'!$V$2:$V$1775,"=emea",'Opportunities'!$N$2:$N$1775,"=sep26",'Opportunities'!$P$2:$P$1775,"=1")</f>
        <v>51000</v>
      </c>
      <c r="V156" s="4">
        <f>SUMIFS('Opportunities'!$H$2:$H$1775,'Opportunities'!$E$2:$E$1775,"=events",'Opportunities'!$V$2:$V$1775,"=emea",'Opportunities'!$N$2:$N$1775,"=oct26",'Opportunities'!$P$2:$P$1775,"=1")</f>
        <v>0</v>
      </c>
      <c r="W156" s="4">
        <f>SUMIFS('Opportunities'!$H$2:$H$1775,'Opportunities'!$E$2:$E$1775,"=events",'Opportunities'!$V$2:$V$1775,"=emea",'Opportunities'!$N$2:$N$1775,"=nov26",'Opportunities'!$P$2:$P$1775,"=1")</f>
        <v>0</v>
      </c>
      <c r="X156" s="4">
        <f>SUMIFS('Opportunities'!$H$2:$H$1775,'Opportunities'!$E$2:$E$1775,"=events",'Opportunities'!$V$2:$V$1775,"=emea",'Opportunities'!$N$2:$N$1775,"=dec26",'Opportunities'!$P$2:$P$1775,"=1")</f>
        <v>0</v>
      </c>
    </row>
    <row r="157">
      <c r="A157" s="0" t="inlineStr">
        <is>
          <t xml:space="preserve">Bookings</t>
        </is>
      </c>
      <c r="B157" s="0" t="inlineStr">
        <is>
          <t xml:space="preserve">Events &amp; field</t>
        </is>
      </c>
      <c r="C157" s="0" t="inlineStr">
        <is>
          <t xml:space="preserve">APAC</t>
        </is>
      </c>
      <c r="D157" s="4">
        <f>SUMIFS('Opportunities'!$H$2:$H$1775,'Opportunities'!$E$2:$E$1775,"=events",'Opportunities'!$V$2:$V$1775,"=apac",'Opportunities'!$N$2:$N$1775,"=apr25",'Opportunities'!$P$2:$P$1775,"=1")</f>
        <v>0</v>
      </c>
      <c r="E157" s="4">
        <f>SUMIFS('Opportunities'!$H$2:$H$1775,'Opportunities'!$E$2:$E$1775,"=events",'Opportunities'!$V$2:$V$1775,"=apac",'Opportunities'!$N$2:$N$1775,"=may25",'Opportunities'!$P$2:$P$1775,"=1")</f>
        <v>0</v>
      </c>
      <c r="F157" s="4">
        <f>SUMIFS('Opportunities'!$H$2:$H$1775,'Opportunities'!$E$2:$E$1775,"=events",'Opportunities'!$V$2:$V$1775,"=apac",'Opportunities'!$N$2:$N$1775,"=jun25",'Opportunities'!$P$2:$P$1775,"=1")</f>
        <v>28600</v>
      </c>
      <c r="G157" s="4">
        <f>SUMIFS('Opportunities'!$H$2:$H$1775,'Opportunities'!$E$2:$E$1775,"=events",'Opportunities'!$V$2:$V$1775,"=apac",'Opportunities'!$N$2:$N$1775,"=jul25",'Opportunities'!$P$2:$P$1775,"=1")</f>
        <v>28300</v>
      </c>
      <c r="H157" s="4">
        <f>SUMIFS('Opportunities'!$H$2:$H$1775,'Opportunities'!$E$2:$E$1775,"=events",'Opportunities'!$V$2:$V$1775,"=apac",'Opportunities'!$N$2:$N$1775,"=aug25",'Opportunities'!$P$2:$P$1775,"=1")</f>
        <v>118400</v>
      </c>
      <c r="I157" s="4">
        <f>SUMIFS('Opportunities'!$H$2:$H$1775,'Opportunities'!$E$2:$E$1775,"=events",'Opportunities'!$V$2:$V$1775,"=apac",'Opportunities'!$N$2:$N$1775,"=sep25",'Opportunities'!$P$2:$P$1775,"=1")</f>
        <v>0</v>
      </c>
      <c r="J157" s="4">
        <f>SUMIFS('Opportunities'!$H$2:$H$1775,'Opportunities'!$E$2:$E$1775,"=events",'Opportunities'!$V$2:$V$1775,"=apac",'Opportunities'!$N$2:$N$1775,"=oct25",'Opportunities'!$P$2:$P$1775,"=1")</f>
        <v>15200</v>
      </c>
      <c r="K157" s="4">
        <f>SUMIFS('Opportunities'!$H$2:$H$1775,'Opportunities'!$E$2:$E$1775,"=events",'Opportunities'!$V$2:$V$1775,"=apac",'Opportunities'!$N$2:$N$1775,"=nov25",'Opportunities'!$P$2:$P$1775,"=1")</f>
        <v>0</v>
      </c>
      <c r="L157" s="4">
        <f>SUMIFS('Opportunities'!$H$2:$H$1775,'Opportunities'!$E$2:$E$1775,"=events",'Opportunities'!$V$2:$V$1775,"=apac",'Opportunities'!$N$2:$N$1775,"=dec25",'Opportunities'!$P$2:$P$1775,"=1")</f>
        <v>71500</v>
      </c>
      <c r="M157" s="4">
        <f>SUMIFS('Opportunities'!$H$2:$H$1775,'Opportunities'!$E$2:$E$1775,"=events",'Opportunities'!$V$2:$V$1775,"=apac",'Opportunities'!$N$2:$N$1775,"=jan26",'Opportunities'!$P$2:$P$1775,"=1")</f>
        <v>0</v>
      </c>
      <c r="N157" s="4">
        <f>SUMIFS('Opportunities'!$H$2:$H$1775,'Opportunities'!$E$2:$E$1775,"=events",'Opportunities'!$V$2:$V$1775,"=apac",'Opportunities'!$N$2:$N$1775,"=feb26",'Opportunities'!$P$2:$P$1775,"=1")</f>
        <v>0</v>
      </c>
      <c r="O157" s="4">
        <f>SUMIFS('Opportunities'!$H$2:$H$1775,'Opportunities'!$E$2:$E$1775,"=events",'Opportunities'!$V$2:$V$1775,"=apac",'Opportunities'!$N$2:$N$1775,"=mar26",'Opportunities'!$P$2:$P$1775,"=1")</f>
        <v>0</v>
      </c>
      <c r="P157" s="4">
        <f>SUMIFS('Opportunities'!$H$2:$H$1775,'Opportunities'!$E$2:$E$1775,"=events",'Opportunities'!$V$2:$V$1775,"=apac",'Opportunities'!$N$2:$N$1775,"=apr26",'Opportunities'!$P$2:$P$1775,"=1")</f>
        <v>0</v>
      </c>
      <c r="Q157" s="4">
        <f>SUMIFS('Opportunities'!$H$2:$H$1775,'Opportunities'!$E$2:$E$1775,"=events",'Opportunities'!$V$2:$V$1775,"=apac",'Opportunities'!$N$2:$N$1775,"=may26",'Opportunities'!$P$2:$P$1775,"=1")</f>
        <v>40800</v>
      </c>
      <c r="R157" s="4">
        <f>SUMIFS('Opportunities'!$H$2:$H$1775,'Opportunities'!$E$2:$E$1775,"=events",'Opportunities'!$V$2:$V$1775,"=apac",'Opportunities'!$N$2:$N$1775,"=jun26",'Opportunities'!$P$2:$P$1775,"=1")</f>
        <v>30300</v>
      </c>
      <c r="S157" s="4">
        <f>SUMIFS('Opportunities'!$H$2:$H$1775,'Opportunities'!$E$2:$E$1775,"=events",'Opportunities'!$V$2:$V$1775,"=apac",'Opportunities'!$N$2:$N$1775,"=jul26",'Opportunities'!$P$2:$P$1775,"=1")</f>
        <v>16500</v>
      </c>
      <c r="T157" s="4">
        <f>SUMIFS('Opportunities'!$H$2:$H$1775,'Opportunities'!$E$2:$E$1775,"=events",'Opportunities'!$V$2:$V$1775,"=apac",'Opportunities'!$N$2:$N$1775,"=aug26",'Opportunities'!$P$2:$P$1775,"=1")</f>
        <v>15700</v>
      </c>
      <c r="U157" s="4">
        <f>SUMIFS('Opportunities'!$H$2:$H$1775,'Opportunities'!$E$2:$E$1775,"=events",'Opportunities'!$V$2:$V$1775,"=apac",'Opportunities'!$N$2:$N$1775,"=sep26",'Opportunities'!$P$2:$P$1775,"=1")</f>
        <v>36800</v>
      </c>
      <c r="V157" s="4">
        <f>SUMIFS('Opportunities'!$H$2:$H$1775,'Opportunities'!$E$2:$E$1775,"=events",'Opportunities'!$V$2:$V$1775,"=apac",'Opportunities'!$N$2:$N$1775,"=oct26",'Opportunities'!$P$2:$P$1775,"=1")</f>
        <v>0</v>
      </c>
      <c r="W157" s="4">
        <f>SUMIFS('Opportunities'!$H$2:$H$1775,'Opportunities'!$E$2:$E$1775,"=events",'Opportunities'!$V$2:$V$1775,"=apac",'Opportunities'!$N$2:$N$1775,"=nov26",'Opportunities'!$P$2:$P$1775,"=1")</f>
        <v>0</v>
      </c>
      <c r="X157" s="4">
        <f>SUMIFS('Opportunities'!$H$2:$H$1775,'Opportunities'!$E$2:$E$1775,"=events",'Opportunities'!$V$2:$V$1775,"=apac",'Opportunities'!$N$2:$N$1775,"=dec26",'Opportunities'!$P$2:$P$1775,"=1")</f>
        <v>0</v>
      </c>
    </row>
    <row r="158">
      <c r="A158" s="0" t="inlineStr">
        <is>
          <t xml:space="preserve">Bookings</t>
        </is>
      </c>
      <c r="B158" s="0" t="inlineStr">
        <is>
          <t xml:space="preserve">Partner</t>
        </is>
      </c>
      <c r="C158" s="0" t="inlineStr">
        <is>
          <t xml:space="preserve">AMER East</t>
        </is>
      </c>
      <c r="D158" s="4">
        <f>SUMIFS('Opportunities'!$H$2:$H$1775,'Opportunities'!$E$2:$E$1775,"=partner",'Opportunities'!$V$2:$V$1775,"=amer_east",'Opportunities'!$N$2:$N$1775,"=apr25",'Opportunities'!$P$2:$P$1775,"=1")</f>
        <v>0</v>
      </c>
      <c r="E158" s="4">
        <f>SUMIFS('Opportunities'!$H$2:$H$1775,'Opportunities'!$E$2:$E$1775,"=partner",'Opportunities'!$V$2:$V$1775,"=amer_east",'Opportunities'!$N$2:$N$1775,"=may25",'Opportunities'!$P$2:$P$1775,"=1")</f>
        <v>0</v>
      </c>
      <c r="F158" s="4">
        <f>SUMIFS('Opportunities'!$H$2:$H$1775,'Opportunities'!$E$2:$E$1775,"=partner",'Opportunities'!$V$2:$V$1775,"=amer_east",'Opportunities'!$N$2:$N$1775,"=jun25",'Opportunities'!$P$2:$P$1775,"=1")</f>
        <v>0</v>
      </c>
      <c r="G158" s="4">
        <f>SUMIFS('Opportunities'!$H$2:$H$1775,'Opportunities'!$E$2:$E$1775,"=partner",'Opportunities'!$V$2:$V$1775,"=amer_east",'Opportunities'!$N$2:$N$1775,"=jul25",'Opportunities'!$P$2:$P$1775,"=1")</f>
        <v>66500</v>
      </c>
      <c r="H158" s="4">
        <f>SUMIFS('Opportunities'!$H$2:$H$1775,'Opportunities'!$E$2:$E$1775,"=partner",'Opportunities'!$V$2:$V$1775,"=amer_east",'Opportunities'!$N$2:$N$1775,"=aug25",'Opportunities'!$P$2:$P$1775,"=1")</f>
        <v>0</v>
      </c>
      <c r="I158" s="4">
        <f>SUMIFS('Opportunities'!$H$2:$H$1775,'Opportunities'!$E$2:$E$1775,"=partner",'Opportunities'!$V$2:$V$1775,"=amer_east",'Opportunities'!$N$2:$N$1775,"=sep25",'Opportunities'!$P$2:$P$1775,"=1")</f>
        <v>27500</v>
      </c>
      <c r="J158" s="4">
        <f>SUMIFS('Opportunities'!$H$2:$H$1775,'Opportunities'!$E$2:$E$1775,"=partner",'Opportunities'!$V$2:$V$1775,"=amer_east",'Opportunities'!$N$2:$N$1775,"=oct25",'Opportunities'!$P$2:$P$1775,"=1")</f>
        <v>9900</v>
      </c>
      <c r="K158" s="4">
        <f>SUMIFS('Opportunities'!$H$2:$H$1775,'Opportunities'!$E$2:$E$1775,"=partner",'Opportunities'!$V$2:$V$1775,"=amer_east",'Opportunities'!$N$2:$N$1775,"=nov25",'Opportunities'!$P$2:$P$1775,"=1")</f>
        <v>13000</v>
      </c>
      <c r="L158" s="4">
        <f>SUMIFS('Opportunities'!$H$2:$H$1775,'Opportunities'!$E$2:$E$1775,"=partner",'Opportunities'!$V$2:$V$1775,"=amer_east",'Opportunities'!$N$2:$N$1775,"=dec25",'Opportunities'!$P$2:$P$1775,"=1")</f>
        <v>26900</v>
      </c>
      <c r="M158" s="4">
        <f>SUMIFS('Opportunities'!$H$2:$H$1775,'Opportunities'!$E$2:$E$1775,"=partner",'Opportunities'!$V$2:$V$1775,"=amer_east",'Opportunities'!$N$2:$N$1775,"=jan26",'Opportunities'!$P$2:$P$1775,"=1")</f>
        <v>42200</v>
      </c>
      <c r="N158" s="4">
        <f>SUMIFS('Opportunities'!$H$2:$H$1775,'Opportunities'!$E$2:$E$1775,"=partner",'Opportunities'!$V$2:$V$1775,"=amer_east",'Opportunities'!$N$2:$N$1775,"=feb26",'Opportunities'!$P$2:$P$1775,"=1")</f>
        <v>0</v>
      </c>
      <c r="O158" s="4">
        <f>SUMIFS('Opportunities'!$H$2:$H$1775,'Opportunities'!$E$2:$E$1775,"=partner",'Opportunities'!$V$2:$V$1775,"=amer_east",'Opportunities'!$N$2:$N$1775,"=mar26",'Opportunities'!$P$2:$P$1775,"=1")</f>
        <v>345300</v>
      </c>
      <c r="P158" s="4">
        <f>SUMIFS('Opportunities'!$H$2:$H$1775,'Opportunities'!$E$2:$E$1775,"=partner",'Opportunities'!$V$2:$V$1775,"=amer_east",'Opportunities'!$N$2:$N$1775,"=apr26",'Opportunities'!$P$2:$P$1775,"=1")</f>
        <v>0</v>
      </c>
      <c r="Q158" s="4">
        <f>SUMIFS('Opportunities'!$H$2:$H$1775,'Opportunities'!$E$2:$E$1775,"=partner",'Opportunities'!$V$2:$V$1775,"=amer_east",'Opportunities'!$N$2:$N$1775,"=may26",'Opportunities'!$P$2:$P$1775,"=1")</f>
        <v>0</v>
      </c>
      <c r="R158" s="4">
        <f>SUMIFS('Opportunities'!$H$2:$H$1775,'Opportunities'!$E$2:$E$1775,"=partner",'Opportunities'!$V$2:$V$1775,"=amer_east",'Opportunities'!$N$2:$N$1775,"=jun26",'Opportunities'!$P$2:$P$1775,"=1")</f>
        <v>93100</v>
      </c>
      <c r="S158" s="4">
        <f>SUMIFS('Opportunities'!$H$2:$H$1775,'Opportunities'!$E$2:$E$1775,"=partner",'Opportunities'!$V$2:$V$1775,"=amer_east",'Opportunities'!$N$2:$N$1775,"=jul26",'Opportunities'!$P$2:$P$1775,"=1")</f>
        <v>18400</v>
      </c>
      <c r="T158" s="4">
        <f>SUMIFS('Opportunities'!$H$2:$H$1775,'Opportunities'!$E$2:$E$1775,"=partner",'Opportunities'!$V$2:$V$1775,"=amer_east",'Opportunities'!$N$2:$N$1775,"=aug26",'Opportunities'!$P$2:$P$1775,"=1")</f>
        <v>55300</v>
      </c>
      <c r="U158" s="4">
        <f>SUMIFS('Opportunities'!$H$2:$H$1775,'Opportunities'!$E$2:$E$1775,"=partner",'Opportunities'!$V$2:$V$1775,"=amer_east",'Opportunities'!$N$2:$N$1775,"=sep26",'Opportunities'!$P$2:$P$1775,"=1")</f>
        <v>69800</v>
      </c>
      <c r="V158" s="4">
        <f>SUMIFS('Opportunities'!$H$2:$H$1775,'Opportunities'!$E$2:$E$1775,"=partner",'Opportunities'!$V$2:$V$1775,"=amer_east",'Opportunities'!$N$2:$N$1775,"=oct26",'Opportunities'!$P$2:$P$1775,"=1")</f>
        <v>0</v>
      </c>
      <c r="W158" s="4">
        <f>SUMIFS('Opportunities'!$H$2:$H$1775,'Opportunities'!$E$2:$E$1775,"=partner",'Opportunities'!$V$2:$V$1775,"=amer_east",'Opportunities'!$N$2:$N$1775,"=nov26",'Opportunities'!$P$2:$P$1775,"=1")</f>
        <v>0</v>
      </c>
      <c r="X158" s="4">
        <f>SUMIFS('Opportunities'!$H$2:$H$1775,'Opportunities'!$E$2:$E$1775,"=partner",'Opportunities'!$V$2:$V$1775,"=amer_east",'Opportunities'!$N$2:$N$1775,"=dec26",'Opportunities'!$P$2:$P$1775,"=1")</f>
        <v>0</v>
      </c>
    </row>
    <row r="159">
      <c r="A159" s="0" t="inlineStr">
        <is>
          <t xml:space="preserve">Bookings</t>
        </is>
      </c>
      <c r="B159" s="0" t="inlineStr">
        <is>
          <t xml:space="preserve">Partner</t>
        </is>
      </c>
      <c r="C159" s="0" t="inlineStr">
        <is>
          <t xml:space="preserve">AMER West</t>
        </is>
      </c>
      <c r="D159" s="4">
        <f>SUMIFS('Opportunities'!$H$2:$H$1775,'Opportunities'!$E$2:$E$1775,"=partner",'Opportunities'!$V$2:$V$1775,"=amer_west",'Opportunities'!$N$2:$N$1775,"=apr25",'Opportunities'!$P$2:$P$1775,"=1")</f>
        <v>9900</v>
      </c>
      <c r="E159" s="4">
        <f>SUMIFS('Opportunities'!$H$2:$H$1775,'Opportunities'!$E$2:$E$1775,"=partner",'Opportunities'!$V$2:$V$1775,"=amer_west",'Opportunities'!$N$2:$N$1775,"=may25",'Opportunities'!$P$2:$P$1775,"=1")</f>
        <v>6800</v>
      </c>
      <c r="F159" s="4">
        <f>SUMIFS('Opportunities'!$H$2:$H$1775,'Opportunities'!$E$2:$E$1775,"=partner",'Opportunities'!$V$2:$V$1775,"=amer_west",'Opportunities'!$N$2:$N$1775,"=jun25",'Opportunities'!$P$2:$P$1775,"=1")</f>
        <v>32400</v>
      </c>
      <c r="G159" s="4">
        <f>SUMIFS('Opportunities'!$H$2:$H$1775,'Opportunities'!$E$2:$E$1775,"=partner",'Opportunities'!$V$2:$V$1775,"=amer_west",'Opportunities'!$N$2:$N$1775,"=jul25",'Opportunities'!$P$2:$P$1775,"=1")</f>
        <v>0</v>
      </c>
      <c r="H159" s="4">
        <f>SUMIFS('Opportunities'!$H$2:$H$1775,'Opportunities'!$E$2:$E$1775,"=partner",'Opportunities'!$V$2:$V$1775,"=amer_west",'Opportunities'!$N$2:$N$1775,"=aug25",'Opportunities'!$P$2:$P$1775,"=1")</f>
        <v>33500</v>
      </c>
      <c r="I159" s="4">
        <f>SUMIFS('Opportunities'!$H$2:$H$1775,'Opportunities'!$E$2:$E$1775,"=partner",'Opportunities'!$V$2:$V$1775,"=amer_west",'Opportunities'!$N$2:$N$1775,"=sep25",'Opportunities'!$P$2:$P$1775,"=1")</f>
        <v>33300</v>
      </c>
      <c r="J159" s="4">
        <f>SUMIFS('Opportunities'!$H$2:$H$1775,'Opportunities'!$E$2:$E$1775,"=partner",'Opportunities'!$V$2:$V$1775,"=amer_west",'Opportunities'!$N$2:$N$1775,"=oct25",'Opportunities'!$P$2:$P$1775,"=1")</f>
        <v>0</v>
      </c>
      <c r="K159" s="4">
        <f>SUMIFS('Opportunities'!$H$2:$H$1775,'Opportunities'!$E$2:$E$1775,"=partner",'Opportunities'!$V$2:$V$1775,"=amer_west",'Opportunities'!$N$2:$N$1775,"=nov25",'Opportunities'!$P$2:$P$1775,"=1")</f>
        <v>0</v>
      </c>
      <c r="L159" s="4">
        <f>SUMIFS('Opportunities'!$H$2:$H$1775,'Opportunities'!$E$2:$E$1775,"=partner",'Opportunities'!$V$2:$V$1775,"=amer_west",'Opportunities'!$N$2:$N$1775,"=dec25",'Opportunities'!$P$2:$P$1775,"=1")</f>
        <v>122800</v>
      </c>
      <c r="M159" s="4">
        <f>SUMIFS('Opportunities'!$H$2:$H$1775,'Opportunities'!$E$2:$E$1775,"=partner",'Opportunities'!$V$2:$V$1775,"=amer_west",'Opportunities'!$N$2:$N$1775,"=jan26",'Opportunities'!$P$2:$P$1775,"=1")</f>
        <v>0</v>
      </c>
      <c r="N159" s="4">
        <f>SUMIFS('Opportunities'!$H$2:$H$1775,'Opportunities'!$E$2:$E$1775,"=partner",'Opportunities'!$V$2:$V$1775,"=amer_west",'Opportunities'!$N$2:$N$1775,"=feb26",'Opportunities'!$P$2:$P$1775,"=1")</f>
        <v>34300</v>
      </c>
      <c r="O159" s="4">
        <f>SUMIFS('Opportunities'!$H$2:$H$1775,'Opportunities'!$E$2:$E$1775,"=partner",'Opportunities'!$V$2:$V$1775,"=amer_west",'Opportunities'!$N$2:$N$1775,"=mar26",'Opportunities'!$P$2:$P$1775,"=1")</f>
        <v>43200</v>
      </c>
      <c r="P159" s="4">
        <f>SUMIFS('Opportunities'!$H$2:$H$1775,'Opportunities'!$E$2:$E$1775,"=partner",'Opportunities'!$V$2:$V$1775,"=amer_west",'Opportunities'!$N$2:$N$1775,"=apr26",'Opportunities'!$P$2:$P$1775,"=1")</f>
        <v>71500</v>
      </c>
      <c r="Q159" s="4">
        <f>SUMIFS('Opportunities'!$H$2:$H$1775,'Opportunities'!$E$2:$E$1775,"=partner",'Opportunities'!$V$2:$V$1775,"=amer_west",'Opportunities'!$N$2:$N$1775,"=may26",'Opportunities'!$P$2:$P$1775,"=1")</f>
        <v>6000</v>
      </c>
      <c r="R159" s="4">
        <f>SUMIFS('Opportunities'!$H$2:$H$1775,'Opportunities'!$E$2:$E$1775,"=partner",'Opportunities'!$V$2:$V$1775,"=amer_west",'Opportunities'!$N$2:$N$1775,"=jun26",'Opportunities'!$P$2:$P$1775,"=1")</f>
        <v>73800</v>
      </c>
      <c r="S159" s="4">
        <f>SUMIFS('Opportunities'!$H$2:$H$1775,'Opportunities'!$E$2:$E$1775,"=partner",'Opportunities'!$V$2:$V$1775,"=amer_west",'Opportunities'!$N$2:$N$1775,"=jul26",'Opportunities'!$P$2:$P$1775,"=1")</f>
        <v>228700</v>
      </c>
      <c r="T159" s="4">
        <f>SUMIFS('Opportunities'!$H$2:$H$1775,'Opportunities'!$E$2:$E$1775,"=partner",'Opportunities'!$V$2:$V$1775,"=amer_west",'Opportunities'!$N$2:$N$1775,"=aug26",'Opportunities'!$P$2:$P$1775,"=1")</f>
        <v>0</v>
      </c>
      <c r="U159" s="4">
        <f>SUMIFS('Opportunities'!$H$2:$H$1775,'Opportunities'!$E$2:$E$1775,"=partner",'Opportunities'!$V$2:$V$1775,"=amer_west",'Opportunities'!$N$2:$N$1775,"=sep26",'Opportunities'!$P$2:$P$1775,"=1")</f>
        <v>0</v>
      </c>
      <c r="V159" s="4">
        <f>SUMIFS('Opportunities'!$H$2:$H$1775,'Opportunities'!$E$2:$E$1775,"=partner",'Opportunities'!$V$2:$V$1775,"=amer_west",'Opportunities'!$N$2:$N$1775,"=oct26",'Opportunities'!$P$2:$P$1775,"=1")</f>
        <v>0</v>
      </c>
      <c r="W159" s="4">
        <f>SUMIFS('Opportunities'!$H$2:$H$1775,'Opportunities'!$E$2:$E$1775,"=partner",'Opportunities'!$V$2:$V$1775,"=amer_west",'Opportunities'!$N$2:$N$1775,"=nov26",'Opportunities'!$P$2:$P$1775,"=1")</f>
        <v>0</v>
      </c>
      <c r="X159" s="4">
        <f>SUMIFS('Opportunities'!$H$2:$H$1775,'Opportunities'!$E$2:$E$1775,"=partner",'Opportunities'!$V$2:$V$1775,"=amer_west",'Opportunities'!$N$2:$N$1775,"=dec26",'Opportunities'!$P$2:$P$1775,"=1")</f>
        <v>0</v>
      </c>
    </row>
    <row r="160">
      <c r="A160" s="0" t="inlineStr">
        <is>
          <t xml:space="preserve">Bookings</t>
        </is>
      </c>
      <c r="B160" s="0" t="inlineStr">
        <is>
          <t xml:space="preserve">Partner</t>
        </is>
      </c>
      <c r="C160" s="0" t="inlineStr">
        <is>
          <t xml:space="preserve">EMEA</t>
        </is>
      </c>
      <c r="D160" s="4">
        <f>SUMIFS('Opportunities'!$H$2:$H$1775,'Opportunities'!$E$2:$E$1775,"=partner",'Opportunities'!$V$2:$V$1775,"=emea",'Opportunities'!$N$2:$N$1775,"=apr25",'Opportunities'!$P$2:$P$1775,"=1")</f>
        <v>0</v>
      </c>
      <c r="E160" s="4">
        <f>SUMIFS('Opportunities'!$H$2:$H$1775,'Opportunities'!$E$2:$E$1775,"=partner",'Opportunities'!$V$2:$V$1775,"=emea",'Opportunities'!$N$2:$N$1775,"=may25",'Opportunities'!$P$2:$P$1775,"=1")</f>
        <v>0</v>
      </c>
      <c r="F160" s="4">
        <f>SUMIFS('Opportunities'!$H$2:$H$1775,'Opportunities'!$E$2:$E$1775,"=partner",'Opportunities'!$V$2:$V$1775,"=emea",'Opportunities'!$N$2:$N$1775,"=jun25",'Opportunities'!$P$2:$P$1775,"=1")</f>
        <v>206600</v>
      </c>
      <c r="G160" s="4">
        <f>SUMIFS('Opportunities'!$H$2:$H$1775,'Opportunities'!$E$2:$E$1775,"=partner",'Opportunities'!$V$2:$V$1775,"=emea",'Opportunities'!$N$2:$N$1775,"=jul25",'Opportunities'!$P$2:$P$1775,"=1")</f>
        <v>22300</v>
      </c>
      <c r="H160" s="4">
        <f>SUMIFS('Opportunities'!$H$2:$H$1775,'Opportunities'!$E$2:$E$1775,"=partner",'Opportunities'!$V$2:$V$1775,"=emea",'Opportunities'!$N$2:$N$1775,"=aug25",'Opportunities'!$P$2:$P$1775,"=1")</f>
        <v>0</v>
      </c>
      <c r="I160" s="4">
        <f>SUMIFS('Opportunities'!$H$2:$H$1775,'Opportunities'!$E$2:$E$1775,"=partner",'Opportunities'!$V$2:$V$1775,"=emea",'Opportunities'!$N$2:$N$1775,"=sep25",'Opportunities'!$P$2:$P$1775,"=1")</f>
        <v>104700</v>
      </c>
      <c r="J160" s="4">
        <f>SUMIFS('Opportunities'!$H$2:$H$1775,'Opportunities'!$E$2:$E$1775,"=partner",'Opportunities'!$V$2:$V$1775,"=emea",'Opportunities'!$N$2:$N$1775,"=oct25",'Opportunities'!$P$2:$P$1775,"=1")</f>
        <v>55000</v>
      </c>
      <c r="K160" s="4">
        <f>SUMIFS('Opportunities'!$H$2:$H$1775,'Opportunities'!$E$2:$E$1775,"=partner",'Opportunities'!$V$2:$V$1775,"=emea",'Opportunities'!$N$2:$N$1775,"=nov25",'Opportunities'!$P$2:$P$1775,"=1")</f>
        <v>17300</v>
      </c>
      <c r="L160" s="4">
        <f>SUMIFS('Opportunities'!$H$2:$H$1775,'Opportunities'!$E$2:$E$1775,"=partner",'Opportunities'!$V$2:$V$1775,"=emea",'Opportunities'!$N$2:$N$1775,"=dec25",'Opportunities'!$P$2:$P$1775,"=1")</f>
        <v>21200</v>
      </c>
      <c r="M160" s="4">
        <f>SUMIFS('Opportunities'!$H$2:$H$1775,'Opportunities'!$E$2:$E$1775,"=partner",'Opportunities'!$V$2:$V$1775,"=emea",'Opportunities'!$N$2:$N$1775,"=jan26",'Opportunities'!$P$2:$P$1775,"=1")</f>
        <v>0</v>
      </c>
      <c r="N160" s="4">
        <f>SUMIFS('Opportunities'!$H$2:$H$1775,'Opportunities'!$E$2:$E$1775,"=partner",'Opportunities'!$V$2:$V$1775,"=emea",'Opportunities'!$N$2:$N$1775,"=feb26",'Opportunities'!$P$2:$P$1775,"=1")</f>
        <v>0</v>
      </c>
      <c r="O160" s="4">
        <f>SUMIFS('Opportunities'!$H$2:$H$1775,'Opportunities'!$E$2:$E$1775,"=partner",'Opportunities'!$V$2:$V$1775,"=emea",'Opportunities'!$N$2:$N$1775,"=mar26",'Opportunities'!$P$2:$P$1775,"=1")</f>
        <v>9300</v>
      </c>
      <c r="P160" s="4">
        <f>SUMIFS('Opportunities'!$H$2:$H$1775,'Opportunities'!$E$2:$E$1775,"=partner",'Opportunities'!$V$2:$V$1775,"=emea",'Opportunities'!$N$2:$N$1775,"=apr26",'Opportunities'!$P$2:$P$1775,"=1")</f>
        <v>16700</v>
      </c>
      <c r="Q160" s="4">
        <f>SUMIFS('Opportunities'!$H$2:$H$1775,'Opportunities'!$E$2:$E$1775,"=partner",'Opportunities'!$V$2:$V$1775,"=emea",'Opportunities'!$N$2:$N$1775,"=may26",'Opportunities'!$P$2:$P$1775,"=1")</f>
        <v>0</v>
      </c>
      <c r="R160" s="4">
        <f>SUMIFS('Opportunities'!$H$2:$H$1775,'Opportunities'!$E$2:$E$1775,"=partner",'Opportunities'!$V$2:$V$1775,"=emea",'Opportunities'!$N$2:$N$1775,"=jun26",'Opportunities'!$P$2:$P$1775,"=1")</f>
        <v>0</v>
      </c>
      <c r="S160" s="4">
        <f>SUMIFS('Opportunities'!$H$2:$H$1775,'Opportunities'!$E$2:$E$1775,"=partner",'Opportunities'!$V$2:$V$1775,"=emea",'Opportunities'!$N$2:$N$1775,"=jul26",'Opportunities'!$P$2:$P$1775,"=1")</f>
        <v>15200</v>
      </c>
      <c r="T160" s="4">
        <f>SUMIFS('Opportunities'!$H$2:$H$1775,'Opportunities'!$E$2:$E$1775,"=partner",'Opportunities'!$V$2:$V$1775,"=emea",'Opportunities'!$N$2:$N$1775,"=aug26",'Opportunities'!$P$2:$P$1775,"=1")</f>
        <v>0</v>
      </c>
      <c r="U160" s="4">
        <f>SUMIFS('Opportunities'!$H$2:$H$1775,'Opportunities'!$E$2:$E$1775,"=partner",'Opportunities'!$V$2:$V$1775,"=emea",'Opportunities'!$N$2:$N$1775,"=sep26",'Opportunities'!$P$2:$P$1775,"=1")</f>
        <v>13500</v>
      </c>
      <c r="V160" s="4">
        <f>SUMIFS('Opportunities'!$H$2:$H$1775,'Opportunities'!$E$2:$E$1775,"=partner",'Opportunities'!$V$2:$V$1775,"=emea",'Opportunities'!$N$2:$N$1775,"=oct26",'Opportunities'!$P$2:$P$1775,"=1")</f>
        <v>0</v>
      </c>
      <c r="W160" s="4">
        <f>SUMIFS('Opportunities'!$H$2:$H$1775,'Opportunities'!$E$2:$E$1775,"=partner",'Opportunities'!$V$2:$V$1775,"=emea",'Opportunities'!$N$2:$N$1775,"=nov26",'Opportunities'!$P$2:$P$1775,"=1")</f>
        <v>0</v>
      </c>
      <c r="X160" s="4">
        <f>SUMIFS('Opportunities'!$H$2:$H$1775,'Opportunities'!$E$2:$E$1775,"=partner",'Opportunities'!$V$2:$V$1775,"=emea",'Opportunities'!$N$2:$N$1775,"=dec26",'Opportunities'!$P$2:$P$1775,"=1")</f>
        <v>0</v>
      </c>
    </row>
    <row r="161">
      <c r="A161" s="0" t="inlineStr">
        <is>
          <t xml:space="preserve">Bookings</t>
        </is>
      </c>
      <c r="B161" s="0" t="inlineStr">
        <is>
          <t xml:space="preserve">Partner</t>
        </is>
      </c>
      <c r="C161" s="0" t="inlineStr">
        <is>
          <t xml:space="preserve">APAC</t>
        </is>
      </c>
      <c r="D161" s="4">
        <f>SUMIFS('Opportunities'!$H$2:$H$1775,'Opportunities'!$E$2:$E$1775,"=partner",'Opportunities'!$V$2:$V$1775,"=apac",'Opportunities'!$N$2:$N$1775,"=apr25",'Opportunities'!$P$2:$P$1775,"=1")</f>
        <v>0</v>
      </c>
      <c r="E161" s="4">
        <f>SUMIFS('Opportunities'!$H$2:$H$1775,'Opportunities'!$E$2:$E$1775,"=partner",'Opportunities'!$V$2:$V$1775,"=apac",'Opportunities'!$N$2:$N$1775,"=may25",'Opportunities'!$P$2:$P$1775,"=1")</f>
        <v>0</v>
      </c>
      <c r="F161" s="4">
        <f>SUMIFS('Opportunities'!$H$2:$H$1775,'Opportunities'!$E$2:$E$1775,"=partner",'Opportunities'!$V$2:$V$1775,"=apac",'Opportunities'!$N$2:$N$1775,"=jun25",'Opportunities'!$P$2:$P$1775,"=1")</f>
        <v>0</v>
      </c>
      <c r="G161" s="4">
        <f>SUMIFS('Opportunities'!$H$2:$H$1775,'Opportunities'!$E$2:$E$1775,"=partner",'Opportunities'!$V$2:$V$1775,"=apac",'Opportunities'!$N$2:$N$1775,"=jul25",'Opportunities'!$P$2:$P$1775,"=1")</f>
        <v>0</v>
      </c>
      <c r="H161" s="4">
        <f>SUMIFS('Opportunities'!$H$2:$H$1775,'Opportunities'!$E$2:$E$1775,"=partner",'Opportunities'!$V$2:$V$1775,"=apac",'Opportunities'!$N$2:$N$1775,"=aug25",'Opportunities'!$P$2:$P$1775,"=1")</f>
        <v>9600</v>
      </c>
      <c r="I161" s="4">
        <f>SUMIFS('Opportunities'!$H$2:$H$1775,'Opportunities'!$E$2:$E$1775,"=partner",'Opportunities'!$V$2:$V$1775,"=apac",'Opportunities'!$N$2:$N$1775,"=sep25",'Opportunities'!$P$2:$P$1775,"=1")</f>
        <v>83800</v>
      </c>
      <c r="J161" s="4">
        <f>SUMIFS('Opportunities'!$H$2:$H$1775,'Opportunities'!$E$2:$E$1775,"=partner",'Opportunities'!$V$2:$V$1775,"=apac",'Opportunities'!$N$2:$N$1775,"=oct25",'Opportunities'!$P$2:$P$1775,"=1")</f>
        <v>0</v>
      </c>
      <c r="K161" s="4">
        <f>SUMIFS('Opportunities'!$H$2:$H$1775,'Opportunities'!$E$2:$E$1775,"=partner",'Opportunities'!$V$2:$V$1775,"=apac",'Opportunities'!$N$2:$N$1775,"=nov25",'Opportunities'!$P$2:$P$1775,"=1")</f>
        <v>23800</v>
      </c>
      <c r="L161" s="4">
        <f>SUMIFS('Opportunities'!$H$2:$H$1775,'Opportunities'!$E$2:$E$1775,"=partner",'Opportunities'!$V$2:$V$1775,"=apac",'Opportunities'!$N$2:$N$1775,"=dec25",'Opportunities'!$P$2:$P$1775,"=1")</f>
        <v>0</v>
      </c>
      <c r="M161" s="4">
        <f>SUMIFS('Opportunities'!$H$2:$H$1775,'Opportunities'!$E$2:$E$1775,"=partner",'Opportunities'!$V$2:$V$1775,"=apac",'Opportunities'!$N$2:$N$1775,"=jan26",'Opportunities'!$P$2:$P$1775,"=1")</f>
        <v>0</v>
      </c>
      <c r="N161" s="4">
        <f>SUMIFS('Opportunities'!$H$2:$H$1775,'Opportunities'!$E$2:$E$1775,"=partner",'Opportunities'!$V$2:$V$1775,"=apac",'Opportunities'!$N$2:$N$1775,"=feb26",'Opportunities'!$P$2:$P$1775,"=1")</f>
        <v>0</v>
      </c>
      <c r="O161" s="4">
        <f>SUMIFS('Opportunities'!$H$2:$H$1775,'Opportunities'!$E$2:$E$1775,"=partner",'Opportunities'!$V$2:$V$1775,"=apac",'Opportunities'!$N$2:$N$1775,"=mar26",'Opportunities'!$P$2:$P$1775,"=1")</f>
        <v>0</v>
      </c>
      <c r="P161" s="4">
        <f>SUMIFS('Opportunities'!$H$2:$H$1775,'Opportunities'!$E$2:$E$1775,"=partner",'Opportunities'!$V$2:$V$1775,"=apac",'Opportunities'!$N$2:$N$1775,"=apr26",'Opportunities'!$P$2:$P$1775,"=1")</f>
        <v>0</v>
      </c>
      <c r="Q161" s="4">
        <f>SUMIFS('Opportunities'!$H$2:$H$1775,'Opportunities'!$E$2:$E$1775,"=partner",'Opportunities'!$V$2:$V$1775,"=apac",'Opportunities'!$N$2:$N$1775,"=may26",'Opportunities'!$P$2:$P$1775,"=1")</f>
        <v>0</v>
      </c>
      <c r="R161" s="4">
        <f>SUMIFS('Opportunities'!$H$2:$H$1775,'Opportunities'!$E$2:$E$1775,"=partner",'Opportunities'!$V$2:$V$1775,"=apac",'Opportunities'!$N$2:$N$1775,"=jun26",'Opportunities'!$P$2:$P$1775,"=1")</f>
        <v>27400</v>
      </c>
      <c r="S161" s="4">
        <f>SUMIFS('Opportunities'!$H$2:$H$1775,'Opportunities'!$E$2:$E$1775,"=partner",'Opportunities'!$V$2:$V$1775,"=apac",'Opportunities'!$N$2:$N$1775,"=jul26",'Opportunities'!$P$2:$P$1775,"=1")</f>
        <v>100100</v>
      </c>
      <c r="T161" s="4">
        <f>SUMIFS('Opportunities'!$H$2:$H$1775,'Opportunities'!$E$2:$E$1775,"=partner",'Opportunities'!$V$2:$V$1775,"=apac",'Opportunities'!$N$2:$N$1775,"=aug26",'Opportunities'!$P$2:$P$1775,"=1")</f>
        <v>103400</v>
      </c>
      <c r="U161" s="4">
        <f>SUMIFS('Opportunities'!$H$2:$H$1775,'Opportunities'!$E$2:$E$1775,"=partner",'Opportunities'!$V$2:$V$1775,"=apac",'Opportunities'!$N$2:$N$1775,"=sep26",'Opportunities'!$P$2:$P$1775,"=1")</f>
        <v>0</v>
      </c>
      <c r="V161" s="4">
        <f>SUMIFS('Opportunities'!$H$2:$H$1775,'Opportunities'!$E$2:$E$1775,"=partner",'Opportunities'!$V$2:$V$1775,"=apac",'Opportunities'!$N$2:$N$1775,"=oct26",'Opportunities'!$P$2:$P$1775,"=1")</f>
        <v>0</v>
      </c>
      <c r="W161" s="4">
        <f>SUMIFS('Opportunities'!$H$2:$H$1775,'Opportunities'!$E$2:$E$1775,"=partner",'Opportunities'!$V$2:$V$1775,"=apac",'Opportunities'!$N$2:$N$1775,"=nov26",'Opportunities'!$P$2:$P$1775,"=1")</f>
        <v>0</v>
      </c>
      <c r="X161" s="4">
        <f>SUMIFS('Opportunities'!$H$2:$H$1775,'Opportunities'!$E$2:$E$1775,"=partner",'Opportunities'!$V$2:$V$1775,"=apac",'Opportunities'!$N$2:$N$1775,"=dec26",'Opportunities'!$P$2:$P$1775,"=1")</f>
        <v>0</v>
      </c>
    </row>
    <row r="162">
      <c r="A162" s="0" t="inlineStr">
        <is>
          <t xml:space="preserve">Bookings</t>
        </is>
      </c>
      <c r="B162" s="0" t="inlineStr">
        <is>
          <t xml:space="preserve">Outbound (BDR)</t>
        </is>
      </c>
      <c r="C162" s="0" t="inlineStr">
        <is>
          <t xml:space="preserve">AMER East</t>
        </is>
      </c>
      <c r="D162" s="4">
        <f>SUMIFS('Opportunities'!$H$2:$H$1775,'Opportunities'!$E$2:$E$1775,"=outbound",'Opportunities'!$V$2:$V$1775,"=amer_east",'Opportunities'!$N$2:$N$1775,"=apr25",'Opportunities'!$P$2:$P$1775,"=1")</f>
        <v>0</v>
      </c>
      <c r="E162" s="4">
        <f>SUMIFS('Opportunities'!$H$2:$H$1775,'Opportunities'!$E$2:$E$1775,"=outbound",'Opportunities'!$V$2:$V$1775,"=amer_east",'Opportunities'!$N$2:$N$1775,"=may25",'Opportunities'!$P$2:$P$1775,"=1")</f>
        <v>0</v>
      </c>
      <c r="F162" s="4">
        <f>SUMIFS('Opportunities'!$H$2:$H$1775,'Opportunities'!$E$2:$E$1775,"=outbound",'Opportunities'!$V$2:$V$1775,"=amer_east",'Opportunities'!$N$2:$N$1775,"=jun25",'Opportunities'!$P$2:$P$1775,"=1")</f>
        <v>10600</v>
      </c>
      <c r="G162" s="4">
        <f>SUMIFS('Opportunities'!$H$2:$H$1775,'Opportunities'!$E$2:$E$1775,"=outbound",'Opportunities'!$V$2:$V$1775,"=amer_east",'Opportunities'!$N$2:$N$1775,"=jul25",'Opportunities'!$P$2:$P$1775,"=1")</f>
        <v>16800</v>
      </c>
      <c r="H162" s="4">
        <f>SUMIFS('Opportunities'!$H$2:$H$1775,'Opportunities'!$E$2:$E$1775,"=outbound",'Opportunities'!$V$2:$V$1775,"=amer_east",'Opportunities'!$N$2:$N$1775,"=aug25",'Opportunities'!$P$2:$P$1775,"=1")</f>
        <v>0</v>
      </c>
      <c r="I162" s="4">
        <f>SUMIFS('Opportunities'!$H$2:$H$1775,'Opportunities'!$E$2:$E$1775,"=outbound",'Opportunities'!$V$2:$V$1775,"=amer_east",'Opportunities'!$N$2:$N$1775,"=sep25",'Opportunities'!$P$2:$P$1775,"=1")</f>
        <v>87800</v>
      </c>
      <c r="J162" s="4">
        <f>SUMIFS('Opportunities'!$H$2:$H$1775,'Opportunities'!$E$2:$E$1775,"=outbound",'Opportunities'!$V$2:$V$1775,"=amer_east",'Opportunities'!$N$2:$N$1775,"=oct25",'Opportunities'!$P$2:$P$1775,"=1")</f>
        <v>23600</v>
      </c>
      <c r="K162" s="4">
        <f>SUMIFS('Opportunities'!$H$2:$H$1775,'Opportunities'!$E$2:$E$1775,"=outbound",'Opportunities'!$V$2:$V$1775,"=amer_east",'Opportunities'!$N$2:$N$1775,"=nov25",'Opportunities'!$P$2:$P$1775,"=1")</f>
        <v>0</v>
      </c>
      <c r="L162" s="4">
        <f>SUMIFS('Opportunities'!$H$2:$H$1775,'Opportunities'!$E$2:$E$1775,"=outbound",'Opportunities'!$V$2:$V$1775,"=amer_east",'Opportunities'!$N$2:$N$1775,"=dec25",'Opportunities'!$P$2:$P$1775,"=1")</f>
        <v>7400</v>
      </c>
      <c r="M162" s="4">
        <f>SUMIFS('Opportunities'!$H$2:$H$1775,'Opportunities'!$E$2:$E$1775,"=outbound",'Opportunities'!$V$2:$V$1775,"=amer_east",'Opportunities'!$N$2:$N$1775,"=jan26",'Opportunities'!$P$2:$P$1775,"=1")</f>
        <v>24100</v>
      </c>
      <c r="N162" s="4">
        <f>SUMIFS('Opportunities'!$H$2:$H$1775,'Opportunities'!$E$2:$E$1775,"=outbound",'Opportunities'!$V$2:$V$1775,"=amer_east",'Opportunities'!$N$2:$N$1775,"=feb26",'Opportunities'!$P$2:$P$1775,"=1")</f>
        <v>0</v>
      </c>
      <c r="O162" s="4">
        <f>SUMIFS('Opportunities'!$H$2:$H$1775,'Opportunities'!$E$2:$E$1775,"=outbound",'Opportunities'!$V$2:$V$1775,"=amer_east",'Opportunities'!$N$2:$N$1775,"=mar26",'Opportunities'!$P$2:$P$1775,"=1")</f>
        <v>139600</v>
      </c>
      <c r="P162" s="4">
        <f>SUMIFS('Opportunities'!$H$2:$H$1775,'Opportunities'!$E$2:$E$1775,"=outbound",'Opportunities'!$V$2:$V$1775,"=amer_east",'Opportunities'!$N$2:$N$1775,"=apr26",'Opportunities'!$P$2:$P$1775,"=1")</f>
        <v>0</v>
      </c>
      <c r="Q162" s="4">
        <f>SUMIFS('Opportunities'!$H$2:$H$1775,'Opportunities'!$E$2:$E$1775,"=outbound",'Opportunities'!$V$2:$V$1775,"=amer_east",'Opportunities'!$N$2:$N$1775,"=may26",'Opportunities'!$P$2:$P$1775,"=1")</f>
        <v>141600</v>
      </c>
      <c r="R162" s="4">
        <f>SUMIFS('Opportunities'!$H$2:$H$1775,'Opportunities'!$E$2:$E$1775,"=outbound",'Opportunities'!$V$2:$V$1775,"=amer_east",'Opportunities'!$N$2:$N$1775,"=jun26",'Opportunities'!$P$2:$P$1775,"=1")</f>
        <v>17700</v>
      </c>
      <c r="S162" s="4">
        <f>SUMIFS('Opportunities'!$H$2:$H$1775,'Opportunities'!$E$2:$E$1775,"=outbound",'Opportunities'!$V$2:$V$1775,"=amer_east",'Opportunities'!$N$2:$N$1775,"=jul26",'Opportunities'!$P$2:$P$1775,"=1")</f>
        <v>0</v>
      </c>
      <c r="T162" s="4">
        <f>SUMIFS('Opportunities'!$H$2:$H$1775,'Opportunities'!$E$2:$E$1775,"=outbound",'Opportunities'!$V$2:$V$1775,"=amer_east",'Opportunities'!$N$2:$N$1775,"=aug26",'Opportunities'!$P$2:$P$1775,"=1")</f>
        <v>39600</v>
      </c>
      <c r="U162" s="4">
        <f>SUMIFS('Opportunities'!$H$2:$H$1775,'Opportunities'!$E$2:$E$1775,"=outbound",'Opportunities'!$V$2:$V$1775,"=amer_east",'Opportunities'!$N$2:$N$1775,"=sep26",'Opportunities'!$P$2:$P$1775,"=1")</f>
        <v>0</v>
      </c>
      <c r="V162" s="4">
        <f>SUMIFS('Opportunities'!$H$2:$H$1775,'Opportunities'!$E$2:$E$1775,"=outbound",'Opportunities'!$V$2:$V$1775,"=amer_east",'Opportunities'!$N$2:$N$1775,"=oct26",'Opportunities'!$P$2:$P$1775,"=1")</f>
        <v>0</v>
      </c>
      <c r="W162" s="4">
        <f>SUMIFS('Opportunities'!$H$2:$H$1775,'Opportunities'!$E$2:$E$1775,"=outbound",'Opportunities'!$V$2:$V$1775,"=amer_east",'Opportunities'!$N$2:$N$1775,"=nov26",'Opportunities'!$P$2:$P$1775,"=1")</f>
        <v>0</v>
      </c>
      <c r="X162" s="4">
        <f>SUMIFS('Opportunities'!$H$2:$H$1775,'Opportunities'!$E$2:$E$1775,"=outbound",'Opportunities'!$V$2:$V$1775,"=amer_east",'Opportunities'!$N$2:$N$1775,"=dec26",'Opportunities'!$P$2:$P$1775,"=1")</f>
        <v>0</v>
      </c>
    </row>
    <row r="163">
      <c r="A163" s="0" t="inlineStr">
        <is>
          <t xml:space="preserve">Bookings</t>
        </is>
      </c>
      <c r="B163" s="0" t="inlineStr">
        <is>
          <t xml:space="preserve">Outbound (BDR)</t>
        </is>
      </c>
      <c r="C163" s="0" t="inlineStr">
        <is>
          <t xml:space="preserve">AMER West</t>
        </is>
      </c>
      <c r="D163" s="4">
        <f>SUMIFS('Opportunities'!$H$2:$H$1775,'Opportunities'!$E$2:$E$1775,"=outbound",'Opportunities'!$V$2:$V$1775,"=amer_west",'Opportunities'!$N$2:$N$1775,"=apr25",'Opportunities'!$P$2:$P$1775,"=1")</f>
        <v>0</v>
      </c>
      <c r="E163" s="4">
        <f>SUMIFS('Opportunities'!$H$2:$H$1775,'Opportunities'!$E$2:$E$1775,"=outbound",'Opportunities'!$V$2:$V$1775,"=amer_west",'Opportunities'!$N$2:$N$1775,"=may25",'Opportunities'!$P$2:$P$1775,"=1")</f>
        <v>12600</v>
      </c>
      <c r="F163" s="4">
        <f>SUMIFS('Opportunities'!$H$2:$H$1775,'Opportunities'!$E$2:$E$1775,"=outbound",'Opportunities'!$V$2:$V$1775,"=amer_west",'Opportunities'!$N$2:$N$1775,"=jun25",'Opportunities'!$P$2:$P$1775,"=1")</f>
        <v>0</v>
      </c>
      <c r="G163" s="4">
        <f>SUMIFS('Opportunities'!$H$2:$H$1775,'Opportunities'!$E$2:$E$1775,"=outbound",'Opportunities'!$V$2:$V$1775,"=amer_west",'Opportunities'!$N$2:$N$1775,"=jul25",'Opportunities'!$P$2:$P$1775,"=1")</f>
        <v>13700</v>
      </c>
      <c r="H163" s="4">
        <f>SUMIFS('Opportunities'!$H$2:$H$1775,'Opportunities'!$E$2:$E$1775,"=outbound",'Opportunities'!$V$2:$V$1775,"=amer_west",'Opportunities'!$N$2:$N$1775,"=aug25",'Opportunities'!$P$2:$P$1775,"=1")</f>
        <v>14800</v>
      </c>
      <c r="I163" s="4">
        <f>SUMIFS('Opportunities'!$H$2:$H$1775,'Opportunities'!$E$2:$E$1775,"=outbound",'Opportunities'!$V$2:$V$1775,"=amer_west",'Opportunities'!$N$2:$N$1775,"=sep25",'Opportunities'!$P$2:$P$1775,"=1")</f>
        <v>0</v>
      </c>
      <c r="J163" s="4">
        <f>SUMIFS('Opportunities'!$H$2:$H$1775,'Opportunities'!$E$2:$E$1775,"=outbound",'Opportunities'!$V$2:$V$1775,"=amer_west",'Opportunities'!$N$2:$N$1775,"=oct25",'Opportunities'!$P$2:$P$1775,"=1")</f>
        <v>0</v>
      </c>
      <c r="K163" s="4">
        <f>SUMIFS('Opportunities'!$H$2:$H$1775,'Opportunities'!$E$2:$E$1775,"=outbound",'Opportunities'!$V$2:$V$1775,"=amer_west",'Opportunities'!$N$2:$N$1775,"=nov25",'Opportunities'!$P$2:$P$1775,"=1")</f>
        <v>17000</v>
      </c>
      <c r="L163" s="4">
        <f>SUMIFS('Opportunities'!$H$2:$H$1775,'Opportunities'!$E$2:$E$1775,"=outbound",'Opportunities'!$V$2:$V$1775,"=amer_west",'Opportunities'!$N$2:$N$1775,"=dec25",'Opportunities'!$P$2:$P$1775,"=1")</f>
        <v>40000</v>
      </c>
      <c r="M163" s="4">
        <f>SUMIFS('Opportunities'!$H$2:$H$1775,'Opportunities'!$E$2:$E$1775,"=outbound",'Opportunities'!$V$2:$V$1775,"=amer_west",'Opportunities'!$N$2:$N$1775,"=jan26",'Opportunities'!$P$2:$P$1775,"=1")</f>
        <v>19600</v>
      </c>
      <c r="N163" s="4">
        <f>SUMIFS('Opportunities'!$H$2:$H$1775,'Opportunities'!$E$2:$E$1775,"=outbound",'Opportunities'!$V$2:$V$1775,"=amer_west",'Opportunities'!$N$2:$N$1775,"=feb26",'Opportunities'!$P$2:$P$1775,"=1")</f>
        <v>0</v>
      </c>
      <c r="O163" s="4">
        <f>SUMIFS('Opportunities'!$H$2:$H$1775,'Opportunities'!$E$2:$E$1775,"=outbound",'Opportunities'!$V$2:$V$1775,"=amer_west",'Opportunities'!$N$2:$N$1775,"=mar26",'Opportunities'!$P$2:$P$1775,"=1")</f>
        <v>79900</v>
      </c>
      <c r="P163" s="4">
        <f>SUMIFS('Opportunities'!$H$2:$H$1775,'Opportunities'!$E$2:$E$1775,"=outbound",'Opportunities'!$V$2:$V$1775,"=amer_west",'Opportunities'!$N$2:$N$1775,"=apr26",'Opportunities'!$P$2:$P$1775,"=1")</f>
        <v>0</v>
      </c>
      <c r="Q163" s="4">
        <f>SUMIFS('Opportunities'!$H$2:$H$1775,'Opportunities'!$E$2:$E$1775,"=outbound",'Opportunities'!$V$2:$V$1775,"=amer_west",'Opportunities'!$N$2:$N$1775,"=may26",'Opportunities'!$P$2:$P$1775,"=1")</f>
        <v>0</v>
      </c>
      <c r="R163" s="4">
        <f>SUMIFS('Opportunities'!$H$2:$H$1775,'Opportunities'!$E$2:$E$1775,"=outbound",'Opportunities'!$V$2:$V$1775,"=amer_west",'Opportunities'!$N$2:$N$1775,"=jun26",'Opportunities'!$P$2:$P$1775,"=1")</f>
        <v>228800</v>
      </c>
      <c r="S163" s="4">
        <f>SUMIFS('Opportunities'!$H$2:$H$1775,'Opportunities'!$E$2:$E$1775,"=outbound",'Opportunities'!$V$2:$V$1775,"=amer_west",'Opportunities'!$N$2:$N$1775,"=jul26",'Opportunities'!$P$2:$P$1775,"=1")</f>
        <v>145500</v>
      </c>
      <c r="T163" s="4">
        <f>SUMIFS('Opportunities'!$H$2:$H$1775,'Opportunities'!$E$2:$E$1775,"=outbound",'Opportunities'!$V$2:$V$1775,"=amer_west",'Opportunities'!$N$2:$N$1775,"=aug26",'Opportunities'!$P$2:$P$1775,"=1")</f>
        <v>13200</v>
      </c>
      <c r="U163" s="4">
        <f>SUMIFS('Opportunities'!$H$2:$H$1775,'Opportunities'!$E$2:$E$1775,"=outbound",'Opportunities'!$V$2:$V$1775,"=amer_west",'Opportunities'!$N$2:$N$1775,"=sep26",'Opportunities'!$P$2:$P$1775,"=1")</f>
        <v>0</v>
      </c>
      <c r="V163" s="4">
        <f>SUMIFS('Opportunities'!$H$2:$H$1775,'Opportunities'!$E$2:$E$1775,"=outbound",'Opportunities'!$V$2:$V$1775,"=amer_west",'Opportunities'!$N$2:$N$1775,"=oct26",'Opportunities'!$P$2:$P$1775,"=1")</f>
        <v>0</v>
      </c>
      <c r="W163" s="4">
        <f>SUMIFS('Opportunities'!$H$2:$H$1775,'Opportunities'!$E$2:$E$1775,"=outbound",'Opportunities'!$V$2:$V$1775,"=amer_west",'Opportunities'!$N$2:$N$1775,"=nov26",'Opportunities'!$P$2:$P$1775,"=1")</f>
        <v>0</v>
      </c>
      <c r="X163" s="4">
        <f>SUMIFS('Opportunities'!$H$2:$H$1775,'Opportunities'!$E$2:$E$1775,"=outbound",'Opportunities'!$V$2:$V$1775,"=amer_west",'Opportunities'!$N$2:$N$1775,"=dec26",'Opportunities'!$P$2:$P$1775,"=1")</f>
        <v>0</v>
      </c>
    </row>
    <row r="164">
      <c r="A164" s="0" t="inlineStr">
        <is>
          <t xml:space="preserve">Bookings</t>
        </is>
      </c>
      <c r="B164" s="0" t="inlineStr">
        <is>
          <t xml:space="preserve">Outbound (BDR)</t>
        </is>
      </c>
      <c r="C164" s="0" t="inlineStr">
        <is>
          <t xml:space="preserve">EMEA</t>
        </is>
      </c>
      <c r="D164" s="4">
        <f>SUMIFS('Opportunities'!$H$2:$H$1775,'Opportunities'!$E$2:$E$1775,"=outbound",'Opportunities'!$V$2:$V$1775,"=emea",'Opportunities'!$N$2:$N$1775,"=apr25",'Opportunities'!$P$2:$P$1775,"=1")</f>
        <v>0</v>
      </c>
      <c r="E164" s="4">
        <f>SUMIFS('Opportunities'!$H$2:$H$1775,'Opportunities'!$E$2:$E$1775,"=outbound",'Opportunities'!$V$2:$V$1775,"=emea",'Opportunities'!$N$2:$N$1775,"=may25",'Opportunities'!$P$2:$P$1775,"=1")</f>
        <v>0</v>
      </c>
      <c r="F164" s="4">
        <f>SUMIFS('Opportunities'!$H$2:$H$1775,'Opportunities'!$E$2:$E$1775,"=outbound",'Opportunities'!$V$2:$V$1775,"=emea",'Opportunities'!$N$2:$N$1775,"=jun25",'Opportunities'!$P$2:$P$1775,"=1")</f>
        <v>23700</v>
      </c>
      <c r="G164" s="4">
        <f>SUMIFS('Opportunities'!$H$2:$H$1775,'Opportunities'!$E$2:$E$1775,"=outbound",'Opportunities'!$V$2:$V$1775,"=emea",'Opportunities'!$N$2:$N$1775,"=jul25",'Opportunities'!$P$2:$P$1775,"=1")</f>
        <v>0</v>
      </c>
      <c r="H164" s="4">
        <f>SUMIFS('Opportunities'!$H$2:$H$1775,'Opportunities'!$E$2:$E$1775,"=outbound",'Opportunities'!$V$2:$V$1775,"=emea",'Opportunities'!$N$2:$N$1775,"=aug25",'Opportunities'!$P$2:$P$1775,"=1")</f>
        <v>0</v>
      </c>
      <c r="I164" s="4">
        <f>SUMIFS('Opportunities'!$H$2:$H$1775,'Opportunities'!$E$2:$E$1775,"=outbound",'Opportunities'!$V$2:$V$1775,"=emea",'Opportunities'!$N$2:$N$1775,"=sep25",'Opportunities'!$P$2:$P$1775,"=1")</f>
        <v>41100</v>
      </c>
      <c r="J164" s="4">
        <f>SUMIFS('Opportunities'!$H$2:$H$1775,'Opportunities'!$E$2:$E$1775,"=outbound",'Opportunities'!$V$2:$V$1775,"=emea",'Opportunities'!$N$2:$N$1775,"=oct25",'Opportunities'!$P$2:$P$1775,"=1")</f>
        <v>6200</v>
      </c>
      <c r="K164" s="4">
        <f>SUMIFS('Opportunities'!$H$2:$H$1775,'Opportunities'!$E$2:$E$1775,"=outbound",'Opportunities'!$V$2:$V$1775,"=emea",'Opportunities'!$N$2:$N$1775,"=nov25",'Opportunities'!$P$2:$P$1775,"=1")</f>
        <v>143700</v>
      </c>
      <c r="L164" s="4">
        <f>SUMIFS('Opportunities'!$H$2:$H$1775,'Opportunities'!$E$2:$E$1775,"=outbound",'Opportunities'!$V$2:$V$1775,"=emea",'Opportunities'!$N$2:$N$1775,"=dec25",'Opportunities'!$P$2:$P$1775,"=1")</f>
        <v>0</v>
      </c>
      <c r="M164" s="4">
        <f>SUMIFS('Opportunities'!$H$2:$H$1775,'Opportunities'!$E$2:$E$1775,"=outbound",'Opportunities'!$V$2:$V$1775,"=emea",'Opportunities'!$N$2:$N$1775,"=jan26",'Opportunities'!$P$2:$P$1775,"=1")</f>
        <v>46900</v>
      </c>
      <c r="N164" s="4">
        <f>SUMIFS('Opportunities'!$H$2:$H$1775,'Opportunities'!$E$2:$E$1775,"=outbound",'Opportunities'!$V$2:$V$1775,"=emea",'Opportunities'!$N$2:$N$1775,"=feb26",'Opportunities'!$P$2:$P$1775,"=1")</f>
        <v>16600</v>
      </c>
      <c r="O164" s="4">
        <f>SUMIFS('Opportunities'!$H$2:$H$1775,'Opportunities'!$E$2:$E$1775,"=outbound",'Opportunities'!$V$2:$V$1775,"=emea",'Opportunities'!$N$2:$N$1775,"=mar26",'Opportunities'!$P$2:$P$1775,"=1")</f>
        <v>80800</v>
      </c>
      <c r="P164" s="4">
        <f>SUMIFS('Opportunities'!$H$2:$H$1775,'Opportunities'!$E$2:$E$1775,"=outbound",'Opportunities'!$V$2:$V$1775,"=emea",'Opportunities'!$N$2:$N$1775,"=apr26",'Opportunities'!$P$2:$P$1775,"=1")</f>
        <v>109700</v>
      </c>
      <c r="Q164" s="4">
        <f>SUMIFS('Opportunities'!$H$2:$H$1775,'Opportunities'!$E$2:$E$1775,"=outbound",'Opportunities'!$V$2:$V$1775,"=emea",'Opportunities'!$N$2:$N$1775,"=may26",'Opportunities'!$P$2:$P$1775,"=1")</f>
        <v>17700</v>
      </c>
      <c r="R164" s="4">
        <f>SUMIFS('Opportunities'!$H$2:$H$1775,'Opportunities'!$E$2:$E$1775,"=outbound",'Opportunities'!$V$2:$V$1775,"=emea",'Opportunities'!$N$2:$N$1775,"=jun26",'Opportunities'!$P$2:$P$1775,"=1")</f>
        <v>85700</v>
      </c>
      <c r="S164" s="4">
        <f>SUMIFS('Opportunities'!$H$2:$H$1775,'Opportunities'!$E$2:$E$1775,"=outbound",'Opportunities'!$V$2:$V$1775,"=emea",'Opportunities'!$N$2:$N$1775,"=jul26",'Opportunities'!$P$2:$P$1775,"=1")</f>
        <v>0</v>
      </c>
      <c r="T164" s="4">
        <f>SUMIFS('Opportunities'!$H$2:$H$1775,'Opportunities'!$E$2:$E$1775,"=outbound",'Opportunities'!$V$2:$V$1775,"=emea",'Opportunities'!$N$2:$N$1775,"=aug26",'Opportunities'!$P$2:$P$1775,"=1")</f>
        <v>9700</v>
      </c>
      <c r="U164" s="4">
        <f>SUMIFS('Opportunities'!$H$2:$H$1775,'Opportunities'!$E$2:$E$1775,"=outbound",'Opportunities'!$V$2:$V$1775,"=emea",'Opportunities'!$N$2:$N$1775,"=sep26",'Opportunities'!$P$2:$P$1775,"=1")</f>
        <v>0</v>
      </c>
      <c r="V164" s="4">
        <f>SUMIFS('Opportunities'!$H$2:$H$1775,'Opportunities'!$E$2:$E$1775,"=outbound",'Opportunities'!$V$2:$V$1775,"=emea",'Opportunities'!$N$2:$N$1775,"=oct26",'Opportunities'!$P$2:$P$1775,"=1")</f>
        <v>0</v>
      </c>
      <c r="W164" s="4">
        <f>SUMIFS('Opportunities'!$H$2:$H$1775,'Opportunities'!$E$2:$E$1775,"=outbound",'Opportunities'!$V$2:$V$1775,"=emea",'Opportunities'!$N$2:$N$1775,"=nov26",'Opportunities'!$P$2:$P$1775,"=1")</f>
        <v>0</v>
      </c>
      <c r="X164" s="4">
        <f>SUMIFS('Opportunities'!$H$2:$H$1775,'Opportunities'!$E$2:$E$1775,"=outbound",'Opportunities'!$V$2:$V$1775,"=emea",'Opportunities'!$N$2:$N$1775,"=dec26",'Opportunities'!$P$2:$P$1775,"=1")</f>
        <v>0</v>
      </c>
    </row>
    <row r="165">
      <c r="A165" s="0" t="inlineStr">
        <is>
          <t xml:space="preserve">Bookings</t>
        </is>
      </c>
      <c r="B165" s="0" t="inlineStr">
        <is>
          <t xml:space="preserve">Outbound (BDR)</t>
        </is>
      </c>
      <c r="C165" s="0" t="inlineStr">
        <is>
          <t xml:space="preserve">APAC</t>
        </is>
      </c>
      <c r="D165" s="4">
        <f>SUMIFS('Opportunities'!$H$2:$H$1775,'Opportunities'!$E$2:$E$1775,"=outbound",'Opportunities'!$V$2:$V$1775,"=apac",'Opportunities'!$N$2:$N$1775,"=apr25",'Opportunities'!$P$2:$P$1775,"=1")</f>
        <v>0</v>
      </c>
      <c r="E165" s="4">
        <f>SUMIFS('Opportunities'!$H$2:$H$1775,'Opportunities'!$E$2:$E$1775,"=outbound",'Opportunities'!$V$2:$V$1775,"=apac",'Opportunities'!$N$2:$N$1775,"=may25",'Opportunities'!$P$2:$P$1775,"=1")</f>
        <v>48300</v>
      </c>
      <c r="F165" s="4">
        <f>SUMIFS('Opportunities'!$H$2:$H$1775,'Opportunities'!$E$2:$E$1775,"=outbound",'Opportunities'!$V$2:$V$1775,"=apac",'Opportunities'!$N$2:$N$1775,"=jun25",'Opportunities'!$P$2:$P$1775,"=1")</f>
        <v>0</v>
      </c>
      <c r="G165" s="4">
        <f>SUMIFS('Opportunities'!$H$2:$H$1775,'Opportunities'!$E$2:$E$1775,"=outbound",'Opportunities'!$V$2:$V$1775,"=apac",'Opportunities'!$N$2:$N$1775,"=jul25",'Opportunities'!$P$2:$P$1775,"=1")</f>
        <v>8000</v>
      </c>
      <c r="H165" s="4">
        <f>SUMIFS('Opportunities'!$H$2:$H$1775,'Opportunities'!$E$2:$E$1775,"=outbound",'Opportunities'!$V$2:$V$1775,"=apac",'Opportunities'!$N$2:$N$1775,"=aug25",'Opportunities'!$P$2:$P$1775,"=1")</f>
        <v>27100</v>
      </c>
      <c r="I165" s="4">
        <f>SUMIFS('Opportunities'!$H$2:$H$1775,'Opportunities'!$E$2:$E$1775,"=outbound",'Opportunities'!$V$2:$V$1775,"=apac",'Opportunities'!$N$2:$N$1775,"=sep25",'Opportunities'!$P$2:$P$1775,"=1")</f>
        <v>139700</v>
      </c>
      <c r="J165" s="4">
        <f>SUMIFS('Opportunities'!$H$2:$H$1775,'Opportunities'!$E$2:$E$1775,"=outbound",'Opportunities'!$V$2:$V$1775,"=apac",'Opportunities'!$N$2:$N$1775,"=oct25",'Opportunities'!$P$2:$P$1775,"=1")</f>
        <v>32000</v>
      </c>
      <c r="K165" s="4">
        <f>SUMIFS('Opportunities'!$H$2:$H$1775,'Opportunities'!$E$2:$E$1775,"=outbound",'Opportunities'!$V$2:$V$1775,"=apac",'Opportunities'!$N$2:$N$1775,"=nov25",'Opportunities'!$P$2:$P$1775,"=1")</f>
        <v>64300</v>
      </c>
      <c r="L165" s="4">
        <f>SUMIFS('Opportunities'!$H$2:$H$1775,'Opportunities'!$E$2:$E$1775,"=outbound",'Opportunities'!$V$2:$V$1775,"=apac",'Opportunities'!$N$2:$N$1775,"=dec25",'Opportunities'!$P$2:$P$1775,"=1")</f>
        <v>157300</v>
      </c>
      <c r="M165" s="4">
        <f>SUMIFS('Opportunities'!$H$2:$H$1775,'Opportunities'!$E$2:$E$1775,"=outbound",'Opportunities'!$V$2:$V$1775,"=apac",'Opportunities'!$N$2:$N$1775,"=jan26",'Opportunities'!$P$2:$P$1775,"=1")</f>
        <v>137200</v>
      </c>
      <c r="N165" s="4">
        <f>SUMIFS('Opportunities'!$H$2:$H$1775,'Opportunities'!$E$2:$E$1775,"=outbound",'Opportunities'!$V$2:$V$1775,"=apac",'Opportunities'!$N$2:$N$1775,"=feb26",'Opportunities'!$P$2:$P$1775,"=1")</f>
        <v>7000</v>
      </c>
      <c r="O165" s="4">
        <f>SUMIFS('Opportunities'!$H$2:$H$1775,'Opportunities'!$E$2:$E$1775,"=outbound",'Opportunities'!$V$2:$V$1775,"=apac",'Opportunities'!$N$2:$N$1775,"=mar26",'Opportunities'!$P$2:$P$1775,"=1")</f>
        <v>8900</v>
      </c>
      <c r="P165" s="4">
        <f>SUMIFS('Opportunities'!$H$2:$H$1775,'Opportunities'!$E$2:$E$1775,"=outbound",'Opportunities'!$V$2:$V$1775,"=apac",'Opportunities'!$N$2:$N$1775,"=apr26",'Opportunities'!$P$2:$P$1775,"=1")</f>
        <v>0</v>
      </c>
      <c r="Q165" s="4">
        <f>SUMIFS('Opportunities'!$H$2:$H$1775,'Opportunities'!$E$2:$E$1775,"=outbound",'Opportunities'!$V$2:$V$1775,"=apac",'Opportunities'!$N$2:$N$1775,"=may26",'Opportunities'!$P$2:$P$1775,"=1")</f>
        <v>0</v>
      </c>
      <c r="R165" s="4">
        <f>SUMIFS('Opportunities'!$H$2:$H$1775,'Opportunities'!$E$2:$E$1775,"=outbound",'Opportunities'!$V$2:$V$1775,"=apac",'Opportunities'!$N$2:$N$1775,"=jun26",'Opportunities'!$P$2:$P$1775,"=1")</f>
        <v>65100</v>
      </c>
      <c r="S165" s="4">
        <f>SUMIFS('Opportunities'!$H$2:$H$1775,'Opportunities'!$E$2:$E$1775,"=outbound",'Opportunities'!$V$2:$V$1775,"=apac",'Opportunities'!$N$2:$N$1775,"=jul26",'Opportunities'!$P$2:$P$1775,"=1")</f>
        <v>87500</v>
      </c>
      <c r="T165" s="4">
        <f>SUMIFS('Opportunities'!$H$2:$H$1775,'Opportunities'!$E$2:$E$1775,"=outbound",'Opportunities'!$V$2:$V$1775,"=apac",'Opportunities'!$N$2:$N$1775,"=aug26",'Opportunities'!$P$2:$P$1775,"=1")</f>
        <v>0</v>
      </c>
      <c r="U165" s="4">
        <f>SUMIFS('Opportunities'!$H$2:$H$1775,'Opportunities'!$E$2:$E$1775,"=outbound",'Opportunities'!$V$2:$V$1775,"=apac",'Opportunities'!$N$2:$N$1775,"=sep26",'Opportunities'!$P$2:$P$1775,"=1")</f>
        <v>49900</v>
      </c>
      <c r="V165" s="4">
        <f>SUMIFS('Opportunities'!$H$2:$H$1775,'Opportunities'!$E$2:$E$1775,"=outbound",'Opportunities'!$V$2:$V$1775,"=apac",'Opportunities'!$N$2:$N$1775,"=oct26",'Opportunities'!$P$2:$P$1775,"=1")</f>
        <v>0</v>
      </c>
      <c r="W165" s="4">
        <f>SUMIFS('Opportunities'!$H$2:$H$1775,'Opportunities'!$E$2:$E$1775,"=outbound",'Opportunities'!$V$2:$V$1775,"=apac",'Opportunities'!$N$2:$N$1775,"=nov26",'Opportunities'!$P$2:$P$1775,"=1")</f>
        <v>0</v>
      </c>
      <c r="X165" s="4">
        <f>SUMIFS('Opportunities'!$H$2:$H$1775,'Opportunities'!$E$2:$E$1775,"=outbound",'Opportunities'!$V$2:$V$1775,"=apac",'Opportunities'!$N$2:$N$1775,"=dec26",'Opportunities'!$P$2:$P$1775,"=1")</f>
        <v>0</v>
      </c>
    </row>
    <row r="166">
      <c r="A166" s="0" t="inlineStr">
        <is>
          <t xml:space="preserve">Bookings</t>
        </is>
      </c>
      <c r="B166" s="0" t="inlineStr">
        <is>
          <t xml:space="preserve">Customer referral</t>
        </is>
      </c>
      <c r="C166" s="0" t="inlineStr">
        <is>
          <t xml:space="preserve">AMER East</t>
        </is>
      </c>
      <c r="D166" s="4">
        <f>SUMIFS('Opportunities'!$H$2:$H$1775,'Opportunities'!$E$2:$E$1775,"=referral",'Opportunities'!$V$2:$V$1775,"=amer_east",'Opportunities'!$N$2:$N$1775,"=apr25",'Opportunities'!$P$2:$P$1775,"=1")</f>
        <v>0</v>
      </c>
      <c r="E166" s="4">
        <f>SUMIFS('Opportunities'!$H$2:$H$1775,'Opportunities'!$E$2:$E$1775,"=referral",'Opportunities'!$V$2:$V$1775,"=amer_east",'Opportunities'!$N$2:$N$1775,"=may25",'Opportunities'!$P$2:$P$1775,"=1")</f>
        <v>11000</v>
      </c>
      <c r="F166" s="4">
        <f>SUMIFS('Opportunities'!$H$2:$H$1775,'Opportunities'!$E$2:$E$1775,"=referral",'Opportunities'!$V$2:$V$1775,"=amer_east",'Opportunities'!$N$2:$N$1775,"=jun25",'Opportunities'!$P$2:$P$1775,"=1")</f>
        <v>116100</v>
      </c>
      <c r="G166" s="4">
        <f>SUMIFS('Opportunities'!$H$2:$H$1775,'Opportunities'!$E$2:$E$1775,"=referral",'Opportunities'!$V$2:$V$1775,"=amer_east",'Opportunities'!$N$2:$N$1775,"=jul25",'Opportunities'!$P$2:$P$1775,"=1")</f>
        <v>37900</v>
      </c>
      <c r="H166" s="4">
        <f>SUMIFS('Opportunities'!$H$2:$H$1775,'Opportunities'!$E$2:$E$1775,"=referral",'Opportunities'!$V$2:$V$1775,"=amer_east",'Opportunities'!$N$2:$N$1775,"=aug25",'Opportunities'!$P$2:$P$1775,"=1")</f>
        <v>0</v>
      </c>
      <c r="I166" s="4">
        <f>SUMIFS('Opportunities'!$H$2:$H$1775,'Opportunities'!$E$2:$E$1775,"=referral",'Opportunities'!$V$2:$V$1775,"=amer_east",'Opportunities'!$N$2:$N$1775,"=sep25",'Opportunities'!$P$2:$P$1775,"=1")</f>
        <v>0</v>
      </c>
      <c r="J166" s="4">
        <f>SUMIFS('Opportunities'!$H$2:$H$1775,'Opportunities'!$E$2:$E$1775,"=referral",'Opportunities'!$V$2:$V$1775,"=amer_east",'Opportunities'!$N$2:$N$1775,"=oct25",'Opportunities'!$P$2:$P$1775,"=1")</f>
        <v>0</v>
      </c>
      <c r="K166" s="4">
        <f>SUMIFS('Opportunities'!$H$2:$H$1775,'Opportunities'!$E$2:$E$1775,"=referral",'Opportunities'!$V$2:$V$1775,"=amer_east",'Opportunities'!$N$2:$N$1775,"=nov25",'Opportunities'!$P$2:$P$1775,"=1")</f>
        <v>104100</v>
      </c>
      <c r="L166" s="4">
        <f>SUMIFS('Opportunities'!$H$2:$H$1775,'Opportunities'!$E$2:$E$1775,"=referral",'Opportunities'!$V$2:$V$1775,"=amer_east",'Opportunities'!$N$2:$N$1775,"=dec25",'Opportunities'!$P$2:$P$1775,"=1")</f>
        <v>23500</v>
      </c>
      <c r="M166" s="4">
        <f>SUMIFS('Opportunities'!$H$2:$H$1775,'Opportunities'!$E$2:$E$1775,"=referral",'Opportunities'!$V$2:$V$1775,"=amer_east",'Opportunities'!$N$2:$N$1775,"=jan26",'Opportunities'!$P$2:$P$1775,"=1")</f>
        <v>0</v>
      </c>
      <c r="N166" s="4">
        <f>SUMIFS('Opportunities'!$H$2:$H$1775,'Opportunities'!$E$2:$E$1775,"=referral",'Opportunities'!$V$2:$V$1775,"=amer_east",'Opportunities'!$N$2:$N$1775,"=feb26",'Opportunities'!$P$2:$P$1775,"=1")</f>
        <v>22100</v>
      </c>
      <c r="O166" s="4">
        <f>SUMIFS('Opportunities'!$H$2:$H$1775,'Opportunities'!$E$2:$E$1775,"=referral",'Opportunities'!$V$2:$V$1775,"=amer_east",'Opportunities'!$N$2:$N$1775,"=mar26",'Opportunities'!$P$2:$P$1775,"=1")</f>
        <v>43200</v>
      </c>
      <c r="P166" s="4">
        <f>SUMIFS('Opportunities'!$H$2:$H$1775,'Opportunities'!$E$2:$E$1775,"=referral",'Opportunities'!$V$2:$V$1775,"=amer_east",'Opportunities'!$N$2:$N$1775,"=apr26",'Opportunities'!$P$2:$P$1775,"=1")</f>
        <v>0</v>
      </c>
      <c r="Q166" s="4">
        <f>SUMIFS('Opportunities'!$H$2:$H$1775,'Opportunities'!$E$2:$E$1775,"=referral",'Opportunities'!$V$2:$V$1775,"=amer_east",'Opportunities'!$N$2:$N$1775,"=may26",'Opportunities'!$P$2:$P$1775,"=1")</f>
        <v>11900</v>
      </c>
      <c r="R166" s="4">
        <f>SUMIFS('Opportunities'!$H$2:$H$1775,'Opportunities'!$E$2:$E$1775,"=referral",'Opportunities'!$V$2:$V$1775,"=amer_east",'Opportunities'!$N$2:$N$1775,"=jun26",'Opportunities'!$P$2:$P$1775,"=1")</f>
        <v>42300</v>
      </c>
      <c r="S166" s="4">
        <f>SUMIFS('Opportunities'!$H$2:$H$1775,'Opportunities'!$E$2:$E$1775,"=referral",'Opportunities'!$V$2:$V$1775,"=amer_east",'Opportunities'!$N$2:$N$1775,"=jul26",'Opportunities'!$P$2:$P$1775,"=1")</f>
        <v>0</v>
      </c>
      <c r="T166" s="4">
        <f>SUMIFS('Opportunities'!$H$2:$H$1775,'Opportunities'!$E$2:$E$1775,"=referral",'Opportunities'!$V$2:$V$1775,"=amer_east",'Opportunities'!$N$2:$N$1775,"=aug26",'Opportunities'!$P$2:$P$1775,"=1")</f>
        <v>5500</v>
      </c>
      <c r="U166" s="4">
        <f>SUMIFS('Opportunities'!$H$2:$H$1775,'Opportunities'!$E$2:$E$1775,"=referral",'Opportunities'!$V$2:$V$1775,"=amer_east",'Opportunities'!$N$2:$N$1775,"=sep26",'Opportunities'!$P$2:$P$1775,"=1")</f>
        <v>0</v>
      </c>
      <c r="V166" s="4">
        <f>SUMIFS('Opportunities'!$H$2:$H$1775,'Opportunities'!$E$2:$E$1775,"=referral",'Opportunities'!$V$2:$V$1775,"=amer_east",'Opportunities'!$N$2:$N$1775,"=oct26",'Opportunities'!$P$2:$P$1775,"=1")</f>
        <v>0</v>
      </c>
      <c r="W166" s="4">
        <f>SUMIFS('Opportunities'!$H$2:$H$1775,'Opportunities'!$E$2:$E$1775,"=referral",'Opportunities'!$V$2:$V$1775,"=amer_east",'Opportunities'!$N$2:$N$1775,"=nov26",'Opportunities'!$P$2:$P$1775,"=1")</f>
        <v>0</v>
      </c>
      <c r="X166" s="4">
        <f>SUMIFS('Opportunities'!$H$2:$H$1775,'Opportunities'!$E$2:$E$1775,"=referral",'Opportunities'!$V$2:$V$1775,"=amer_east",'Opportunities'!$N$2:$N$1775,"=dec26",'Opportunities'!$P$2:$P$1775,"=1")</f>
        <v>0</v>
      </c>
    </row>
    <row r="167">
      <c r="A167" s="0" t="inlineStr">
        <is>
          <t xml:space="preserve">Bookings</t>
        </is>
      </c>
      <c r="B167" s="0" t="inlineStr">
        <is>
          <t xml:space="preserve">Customer referral</t>
        </is>
      </c>
      <c r="C167" s="0" t="inlineStr">
        <is>
          <t xml:space="preserve">AMER West</t>
        </is>
      </c>
      <c r="D167" s="4">
        <f>SUMIFS('Opportunities'!$H$2:$H$1775,'Opportunities'!$E$2:$E$1775,"=referral",'Opportunities'!$V$2:$V$1775,"=amer_west",'Opportunities'!$N$2:$N$1775,"=apr25",'Opportunities'!$P$2:$P$1775,"=1")</f>
        <v>0</v>
      </c>
      <c r="E167" s="4">
        <f>SUMIFS('Opportunities'!$H$2:$H$1775,'Opportunities'!$E$2:$E$1775,"=referral",'Opportunities'!$V$2:$V$1775,"=amer_west",'Opportunities'!$N$2:$N$1775,"=may25",'Opportunities'!$P$2:$P$1775,"=1")</f>
        <v>0</v>
      </c>
      <c r="F167" s="4">
        <f>SUMIFS('Opportunities'!$H$2:$H$1775,'Opportunities'!$E$2:$E$1775,"=referral",'Opportunities'!$V$2:$V$1775,"=amer_west",'Opportunities'!$N$2:$N$1775,"=jun25",'Opportunities'!$P$2:$P$1775,"=1")</f>
        <v>3800</v>
      </c>
      <c r="G167" s="4">
        <f>SUMIFS('Opportunities'!$H$2:$H$1775,'Opportunities'!$E$2:$E$1775,"=referral",'Opportunities'!$V$2:$V$1775,"=amer_west",'Opportunities'!$N$2:$N$1775,"=jul25",'Opportunities'!$P$2:$P$1775,"=1")</f>
        <v>0</v>
      </c>
      <c r="H167" s="4">
        <f>SUMIFS('Opportunities'!$H$2:$H$1775,'Opportunities'!$E$2:$E$1775,"=referral",'Opportunities'!$V$2:$V$1775,"=amer_west",'Opportunities'!$N$2:$N$1775,"=aug25",'Opportunities'!$P$2:$P$1775,"=1")</f>
        <v>11500</v>
      </c>
      <c r="I167" s="4">
        <f>SUMIFS('Opportunities'!$H$2:$H$1775,'Opportunities'!$E$2:$E$1775,"=referral",'Opportunities'!$V$2:$V$1775,"=amer_west",'Opportunities'!$N$2:$N$1775,"=sep25",'Opportunities'!$P$2:$P$1775,"=1")</f>
        <v>37400</v>
      </c>
      <c r="J167" s="4">
        <f>SUMIFS('Opportunities'!$H$2:$H$1775,'Opportunities'!$E$2:$E$1775,"=referral",'Opportunities'!$V$2:$V$1775,"=amer_west",'Opportunities'!$N$2:$N$1775,"=oct25",'Opportunities'!$P$2:$P$1775,"=1")</f>
        <v>0</v>
      </c>
      <c r="K167" s="4">
        <f>SUMIFS('Opportunities'!$H$2:$H$1775,'Opportunities'!$E$2:$E$1775,"=referral",'Opportunities'!$V$2:$V$1775,"=amer_west",'Opportunities'!$N$2:$N$1775,"=nov25",'Opportunities'!$P$2:$P$1775,"=1")</f>
        <v>0</v>
      </c>
      <c r="L167" s="4">
        <f>SUMIFS('Opportunities'!$H$2:$H$1775,'Opportunities'!$E$2:$E$1775,"=referral",'Opportunities'!$V$2:$V$1775,"=amer_west",'Opportunities'!$N$2:$N$1775,"=dec25",'Opportunities'!$P$2:$P$1775,"=1")</f>
        <v>0</v>
      </c>
      <c r="M167" s="4">
        <f>SUMIFS('Opportunities'!$H$2:$H$1775,'Opportunities'!$E$2:$E$1775,"=referral",'Opportunities'!$V$2:$V$1775,"=amer_west",'Opportunities'!$N$2:$N$1775,"=jan26",'Opportunities'!$P$2:$P$1775,"=1")</f>
        <v>0</v>
      </c>
      <c r="N167" s="4">
        <f>SUMIFS('Opportunities'!$H$2:$H$1775,'Opportunities'!$E$2:$E$1775,"=referral",'Opportunities'!$V$2:$V$1775,"=amer_west",'Opportunities'!$N$2:$N$1775,"=feb26",'Opportunities'!$P$2:$P$1775,"=1")</f>
        <v>10900</v>
      </c>
      <c r="O167" s="4">
        <f>SUMIFS('Opportunities'!$H$2:$H$1775,'Opportunities'!$E$2:$E$1775,"=referral",'Opportunities'!$V$2:$V$1775,"=amer_west",'Opportunities'!$N$2:$N$1775,"=mar26",'Opportunities'!$P$2:$P$1775,"=1")</f>
        <v>53800</v>
      </c>
      <c r="P167" s="4">
        <f>SUMIFS('Opportunities'!$H$2:$H$1775,'Opportunities'!$E$2:$E$1775,"=referral",'Opportunities'!$V$2:$V$1775,"=amer_west",'Opportunities'!$N$2:$N$1775,"=apr26",'Opportunities'!$P$2:$P$1775,"=1")</f>
        <v>0</v>
      </c>
      <c r="Q167" s="4">
        <f>SUMIFS('Opportunities'!$H$2:$H$1775,'Opportunities'!$E$2:$E$1775,"=referral",'Opportunities'!$V$2:$V$1775,"=amer_west",'Opportunities'!$N$2:$N$1775,"=may26",'Opportunities'!$P$2:$P$1775,"=1")</f>
        <v>94200</v>
      </c>
      <c r="R167" s="4">
        <f>SUMIFS('Opportunities'!$H$2:$H$1775,'Opportunities'!$E$2:$E$1775,"=referral",'Opportunities'!$V$2:$V$1775,"=amer_west",'Opportunities'!$N$2:$N$1775,"=jun26",'Opportunities'!$P$2:$P$1775,"=1")</f>
        <v>40800</v>
      </c>
      <c r="S167" s="4">
        <f>SUMIFS('Opportunities'!$H$2:$H$1775,'Opportunities'!$E$2:$E$1775,"=referral",'Opportunities'!$V$2:$V$1775,"=amer_west",'Opportunities'!$N$2:$N$1775,"=jul26",'Opportunities'!$P$2:$P$1775,"=1")</f>
        <v>19500</v>
      </c>
      <c r="T167" s="4">
        <f>SUMIFS('Opportunities'!$H$2:$H$1775,'Opportunities'!$E$2:$E$1775,"=referral",'Opportunities'!$V$2:$V$1775,"=amer_west",'Opportunities'!$N$2:$N$1775,"=aug26",'Opportunities'!$P$2:$P$1775,"=1")</f>
        <v>180700</v>
      </c>
      <c r="U167" s="4">
        <f>SUMIFS('Opportunities'!$H$2:$H$1775,'Opportunities'!$E$2:$E$1775,"=referral",'Opportunities'!$V$2:$V$1775,"=amer_west",'Opportunities'!$N$2:$N$1775,"=sep26",'Opportunities'!$P$2:$P$1775,"=1")</f>
        <v>28000</v>
      </c>
      <c r="V167" s="4">
        <f>SUMIFS('Opportunities'!$H$2:$H$1775,'Opportunities'!$E$2:$E$1775,"=referral",'Opportunities'!$V$2:$V$1775,"=amer_west",'Opportunities'!$N$2:$N$1775,"=oct26",'Opportunities'!$P$2:$P$1775,"=1")</f>
        <v>0</v>
      </c>
      <c r="W167" s="4">
        <f>SUMIFS('Opportunities'!$H$2:$H$1775,'Opportunities'!$E$2:$E$1775,"=referral",'Opportunities'!$V$2:$V$1775,"=amer_west",'Opportunities'!$N$2:$N$1775,"=nov26",'Opportunities'!$P$2:$P$1775,"=1")</f>
        <v>0</v>
      </c>
      <c r="X167" s="4">
        <f>SUMIFS('Opportunities'!$H$2:$H$1775,'Opportunities'!$E$2:$E$1775,"=referral",'Opportunities'!$V$2:$V$1775,"=amer_west",'Opportunities'!$N$2:$N$1775,"=dec26",'Opportunities'!$P$2:$P$1775,"=1")</f>
        <v>0</v>
      </c>
    </row>
    <row r="168">
      <c r="A168" s="0" t="inlineStr">
        <is>
          <t xml:space="preserve">Bookings</t>
        </is>
      </c>
      <c r="B168" s="0" t="inlineStr">
        <is>
          <t xml:space="preserve">Customer referral</t>
        </is>
      </c>
      <c r="C168" s="0" t="inlineStr">
        <is>
          <t xml:space="preserve">EMEA</t>
        </is>
      </c>
      <c r="D168" s="4">
        <f>SUMIFS('Opportunities'!$H$2:$H$1775,'Opportunities'!$E$2:$E$1775,"=referral",'Opportunities'!$V$2:$V$1775,"=emea",'Opportunities'!$N$2:$N$1775,"=apr25",'Opportunities'!$P$2:$P$1775,"=1")</f>
        <v>0</v>
      </c>
      <c r="E168" s="4">
        <f>SUMIFS('Opportunities'!$H$2:$H$1775,'Opportunities'!$E$2:$E$1775,"=referral",'Opportunities'!$V$2:$V$1775,"=emea",'Opportunities'!$N$2:$N$1775,"=may25",'Opportunities'!$P$2:$P$1775,"=1")</f>
        <v>23200</v>
      </c>
      <c r="F168" s="4">
        <f>SUMIFS('Opportunities'!$H$2:$H$1775,'Opportunities'!$E$2:$E$1775,"=referral",'Opportunities'!$V$2:$V$1775,"=emea",'Opportunities'!$N$2:$N$1775,"=jun25",'Opportunities'!$P$2:$P$1775,"=1")</f>
        <v>77700</v>
      </c>
      <c r="G168" s="4">
        <f>SUMIFS('Opportunities'!$H$2:$H$1775,'Opportunities'!$E$2:$E$1775,"=referral",'Opportunities'!$V$2:$V$1775,"=emea",'Opportunities'!$N$2:$N$1775,"=jul25",'Opportunities'!$P$2:$P$1775,"=1")</f>
        <v>0</v>
      </c>
      <c r="H168" s="4">
        <f>SUMIFS('Opportunities'!$H$2:$H$1775,'Opportunities'!$E$2:$E$1775,"=referral",'Opportunities'!$V$2:$V$1775,"=emea",'Opportunities'!$N$2:$N$1775,"=aug25",'Opportunities'!$P$2:$P$1775,"=1")</f>
        <v>0</v>
      </c>
      <c r="I168" s="4">
        <f>SUMIFS('Opportunities'!$H$2:$H$1775,'Opportunities'!$E$2:$E$1775,"=referral",'Opportunities'!$V$2:$V$1775,"=emea",'Opportunities'!$N$2:$N$1775,"=sep25",'Opportunities'!$P$2:$P$1775,"=1")</f>
        <v>61500</v>
      </c>
      <c r="J168" s="4">
        <f>SUMIFS('Opportunities'!$H$2:$H$1775,'Opportunities'!$E$2:$E$1775,"=referral",'Opportunities'!$V$2:$V$1775,"=emea",'Opportunities'!$N$2:$N$1775,"=oct25",'Opportunities'!$P$2:$P$1775,"=1")</f>
        <v>0</v>
      </c>
      <c r="K168" s="4">
        <f>SUMIFS('Opportunities'!$H$2:$H$1775,'Opportunities'!$E$2:$E$1775,"=referral",'Opportunities'!$V$2:$V$1775,"=emea",'Opportunities'!$N$2:$N$1775,"=nov25",'Opportunities'!$P$2:$P$1775,"=1")</f>
        <v>23200</v>
      </c>
      <c r="L168" s="4">
        <f>SUMIFS('Opportunities'!$H$2:$H$1775,'Opportunities'!$E$2:$E$1775,"=referral",'Opportunities'!$V$2:$V$1775,"=emea",'Opportunities'!$N$2:$N$1775,"=dec25",'Opportunities'!$P$2:$P$1775,"=1")</f>
        <v>29000</v>
      </c>
      <c r="M168" s="4">
        <f>SUMIFS('Opportunities'!$H$2:$H$1775,'Opportunities'!$E$2:$E$1775,"=referral",'Opportunities'!$V$2:$V$1775,"=emea",'Opportunities'!$N$2:$N$1775,"=jan26",'Opportunities'!$P$2:$P$1775,"=1")</f>
        <v>6400</v>
      </c>
      <c r="N168" s="4">
        <f>SUMIFS('Opportunities'!$H$2:$H$1775,'Opportunities'!$E$2:$E$1775,"=referral",'Opportunities'!$V$2:$V$1775,"=emea",'Opportunities'!$N$2:$N$1775,"=feb26",'Opportunities'!$P$2:$P$1775,"=1")</f>
        <v>0</v>
      </c>
      <c r="O168" s="4">
        <f>SUMIFS('Opportunities'!$H$2:$H$1775,'Opportunities'!$E$2:$E$1775,"=referral",'Opportunities'!$V$2:$V$1775,"=emea",'Opportunities'!$N$2:$N$1775,"=mar26",'Opportunities'!$P$2:$P$1775,"=1")</f>
        <v>9800</v>
      </c>
      <c r="P168" s="4">
        <f>SUMIFS('Opportunities'!$H$2:$H$1775,'Opportunities'!$E$2:$E$1775,"=referral",'Opportunities'!$V$2:$V$1775,"=emea",'Opportunities'!$N$2:$N$1775,"=apr26",'Opportunities'!$P$2:$P$1775,"=1")</f>
        <v>0</v>
      </c>
      <c r="Q168" s="4">
        <f>SUMIFS('Opportunities'!$H$2:$H$1775,'Opportunities'!$E$2:$E$1775,"=referral",'Opportunities'!$V$2:$V$1775,"=emea",'Opportunities'!$N$2:$N$1775,"=may26",'Opportunities'!$P$2:$P$1775,"=1")</f>
        <v>8400</v>
      </c>
      <c r="R168" s="4">
        <f>SUMIFS('Opportunities'!$H$2:$H$1775,'Opportunities'!$E$2:$E$1775,"=referral",'Opportunities'!$V$2:$V$1775,"=emea",'Opportunities'!$N$2:$N$1775,"=jun26",'Opportunities'!$P$2:$P$1775,"=1")</f>
        <v>0</v>
      </c>
      <c r="S168" s="4">
        <f>SUMIFS('Opportunities'!$H$2:$H$1775,'Opportunities'!$E$2:$E$1775,"=referral",'Opportunities'!$V$2:$V$1775,"=emea",'Opportunities'!$N$2:$N$1775,"=jul26",'Opportunities'!$P$2:$P$1775,"=1")</f>
        <v>11800</v>
      </c>
      <c r="T168" s="4">
        <f>SUMIFS('Opportunities'!$H$2:$H$1775,'Opportunities'!$E$2:$E$1775,"=referral",'Opportunities'!$V$2:$V$1775,"=emea",'Opportunities'!$N$2:$N$1775,"=aug26",'Opportunities'!$P$2:$P$1775,"=1")</f>
        <v>13700</v>
      </c>
      <c r="U168" s="4">
        <f>SUMIFS('Opportunities'!$H$2:$H$1775,'Opportunities'!$E$2:$E$1775,"=referral",'Opportunities'!$V$2:$V$1775,"=emea",'Opportunities'!$N$2:$N$1775,"=sep26",'Opportunities'!$P$2:$P$1775,"=1")</f>
        <v>0</v>
      </c>
      <c r="V168" s="4">
        <f>SUMIFS('Opportunities'!$H$2:$H$1775,'Opportunities'!$E$2:$E$1775,"=referral",'Opportunities'!$V$2:$V$1775,"=emea",'Opportunities'!$N$2:$N$1775,"=oct26",'Opportunities'!$P$2:$P$1775,"=1")</f>
        <v>0</v>
      </c>
      <c r="W168" s="4">
        <f>SUMIFS('Opportunities'!$H$2:$H$1775,'Opportunities'!$E$2:$E$1775,"=referral",'Opportunities'!$V$2:$V$1775,"=emea",'Opportunities'!$N$2:$N$1775,"=nov26",'Opportunities'!$P$2:$P$1775,"=1")</f>
        <v>0</v>
      </c>
      <c r="X168" s="4">
        <f>SUMIFS('Opportunities'!$H$2:$H$1775,'Opportunities'!$E$2:$E$1775,"=referral",'Opportunities'!$V$2:$V$1775,"=emea",'Opportunities'!$N$2:$N$1775,"=dec26",'Opportunities'!$P$2:$P$1775,"=1")</f>
        <v>0</v>
      </c>
    </row>
    <row r="169">
      <c r="A169" s="0" t="inlineStr">
        <is>
          <t xml:space="preserve">Bookings</t>
        </is>
      </c>
      <c r="B169" s="0" t="inlineStr">
        <is>
          <t xml:space="preserve">Customer referral</t>
        </is>
      </c>
      <c r="C169" s="0" t="inlineStr">
        <is>
          <t xml:space="preserve">APAC</t>
        </is>
      </c>
      <c r="D169" s="4">
        <f>SUMIFS('Opportunities'!$H$2:$H$1775,'Opportunities'!$E$2:$E$1775,"=referral",'Opportunities'!$V$2:$V$1775,"=apac",'Opportunities'!$N$2:$N$1775,"=apr25",'Opportunities'!$P$2:$P$1775,"=1")</f>
        <v>0</v>
      </c>
      <c r="E169" s="4">
        <f>SUMIFS('Opportunities'!$H$2:$H$1775,'Opportunities'!$E$2:$E$1775,"=referral",'Opportunities'!$V$2:$V$1775,"=apac",'Opportunities'!$N$2:$N$1775,"=may25",'Opportunities'!$P$2:$P$1775,"=1")</f>
        <v>0</v>
      </c>
      <c r="F169" s="4">
        <f>SUMIFS('Opportunities'!$H$2:$H$1775,'Opportunities'!$E$2:$E$1775,"=referral",'Opportunities'!$V$2:$V$1775,"=apac",'Opportunities'!$N$2:$N$1775,"=jun25",'Opportunities'!$P$2:$P$1775,"=1")</f>
        <v>0</v>
      </c>
      <c r="G169" s="4">
        <f>SUMIFS('Opportunities'!$H$2:$H$1775,'Opportunities'!$E$2:$E$1775,"=referral",'Opportunities'!$V$2:$V$1775,"=apac",'Opportunities'!$N$2:$N$1775,"=jul25",'Opportunities'!$P$2:$P$1775,"=1")</f>
        <v>0</v>
      </c>
      <c r="H169" s="4">
        <f>SUMIFS('Opportunities'!$H$2:$H$1775,'Opportunities'!$E$2:$E$1775,"=referral",'Opportunities'!$V$2:$V$1775,"=apac",'Opportunities'!$N$2:$N$1775,"=aug25",'Opportunities'!$P$2:$P$1775,"=1")</f>
        <v>0</v>
      </c>
      <c r="I169" s="4">
        <f>SUMIFS('Opportunities'!$H$2:$H$1775,'Opportunities'!$E$2:$E$1775,"=referral",'Opportunities'!$V$2:$V$1775,"=apac",'Opportunities'!$N$2:$N$1775,"=sep25",'Opportunities'!$P$2:$P$1775,"=1")</f>
        <v>41800</v>
      </c>
      <c r="J169" s="4">
        <f>SUMIFS('Opportunities'!$H$2:$H$1775,'Opportunities'!$E$2:$E$1775,"=referral",'Opportunities'!$V$2:$V$1775,"=apac",'Opportunities'!$N$2:$N$1775,"=oct25",'Opportunities'!$P$2:$P$1775,"=1")</f>
        <v>32500</v>
      </c>
      <c r="K169" s="4">
        <f>SUMIFS('Opportunities'!$H$2:$H$1775,'Opportunities'!$E$2:$E$1775,"=referral",'Opportunities'!$V$2:$V$1775,"=apac",'Opportunities'!$N$2:$N$1775,"=nov25",'Opportunities'!$P$2:$P$1775,"=1")</f>
        <v>0</v>
      </c>
      <c r="L169" s="4">
        <f>SUMIFS('Opportunities'!$H$2:$H$1775,'Opportunities'!$E$2:$E$1775,"=referral",'Opportunities'!$V$2:$V$1775,"=apac",'Opportunities'!$N$2:$N$1775,"=dec25",'Opportunities'!$P$2:$P$1775,"=1")</f>
        <v>3800</v>
      </c>
      <c r="M169" s="4">
        <f>SUMIFS('Opportunities'!$H$2:$H$1775,'Opportunities'!$E$2:$E$1775,"=referral",'Opportunities'!$V$2:$V$1775,"=apac",'Opportunities'!$N$2:$N$1775,"=jan26",'Opportunities'!$P$2:$P$1775,"=1")</f>
        <v>15000</v>
      </c>
      <c r="N169" s="4">
        <f>SUMIFS('Opportunities'!$H$2:$H$1775,'Opportunities'!$E$2:$E$1775,"=referral",'Opportunities'!$V$2:$V$1775,"=apac",'Opportunities'!$N$2:$N$1775,"=feb26",'Opportunities'!$P$2:$P$1775,"=1")</f>
        <v>0</v>
      </c>
      <c r="O169" s="4">
        <f>SUMIFS('Opportunities'!$H$2:$H$1775,'Opportunities'!$E$2:$E$1775,"=referral",'Opportunities'!$V$2:$V$1775,"=apac",'Opportunities'!$N$2:$N$1775,"=mar26",'Opportunities'!$P$2:$P$1775,"=1")</f>
        <v>0</v>
      </c>
      <c r="P169" s="4">
        <f>SUMIFS('Opportunities'!$H$2:$H$1775,'Opportunities'!$E$2:$E$1775,"=referral",'Opportunities'!$V$2:$V$1775,"=apac",'Opportunities'!$N$2:$N$1775,"=apr26",'Opportunities'!$P$2:$P$1775,"=1")</f>
        <v>0</v>
      </c>
      <c r="Q169" s="4">
        <f>SUMIFS('Opportunities'!$H$2:$H$1775,'Opportunities'!$E$2:$E$1775,"=referral",'Opportunities'!$V$2:$V$1775,"=apac",'Opportunities'!$N$2:$N$1775,"=may26",'Opportunities'!$P$2:$P$1775,"=1")</f>
        <v>0</v>
      </c>
      <c r="R169" s="4">
        <f>SUMIFS('Opportunities'!$H$2:$H$1775,'Opportunities'!$E$2:$E$1775,"=referral",'Opportunities'!$V$2:$V$1775,"=apac",'Opportunities'!$N$2:$N$1775,"=jun26",'Opportunities'!$P$2:$P$1775,"=1")</f>
        <v>0</v>
      </c>
      <c r="S169" s="4">
        <f>SUMIFS('Opportunities'!$H$2:$H$1775,'Opportunities'!$E$2:$E$1775,"=referral",'Opportunities'!$V$2:$V$1775,"=apac",'Opportunities'!$N$2:$N$1775,"=jul26",'Opportunities'!$P$2:$P$1775,"=1")</f>
        <v>48400</v>
      </c>
      <c r="T169" s="4">
        <f>SUMIFS('Opportunities'!$H$2:$H$1775,'Opportunities'!$E$2:$E$1775,"=referral",'Opportunities'!$V$2:$V$1775,"=apac",'Opportunities'!$N$2:$N$1775,"=aug26",'Opportunities'!$P$2:$P$1775,"=1")</f>
        <v>0</v>
      </c>
      <c r="U169" s="4">
        <f>SUMIFS('Opportunities'!$H$2:$H$1775,'Opportunities'!$E$2:$E$1775,"=referral",'Opportunities'!$V$2:$V$1775,"=apac",'Opportunities'!$N$2:$N$1775,"=sep26",'Opportunities'!$P$2:$P$1775,"=1")</f>
        <v>0</v>
      </c>
      <c r="V169" s="4">
        <f>SUMIFS('Opportunities'!$H$2:$H$1775,'Opportunities'!$E$2:$E$1775,"=referral",'Opportunities'!$V$2:$V$1775,"=apac",'Opportunities'!$N$2:$N$1775,"=oct26",'Opportunities'!$P$2:$P$1775,"=1")</f>
        <v>0</v>
      </c>
      <c r="W169" s="4">
        <f>SUMIFS('Opportunities'!$H$2:$H$1775,'Opportunities'!$E$2:$E$1775,"=referral",'Opportunities'!$V$2:$V$1775,"=apac",'Opportunities'!$N$2:$N$1775,"=nov26",'Opportunities'!$P$2:$P$1775,"=1")</f>
        <v>0</v>
      </c>
      <c r="X169" s="4">
        <f>SUMIFS('Opportunities'!$H$2:$H$1775,'Opportunities'!$E$2:$E$1775,"=referral",'Opportunities'!$V$2:$V$1775,"=apac",'Opportunities'!$N$2:$N$1775,"=dec26",'Opportunities'!$P$2:$P$1775,"=1")</f>
        <v>0</v>
      </c>
    </row>
    <row r="170">
      <c r="A170" s="0" t="inlineStr">
        <is>
          <t xml:space="preserve">Cost per lead</t>
        </is>
      </c>
      <c r="B170" s="0" t="inlineStr">
        <is>
          <t xml:space="preserve">Inbound (web &amp; content)</t>
        </is>
      </c>
      <c r="C170" s="0" t="inlineStr">
        <is>
          <t xml:space="preserve">AMER East</t>
        </is>
      </c>
      <c r="D170" s="8">
        <f>IF((D26&gt;0),(D2/D26),"")</f>
        <v>59.82142857142857</v>
      </c>
      <c r="E170" s="8">
        <f>IF((E26&gt;0),(E2/E26),"")</f>
        <v>45.68862275449102</v>
      </c>
      <c r="F170" s="8">
        <f>IF((F26&gt;0),(F2/F26),"")</f>
        <v>45.92964824120603</v>
      </c>
      <c r="G170" s="8">
        <f>IF((G26&gt;0),(G2/G26),"")</f>
        <v>42.18130311614731</v>
      </c>
      <c r="H170" s="8">
        <f>IF((H26&gt;0),(H2/H26),"")</f>
        <v>45.87859424920128</v>
      </c>
      <c r="I170" s="8">
        <f>IF((I26&gt;0),(I2/I26),"")</f>
        <v>50.49180327868852</v>
      </c>
      <c r="J170" s="8">
        <f>IF((J26&gt;0),(J2/J26),"")</f>
        <v>40.484429065743946</v>
      </c>
      <c r="K170" s="8">
        <f>IF((K26&gt;0),(K2/K26),"")</f>
        <v>44.175438596491226</v>
      </c>
      <c r="L170" s="8">
        <f>IF((L26&gt;0),(L2/L26),"")</f>
        <v>47.371428571428574</v>
      </c>
      <c r="M170" s="8">
        <f>IF((M26&gt;0),(M2/M26),"")</f>
        <v>45.27687296416938</v>
      </c>
      <c r="N170" s="8">
        <f>IF((N26&gt;0),(N2/N26),"")</f>
        <v>56.77536231884058</v>
      </c>
      <c r="O170" s="8">
        <f>IF((O26&gt;0),(O2/O26),"")</f>
        <v>44.9645390070922</v>
      </c>
      <c r="P170" s="8">
        <f>IF((P26&gt;0),(P2/P26),"")</f>
        <v>31.62213740458015</v>
      </c>
      <c r="Q170" s="8">
        <f>IF((Q26&gt;0),(Q2/Q26),"")</f>
        <v>34.2</v>
      </c>
      <c r="R170" s="8">
        <f>IF((R26&gt;0),(R2/R26),"")</f>
        <v>47.19887955182073</v>
      </c>
      <c r="S170" s="8">
        <f>IF((S26&gt;0),(S2/S26),"")</f>
        <v>56.016260162601625</v>
      </c>
      <c r="T170" s="8">
        <f>IF((T26&gt;0),(T2/T26),"")</f>
        <v>34.646153846153844</v>
      </c>
      <c r="U170" s="8">
        <f>IF((U26&gt;0),(U2/U26),"")</f>
        <v>35.05353319057816</v>
      </c>
      <c r="V170" s="8">
        <f>IF((V26&gt;0),(V2/V26),"")</f>
        <v>39.7324414715719</v>
      </c>
      <c r="W170" s="8">
        <f>IF((W26&gt;0),(W2/W26),"")</f>
        <v>35.96923076923077</v>
      </c>
      <c r="X170" s="8">
        <f>IF((X26&gt;0),(X2/X26),"")</f>
        <v>50.105633802816904</v>
      </c>
    </row>
    <row r="171">
      <c r="A171" s="0" t="inlineStr">
        <is>
          <t xml:space="preserve">Cost per lead</t>
        </is>
      </c>
      <c r="B171" s="0" t="inlineStr">
        <is>
          <t xml:space="preserve">Inbound (web &amp; content)</t>
        </is>
      </c>
      <c r="C171" s="0" t="inlineStr">
        <is>
          <t xml:space="preserve">AMER West</t>
        </is>
      </c>
      <c r="D171" s="8">
        <f>IF((D27&gt;0),(D3/D27),"")</f>
        <v>37.86743515850144</v>
      </c>
      <c r="E171" s="8">
        <f>IF((E27&gt;0),(E3/E27),"")</f>
        <v>52.49122807017544</v>
      </c>
      <c r="F171" s="8">
        <f>IF((F27&gt;0),(F3/F27),"")</f>
        <v>50.49342105263158</v>
      </c>
      <c r="G171" s="8">
        <f>IF((G27&gt;0),(G3/G27),"")</f>
        <v>41.717791411042946</v>
      </c>
      <c r="H171" s="8">
        <f>IF((H27&gt;0),(H3/H27),"")</f>
        <v>44.509803921568626</v>
      </c>
      <c r="I171" s="8">
        <f>IF((I27&gt;0),(I3/I27),"")</f>
        <v>56.43109540636043</v>
      </c>
      <c r="J171" s="8">
        <f>IF((J27&gt;0),(J3/J27),"")</f>
        <v>46.15107913669065</v>
      </c>
      <c r="K171" s="8">
        <f>IF((K27&gt;0),(K3/K27),"")</f>
        <v>57.28506787330317</v>
      </c>
      <c r="L171" s="8">
        <f>IF((L27&gt;0),(L3/L27),"")</f>
        <v>39.889502762430936</v>
      </c>
      <c r="M171" s="8">
        <f>IF((M27&gt;0),(M3/M27),"")</f>
        <v>46.93877551020408</v>
      </c>
      <c r="N171" s="8">
        <f>IF((N27&gt;0),(N3/N27),"")</f>
        <v>48.74233128834356</v>
      </c>
      <c r="O171" s="8">
        <f>IF((O27&gt;0),(O3/O27),"")</f>
        <v>50.55384615384615</v>
      </c>
      <c r="P171" s="8">
        <f>IF((P27&gt;0),(P3/P27),"")</f>
        <v>40.027472527472526</v>
      </c>
      <c r="Q171" s="8">
        <f>IF((Q27&gt;0),(Q3/Q27),"")</f>
        <v>48.275862068965516</v>
      </c>
      <c r="R171" s="8">
        <f>IF((R27&gt;0),(R3/R27),"")</f>
        <v>50.6953642384106</v>
      </c>
      <c r="S171" s="8">
        <f>IF((S27&gt;0),(S3/S27),"")</f>
        <v>40.2416918429003</v>
      </c>
      <c r="T171" s="8">
        <f>IF((T27&gt;0),(T3/T27),"")</f>
        <v>54.791666666666664</v>
      </c>
      <c r="U171" s="8">
        <f>IF((U27&gt;0),(U3/U27),"")</f>
        <v>64.19847328244275</v>
      </c>
      <c r="V171" s="8">
        <f>IF((V27&gt;0),(V3/V27),"")</f>
        <v>67.25490196078431</v>
      </c>
      <c r="W171" s="8">
        <f>IF((W27&gt;0),(W3/W27),"")</f>
        <v>50.42372881355932</v>
      </c>
      <c r="X171" s="8">
        <f>IF((X27&gt;0),(X3/X27),"")</f>
        <v>49.305993690851736</v>
      </c>
    </row>
    <row r="172">
      <c r="A172" s="0" t="inlineStr">
        <is>
          <t xml:space="preserve">Cost per lead</t>
        </is>
      </c>
      <c r="B172" s="0" t="inlineStr">
        <is>
          <t xml:space="preserve">Inbound (web &amp; content)</t>
        </is>
      </c>
      <c r="C172" s="0" t="inlineStr">
        <is>
          <t xml:space="preserve">EMEA</t>
        </is>
      </c>
      <c r="D172" s="8">
        <f>IF((D28&gt;0),(D4/D28),"")</f>
        <v>49.48412698412698</v>
      </c>
      <c r="E172" s="8">
        <f>IF((E28&gt;0),(E4/E28),"")</f>
        <v>34.39506172839506</v>
      </c>
      <c r="F172" s="8">
        <f>IF((F28&gt;0),(F4/F28),"")</f>
        <v>41.04347826086956</v>
      </c>
      <c r="G172" s="8">
        <f>IF((G28&gt;0),(G4/G28),"")</f>
        <v>54.174311926605505</v>
      </c>
      <c r="H172" s="8">
        <f>IF((H28&gt;0),(H4/H28),"")</f>
        <v>56.06382978723404</v>
      </c>
      <c r="I172" s="8">
        <f>IF((I28&gt;0),(I4/I28),"")</f>
        <v>57.09090909090909</v>
      </c>
      <c r="J172" s="8">
        <f>IF((J28&gt;0),(J4/J28),"")</f>
        <v>41.29554655870445</v>
      </c>
      <c r="K172" s="8">
        <f>IF((K28&gt;0),(K4/K28),"")</f>
        <v>45.26066350710901</v>
      </c>
      <c r="L172" s="8">
        <f>IF((L28&gt;0),(L4/L28),"")</f>
        <v>33.994334277620396</v>
      </c>
      <c r="M172" s="8">
        <f>IF((M28&gt;0),(M4/M28),"")</f>
        <v>34.21465968586387</v>
      </c>
      <c r="N172" s="8">
        <f>IF((N28&gt;0),(N4/N28),"")</f>
        <v>46.40625</v>
      </c>
      <c r="O172" s="8">
        <f>IF((O28&gt;0),(O4/O28),"")</f>
        <v>35.85480093676815</v>
      </c>
      <c r="P172" s="8">
        <f>IF((P28&gt;0),(P4/P28),"")</f>
        <v>36.56666666666667</v>
      </c>
      <c r="Q172" s="8">
        <f>IF((Q28&gt;0),(Q4/Q28),"")</f>
        <v>48.36206896551724</v>
      </c>
      <c r="R172" s="8">
        <f>IF((R28&gt;0),(R4/R28),"")</f>
        <v>46.258278145695364</v>
      </c>
      <c r="S172" s="8">
        <f>IF((S28&gt;0),(S4/S28),"")</f>
        <v>41.016260162601625</v>
      </c>
      <c r="T172" s="8">
        <f>IF((T28&gt;0),(T4/T28),"")</f>
        <v>48.775510204081634</v>
      </c>
      <c r="U172" s="8">
        <f>IF((U28&gt;0),(U4/U28),"")</f>
        <v>45.880398671096344</v>
      </c>
      <c r="V172" s="8">
        <f>IF((V28&gt;0),(V4/V28),"")</f>
        <v>47.89237668161435</v>
      </c>
      <c r="W172" s="8">
        <f>IF((W28&gt;0),(W4/W28),"")</f>
        <v>46.111111111111114</v>
      </c>
      <c r="X172" s="8">
        <f>IF((X28&gt;0),(X4/X28),"")</f>
        <v>39.6742671009772</v>
      </c>
    </row>
    <row r="173">
      <c r="A173" s="0" t="inlineStr">
        <is>
          <t xml:space="preserve">Cost per lead</t>
        </is>
      </c>
      <c r="B173" s="0" t="inlineStr">
        <is>
          <t xml:space="preserve">Inbound (web &amp; content)</t>
        </is>
      </c>
      <c r="C173" s="0" t="inlineStr">
        <is>
          <t xml:space="preserve">APAC</t>
        </is>
      </c>
      <c r="D173" s="8">
        <f>IF((D29&gt;0),(D5/D29),"")</f>
        <v>33.81578947368421</v>
      </c>
      <c r="E173" s="8">
        <f>IF((E29&gt;0),(E5/E29),"")</f>
        <v>52.26993865030675</v>
      </c>
      <c r="F173" s="8">
        <f>IF((F29&gt;0),(F5/F29),"")</f>
        <v>45.57077625570776</v>
      </c>
      <c r="G173" s="8">
        <f>IF((G29&gt;0),(G5/G29),"")</f>
        <v>29.166666666666668</v>
      </c>
      <c r="H173" s="8">
        <f>IF((H29&gt;0),(H5/H29),"")</f>
        <v>40.67901234567901</v>
      </c>
      <c r="I173" s="8">
        <f>IF((I29&gt;0),(I5/I29),"")</f>
        <v>40.39772727272727</v>
      </c>
      <c r="J173" s="8">
        <f>IF((J29&gt;0),(J5/J29),"")</f>
        <v>56.126126126126124</v>
      </c>
      <c r="K173" s="8">
        <f>IF((K29&gt;0),(K5/K29),"")</f>
        <v>46.148148148148145</v>
      </c>
      <c r="L173" s="8">
        <f>IF((L29&gt;0),(L5/L29),"")</f>
        <v>42.84848484848485</v>
      </c>
      <c r="M173" s="8">
        <f>IF((M29&gt;0),(M5/M29),"")</f>
        <v>49.76</v>
      </c>
      <c r="N173" s="8">
        <f>IF((N29&gt;0),(N5/N29),"")</f>
        <v>44.629629629629626</v>
      </c>
      <c r="O173" s="8">
        <f>IF((O29&gt;0),(O5/O29),"")</f>
        <v>28.88888888888889</v>
      </c>
      <c r="P173" s="8">
        <f>IF((P29&gt;0),(P5/P29),"")</f>
        <v>42.59887005649718</v>
      </c>
      <c r="Q173" s="8">
        <f>IF((Q29&gt;0),(Q5/Q29),"")</f>
        <v>46.57534246575342</v>
      </c>
      <c r="R173" s="8">
        <f>IF((R29&gt;0),(R5/R29),"")</f>
        <v>44.23913043478261</v>
      </c>
      <c r="S173" s="8">
        <f>IF((S29&gt;0),(S5/S29),"")</f>
        <v>49.86013986013986</v>
      </c>
      <c r="T173" s="8">
        <f>IF((T29&gt;0),(T5/T29),"")</f>
        <v>41.01123595505618</v>
      </c>
      <c r="U173" s="8">
        <f>IF((U29&gt;0),(U5/U29),"")</f>
        <v>24.156976744186046</v>
      </c>
      <c r="V173" s="8">
        <f>IF((V29&gt;0),(V5/V29),"")</f>
        <v>46.11570247933884</v>
      </c>
      <c r="W173" s="8">
        <f>IF((W29&gt;0),(W5/W29),"")</f>
        <v>45.50335570469799</v>
      </c>
      <c r="X173" s="8">
        <f>IF((X29&gt;0),(X5/X29),"")</f>
        <v>56.28378378378378</v>
      </c>
    </row>
    <row r="174">
      <c r="A174" s="0" t="inlineStr">
        <is>
          <t xml:space="preserve">Cost per lead</t>
        </is>
      </c>
      <c r="B174" s="0" t="inlineStr">
        <is>
          <t xml:space="preserve">Paid digital</t>
        </is>
      </c>
      <c r="C174" s="0" t="inlineStr">
        <is>
          <t xml:space="preserve">AMER East</t>
        </is>
      </c>
      <c r="D174" s="8">
        <f>IF((D30&gt;0),(D6/D30),"")</f>
        <v>117.32432432432432</v>
      </c>
      <c r="E174" s="8">
        <f>IF((E30&gt;0),(E6/E30),"")</f>
        <v>156.62460567823345</v>
      </c>
      <c r="F174" s="8">
        <f>IF((F30&gt;0),(F6/F30),"")</f>
        <v>119.68599033816425</v>
      </c>
      <c r="G174" s="8">
        <f>IF((G30&gt;0),(G6/G30),"")</f>
        <v>149.9672131147541</v>
      </c>
      <c r="H174" s="8">
        <f>IF((H30&gt;0),(H6/H30),"")</f>
        <v>134.38538205980066</v>
      </c>
      <c r="I174" s="8">
        <f>IF((I30&gt;0),(I6/I30),"")</f>
        <v>152.9042904290429</v>
      </c>
      <c r="J174" s="8">
        <f>IF((J30&gt;0),(J6/J30),"")</f>
        <v>134.72222222222223</v>
      </c>
      <c r="K174" s="8">
        <f>IF((K30&gt;0),(K6/K30),"")</f>
        <v>113.27160493827161</v>
      </c>
      <c r="L174" s="8">
        <f>IF((L30&gt;0),(L6/L30),"")</f>
        <v>148.6764705882353</v>
      </c>
      <c r="M174" s="8">
        <f>IF((M30&gt;0),(M6/M30),"")</f>
        <v>154.17543859649123</v>
      </c>
      <c r="N174" s="8">
        <f>IF((N30&gt;0),(N6/N30),"")</f>
        <v>145.85585585585585</v>
      </c>
      <c r="O174" s="8">
        <f>IF((O30&gt;0),(O6/O30),"")</f>
        <v>132.8684210526316</v>
      </c>
      <c r="P174" s="8">
        <f>IF((P30&gt;0),(P6/P30),"")</f>
        <v>119.625</v>
      </c>
      <c r="Q174" s="8">
        <f>IF((Q30&gt;0),(Q6/Q30),"")</f>
        <v>119.0952380952381</v>
      </c>
      <c r="R174" s="8">
        <f>IF((R30&gt;0),(R6/R30),"")</f>
        <v>129.6911196911197</v>
      </c>
      <c r="S174" s="8">
        <f>IF((S30&gt;0),(S6/S30),"")</f>
        <v>117.60095011876484</v>
      </c>
      <c r="T174" s="8">
        <f>IF((T30&gt;0),(T6/T30),"")</f>
        <v>140.15873015873015</v>
      </c>
      <c r="U174" s="8">
        <f>IF((U30&gt;0),(U6/U30),"")</f>
        <v>170.25735294117646</v>
      </c>
      <c r="V174" s="8">
        <f>IF((V30&gt;0),(V6/V30),"")</f>
        <v>118.24362606232295</v>
      </c>
      <c r="W174" s="8">
        <f>IF((W30&gt;0),(W6/W30),"")</f>
        <v>103.01886792452831</v>
      </c>
      <c r="X174" s="8">
        <f>IF((X30&gt;0),(X6/X30),"")</f>
        <v>152.56756756756758</v>
      </c>
    </row>
    <row r="175">
      <c r="A175" s="0" t="inlineStr">
        <is>
          <t xml:space="preserve">Cost per lead</t>
        </is>
      </c>
      <c r="B175" s="0" t="inlineStr">
        <is>
          <t xml:space="preserve">Paid digital</t>
        </is>
      </c>
      <c r="C175" s="0" t="inlineStr">
        <is>
          <t xml:space="preserve">AMER West</t>
        </is>
      </c>
      <c r="D175" s="8">
        <f>IF((D31&gt;0),(D7/D31),"")</f>
        <v>189.75903614457832</v>
      </c>
      <c r="E175" s="8">
        <f>IF((E31&gt;0),(E7/E31),"")</f>
        <v>153.1418918918919</v>
      </c>
      <c r="F175" s="8">
        <f>IF((F31&gt;0),(F7/F31),"")</f>
        <v>153.82059800664453</v>
      </c>
      <c r="G175" s="8">
        <f>IF((G31&gt;0),(G7/G31),"")</f>
        <v>180.4972375690608</v>
      </c>
      <c r="H175" s="8">
        <f>IF((H31&gt;0),(H7/H31),"")</f>
        <v>167.3148148148148</v>
      </c>
      <c r="I175" s="8">
        <f>IF((I31&gt;0),(I7/I31),"")</f>
        <v>187.64444444444445</v>
      </c>
      <c r="J175" s="8">
        <f>IF((J31&gt;0),(J7/J31),"")</f>
        <v>180.6</v>
      </c>
      <c r="K175" s="8">
        <f>IF((K31&gt;0),(K7/K31),"")</f>
        <v>175.5868544600939</v>
      </c>
      <c r="L175" s="8">
        <f>IF((L31&gt;0),(L7/L31),"")</f>
        <v>156.10344827586206</v>
      </c>
      <c r="M175" s="8">
        <f>IF((M31&gt;0),(M7/M31),"")</f>
        <v>184.85</v>
      </c>
      <c r="N175" s="8">
        <f>IF((N31&gt;0),(N7/N31),"")</f>
        <v>168.81422924901185</v>
      </c>
      <c r="O175" s="8">
        <f>IF((O31&gt;0),(O7/O31),"")</f>
        <v>137.1671388101983</v>
      </c>
      <c r="P175" s="8">
        <f>IF((P31&gt;0),(P7/P31),"")</f>
        <v>148.96341463414635</v>
      </c>
      <c r="Q175" s="8">
        <f>IF((Q31&gt;0),(Q7/Q31),"")</f>
        <v>135.98837209302326</v>
      </c>
      <c r="R175" s="8">
        <f>IF((R31&gt;0),(R7/R31),"")</f>
        <v>157.16180371352786</v>
      </c>
      <c r="S175" s="8">
        <f>IF((S31&gt;0),(S7/S31),"")</f>
        <v>140.09615384615384</v>
      </c>
      <c r="T175" s="8">
        <f>IF((T31&gt;0),(T7/T31),"")</f>
        <v>157.7037037037037</v>
      </c>
      <c r="U175" s="8">
        <f>IF((U31&gt;0),(U7/U31),"")</f>
        <v>119.35309973045823</v>
      </c>
      <c r="V175" s="8">
        <f>IF((V31&gt;0),(V7/V31),"")</f>
        <v>150.3515625</v>
      </c>
      <c r="W175" s="8">
        <f>IF((W31&gt;0),(W7/W31),"")</f>
        <v>132.89473684210526</v>
      </c>
      <c r="X175" s="8">
        <f>IF((X31&gt;0),(X7/X31),"")</f>
        <v>132.81927710843374</v>
      </c>
    </row>
    <row r="176">
      <c r="A176" s="0" t="inlineStr">
        <is>
          <t xml:space="preserve">Cost per lead</t>
        </is>
      </c>
      <c r="B176" s="0" t="inlineStr">
        <is>
          <t xml:space="preserve">Paid digital</t>
        </is>
      </c>
      <c r="C176" s="0" t="inlineStr">
        <is>
          <t xml:space="preserve">EMEA</t>
        </is>
      </c>
      <c r="D176" s="8">
        <f>IF((D32&gt;0),(D8/D32),"")</f>
        <v>128.52409638554218</v>
      </c>
      <c r="E176" s="8">
        <f>IF((E32&gt;0),(E8/E32),"")</f>
        <v>195.05154639175257</v>
      </c>
      <c r="F176" s="8">
        <f>IF((F32&gt;0),(F8/F32),"")</f>
        <v>171.31474103585657</v>
      </c>
      <c r="G176" s="8">
        <f>IF((G32&gt;0),(G8/G32),"")</f>
        <v>116.09271523178808</v>
      </c>
      <c r="H176" s="8">
        <f>IF((H32&gt;0),(H8/H32),"")</f>
        <v>101.6891891891892</v>
      </c>
      <c r="I176" s="8">
        <f>IF((I32&gt;0),(I8/I32),"")</f>
        <v>150.0392156862745</v>
      </c>
      <c r="J176" s="8">
        <f>IF((J32&gt;0),(J8/J32),"")</f>
        <v>159.42857142857142</v>
      </c>
      <c r="K176" s="8">
        <f>IF((K32&gt;0),(K8/K32),"")</f>
        <v>143.5593220338983</v>
      </c>
      <c r="L176" s="8">
        <f>IF((L32&gt;0),(L8/L32),"")</f>
        <v>144.0677966101695</v>
      </c>
      <c r="M176" s="8">
        <f>IF((M32&gt;0),(M8/M32),"")</f>
        <v>138.93203883495147</v>
      </c>
      <c r="N176" s="8">
        <f>IF((N32&gt;0),(N8/N32),"")</f>
        <v>237.3939393939394</v>
      </c>
      <c r="O176" s="8">
        <f>IF((O32&gt;0),(O8/O32),"")</f>
        <v>172.05128205128204</v>
      </c>
      <c r="P176" s="8">
        <f>IF((P32&gt;0),(P8/P32),"")</f>
        <v>138.515625</v>
      </c>
      <c r="Q176" s="8">
        <f>IF((Q32&gt;0),(Q8/Q32),"")</f>
        <v>148.76447876447875</v>
      </c>
      <c r="R176" s="8">
        <f>IF((R32&gt;0),(R8/R32),"")</f>
        <v>147.71812080536913</v>
      </c>
      <c r="S176" s="8">
        <f>IF((S32&gt;0),(S8/S32),"")</f>
        <v>167.02325581395348</v>
      </c>
      <c r="T176" s="8">
        <f>IF((T32&gt;0),(T8/T32),"")</f>
        <v>153.81147540983608</v>
      </c>
      <c r="U176" s="8">
        <f>IF((U32&gt;0),(U8/U32),"")</f>
        <v>140.1673640167364</v>
      </c>
      <c r="V176" s="8">
        <f>IF((V32&gt;0),(V8/V32),"")</f>
        <v>195.2906976744186</v>
      </c>
      <c r="W176" s="8">
        <f>IF((W32&gt;0),(W8/W32),"")</f>
        <v>160.04310344827587</v>
      </c>
      <c r="X176" s="8">
        <f>IF((X32&gt;0),(X8/X32),"")</f>
        <v>249.76190476190476</v>
      </c>
    </row>
    <row r="177">
      <c r="A177" s="0" t="inlineStr">
        <is>
          <t xml:space="preserve">Cost per lead</t>
        </is>
      </c>
      <c r="B177" s="0" t="inlineStr">
        <is>
          <t xml:space="preserve">Paid digital</t>
        </is>
      </c>
      <c r="C177" s="0" t="inlineStr">
        <is>
          <t xml:space="preserve">APAC</t>
        </is>
      </c>
      <c r="D177" s="8">
        <f>IF((D33&gt;0),(D9/D33),"")</f>
        <v>164.37956204379563</v>
      </c>
      <c r="E177" s="8">
        <f>IF((E33&gt;0),(E9/E33),"")</f>
        <v>199.2248062015504</v>
      </c>
      <c r="F177" s="8">
        <f>IF((F33&gt;0),(F9/F33),"")</f>
        <v>181.36054421768708</v>
      </c>
      <c r="G177" s="8">
        <f>IF((G33&gt;0),(G9/G33),"")</f>
        <v>137.74647887323943</v>
      </c>
      <c r="H177" s="8">
        <f>IF((H33&gt;0),(H9/H33),"")</f>
        <v>194.81132075471697</v>
      </c>
      <c r="I177" s="8">
        <f>IF((I33&gt;0),(I9/I33),"")</f>
        <v>173.92307692307693</v>
      </c>
      <c r="J177" s="8">
        <f>IF((J33&gt;0),(J9/J33),"")</f>
        <v>165.16949152542372</v>
      </c>
      <c r="K177" s="8">
        <f>IF((K33&gt;0),(K9/K33),"")</f>
        <v>161.2173913043478</v>
      </c>
      <c r="L177" s="8">
        <f>IF((L33&gt;0),(L9/L33),"")</f>
        <v>195.73426573426573</v>
      </c>
      <c r="M177" s="8">
        <f>IF((M33&gt;0),(M9/M33),"")</f>
        <v>162.32558139534885</v>
      </c>
      <c r="N177" s="8">
        <f>IF((N33&gt;0),(N9/N33),"")</f>
        <v>98.26086956521739</v>
      </c>
      <c r="O177" s="8">
        <f>IF((O33&gt;0),(O9/O33),"")</f>
        <v>111.45833333333333</v>
      </c>
      <c r="P177" s="8">
        <f>IF((P33&gt;0),(P9/P33),"")</f>
        <v>194.34782608695653</v>
      </c>
      <c r="Q177" s="8">
        <f>IF((Q33&gt;0),(Q9/Q33),"")</f>
        <v>156.44808743169398</v>
      </c>
      <c r="R177" s="8">
        <f>IF((R33&gt;0),(R9/R33),"")</f>
        <v>125.55555555555556</v>
      </c>
      <c r="S177" s="8">
        <f>IF((S33&gt;0),(S9/S33),"")</f>
        <v>136.75675675675674</v>
      </c>
      <c r="T177" s="8">
        <f>IF((T33&gt;0),(T9/T33),"")</f>
        <v>147.23529411764707</v>
      </c>
      <c r="U177" s="8">
        <f>IF((U33&gt;0),(U9/U33),"")</f>
        <v>174.96503496503496</v>
      </c>
      <c r="V177" s="8">
        <f>IF((V33&gt;0),(V9/V33),"")</f>
        <v>136.2987012987013</v>
      </c>
      <c r="W177" s="8">
        <f>IF((W33&gt;0),(W9/W33),"")</f>
        <v>174.05172413793105</v>
      </c>
      <c r="X177" s="8">
        <f>IF((X33&gt;0),(X9/X33),"")</f>
        <v>157.62820512820514</v>
      </c>
    </row>
    <row r="178">
      <c r="A178" s="0" t="inlineStr">
        <is>
          <t xml:space="preserve">Cost per lead</t>
        </is>
      </c>
      <c r="B178" s="0" t="inlineStr">
        <is>
          <t xml:space="preserve">Events &amp; field</t>
        </is>
      </c>
      <c r="C178" s="0" t="inlineStr">
        <is>
          <t xml:space="preserve">AMER East</t>
        </is>
      </c>
      <c r="D178" s="8">
        <f>IF((D34&gt;0),(D10/D34),"")</f>
        <v>492.5925925925926</v>
      </c>
      <c r="E178" s="8">
        <f>IF((E34&gt;0),(E10/E34),"")</f>
        <v>412.83185840707966</v>
      </c>
      <c r="F178" s="8">
        <f>IF((F34&gt;0),(F10/F34),"")</f>
        <v>445.8333333333333</v>
      </c>
      <c r="G178" s="8">
        <f>IF((G34&gt;0),(G10/G34),"")</f>
        <v>451.2</v>
      </c>
      <c r="H178" s="8">
        <f>IF((H34&gt;0),(H10/H34),"")</f>
        <v>349</v>
      </c>
      <c r="I178" s="8">
        <f>IF((I34&gt;0),(I10/I34),"")</f>
        <v>502.3076923076923</v>
      </c>
      <c r="J178" s="8">
        <f>IF((J34&gt;0),(J10/J34),"")</f>
        <v>353.01075268817203</v>
      </c>
      <c r="K178" s="8">
        <f>IF((K34&gt;0),(K10/K34),"")</f>
        <v>382.5</v>
      </c>
      <c r="L178" s="8">
        <f>IF((L34&gt;0),(L10/L34),"")</f>
        <v>385.80645161290323</v>
      </c>
      <c r="M178" s="8">
        <f>IF((M34&gt;0),(M10/M34),"")</f>
        <v>383</v>
      </c>
      <c r="N178" s="8">
        <f>IF((N34&gt;0),(N10/N34),"")</f>
        <v>494.2307692307692</v>
      </c>
      <c r="O178" s="8">
        <f>IF((O34&gt;0),(O10/O34),"")</f>
        <v>394.7826086956522</v>
      </c>
      <c r="P178" s="8">
        <f>IF((P34&gt;0),(P10/P34),"")</f>
        <v>362.05882352941177</v>
      </c>
      <c r="Q178" s="8">
        <f>IF((Q34&gt;0),(Q10/Q34),"")</f>
        <v>419.64285714285717</v>
      </c>
      <c r="R178" s="8">
        <f>IF((R34&gt;0),(R10/R34),"")</f>
        <v>391.41843971631204</v>
      </c>
      <c r="S178" s="8">
        <f>IF((S34&gt;0),(S10/S34),"")</f>
        <v>389.3939393939394</v>
      </c>
      <c r="T178" s="8">
        <f>IF((T34&gt;0),(T10/T34),"")</f>
        <v>535.4545454545455</v>
      </c>
      <c r="U178" s="8">
        <f>IF((U34&gt;0),(U10/U34),"")</f>
        <v>341.14285714285717</v>
      </c>
      <c r="V178" s="8">
        <f>IF((V34&gt;0),(V10/V34),"")</f>
        <v>363.36538461538464</v>
      </c>
      <c r="W178" s="8">
        <f>IF((W34&gt;0),(W10/W34),"")</f>
        <v>376.23376623376623</v>
      </c>
      <c r="X178" s="8">
        <f>IF((X34&gt;0),(X10/X34),"")</f>
        <v>344.4736842105263</v>
      </c>
    </row>
    <row r="179">
      <c r="A179" s="0" t="inlineStr">
        <is>
          <t xml:space="preserve">Cost per lead</t>
        </is>
      </c>
      <c r="B179" s="0" t="inlineStr">
        <is>
          <t xml:space="preserve">Events &amp; field</t>
        </is>
      </c>
      <c r="C179" s="0" t="inlineStr">
        <is>
          <t xml:space="preserve">AMER West</t>
        </is>
      </c>
      <c r="D179" s="8">
        <f>IF((D35&gt;0),(D11/D35),"")</f>
        <v>522.3809523809524</v>
      </c>
      <c r="E179" s="8">
        <f>IF((E35&gt;0),(E11/E35),"")</f>
        <v>365.5045871559633</v>
      </c>
      <c r="F179" s="8">
        <f>IF((F35&gt;0),(F11/F35),"")</f>
        <v>333.2608695652174</v>
      </c>
      <c r="G179" s="8">
        <f>IF((G35&gt;0),(G11/G35),"")</f>
        <v>433.2</v>
      </c>
      <c r="H179" s="8">
        <f>IF((H35&gt;0),(H11/H35),"")</f>
        <v>356.1290322580645</v>
      </c>
      <c r="I179" s="8">
        <f>IF((I35&gt;0),(I11/I35),"")</f>
        <v>509.09090909090907</v>
      </c>
      <c r="J179" s="8">
        <f>IF((J35&gt;0),(J11/J35),"")</f>
        <v>447.46478873239437</v>
      </c>
      <c r="K179" s="8">
        <f>IF((K35&gt;0),(K11/K35),"")</f>
        <v>472</v>
      </c>
      <c r="L179" s="8">
        <f>IF((L35&gt;0),(L11/L35),"")</f>
        <v>369.64285714285717</v>
      </c>
      <c r="M179" s="8">
        <f>IF((M35&gt;0),(M11/M35),"")</f>
        <v>383.46153846153845</v>
      </c>
      <c r="N179" s="8">
        <f>IF((N35&gt;0),(N11/N35),"")</f>
        <v>471.7391304347826</v>
      </c>
      <c r="O179" s="8">
        <f>IF((O35&gt;0),(O11/O35),"")</f>
        <v>388.34586466165416</v>
      </c>
      <c r="P179" s="8">
        <f>IF((P35&gt;0),(P11/P35),"")</f>
        <v>357.8125</v>
      </c>
      <c r="Q179" s="8">
        <f>IF((Q35&gt;0),(Q11/Q35),"")</f>
        <v>311.3333333333333</v>
      </c>
      <c r="R179" s="8">
        <f>IF((R35&gt;0),(R11/R35),"")</f>
        <v>397.8151260504202</v>
      </c>
      <c r="S179" s="8">
        <f>IF((S35&gt;0),(S11/S35),"")</f>
        <v>417.037037037037</v>
      </c>
      <c r="T179" s="8">
        <f>IF((T35&gt;0),(T11/T35),"")</f>
        <v>406.42857142857144</v>
      </c>
      <c r="U179" s="8">
        <f>IF((U35&gt;0),(U11/U35),"")</f>
        <v>634.4444444444445</v>
      </c>
      <c r="V179" s="8">
        <f>IF((V35&gt;0),(V11/V35),"")</f>
        <v>362.8301886792453</v>
      </c>
      <c r="W179" s="8">
        <f>IF((W35&gt;0),(W11/W35),"")</f>
        <v>475.2083333333333</v>
      </c>
      <c r="X179" s="8">
        <f>IF((X35&gt;0),(X11/X35),"")</f>
        <v>326.3157894736842</v>
      </c>
    </row>
    <row r="180">
      <c r="A180" s="0" t="inlineStr">
        <is>
          <t xml:space="preserve">Cost per lead</t>
        </is>
      </c>
      <c r="B180" s="0" t="inlineStr">
        <is>
          <t xml:space="preserve">Events &amp; field</t>
        </is>
      </c>
      <c r="C180" s="0" t="inlineStr">
        <is>
          <t xml:space="preserve">EMEA</t>
        </is>
      </c>
      <c r="D180" s="8">
        <f>IF((D36&gt;0),(D12/D36),"")</f>
        <v>571.875</v>
      </c>
      <c r="E180" s="8">
        <f>IF((E36&gt;0),(E12/E36),"")</f>
        <v>348</v>
      </c>
      <c r="F180" s="8">
        <f>IF((F36&gt;0),(F12/F36),"")</f>
        <v>586.8421052631579</v>
      </c>
      <c r="G180" s="8">
        <f>IF((G36&gt;0),(G12/G36),"")</f>
        <v>435</v>
      </c>
      <c r="H180" s="8">
        <f>IF((H36&gt;0),(H12/H36),"")</f>
        <v>453.1578947368421</v>
      </c>
      <c r="I180" s="8">
        <f>IF((I36&gt;0),(I12/I36),"")</f>
        <v>451.8181818181818</v>
      </c>
      <c r="J180" s="8">
        <f>IF((J36&gt;0),(J12/J36),"")</f>
        <v>292.82828282828285</v>
      </c>
      <c r="K180" s="8">
        <f>IF((K36&gt;0),(K12/K36),"")</f>
        <v>391.1111111111111</v>
      </c>
      <c r="L180" s="8">
        <f>IF((L36&gt;0),(L12/L36),"")</f>
        <v>493.3333333333333</v>
      </c>
      <c r="M180" s="8">
        <f>IF((M36&gt;0),(M12/M36),"")</f>
        <v>458.42105263157896</v>
      </c>
      <c r="N180" s="8">
        <f>IF((N36&gt;0),(N12/N36),"")</f>
        <v>384.81481481481484</v>
      </c>
      <c r="O180" s="8">
        <f>IF((O36&gt;0),(O12/O36),"")</f>
        <v>472.5609756097561</v>
      </c>
      <c r="P180" s="8">
        <f>IF((P36&gt;0),(P12/P36),"")</f>
        <v>611.875</v>
      </c>
      <c r="Q180" s="8">
        <f>IF((Q36&gt;0),(Q12/Q36),"")</f>
        <v>366.55172413793105</v>
      </c>
      <c r="R180" s="8">
        <f>IF((R36&gt;0),(R12/R36),"")</f>
        <v>316.3302752293578</v>
      </c>
      <c r="S180" s="8">
        <f>IF((S36&gt;0),(S12/S36),"")</f>
        <v>421.8181818181818</v>
      </c>
      <c r="T180" s="8">
        <f>IF((T36&gt;0),(T12/T36),"")</f>
        <v>396.6666666666667</v>
      </c>
      <c r="U180" s="8">
        <f>IF((U36&gt;0),(U12/U36),"")</f>
        <v>403.57142857142856</v>
      </c>
      <c r="V180" s="8">
        <f>IF((V36&gt;0),(V12/V36),"")</f>
        <v>270.47169811320754</v>
      </c>
      <c r="W180" s="8">
        <f>IF((W36&gt;0),(W12/W36),"")</f>
        <v>358.41269841269843</v>
      </c>
      <c r="X180" s="8">
        <f>IF((X36&gt;0),(X12/X36),"")</f>
        <v>411.6</v>
      </c>
    </row>
    <row r="181">
      <c r="A181" s="0" t="inlineStr">
        <is>
          <t xml:space="preserve">Cost per lead</t>
        </is>
      </c>
      <c r="B181" s="0" t="inlineStr">
        <is>
          <t xml:space="preserve">Events &amp; field</t>
        </is>
      </c>
      <c r="C181" s="0" t="inlineStr">
        <is>
          <t xml:space="preserve">APAC</t>
        </is>
      </c>
      <c r="D181" s="8">
        <f>IF((D37&gt;0),(D13/D37),"")</f>
        <v>286.3636363636364</v>
      </c>
      <c r="E181" s="8">
        <f>IF((E37&gt;0),(E13/E37),"")</f>
        <v>351</v>
      </c>
      <c r="F181" s="8">
        <f>IF((F37&gt;0),(F13/F37),"")</f>
        <v>366.5</v>
      </c>
      <c r="G181" s="8">
        <f>IF((G37&gt;0),(G13/G37),"")</f>
        <v>502.14285714285717</v>
      </c>
      <c r="H181" s="8">
        <f>IF((H37&gt;0),(H13/H37),"")</f>
        <v>446.6666666666667</v>
      </c>
      <c r="I181" s="8">
        <f>IF((I37&gt;0),(I13/I37),"")</f>
        <v>375.3333333333333</v>
      </c>
      <c r="J181" s="8">
        <f>IF((J37&gt;0),(J13/J37),"")</f>
        <v>458.3333333333333</v>
      </c>
      <c r="K181" s="8">
        <f>IF((K37&gt;0),(K13/K37),"")</f>
        <v>458.1818181818182</v>
      </c>
      <c r="L181" s="8">
        <f>IF((L37&gt;0),(L13/L37),"")</f>
        <v>451.25</v>
      </c>
      <c r="M181" s="8">
        <f>IF((M37&gt;0),(M13/M37),"")</f>
        <v>430</v>
      </c>
      <c r="N181" s="8">
        <f>IF((N37&gt;0),(N13/N37),"")</f>
        <v>325.88235294117646</v>
      </c>
      <c r="O181" s="8">
        <f>IF((O37&gt;0),(O13/O37),"")</f>
        <v>388.25396825396825</v>
      </c>
      <c r="P181" s="8">
        <f>IF((P37&gt;0),(P13/P37),"")</f>
        <v>452.3076923076923</v>
      </c>
      <c r="Q181" s="8">
        <f>IF((Q37&gt;0),(Q13/Q37),"")</f>
        <v>401.1764705882353</v>
      </c>
      <c r="R181" s="8">
        <f>IF((R37&gt;0),(R13/R37),"")</f>
        <v>417.14285714285717</v>
      </c>
      <c r="S181" s="8">
        <f>IF((S37&gt;0),(S13/S37),"")</f>
        <v>375.625</v>
      </c>
      <c r="T181" s="8">
        <f>IF((T37&gt;0),(T13/T37),"")</f>
        <v>561</v>
      </c>
      <c r="U181" s="8">
        <f>IF((U37&gt;0),(U13/U37),"")</f>
        <v>380.625</v>
      </c>
      <c r="V181" s="8">
        <f>IF((V37&gt;0),(V13/V37),"")</f>
        <v>468.0952380952381</v>
      </c>
      <c r="W181" s="8">
        <f>IF((W37&gt;0),(W13/W37),"")</f>
        <v>436.875</v>
      </c>
      <c r="X181" s="8">
        <f>IF((X37&gt;0),(X13/X37),"")</f>
        <v>390.625</v>
      </c>
    </row>
    <row r="182">
      <c r="A182" s="0" t="inlineStr">
        <is>
          <t xml:space="preserve">Cost per lead</t>
        </is>
      </c>
      <c r="B182" s="0" t="inlineStr">
        <is>
          <t xml:space="preserve">Partner</t>
        </is>
      </c>
      <c r="C182" s="0" t="inlineStr">
        <is>
          <t xml:space="preserve">AMER East</t>
        </is>
      </c>
      <c r="D182" s="8">
        <f>IF((D38&gt;0),(D14/D38),"")</f>
        <v>223.5483870967742</v>
      </c>
      <c r="E182" s="8">
        <f>IF((E38&gt;0),(E14/E38),"")</f>
        <v>306.3157894736842</v>
      </c>
      <c r="F182" s="8">
        <f>IF((F38&gt;0),(F14/F38),"")</f>
        <v>303.5</v>
      </c>
      <c r="G182" s="8">
        <f>IF((G38&gt;0),(G14/G38),"")</f>
        <v>192.75862068965517</v>
      </c>
      <c r="H182" s="8">
        <f>IF((H38&gt;0),(H14/H38),"")</f>
        <v>263.1578947368421</v>
      </c>
      <c r="I182" s="8">
        <f>IF((I38&gt;0),(I14/I38),"")</f>
        <v>253.04347826086956</v>
      </c>
      <c r="J182" s="8">
        <f>IF((J38&gt;0),(J14/J38),"")</f>
        <v>194.6153846153846</v>
      </c>
      <c r="K182" s="8">
        <f>IF((K38&gt;0),(K14/K38),"")</f>
        <v>278.8235294117647</v>
      </c>
      <c r="L182" s="8">
        <f>IF((L38&gt;0),(L14/L38),"")</f>
        <v>292.9166666666667</v>
      </c>
      <c r="M182" s="8">
        <f>IF((M38&gt;0),(M14/M38),"")</f>
        <v>325</v>
      </c>
      <c r="N182" s="8">
        <f>IF((N38&gt;0),(N14/N38),"")</f>
        <v>443.3333333333333</v>
      </c>
      <c r="O182" s="8">
        <f>IF((O38&gt;0),(O14/O38),"")</f>
        <v>222.66666666666666</v>
      </c>
      <c r="P182" s="8">
        <f>IF((P38&gt;0),(P14/P38),"")</f>
        <v>313.3333333333333</v>
      </c>
      <c r="Q182" s="8">
        <f>IF((Q38&gt;0),(Q14/Q38),"")</f>
        <v>278.57142857142856</v>
      </c>
      <c r="R182" s="8">
        <f>IF((R38&gt;0),(R14/R38),"")</f>
        <v>245.66666666666666</v>
      </c>
      <c r="S182" s="8">
        <f>IF((S38&gt;0),(S14/S38),"")</f>
        <v>354.6666666666667</v>
      </c>
      <c r="T182" s="8">
        <f>IF((T38&gt;0),(T14/T38),"")</f>
        <v>200.32258064516128</v>
      </c>
      <c r="U182" s="8">
        <f>IF((U38&gt;0),(U14/U38),"")</f>
        <v>261.30434782608694</v>
      </c>
      <c r="V182" s="8">
        <f>IF((V38&gt;0),(V14/V38),"")</f>
        <v>282.63157894736844</v>
      </c>
      <c r="W182" s="8">
        <f>IF((W38&gt;0),(W14/W38),"")</f>
        <v>167.57575757575756</v>
      </c>
      <c r="X182" s="8">
        <f>IF((X38&gt;0),(X14/X38),"")</f>
        <v>258.0952380952381</v>
      </c>
    </row>
    <row r="183">
      <c r="A183" s="0" t="inlineStr">
        <is>
          <t xml:space="preserve">Cost per lead</t>
        </is>
      </c>
      <c r="B183" s="0" t="inlineStr">
        <is>
          <t xml:space="preserve">Partner</t>
        </is>
      </c>
      <c r="C183" s="0" t="inlineStr">
        <is>
          <t xml:space="preserve">AMER West</t>
        </is>
      </c>
      <c r="D183" s="8">
        <f>IF((D39&gt;0),(D15/D39),"")</f>
        <v>226.78571428571428</v>
      </c>
      <c r="E183" s="8">
        <f>IF((E39&gt;0),(E15/E39),"")</f>
        <v>251.42857142857142</v>
      </c>
      <c r="F183" s="8">
        <f>IF((F39&gt;0),(F15/F39),"")</f>
        <v>212.06896551724137</v>
      </c>
      <c r="G183" s="8">
        <f>IF((G39&gt;0),(G15/G39),"")</f>
        <v>387.3333333333333</v>
      </c>
      <c r="H183" s="8">
        <f>IF((H39&gt;0),(H15/H39),"")</f>
        <v>171.66666666666666</v>
      </c>
      <c r="I183" s="8">
        <f>IF((I39&gt;0),(I15/I39),"")</f>
        <v>205.83333333333334</v>
      </c>
      <c r="J183" s="8">
        <f>IF((J39&gt;0),(J15/J39),"")</f>
        <v>284.375</v>
      </c>
      <c r="K183" s="8">
        <f>IF((K39&gt;0),(K15/K39),"")</f>
        <v>430</v>
      </c>
      <c r="L183" s="8">
        <f>IF((L39&gt;0),(L15/L39),"")</f>
        <v>169.375</v>
      </c>
      <c r="M183" s="8">
        <f>IF((M39&gt;0),(M15/M39),"")</f>
        <v>276.6666666666667</v>
      </c>
      <c r="N183" s="8">
        <f>IF((N39&gt;0),(N15/N39),"")</f>
        <v>303.1578947368421</v>
      </c>
      <c r="O183" s="8">
        <f>IF((O39&gt;0),(O15/O39),"")</f>
        <v>294.7826086956522</v>
      </c>
      <c r="P183" s="8">
        <f>IF((P39&gt;0),(P15/P39),"")</f>
        <v>312.63157894736844</v>
      </c>
      <c r="Q183" s="8">
        <f>IF((Q39&gt;0),(Q15/Q39),"")</f>
        <v>243.2</v>
      </c>
      <c r="R183" s="8">
        <f>IF((R39&gt;0),(R15/R39),"")</f>
        <v>227.58620689655172</v>
      </c>
      <c r="S183" s="8">
        <f>IF((S39&gt;0),(S15/S39),"")</f>
        <v>246.36363636363637</v>
      </c>
      <c r="T183" s="8">
        <f>IF((T39&gt;0),(T15/T39),"")</f>
        <v>288.8888888888889</v>
      </c>
      <c r="U183" s="8">
        <f>IF((U39&gt;0),(U15/U39),"")</f>
        <v>290.625</v>
      </c>
      <c r="V183" s="8">
        <f>IF((V39&gt;0),(V15/V39),"")</f>
        <v>273.125</v>
      </c>
      <c r="W183" s="8">
        <f>IF((W39&gt;0),(W15/W39),"")</f>
        <v>263.6842105263158</v>
      </c>
      <c r="X183" s="8">
        <f>IF((X39&gt;0),(X15/X39),"")</f>
        <v>301.05263157894734</v>
      </c>
    </row>
    <row r="184">
      <c r="A184" s="0" t="inlineStr">
        <is>
          <t xml:space="preserve">Cost per lead</t>
        </is>
      </c>
      <c r="B184" s="0" t="inlineStr">
        <is>
          <t xml:space="preserve">Partner</t>
        </is>
      </c>
      <c r="C184" s="0" t="inlineStr">
        <is>
          <t xml:space="preserve">EMEA</t>
        </is>
      </c>
      <c r="D184" s="8">
        <f>IF((D40&gt;0),(D16/D40),"")</f>
        <v>292.63157894736844</v>
      </c>
      <c r="E184" s="8">
        <f>IF((E40&gt;0),(E16/E40),"")</f>
        <v>255.9090909090909</v>
      </c>
      <c r="F184" s="8">
        <f>IF((F40&gt;0),(F16/F40),"")</f>
        <v>196.2962962962963</v>
      </c>
      <c r="G184" s="8">
        <f>IF((G40&gt;0),(G16/G40),"")</f>
        <v>352.5</v>
      </c>
      <c r="H184" s="8">
        <f>IF((H40&gt;0),(H16/H40),"")</f>
        <v>250</v>
      </c>
      <c r="I184" s="8">
        <f>IF((I40&gt;0),(I16/I40),"")</f>
        <v>268</v>
      </c>
      <c r="J184" s="8">
        <f>IF((J40&gt;0),(J16/J40),"")</f>
        <v>185.45454545454547</v>
      </c>
      <c r="K184" s="8">
        <f>IF((K40&gt;0),(K16/K40),"")</f>
        <v>310</v>
      </c>
      <c r="L184" s="8">
        <f>IF((L40&gt;0),(L16/L40),"")</f>
        <v>255</v>
      </c>
      <c r="M184" s="8">
        <f>IF((M40&gt;0),(M16/M40),"")</f>
        <v>213.6</v>
      </c>
      <c r="N184" s="8">
        <f>IF((N40&gt;0),(N16/N40),"")</f>
        <v>319.3333333333333</v>
      </c>
      <c r="O184" s="8">
        <f>IF((O40&gt;0),(O16/O40),"")</f>
        <v>203.92857142857142</v>
      </c>
      <c r="P184" s="8">
        <f>IF((P40&gt;0),(P16/P40),"")</f>
        <v>240.5</v>
      </c>
      <c r="Q184" s="8">
        <f>IF((Q40&gt;0),(Q16/Q40),"")</f>
        <v>239.52380952380952</v>
      </c>
      <c r="R184" s="8">
        <f>IF((R40&gt;0),(R16/R40),"")</f>
        <v>248</v>
      </c>
      <c r="S184" s="8">
        <f>IF((S40&gt;0),(S16/S40),"")</f>
        <v>303.75</v>
      </c>
      <c r="T184" s="8">
        <f>IF((T40&gt;0),(T16/T40),"")</f>
        <v>254.375</v>
      </c>
      <c r="U184" s="8">
        <f>IF((U40&gt;0),(U16/U40),"")</f>
        <v>202.4</v>
      </c>
      <c r="V184" s="8">
        <f>IF((V40&gt;0),(V16/V40),"")</f>
        <v>246</v>
      </c>
      <c r="W184" s="8">
        <f>IF((W40&gt;0),(W16/W40),"")</f>
        <v>343.6363636363636</v>
      </c>
      <c r="X184" s="8">
        <f>IF((X40&gt;0),(X16/X40),"")</f>
        <v>185.3846153846154</v>
      </c>
    </row>
    <row r="185">
      <c r="A185" s="0" t="inlineStr">
        <is>
          <t xml:space="preserve">Cost per lead</t>
        </is>
      </c>
      <c r="B185" s="0" t="inlineStr">
        <is>
          <t xml:space="preserve">Partner</t>
        </is>
      </c>
      <c r="C185" s="0" t="inlineStr">
        <is>
          <t xml:space="preserve">APAC</t>
        </is>
      </c>
      <c r="D185" s="8">
        <f>IF((D41&gt;0),(D17/D41),"")</f>
        <v>227.69230769230768</v>
      </c>
      <c r="E185" s="8">
        <f>IF((E41&gt;0),(E17/E41),"")</f>
        <v>241.8181818181818</v>
      </c>
      <c r="F185" s="8">
        <f>IF((F41&gt;0),(F17/F41),"")</f>
        <v>292.14285714285717</v>
      </c>
      <c r="G185" s="8">
        <f>IF((G41&gt;0),(G17/G41),"")</f>
        <v>355</v>
      </c>
      <c r="H185" s="8">
        <f>IF((H41&gt;0),(H17/H41),"")</f>
        <v>216.66666666666666</v>
      </c>
      <c r="I185" s="8">
        <f>IF((I41&gt;0),(I17/I41),"")</f>
        <v>286.6666666666667</v>
      </c>
      <c r="J185" s="8">
        <f>IF((J41&gt;0),(J17/J41),"")</f>
        <v>226.36363636363637</v>
      </c>
      <c r="K185" s="8">
        <f>IF((K41&gt;0),(K17/K41),"")</f>
        <v>214.16666666666666</v>
      </c>
      <c r="L185" s="8">
        <f>IF((L41&gt;0),(L17/L41),"")</f>
        <v>205.3846153846154</v>
      </c>
      <c r="M185" s="8">
        <f>IF((M41&gt;0),(M17/M41),"")</f>
        <v>377.5</v>
      </c>
      <c r="N185" s="8">
        <f>IF((N41&gt;0),(N17/N41),"")</f>
        <v>292.72727272727275</v>
      </c>
      <c r="O185" s="8">
        <f>IF((O41&gt;0),(O17/O41),"")</f>
        <v>332.72727272727275</v>
      </c>
      <c r="P185" s="8">
        <f>IF((P41&gt;0),(P17/P41),"")</f>
        <v>358.8888888888889</v>
      </c>
      <c r="Q185" s="8">
        <f>IF((Q41&gt;0),(Q17/Q41),"")</f>
        <v>256.6666666666667</v>
      </c>
      <c r="R185" s="8">
        <f>IF((R41&gt;0),(R17/R41),"")</f>
        <v>206.875</v>
      </c>
      <c r="S185" s="8">
        <f>IF((S41&gt;0),(S17/S41),"")</f>
        <v>269.09090909090907</v>
      </c>
      <c r="T185" s="8">
        <f>IF((T41&gt;0),(T17/T41),"")</f>
        <v>269</v>
      </c>
      <c r="U185" s="8">
        <f>IF((U41&gt;0),(U17/U41),"")</f>
        <v>301.8181818181818</v>
      </c>
      <c r="V185" s="8">
        <f>IF((V41&gt;0),(V17/V41),"")</f>
        <v>270</v>
      </c>
      <c r="W185" s="8">
        <f>IF((W41&gt;0),(W17/W41),"")</f>
        <v>245.45454545454547</v>
      </c>
      <c r="X185" s="8">
        <f>IF((X41&gt;0),(X17/X41),"")</f>
        <v>344.44444444444446</v>
      </c>
    </row>
    <row r="186">
      <c r="A186" s="0" t="inlineStr">
        <is>
          <t xml:space="preserve">Cost per lead</t>
        </is>
      </c>
      <c r="B186" s="0" t="inlineStr">
        <is>
          <t xml:space="preserve">Outbound (BDR)</t>
        </is>
      </c>
      <c r="C186" s="0" t="inlineStr">
        <is>
          <t xml:space="preserve">AMER East</t>
        </is>
      </c>
      <c r="D186" s="4">
        <f>IF((D42&gt;0),(D18/D42),"")</f>
      </c>
      <c r="E186" s="4">
        <f>IF((E42&gt;0),(E18/E42),"")</f>
      </c>
      <c r="F186" s="4">
        <f>IF((F42&gt;0),(F18/F42),"")</f>
      </c>
      <c r="G186" s="4">
        <f>IF((G42&gt;0),(G18/G42),"")</f>
      </c>
      <c r="H186" s="4">
        <f>IF((H42&gt;0),(H18/H42),"")</f>
      </c>
      <c r="I186" s="4">
        <f>IF((I42&gt;0),(I18/I42),"")</f>
      </c>
      <c r="J186" s="4">
        <f>IF((J42&gt;0),(J18/J42),"")</f>
      </c>
      <c r="K186" s="4">
        <f>IF((K42&gt;0),(K18/K42),"")</f>
      </c>
      <c r="L186" s="4">
        <f>IF((L42&gt;0),(L18/L42),"")</f>
      </c>
      <c r="M186" s="4">
        <f>IF((M42&gt;0),(M18/M42),"")</f>
      </c>
      <c r="N186" s="4">
        <f>IF((N42&gt;0),(N18/N42),"")</f>
      </c>
      <c r="O186" s="4">
        <f>IF((O42&gt;0),(O18/O42),"")</f>
      </c>
      <c r="P186" s="4">
        <f>IF((P42&gt;0),(P18/P42),"")</f>
      </c>
      <c r="Q186" s="4">
        <f>IF((Q42&gt;0),(Q18/Q42),"")</f>
      </c>
      <c r="R186" s="4">
        <f>IF((R42&gt;0),(R18/R42),"")</f>
      </c>
      <c r="S186" s="4">
        <f>IF((S42&gt;0),(S18/S42),"")</f>
      </c>
      <c r="T186" s="4">
        <f>IF((T42&gt;0),(T18/T42),"")</f>
      </c>
      <c r="U186" s="4">
        <f>IF((U42&gt;0),(U18/U42),"")</f>
      </c>
      <c r="V186" s="4">
        <f>IF((V42&gt;0),(V18/V42),"")</f>
      </c>
      <c r="W186" s="4">
        <f>IF((W42&gt;0),(W18/W42),"")</f>
      </c>
      <c r="X186" s="4">
        <f>IF((X42&gt;0),(X18/X42),"")</f>
      </c>
    </row>
    <row r="187">
      <c r="A187" s="0" t="inlineStr">
        <is>
          <t xml:space="preserve">Cost per lead</t>
        </is>
      </c>
      <c r="B187" s="0" t="inlineStr">
        <is>
          <t xml:space="preserve">Outbound (BDR)</t>
        </is>
      </c>
      <c r="C187" s="0" t="inlineStr">
        <is>
          <t xml:space="preserve">AMER West</t>
        </is>
      </c>
      <c r="D187" s="4">
        <f>IF((D43&gt;0),(D19/D43),"")</f>
      </c>
      <c r="E187" s="4">
        <f>IF((E43&gt;0),(E19/E43),"")</f>
      </c>
      <c r="F187" s="4">
        <f>IF((F43&gt;0),(F19/F43),"")</f>
      </c>
      <c r="G187" s="4">
        <f>IF((G43&gt;0),(G19/G43),"")</f>
      </c>
      <c r="H187" s="4">
        <f>IF((H43&gt;0),(H19/H43),"")</f>
      </c>
      <c r="I187" s="4">
        <f>IF((I43&gt;0),(I19/I43),"")</f>
      </c>
      <c r="J187" s="4">
        <f>IF((J43&gt;0),(J19/J43),"")</f>
      </c>
      <c r="K187" s="4">
        <f>IF((K43&gt;0),(K19/K43),"")</f>
      </c>
      <c r="L187" s="4">
        <f>IF((L43&gt;0),(L19/L43),"")</f>
      </c>
      <c r="M187" s="4">
        <f>IF((M43&gt;0),(M19/M43),"")</f>
      </c>
      <c r="N187" s="4">
        <f>IF((N43&gt;0),(N19/N43),"")</f>
      </c>
      <c r="O187" s="4">
        <f>IF((O43&gt;0),(O19/O43),"")</f>
      </c>
      <c r="P187" s="4">
        <f>IF((P43&gt;0),(P19/P43),"")</f>
      </c>
      <c r="Q187" s="4">
        <f>IF((Q43&gt;0),(Q19/Q43),"")</f>
      </c>
      <c r="R187" s="4">
        <f>IF((R43&gt;0),(R19/R43),"")</f>
      </c>
      <c r="S187" s="4">
        <f>IF((S43&gt;0),(S19/S43),"")</f>
      </c>
      <c r="T187" s="4">
        <f>IF((T43&gt;0),(T19/T43),"")</f>
      </c>
      <c r="U187" s="4">
        <f>IF((U43&gt;0),(U19/U43),"")</f>
      </c>
      <c r="V187" s="4">
        <f>IF((V43&gt;0),(V19/V43),"")</f>
      </c>
      <c r="W187" s="4">
        <f>IF((W43&gt;0),(W19/W43),"")</f>
      </c>
      <c r="X187" s="4">
        <f>IF((X43&gt;0),(X19/X43),"")</f>
      </c>
    </row>
    <row r="188">
      <c r="A188" s="0" t="inlineStr">
        <is>
          <t xml:space="preserve">Cost per lead</t>
        </is>
      </c>
      <c r="B188" s="0" t="inlineStr">
        <is>
          <t xml:space="preserve">Outbound (BDR)</t>
        </is>
      </c>
      <c r="C188" s="0" t="inlineStr">
        <is>
          <t xml:space="preserve">EMEA</t>
        </is>
      </c>
      <c r="D188" s="4">
        <f>IF((D44&gt;0),(D20/D44),"")</f>
      </c>
      <c r="E188" s="4">
        <f>IF((E44&gt;0),(E20/E44),"")</f>
      </c>
      <c r="F188" s="4">
        <f>IF((F44&gt;0),(F20/F44),"")</f>
      </c>
      <c r="G188" s="4">
        <f>IF((G44&gt;0),(G20/G44),"")</f>
      </c>
      <c r="H188" s="4">
        <f>IF((H44&gt;0),(H20/H44),"")</f>
      </c>
      <c r="I188" s="4">
        <f>IF((I44&gt;0),(I20/I44),"")</f>
      </c>
      <c r="J188" s="4">
        <f>IF((J44&gt;0),(J20/J44),"")</f>
      </c>
      <c r="K188" s="4">
        <f>IF((K44&gt;0),(K20/K44),"")</f>
      </c>
      <c r="L188" s="4">
        <f>IF((L44&gt;0),(L20/L44),"")</f>
      </c>
      <c r="M188" s="4">
        <f>IF((M44&gt;0),(M20/M44),"")</f>
      </c>
      <c r="N188" s="4">
        <f>IF((N44&gt;0),(N20/N44),"")</f>
      </c>
      <c r="O188" s="4">
        <f>IF((O44&gt;0),(O20/O44),"")</f>
      </c>
      <c r="P188" s="4">
        <f>IF((P44&gt;0),(P20/P44),"")</f>
      </c>
      <c r="Q188" s="4">
        <f>IF((Q44&gt;0),(Q20/Q44),"")</f>
      </c>
      <c r="R188" s="4">
        <f>IF((R44&gt;0),(R20/R44),"")</f>
      </c>
      <c r="S188" s="4">
        <f>IF((S44&gt;0),(S20/S44),"")</f>
      </c>
      <c r="T188" s="4">
        <f>IF((T44&gt;0),(T20/T44),"")</f>
      </c>
      <c r="U188" s="4">
        <f>IF((U44&gt;0),(U20/U44),"")</f>
      </c>
      <c r="V188" s="4">
        <f>IF((V44&gt;0),(V20/V44),"")</f>
      </c>
      <c r="W188" s="4">
        <f>IF((W44&gt;0),(W20/W44),"")</f>
      </c>
      <c r="X188" s="4">
        <f>IF((X44&gt;0),(X20/X44),"")</f>
      </c>
    </row>
    <row r="189">
      <c r="A189" s="0" t="inlineStr">
        <is>
          <t xml:space="preserve">Cost per lead</t>
        </is>
      </c>
      <c r="B189" s="0" t="inlineStr">
        <is>
          <t xml:space="preserve">Outbound (BDR)</t>
        </is>
      </c>
      <c r="C189" s="0" t="inlineStr">
        <is>
          <t xml:space="preserve">APAC</t>
        </is>
      </c>
      <c r="D189" s="4">
        <f>IF((D45&gt;0),(D21/D45),"")</f>
      </c>
      <c r="E189" s="4">
        <f>IF((E45&gt;0),(E21/E45),"")</f>
      </c>
      <c r="F189" s="4">
        <f>IF((F45&gt;0),(F21/F45),"")</f>
      </c>
      <c r="G189" s="4">
        <f>IF((G45&gt;0),(G21/G45),"")</f>
      </c>
      <c r="H189" s="4">
        <f>IF((H45&gt;0),(H21/H45),"")</f>
      </c>
      <c r="I189" s="4">
        <f>IF((I45&gt;0),(I21/I45),"")</f>
      </c>
      <c r="J189" s="4">
        <f>IF((J45&gt;0),(J21/J45),"")</f>
      </c>
      <c r="K189" s="4">
        <f>IF((K45&gt;0),(K21/K45),"")</f>
      </c>
      <c r="L189" s="4">
        <f>IF((L45&gt;0),(L21/L45),"")</f>
      </c>
      <c r="M189" s="4">
        <f>IF((M45&gt;0),(M21/M45),"")</f>
      </c>
      <c r="N189" s="4">
        <f>IF((N45&gt;0),(N21/N45),"")</f>
      </c>
      <c r="O189" s="4">
        <f>IF((O45&gt;0),(O21/O45),"")</f>
      </c>
      <c r="P189" s="4">
        <f>IF((P45&gt;0),(P21/P45),"")</f>
      </c>
      <c r="Q189" s="4">
        <f>IF((Q45&gt;0),(Q21/Q45),"")</f>
      </c>
      <c r="R189" s="4">
        <f>IF((R45&gt;0),(R21/R45),"")</f>
      </c>
      <c r="S189" s="4">
        <f>IF((S45&gt;0),(S21/S45),"")</f>
      </c>
      <c r="T189" s="4">
        <f>IF((T45&gt;0),(T21/T45),"")</f>
      </c>
      <c r="U189" s="4">
        <f>IF((U45&gt;0),(U21/U45),"")</f>
      </c>
      <c r="V189" s="4">
        <f>IF((V45&gt;0),(V21/V45),"")</f>
      </c>
      <c r="W189" s="4">
        <f>IF((W45&gt;0),(W21/W45),"")</f>
      </c>
      <c r="X189" s="4">
        <f>IF((X45&gt;0),(X21/X45),"")</f>
      </c>
    </row>
    <row r="190">
      <c r="A190" s="0" t="inlineStr">
        <is>
          <t xml:space="preserve">Cost per lead</t>
        </is>
      </c>
      <c r="B190" s="0" t="inlineStr">
        <is>
          <t xml:space="preserve">Customer referral</t>
        </is>
      </c>
      <c r="C190" s="0" t="inlineStr">
        <is>
          <t xml:space="preserve">AMER East</t>
        </is>
      </c>
      <c r="D190" s="4">
        <f>IF((D46&gt;0),(D22/D46),"")</f>
      </c>
      <c r="E190" s="4">
        <f>IF((E46&gt;0),(E22/E46),"")</f>
      </c>
      <c r="F190" s="4">
        <f>IF((F46&gt;0),(F22/F46),"")</f>
      </c>
      <c r="G190" s="4">
        <f>IF((G46&gt;0),(G22/G46),"")</f>
      </c>
      <c r="H190" s="4">
        <f>IF((H46&gt;0),(H22/H46),"")</f>
      </c>
      <c r="I190" s="4">
        <f>IF((I46&gt;0),(I22/I46),"")</f>
      </c>
      <c r="J190" s="4">
        <f>IF((J46&gt;0),(J22/J46),"")</f>
      </c>
      <c r="K190" s="4">
        <f>IF((K46&gt;0),(K22/K46),"")</f>
      </c>
      <c r="L190" s="4">
        <f>IF((L46&gt;0),(L22/L46),"")</f>
      </c>
      <c r="M190" s="4">
        <f>IF((M46&gt;0),(M22/M46),"")</f>
      </c>
      <c r="N190" s="4">
        <f>IF((N46&gt;0),(N22/N46),"")</f>
      </c>
      <c r="O190" s="4">
        <f>IF((O46&gt;0),(O22/O46),"")</f>
      </c>
      <c r="P190" s="4">
        <f>IF((P46&gt;0),(P22/P46),"")</f>
      </c>
      <c r="Q190" s="4">
        <f>IF((Q46&gt;0),(Q22/Q46),"")</f>
      </c>
      <c r="R190" s="4">
        <f>IF((R46&gt;0),(R22/R46),"")</f>
      </c>
      <c r="S190" s="4">
        <f>IF((S46&gt;0),(S22/S46),"")</f>
      </c>
      <c r="T190" s="4">
        <f>IF((T46&gt;0),(T22/T46),"")</f>
      </c>
      <c r="U190" s="4">
        <f>IF((U46&gt;0),(U22/U46),"")</f>
      </c>
      <c r="V190" s="4">
        <f>IF((V46&gt;0),(V22/V46),"")</f>
      </c>
      <c r="W190" s="4">
        <f>IF((W46&gt;0),(W22/W46),"")</f>
      </c>
      <c r="X190" s="4">
        <f>IF((X46&gt;0),(X22/X46),"")</f>
      </c>
    </row>
    <row r="191">
      <c r="A191" s="0" t="inlineStr">
        <is>
          <t xml:space="preserve">Cost per lead</t>
        </is>
      </c>
      <c r="B191" s="0" t="inlineStr">
        <is>
          <t xml:space="preserve">Customer referral</t>
        </is>
      </c>
      <c r="C191" s="0" t="inlineStr">
        <is>
          <t xml:space="preserve">AMER West</t>
        </is>
      </c>
      <c r="D191" s="4">
        <f>IF((D47&gt;0),(D23/D47),"")</f>
      </c>
      <c r="E191" s="4">
        <f>IF((E47&gt;0),(E23/E47),"")</f>
      </c>
      <c r="F191" s="4">
        <f>IF((F47&gt;0),(F23/F47),"")</f>
      </c>
      <c r="G191" s="4">
        <f>IF((G47&gt;0),(G23/G47),"")</f>
      </c>
      <c r="H191" s="4">
        <f>IF((H47&gt;0),(H23/H47),"")</f>
      </c>
      <c r="I191" s="4">
        <f>IF((I47&gt;0),(I23/I47),"")</f>
      </c>
      <c r="J191" s="4">
        <f>IF((J47&gt;0),(J23/J47),"")</f>
      </c>
      <c r="K191" s="4">
        <f>IF((K47&gt;0),(K23/K47),"")</f>
      </c>
      <c r="L191" s="4">
        <f>IF((L47&gt;0),(L23/L47),"")</f>
      </c>
      <c r="M191" s="4">
        <f>IF((M47&gt;0),(M23/M47),"")</f>
      </c>
      <c r="N191" s="4">
        <f>IF((N47&gt;0),(N23/N47),"")</f>
      </c>
      <c r="O191" s="4">
        <f>IF((O47&gt;0),(O23/O47),"")</f>
      </c>
      <c r="P191" s="4">
        <f>IF((P47&gt;0),(P23/P47),"")</f>
      </c>
      <c r="Q191" s="4">
        <f>IF((Q47&gt;0),(Q23/Q47),"")</f>
      </c>
      <c r="R191" s="4">
        <f>IF((R47&gt;0),(R23/R47),"")</f>
      </c>
      <c r="S191" s="4">
        <f>IF((S47&gt;0),(S23/S47),"")</f>
      </c>
      <c r="T191" s="4">
        <f>IF((T47&gt;0),(T23/T47),"")</f>
      </c>
      <c r="U191" s="4">
        <f>IF((U47&gt;0),(U23/U47),"")</f>
      </c>
      <c r="V191" s="4">
        <f>IF((V47&gt;0),(V23/V47),"")</f>
      </c>
      <c r="W191" s="4">
        <f>IF((W47&gt;0),(W23/W47),"")</f>
      </c>
      <c r="X191" s="4">
        <f>IF((X47&gt;0),(X23/X47),"")</f>
      </c>
    </row>
    <row r="192">
      <c r="A192" s="0" t="inlineStr">
        <is>
          <t xml:space="preserve">Cost per lead</t>
        </is>
      </c>
      <c r="B192" s="0" t="inlineStr">
        <is>
          <t xml:space="preserve">Customer referral</t>
        </is>
      </c>
      <c r="C192" s="0" t="inlineStr">
        <is>
          <t xml:space="preserve">EMEA</t>
        </is>
      </c>
      <c r="D192" s="4">
        <f>IF((D48&gt;0),(D24/D48),"")</f>
      </c>
      <c r="E192" s="4">
        <f>IF((E48&gt;0),(E24/E48),"")</f>
      </c>
      <c r="F192" s="4">
        <f>IF((F48&gt;0),(F24/F48),"")</f>
      </c>
      <c r="G192" s="4">
        <f>IF((G48&gt;0),(G24/G48),"")</f>
      </c>
      <c r="H192" s="4">
        <f>IF((H48&gt;0),(H24/H48),"")</f>
      </c>
      <c r="I192" s="4">
        <f>IF((I48&gt;0),(I24/I48),"")</f>
      </c>
      <c r="J192" s="4">
        <f>IF((J48&gt;0),(J24/J48),"")</f>
      </c>
      <c r="K192" s="4">
        <f>IF((K48&gt;0),(K24/K48),"")</f>
      </c>
      <c r="L192" s="4">
        <f>IF((L48&gt;0),(L24/L48),"")</f>
      </c>
      <c r="M192" s="4">
        <f>IF((M48&gt;0),(M24/M48),"")</f>
      </c>
      <c r="N192" s="4">
        <f>IF((N48&gt;0),(N24/N48),"")</f>
      </c>
      <c r="O192" s="4">
        <f>IF((O48&gt;0),(O24/O48),"")</f>
      </c>
      <c r="P192" s="4">
        <f>IF((P48&gt;0),(P24/P48),"")</f>
      </c>
      <c r="Q192" s="4">
        <f>IF((Q48&gt;0),(Q24/Q48),"")</f>
      </c>
      <c r="R192" s="4">
        <f>IF((R48&gt;0),(R24/R48),"")</f>
      </c>
      <c r="S192" s="4">
        <f>IF((S48&gt;0),(S24/S48),"")</f>
      </c>
      <c r="T192" s="4">
        <f>IF((T48&gt;0),(T24/T48),"")</f>
      </c>
      <c r="U192" s="4">
        <f>IF((U48&gt;0),(U24/U48),"")</f>
      </c>
      <c r="V192" s="4">
        <f>IF((V48&gt;0),(V24/V48),"")</f>
      </c>
      <c r="W192" s="4">
        <f>IF((W48&gt;0),(W24/W48),"")</f>
      </c>
      <c r="X192" s="4">
        <f>IF((X48&gt;0),(X24/X48),"")</f>
      </c>
    </row>
    <row r="193">
      <c r="A193" s="0" t="inlineStr">
        <is>
          <t xml:space="preserve">Cost per lead</t>
        </is>
      </c>
      <c r="B193" s="0" t="inlineStr">
        <is>
          <t xml:space="preserve">Customer referral</t>
        </is>
      </c>
      <c r="C193" s="0" t="inlineStr">
        <is>
          <t xml:space="preserve">APAC</t>
        </is>
      </c>
      <c r="D193" s="4">
        <f>IF((D49&gt;0),(D25/D49),"")</f>
      </c>
      <c r="E193" s="4">
        <f>IF((E49&gt;0),(E25/E49),"")</f>
      </c>
      <c r="F193" s="4">
        <f>IF((F49&gt;0),(F25/F49),"")</f>
      </c>
      <c r="G193" s="4">
        <f>IF((G49&gt;0),(G25/G49),"")</f>
      </c>
      <c r="H193" s="4">
        <f>IF((H49&gt;0),(H25/H49),"")</f>
      </c>
      <c r="I193" s="4">
        <f>IF((I49&gt;0),(I25/I49),"")</f>
      </c>
      <c r="J193" s="4">
        <f>IF((J49&gt;0),(J25/J49),"")</f>
      </c>
      <c r="K193" s="4">
        <f>IF((K49&gt;0),(K25/K49),"")</f>
      </c>
      <c r="L193" s="4">
        <f>IF((L49&gt;0),(L25/L49),"")</f>
      </c>
      <c r="M193" s="4">
        <f>IF((M49&gt;0),(M25/M49),"")</f>
      </c>
      <c r="N193" s="4">
        <f>IF((N49&gt;0),(N25/N49),"")</f>
      </c>
      <c r="O193" s="4">
        <f>IF((O49&gt;0),(O25/O49),"")</f>
      </c>
      <c r="P193" s="4">
        <f>IF((P49&gt;0),(P25/P49),"")</f>
      </c>
      <c r="Q193" s="4">
        <f>IF((Q49&gt;0),(Q25/Q49),"")</f>
      </c>
      <c r="R193" s="4">
        <f>IF((R49&gt;0),(R25/R49),"")</f>
      </c>
      <c r="S193" s="4">
        <f>IF((S49&gt;0),(S25/S49),"")</f>
      </c>
      <c r="T193" s="4">
        <f>IF((T49&gt;0),(T25/T49),"")</f>
      </c>
      <c r="U193" s="4">
        <f>IF((U49&gt;0),(U25/U49),"")</f>
      </c>
      <c r="V193" s="4">
        <f>IF((V49&gt;0),(V25/V49),"")</f>
      </c>
      <c r="W193" s="4">
        <f>IF((W49&gt;0),(W25/W49),"")</f>
      </c>
      <c r="X193" s="4">
        <f>IF((X49&gt;0),(X25/X49),"")</f>
      </c>
    </row>
    <row r="194">
      <c r="A194" s="0" t="inlineStr">
        <is>
          <t xml:space="preserve">Lead to MQL</t>
        </is>
      </c>
      <c r="B194" s="0" t="inlineStr">
        <is>
          <t xml:space="preserve">Inbound (web &amp; content)</t>
        </is>
      </c>
      <c r="C194" s="0" t="inlineStr">
        <is>
          <t xml:space="preserve">AMER East</t>
        </is>
      </c>
      <c r="D194" s="12">
        <f>IF((D26&gt;0),(D50/D26),"")</f>
        <v>0.15357142857142858</v>
      </c>
      <c r="E194" s="12">
        <f>IF((E26&gt;0),(E50/E26),"")</f>
        <v>0.15868263473053892</v>
      </c>
      <c r="F194" s="12">
        <f>IF((F26&gt;0),(F50/F26),"")</f>
        <v>0.17336683417085427</v>
      </c>
      <c r="G194" s="12">
        <f>IF((G26&gt;0),(G50/G26),"")</f>
        <v>0.1813031161473088</v>
      </c>
      <c r="H194" s="12">
        <f>IF((H26&gt;0),(H50/H26),"")</f>
        <v>0.15335463258785942</v>
      </c>
      <c r="I194" s="12">
        <f>IF((I26&gt;0),(I50/I26),"")</f>
        <v>0.18032786885245902</v>
      </c>
      <c r="J194" s="12">
        <f>IF((J26&gt;0),(J50/J26),"")</f>
        <v>0.17647058823529413</v>
      </c>
      <c r="K194" s="12">
        <f>IF((K26&gt;0),(K50/K26),"")</f>
        <v>0.16140350877192983</v>
      </c>
      <c r="L194" s="12">
        <f>IF((L26&gt;0),(L50/L26),"")</f>
        <v>0.14285714285714285</v>
      </c>
      <c r="M194" s="12">
        <f>IF((M26&gt;0),(M50/M26),"")</f>
        <v>0.14006514657980457</v>
      </c>
      <c r="N194" s="12">
        <f>IF((N26&gt;0),(N50/N26),"")</f>
        <v>0.17391304347826086</v>
      </c>
      <c r="O194" s="12">
        <f>IF((O26&gt;0),(O50/O26),"")</f>
        <v>0.15602836879432624</v>
      </c>
      <c r="P194" s="12">
        <f>IF((P26&gt;0),(P50/P26),"")</f>
        <v>0.1450381679389313</v>
      </c>
      <c r="Q194" s="12">
        <f>IF((Q26&gt;0),(Q50/Q26),"")</f>
        <v>0.14</v>
      </c>
      <c r="R194" s="12">
        <f>IF((R26&gt;0),(R50/R26),"")</f>
        <v>0.16806722689075632</v>
      </c>
      <c r="S194" s="12">
        <f>IF((S26&gt;0),(S50/S26),"")</f>
        <v>0.1951219512195122</v>
      </c>
      <c r="T194" s="12">
        <f>IF((T26&gt;0),(T50/T26),"")</f>
        <v>0.1476923076923077</v>
      </c>
      <c r="U194" s="12">
        <f>IF((U26&gt;0),(U50/U26),"")</f>
        <v>0.15203426124197003</v>
      </c>
      <c r="V194" s="12">
        <f>IF((V26&gt;0),(V50/V26),"")</f>
        <v>0.17391304347826086</v>
      </c>
      <c r="W194" s="12">
        <f>IF((W26&gt;0),(W50/W26),"")</f>
        <v>0.16307692307692306</v>
      </c>
      <c r="X194" s="12">
        <f>IF((X26&gt;0),(X50/X26),"")</f>
        <v>0.16901408450704225</v>
      </c>
    </row>
    <row r="195">
      <c r="A195" s="0" t="inlineStr">
        <is>
          <t xml:space="preserve">Lead to MQL</t>
        </is>
      </c>
      <c r="B195" s="0" t="inlineStr">
        <is>
          <t xml:space="preserve">Inbound (web &amp; content)</t>
        </is>
      </c>
      <c r="C195" s="0" t="inlineStr">
        <is>
          <t xml:space="preserve">AMER West</t>
        </is>
      </c>
      <c r="D195" s="12">
        <f>IF((D27&gt;0),(D51/D27),"")</f>
        <v>0.13256484149855907</v>
      </c>
      <c r="E195" s="12">
        <f>IF((E27&gt;0),(E51/E27),"")</f>
        <v>0.13333333333333333</v>
      </c>
      <c r="F195" s="12">
        <f>IF((F27&gt;0),(F51/F27),"")</f>
        <v>0.1611842105263158</v>
      </c>
      <c r="G195" s="12">
        <f>IF((G27&gt;0),(G51/G27),"")</f>
        <v>0.16257668711656442</v>
      </c>
      <c r="H195" s="12">
        <f>IF((H27&gt;0),(H51/H27),"")</f>
        <v>0.16013071895424835</v>
      </c>
      <c r="I195" s="12">
        <f>IF((I27&gt;0),(I51/I27),"")</f>
        <v>0.12014134275618374</v>
      </c>
      <c r="J195" s="12">
        <f>IF((J27&gt;0),(J51/J27),"")</f>
        <v>0.1366906474820144</v>
      </c>
      <c r="K195" s="12">
        <f>IF((K27&gt;0),(K51/K27),"")</f>
        <v>0.17194570135746606</v>
      </c>
      <c r="L195" s="12">
        <f>IF((L27&gt;0),(L51/L27),"")</f>
        <v>0.17679558011049723</v>
      </c>
      <c r="M195" s="12">
        <f>IF((M27&gt;0),(M51/M27),"")</f>
        <v>0.13877551020408163</v>
      </c>
      <c r="N195" s="12">
        <f>IF((N27&gt;0),(N51/N27),"")</f>
        <v>0.15030674846625766</v>
      </c>
      <c r="O195" s="12">
        <f>IF((O27&gt;0),(O51/O27),"")</f>
        <v>0.16</v>
      </c>
      <c r="P195" s="12">
        <f>IF((P27&gt;0),(P51/P27),"")</f>
        <v>0.18681318681318682</v>
      </c>
      <c r="Q195" s="12">
        <f>IF((Q27&gt;0),(Q51/Q27),"")</f>
        <v>0.17586206896551723</v>
      </c>
      <c r="R195" s="12">
        <f>IF((R27&gt;0),(R51/R27),"")</f>
        <v>0.16556291390728478</v>
      </c>
      <c r="S195" s="12">
        <f>IF((S27&gt;0),(S51/S27),"")</f>
        <v>0.2084592145015106</v>
      </c>
      <c r="T195" s="12">
        <f>IF((T27&gt;0),(T51/T27),"")</f>
        <v>0.18333333333333332</v>
      </c>
      <c r="U195" s="12">
        <f>IF((U27&gt;0),(U51/U27),"")</f>
        <v>0.18702290076335878</v>
      </c>
      <c r="V195" s="12">
        <f>IF((V27&gt;0),(V51/V27),"")</f>
        <v>0.16666666666666666</v>
      </c>
      <c r="W195" s="12">
        <f>IF((W27&gt;0),(W51/W27),"")</f>
        <v>0.11864406779661017</v>
      </c>
      <c r="X195" s="12">
        <f>IF((X27&gt;0),(X51/X27),"")</f>
        <v>0.19873817034700317</v>
      </c>
    </row>
    <row r="196">
      <c r="A196" s="0" t="inlineStr">
        <is>
          <t xml:space="preserve">Lead to MQL</t>
        </is>
      </c>
      <c r="B196" s="0" t="inlineStr">
        <is>
          <t xml:space="preserve">Inbound (web &amp; content)</t>
        </is>
      </c>
      <c r="C196" s="0" t="inlineStr">
        <is>
          <t xml:space="preserve">EMEA</t>
        </is>
      </c>
      <c r="D196" s="12">
        <f>IF((D28&gt;0),(D52/D28),"")</f>
        <v>0.1349206349206349</v>
      </c>
      <c r="E196" s="12">
        <f>IF((E28&gt;0),(E52/E28),"")</f>
        <v>0.1580246913580247</v>
      </c>
      <c r="F196" s="12">
        <f>IF((F28&gt;0),(F52/F28),"")</f>
        <v>0.14202898550724638</v>
      </c>
      <c r="G196" s="12">
        <f>IF((G28&gt;0),(G52/G28),"")</f>
        <v>0.16972477064220184</v>
      </c>
      <c r="H196" s="12">
        <f>IF((H28&gt;0),(H52/H28),"")</f>
        <v>0.1276595744680851</v>
      </c>
      <c r="I196" s="12">
        <f>IF((I28&gt;0),(I52/I28),"")</f>
        <v>0.19545454545454546</v>
      </c>
      <c r="J196" s="12">
        <f>IF((J28&gt;0),(J52/J28),"")</f>
        <v>0.15384615384615385</v>
      </c>
      <c r="K196" s="12">
        <f>IF((K28&gt;0),(K52/K28),"")</f>
        <v>0.16587677725118483</v>
      </c>
      <c r="L196" s="12">
        <f>IF((L28&gt;0),(L52/L28),"")</f>
        <v>0.17563739376770537</v>
      </c>
      <c r="M196" s="12">
        <f>IF((M28&gt;0),(M52/M28),"")</f>
        <v>0.15968586387434555</v>
      </c>
      <c r="N196" s="12">
        <f>IF((N28&gt;0),(N52/N28),"")</f>
        <v>0.15234375</v>
      </c>
      <c r="O196" s="12">
        <f>IF((O28&gt;0),(O52/O28),"")</f>
        <v>0.16393442622950818</v>
      </c>
      <c r="P196" s="12">
        <f>IF((P28&gt;0),(P52/P28),"")</f>
        <v>0.17</v>
      </c>
      <c r="Q196" s="12">
        <f>IF((Q28&gt;0),(Q52/Q28),"")</f>
        <v>0.15517241379310345</v>
      </c>
      <c r="R196" s="12">
        <f>IF((R28&gt;0),(R52/R28),"")</f>
        <v>0.18874172185430463</v>
      </c>
      <c r="S196" s="12">
        <f>IF((S28&gt;0),(S52/S28),"")</f>
        <v>0.14634146341463414</v>
      </c>
      <c r="T196" s="12">
        <f>IF((T28&gt;0),(T52/T28),"")</f>
        <v>0.18877551020408162</v>
      </c>
      <c r="U196" s="12">
        <f>IF((U28&gt;0),(U52/U28),"")</f>
        <v>0.1461794019933555</v>
      </c>
      <c r="V196" s="12">
        <f>IF((V28&gt;0),(V52/V28),"")</f>
        <v>0.18834080717488788</v>
      </c>
      <c r="W196" s="12">
        <f>IF((W28&gt;0),(W52/W28),"")</f>
        <v>0.2175925925925926</v>
      </c>
      <c r="X196" s="12">
        <f>IF((X28&gt;0),(X52/X28),"")</f>
        <v>0.13680781758957655</v>
      </c>
    </row>
    <row r="197">
      <c r="A197" s="0" t="inlineStr">
        <is>
          <t xml:space="preserve">Lead to MQL</t>
        </is>
      </c>
      <c r="B197" s="0" t="inlineStr">
        <is>
          <t xml:space="preserve">Inbound (web &amp; content)</t>
        </is>
      </c>
      <c r="C197" s="0" t="inlineStr">
        <is>
          <t xml:space="preserve">APAC</t>
        </is>
      </c>
      <c r="D197" s="12">
        <f>IF((D29&gt;0),(D53/D29),"")</f>
        <v>0.13596491228070176</v>
      </c>
      <c r="E197" s="12">
        <f>IF((E29&gt;0),(E53/E29),"")</f>
        <v>0.19631901840490798</v>
      </c>
      <c r="F197" s="12">
        <f>IF((F29&gt;0),(F53/F29),"")</f>
        <v>0.1598173515981735</v>
      </c>
      <c r="G197" s="12">
        <f>IF((G29&gt;0),(G53/G29),"")</f>
        <v>0.17857142857142858</v>
      </c>
      <c r="H197" s="12">
        <f>IF((H29&gt;0),(H53/H29),"")</f>
        <v>0.16666666666666666</v>
      </c>
      <c r="I197" s="12">
        <f>IF((I29&gt;0),(I53/I29),"")</f>
        <v>0.1534090909090909</v>
      </c>
      <c r="J197" s="12">
        <f>IF((J29&gt;0),(J53/J29),"")</f>
        <v>0.22522522522522523</v>
      </c>
      <c r="K197" s="12">
        <f>IF((K29&gt;0),(K53/K29),"")</f>
        <v>0.1259259259259259</v>
      </c>
      <c r="L197" s="12">
        <f>IF((L29&gt;0),(L53/L29),"")</f>
        <v>0.12727272727272726</v>
      </c>
      <c r="M197" s="12">
        <f>IF((M29&gt;0),(M53/M29),"")</f>
        <v>0.176</v>
      </c>
      <c r="N197" s="12">
        <f>IF((N29&gt;0),(N53/N29),"")</f>
        <v>0.18518518518518517</v>
      </c>
      <c r="O197" s="12">
        <f>IF((O29&gt;0),(O53/O29),"")</f>
        <v>0.19005847953216373</v>
      </c>
      <c r="P197" s="12">
        <f>IF((P29&gt;0),(P53/P29),"")</f>
        <v>0.12994350282485875</v>
      </c>
      <c r="Q197" s="12">
        <f>IF((Q29&gt;0),(Q53/Q29),"")</f>
        <v>0.1643835616438356</v>
      </c>
      <c r="R197" s="12">
        <f>IF((R29&gt;0),(R53/R29),"")</f>
        <v>0.15760869565217392</v>
      </c>
      <c r="S197" s="12">
        <f>IF((S29&gt;0),(S53/S29),"")</f>
        <v>0.18181818181818182</v>
      </c>
      <c r="T197" s="12">
        <f>IF((T29&gt;0),(T53/T29),"")</f>
        <v>0.1853932584269663</v>
      </c>
      <c r="U197" s="12">
        <f>IF((U29&gt;0),(U53/U29),"")</f>
        <v>0.15406976744186046</v>
      </c>
      <c r="V197" s="12">
        <f>IF((V29&gt;0),(V53/V29),"")</f>
        <v>0.17355371900826447</v>
      </c>
      <c r="W197" s="12">
        <f>IF((W29&gt;0),(W53/W29),"")</f>
        <v>0.16778523489932887</v>
      </c>
      <c r="X197" s="12">
        <f>IF((X29&gt;0),(X53/X29),"")</f>
        <v>0.21621621621621623</v>
      </c>
    </row>
    <row r="198">
      <c r="A198" s="0" t="inlineStr">
        <is>
          <t xml:space="preserve">Lead to MQL</t>
        </is>
      </c>
      <c r="B198" s="0" t="inlineStr">
        <is>
          <t xml:space="preserve">Paid digital</t>
        </is>
      </c>
      <c r="C198" s="0" t="inlineStr">
        <is>
          <t xml:space="preserve">AMER East</t>
        </is>
      </c>
      <c r="D198" s="12">
        <f>IF((D30&gt;0),(D54/D30),"")</f>
        <v>0.11621621621621622</v>
      </c>
      <c r="E198" s="12">
        <f>IF((E30&gt;0),(E54/E30),"")</f>
        <v>0.14195583596214512</v>
      </c>
      <c r="F198" s="12">
        <f>IF((F30&gt;0),(F54/F30),"")</f>
        <v>0.11352657004830918</v>
      </c>
      <c r="G198" s="12">
        <f>IF((G30&gt;0),(G54/G30),"")</f>
        <v>0.11147540983606558</v>
      </c>
      <c r="H198" s="12">
        <f>IF((H30&gt;0),(H54/H30),"")</f>
        <v>0.11960132890365449</v>
      </c>
      <c r="I198" s="12">
        <f>IF((I30&gt;0),(I54/I30),"")</f>
        <v>0.08250825082508251</v>
      </c>
      <c r="J198" s="12">
        <f>IF((J30&gt;0),(J54/J30),"")</f>
        <v>0.09523809523809523</v>
      </c>
      <c r="K198" s="12">
        <f>IF((K30&gt;0),(K54/K30),"")</f>
        <v>0.09876543209876543</v>
      </c>
      <c r="L198" s="12">
        <f>IF((L30&gt;0),(L54/L30),"")</f>
        <v>0.10294117647058823</v>
      </c>
      <c r="M198" s="12">
        <f>IF((M30&gt;0),(M54/M30),"")</f>
        <v>0.12982456140350876</v>
      </c>
      <c r="N198" s="12">
        <f>IF((N30&gt;0),(N54/N30),"")</f>
        <v>0.0990990990990991</v>
      </c>
      <c r="O198" s="12">
        <f>IF((O30&gt;0),(O54/O30),"")</f>
        <v>0.11578947368421053</v>
      </c>
      <c r="P198" s="12">
        <f>IF((P30&gt;0),(P54/P30),"")</f>
        <v>0.095</v>
      </c>
      <c r="Q198" s="12">
        <f>IF((Q30&gt;0),(Q54/Q30),"")</f>
        <v>0.12857142857142856</v>
      </c>
      <c r="R198" s="12">
        <f>IF((R30&gt;0),(R54/R30),"")</f>
        <v>0.11969111969111969</v>
      </c>
      <c r="S198" s="12">
        <f>IF((S30&gt;0),(S54/S30),"")</f>
        <v>0.1163895486935867</v>
      </c>
      <c r="T198" s="12">
        <f>IF((T30&gt;0),(T54/T30),"")</f>
        <v>0.12433862433862433</v>
      </c>
      <c r="U198" s="12">
        <f>IF((U30&gt;0),(U54/U30),"")</f>
        <v>0.125</v>
      </c>
      <c r="V198" s="12">
        <f>IF((V30&gt;0),(V54/V30),"")</f>
        <v>0.08781869688385269</v>
      </c>
      <c r="W198" s="12">
        <f>IF((W30&gt;0),(W54/W30),"")</f>
        <v>0.12028301886792453</v>
      </c>
      <c r="X198" s="12">
        <f>IF((X30&gt;0),(X54/X30),"")</f>
        <v>0.0891891891891892</v>
      </c>
    </row>
    <row r="199">
      <c r="A199" s="0" t="inlineStr">
        <is>
          <t xml:space="preserve">Lead to MQL</t>
        </is>
      </c>
      <c r="B199" s="0" t="inlineStr">
        <is>
          <t xml:space="preserve">Paid digital</t>
        </is>
      </c>
      <c r="C199" s="0" t="inlineStr">
        <is>
          <t xml:space="preserve">AMER West</t>
        </is>
      </c>
      <c r="D199" s="12">
        <f>IF((D31&gt;0),(D55/D31),"")</f>
        <v>0.13253012048192772</v>
      </c>
      <c r="E199" s="12">
        <f>IF((E31&gt;0),(E55/E31),"")</f>
        <v>0.07094594594594594</v>
      </c>
      <c r="F199" s="12">
        <f>IF((F31&gt;0),(F55/F31),"")</f>
        <v>0.11960132890365449</v>
      </c>
      <c r="G199" s="12">
        <f>IF((G31&gt;0),(G55/G31),"")</f>
        <v>0.08839779005524862</v>
      </c>
      <c r="H199" s="12">
        <f>IF((H31&gt;0),(H55/H31),"")</f>
        <v>0.14351851851851852</v>
      </c>
      <c r="I199" s="12">
        <f>IF((I31&gt;0),(I55/I31),"")</f>
        <v>0.11555555555555555</v>
      </c>
      <c r="J199" s="12">
        <f>IF((J31&gt;0),(J55/J31),"")</f>
        <v>0.125</v>
      </c>
      <c r="K199" s="12">
        <f>IF((K31&gt;0),(K55/K31),"")</f>
        <v>0.0892018779342723</v>
      </c>
      <c r="L199" s="12">
        <f>IF((L31&gt;0),(L55/L31),"")</f>
        <v>0.12413793103448276</v>
      </c>
      <c r="M199" s="12">
        <f>IF((M31&gt;0),(M55/M31),"")</f>
        <v>0.09</v>
      </c>
      <c r="N199" s="12">
        <f>IF((N31&gt;0),(N55/N31),"")</f>
        <v>0.09090909090909091</v>
      </c>
      <c r="O199" s="12">
        <f>IF((O31&gt;0),(O55/O31),"")</f>
        <v>0.1048158640226629</v>
      </c>
      <c r="P199" s="12">
        <f>IF((P31&gt;0),(P55/P31),"")</f>
        <v>0.10060975609756098</v>
      </c>
      <c r="Q199" s="12">
        <f>IF((Q31&gt;0),(Q55/Q31),"")</f>
        <v>0.0872093023255814</v>
      </c>
      <c r="R199" s="12">
        <f>IF((R31&gt;0),(R55/R31),"")</f>
        <v>0.1246684350132626</v>
      </c>
      <c r="S199" s="12">
        <f>IF((S31&gt;0),(S55/S31),"")</f>
        <v>0.12179487179487179</v>
      </c>
      <c r="T199" s="12">
        <f>IF((T31&gt;0),(T55/T31),"")</f>
        <v>0.0962962962962963</v>
      </c>
      <c r="U199" s="12">
        <f>IF((U31&gt;0),(U55/U31),"")</f>
        <v>0.11859838274932614</v>
      </c>
      <c r="V199" s="12">
        <f>IF((V31&gt;0),(V55/V31),"")</f>
        <v>0.11328125</v>
      </c>
      <c r="W199" s="12">
        <f>IF((W31&gt;0),(W55/W31),"")</f>
        <v>0.0847953216374269</v>
      </c>
      <c r="X199" s="12">
        <f>IF((X31&gt;0),(X55/X31),"")</f>
        <v>0.1108433734939759</v>
      </c>
    </row>
    <row r="200">
      <c r="A200" s="0" t="inlineStr">
        <is>
          <t xml:space="preserve">Lead to MQL</t>
        </is>
      </c>
      <c r="B200" s="0" t="inlineStr">
        <is>
          <t xml:space="preserve">Paid digital</t>
        </is>
      </c>
      <c r="C200" s="0" t="inlineStr">
        <is>
          <t xml:space="preserve">EMEA</t>
        </is>
      </c>
      <c r="D200" s="12">
        <f>IF((D32&gt;0),(D56/D32),"")</f>
        <v>0.12349397590361445</v>
      </c>
      <c r="E200" s="12">
        <f>IF((E32&gt;0),(E56/E32),"")</f>
        <v>0.09278350515463918</v>
      </c>
      <c r="F200" s="12">
        <f>IF((F32&gt;0),(F56/F32),"")</f>
        <v>0.15139442231075698</v>
      </c>
      <c r="G200" s="12">
        <f>IF((G32&gt;0),(G56/G32),"")</f>
        <v>0.09271523178807947</v>
      </c>
      <c r="H200" s="12">
        <f>IF((H32&gt;0),(H56/H32),"")</f>
        <v>0.08445945945945946</v>
      </c>
      <c r="I200" s="12">
        <f>IF((I32&gt;0),(I56/I32),"")</f>
        <v>0.08627450980392157</v>
      </c>
      <c r="J200" s="12">
        <f>IF((J32&gt;0),(J56/J32),"")</f>
        <v>0.1380952380952381</v>
      </c>
      <c r="K200" s="12">
        <f>IF((K32&gt;0),(K56/K32),"")</f>
        <v>0.08050847457627118</v>
      </c>
      <c r="L200" s="12">
        <f>IF((L32&gt;0),(L56/L32),"")</f>
        <v>0.11864406779661017</v>
      </c>
      <c r="M200" s="12">
        <f>IF((M32&gt;0),(M56/M32),"")</f>
        <v>0.11650485436893204</v>
      </c>
      <c r="N200" s="12">
        <f>IF((N32&gt;0),(N56/N32),"")</f>
        <v>0.10909090909090909</v>
      </c>
      <c r="O200" s="12">
        <f>IF((O32&gt;0),(O56/O32),"")</f>
        <v>0.09401709401709402</v>
      </c>
      <c r="P200" s="12">
        <f>IF((P32&gt;0),(P56/P32),"")</f>
        <v>0.1015625</v>
      </c>
      <c r="Q200" s="12">
        <f>IF((Q32&gt;0),(Q56/Q32),"")</f>
        <v>0.10810810810810811</v>
      </c>
      <c r="R200" s="12">
        <f>IF((R32&gt;0),(R56/R32),"")</f>
        <v>0.10738255033557047</v>
      </c>
      <c r="S200" s="12">
        <f>IF((S32&gt;0),(S56/S32),"")</f>
        <v>0.10232558139534884</v>
      </c>
      <c r="T200" s="12">
        <f>IF((T32&gt;0),(T56/T32),"")</f>
        <v>0.09016393442622951</v>
      </c>
      <c r="U200" s="12">
        <f>IF((U32&gt;0),(U56/U32),"")</f>
        <v>0.1087866108786611</v>
      </c>
      <c r="V200" s="12">
        <f>IF((V32&gt;0),(V56/V32),"")</f>
        <v>0.11046511627906977</v>
      </c>
      <c r="W200" s="12">
        <f>IF((W32&gt;0),(W56/W32),"")</f>
        <v>0.09051724137931035</v>
      </c>
      <c r="X200" s="12">
        <f>IF((X32&gt;0),(X56/X32),"")</f>
        <v>0.08333333333333333</v>
      </c>
    </row>
    <row r="201">
      <c r="A201" s="0" t="inlineStr">
        <is>
          <t xml:space="preserve">Lead to MQL</t>
        </is>
      </c>
      <c r="B201" s="0" t="inlineStr">
        <is>
          <t xml:space="preserve">Paid digital</t>
        </is>
      </c>
      <c r="C201" s="0" t="inlineStr">
        <is>
          <t xml:space="preserve">APAC</t>
        </is>
      </c>
      <c r="D201" s="12">
        <f>IF((D33&gt;0),(D57/D33),"")</f>
        <v>0.08759124087591241</v>
      </c>
      <c r="E201" s="12">
        <f>IF((E33&gt;0),(E57/E33),"")</f>
        <v>0.06976744186046512</v>
      </c>
      <c r="F201" s="12">
        <f>IF((F33&gt;0),(F57/F33),"")</f>
        <v>0.1360544217687075</v>
      </c>
      <c r="G201" s="12">
        <f>IF((G33&gt;0),(G57/G33),"")</f>
        <v>0.06338028169014084</v>
      </c>
      <c r="H201" s="12">
        <f>IF((H33&gt;0),(H57/H33),"")</f>
        <v>0.1320754716981132</v>
      </c>
      <c r="I201" s="12">
        <f>IF((I33&gt;0),(I57/I33),"")</f>
        <v>0.11538461538461539</v>
      </c>
      <c r="J201" s="12">
        <f>IF((J33&gt;0),(J57/J33),"")</f>
        <v>0.15254237288135594</v>
      </c>
      <c r="K201" s="12">
        <f>IF((K33&gt;0),(K57/K33),"")</f>
        <v>0.05217391304347826</v>
      </c>
      <c r="L201" s="12">
        <f>IF((L33&gt;0),(L57/L33),"")</f>
        <v>0.17482517482517482</v>
      </c>
      <c r="M201" s="12">
        <f>IF((M33&gt;0),(M57/M33),"")</f>
        <v>0.10077519379844961</v>
      </c>
      <c r="N201" s="12">
        <f>IF((N33&gt;0),(N57/N33),"")</f>
        <v>0.11739130434782609</v>
      </c>
      <c r="O201" s="12">
        <f>IF((O33&gt;0),(O57/O33),"")</f>
        <v>0.07083333333333333</v>
      </c>
      <c r="P201" s="12">
        <f>IF((P33&gt;0),(P57/P33),"")</f>
        <v>0.09565217391304348</v>
      </c>
      <c r="Q201" s="12">
        <f>IF((Q33&gt;0),(Q57/Q33),"")</f>
        <v>0.14754098360655737</v>
      </c>
      <c r="R201" s="12">
        <f>IF((R33&gt;0),(R57/R33),"")</f>
        <v>0.15053763440860216</v>
      </c>
      <c r="S201" s="12">
        <f>IF((S33&gt;0),(S57/S33),"")</f>
        <v>0.11891891891891893</v>
      </c>
      <c r="T201" s="12">
        <f>IF((T33&gt;0),(T57/T33),"")</f>
        <v>0.09411764705882353</v>
      </c>
      <c r="U201" s="12">
        <f>IF((U33&gt;0),(U57/U33),"")</f>
        <v>0.1048951048951049</v>
      </c>
      <c r="V201" s="12">
        <f>IF((V33&gt;0),(V57/V33),"")</f>
        <v>0.09740259740259741</v>
      </c>
      <c r="W201" s="12">
        <f>IF((W33&gt;0),(W57/W33),"")</f>
        <v>0.1724137931034483</v>
      </c>
      <c r="X201" s="12">
        <f>IF((X33&gt;0),(X57/X33),"")</f>
        <v>0.1282051282051282</v>
      </c>
    </row>
    <row r="202">
      <c r="A202" s="0" t="inlineStr">
        <is>
          <t xml:space="preserve">Lead to MQL</t>
        </is>
      </c>
      <c r="B202" s="0" t="inlineStr">
        <is>
          <t xml:space="preserve">Events &amp; field</t>
        </is>
      </c>
      <c r="C202" s="0" t="inlineStr">
        <is>
          <t xml:space="preserve">AMER East</t>
        </is>
      </c>
      <c r="D202" s="12">
        <f>IF((D34&gt;0),(D58/D34),"")</f>
        <v>0.14814814814814814</v>
      </c>
      <c r="E202" s="12">
        <f>IF((E34&gt;0),(E58/E34),"")</f>
        <v>0.3274336283185841</v>
      </c>
      <c r="F202" s="12">
        <f>IF((F34&gt;0),(F58/F34),"")</f>
        <v>0.4444444444444444</v>
      </c>
      <c r="G202" s="12">
        <f>IF((G34&gt;0),(G58/G34),"")</f>
        <v>0.24</v>
      </c>
      <c r="H202" s="12">
        <f>IF((H34&gt;0),(H58/H34),"")</f>
        <v>0.3333333333333333</v>
      </c>
      <c r="I202" s="12">
        <f>IF((I34&gt;0),(I58/I34),"")</f>
        <v>0.23076923076923078</v>
      </c>
      <c r="J202" s="12">
        <f>IF((J34&gt;0),(J58/J34),"")</f>
        <v>0.3118279569892473</v>
      </c>
      <c r="K202" s="12">
        <f>IF((K34&gt;0),(K58/K34),"")</f>
        <v>0.17857142857142858</v>
      </c>
      <c r="L202" s="12">
        <f>IF((L34&gt;0),(L58/L34),"")</f>
        <v>0.45161290322580644</v>
      </c>
      <c r="M202" s="12">
        <f>IF((M34&gt;0),(M58/M34),"")</f>
        <v>0.23333333333333334</v>
      </c>
      <c r="N202" s="12">
        <f>IF((N34&gt;0),(N58/N34),"")</f>
        <v>0.34615384615384615</v>
      </c>
      <c r="O202" s="12">
        <f>IF((O34&gt;0),(O58/O34),"")</f>
        <v>0.37681159420289856</v>
      </c>
      <c r="P202" s="12">
        <f>IF((P34&gt;0),(P58/P34),"")</f>
        <v>0.3235294117647059</v>
      </c>
      <c r="Q202" s="12">
        <f>IF((Q34&gt;0),(Q58/Q34),"")</f>
        <v>0.35714285714285715</v>
      </c>
      <c r="R202" s="12">
        <f>IF((R34&gt;0),(R58/R34),"")</f>
        <v>0.3333333333333333</v>
      </c>
      <c r="S202" s="12">
        <f>IF((S34&gt;0),(S58/S34),"")</f>
        <v>0.36363636363636365</v>
      </c>
      <c r="T202" s="12">
        <f>IF((T34&gt;0),(T58/T34),"")</f>
        <v>0.2727272727272727</v>
      </c>
      <c r="U202" s="12">
        <f>IF((U34&gt;0),(U58/U34),"")</f>
        <v>0.2857142857142857</v>
      </c>
      <c r="V202" s="12">
        <f>IF((V34&gt;0),(V58/V34),"")</f>
        <v>0.3076923076923077</v>
      </c>
      <c r="W202" s="12">
        <f>IF((W34&gt;0),(W58/W34),"")</f>
        <v>0.2987012987012987</v>
      </c>
      <c r="X202" s="12">
        <f>IF((X34&gt;0),(X58/X34),"")</f>
        <v>0.3684210526315789</v>
      </c>
    </row>
    <row r="203">
      <c r="A203" s="0" t="inlineStr">
        <is>
          <t xml:space="preserve">Lead to MQL</t>
        </is>
      </c>
      <c r="B203" s="0" t="inlineStr">
        <is>
          <t xml:space="preserve">Events &amp; field</t>
        </is>
      </c>
      <c r="C203" s="0" t="inlineStr">
        <is>
          <t xml:space="preserve">AMER West</t>
        </is>
      </c>
      <c r="D203" s="12">
        <f>IF((D35&gt;0),(D59/D35),"")</f>
        <v>0.19047619047619047</v>
      </c>
      <c r="E203" s="12">
        <f>IF((E35&gt;0),(E59/E35),"")</f>
        <v>0.3302752293577982</v>
      </c>
      <c r="F203" s="12">
        <f>IF((F35&gt;0),(F59/F35),"")</f>
        <v>0.32608695652173914</v>
      </c>
      <c r="G203" s="12">
        <f>IF((G35&gt;0),(G59/G35),"")</f>
        <v>0.36</v>
      </c>
      <c r="H203" s="12">
        <f>IF((H35&gt;0),(H59/H35),"")</f>
        <v>0.5161290322580645</v>
      </c>
      <c r="I203" s="12">
        <f>IF((I35&gt;0),(I59/I35),"")</f>
        <v>0.45454545454545453</v>
      </c>
      <c r="J203" s="12">
        <f>IF((J35&gt;0),(J59/J35),"")</f>
        <v>0.38028169014084506</v>
      </c>
      <c r="K203" s="12">
        <f>IF((K35&gt;0),(K59/K35),"")</f>
        <v>0.35</v>
      </c>
      <c r="L203" s="12">
        <f>IF((L35&gt;0),(L59/L35),"")</f>
        <v>0.17857142857142858</v>
      </c>
      <c r="M203" s="12">
        <f>IF((M35&gt;0),(M59/M35),"")</f>
        <v>0.23076923076923078</v>
      </c>
      <c r="N203" s="12">
        <f>IF((N35&gt;0),(N59/N35),"")</f>
        <v>0.4782608695652174</v>
      </c>
      <c r="O203" s="12">
        <f>IF((O35&gt;0),(O59/O35),"")</f>
        <v>0.24812030075187969</v>
      </c>
      <c r="P203" s="12">
        <f>IF((P35&gt;0),(P59/P35),"")</f>
        <v>0.25</v>
      </c>
      <c r="Q203" s="12">
        <f>IF((Q35&gt;0),(Q59/Q35),"")</f>
        <v>0.35555555555555557</v>
      </c>
      <c r="R203" s="12">
        <f>IF((R35&gt;0),(R59/R35),"")</f>
        <v>0.35294117647058826</v>
      </c>
      <c r="S203" s="12">
        <f>IF((S35&gt;0),(S59/S35),"")</f>
        <v>0.3333333333333333</v>
      </c>
      <c r="T203" s="12">
        <f>IF((T35&gt;0),(T59/T35),"")</f>
        <v>0.2857142857142857</v>
      </c>
      <c r="U203" s="12">
        <f>IF((U35&gt;0),(U59/U35),"")</f>
        <v>0.2222222222222222</v>
      </c>
      <c r="V203" s="12">
        <f>IF((V35&gt;0),(V59/V35),"")</f>
        <v>0.3490566037735849</v>
      </c>
      <c r="W203" s="12">
        <f>IF((W35&gt;0),(W59/W35),"")</f>
        <v>0.5</v>
      </c>
      <c r="X203" s="12">
        <f>IF((X35&gt;0),(X59/X35),"")</f>
        <v>0.47368421052631576</v>
      </c>
    </row>
    <row r="204">
      <c r="A204" s="0" t="inlineStr">
        <is>
          <t xml:space="preserve">Lead to MQL</t>
        </is>
      </c>
      <c r="B204" s="0" t="inlineStr">
        <is>
          <t xml:space="preserve">Events &amp; field</t>
        </is>
      </c>
      <c r="C204" s="0" t="inlineStr">
        <is>
          <t xml:space="preserve">EMEA</t>
        </is>
      </c>
      <c r="D204" s="12">
        <f>IF((D36&gt;0),(D60/D36),"")</f>
        <v>0.5</v>
      </c>
      <c r="E204" s="12">
        <f>IF((E36&gt;0),(E60/E36),"")</f>
        <v>0.3157894736842105</v>
      </c>
      <c r="F204" s="12">
        <f>IF((F36&gt;0),(F60/F36),"")</f>
        <v>0.3684210526315789</v>
      </c>
      <c r="G204" s="12">
        <f>IF((G36&gt;0),(G60/G36),"")</f>
        <v>0.5</v>
      </c>
      <c r="H204" s="12">
        <f>IF((H36&gt;0),(H60/H36),"")</f>
        <v>0.3684210526315789</v>
      </c>
      <c r="I204" s="12">
        <f>IF((I36&gt;0),(I60/I36),"")</f>
        <v>0.2727272727272727</v>
      </c>
      <c r="J204" s="12">
        <f>IF((J36&gt;0),(J60/J36),"")</f>
        <v>0.31313131313131315</v>
      </c>
      <c r="K204" s="12">
        <f>IF((K36&gt;0),(K60/K36),"")</f>
        <v>0.3888888888888889</v>
      </c>
      <c r="L204" s="12">
        <f>IF((L36&gt;0),(L60/L36),"")</f>
        <v>0.3333333333333333</v>
      </c>
      <c r="M204" s="12">
        <f>IF((M36&gt;0),(M60/M36),"")</f>
        <v>0.42105263157894735</v>
      </c>
      <c r="N204" s="12">
        <f>IF((N36&gt;0),(N60/N36),"")</f>
        <v>0.25925925925925924</v>
      </c>
      <c r="O204" s="12">
        <f>IF((O36&gt;0),(O60/O36),"")</f>
        <v>0.2804878048780488</v>
      </c>
      <c r="P204" s="12">
        <f>IF((P36&gt;0),(P60/P36),"")</f>
        <v>0.625</v>
      </c>
      <c r="Q204" s="12">
        <f>IF((Q36&gt;0),(Q60/Q36),"")</f>
        <v>0.3448275862068966</v>
      </c>
      <c r="R204" s="12">
        <f>IF((R36&gt;0),(R60/R36),"")</f>
        <v>0.3302752293577982</v>
      </c>
      <c r="S204" s="12">
        <f>IF((S36&gt;0),(S60/S36),"")</f>
        <v>0.4090909090909091</v>
      </c>
      <c r="T204" s="12">
        <f>IF((T36&gt;0),(T60/T36),"")</f>
        <v>0.19047619047619047</v>
      </c>
      <c r="U204" s="12">
        <f>IF((U36&gt;0),(U60/U36),"")</f>
        <v>0.32142857142857145</v>
      </c>
      <c r="V204" s="12">
        <f>IF((V36&gt;0),(V60/V36),"")</f>
        <v>0.37735849056603776</v>
      </c>
      <c r="W204" s="12">
        <f>IF((W36&gt;0),(W60/W36),"")</f>
        <v>0.3968253968253968</v>
      </c>
      <c r="X204" s="12">
        <f>IF((X36&gt;0),(X60/X36),"")</f>
        <v>0.36</v>
      </c>
    </row>
    <row r="205">
      <c r="A205" s="0" t="inlineStr">
        <is>
          <t xml:space="preserve">Lead to MQL</t>
        </is>
      </c>
      <c r="B205" s="0" t="inlineStr">
        <is>
          <t xml:space="preserve">Events &amp; field</t>
        </is>
      </c>
      <c r="C205" s="0" t="inlineStr">
        <is>
          <t xml:space="preserve">APAC</t>
        </is>
      </c>
      <c r="D205" s="12">
        <f>IF((D37&gt;0),(D61/D37),"")</f>
        <v>0.2727272727272727</v>
      </c>
      <c r="E205" s="12">
        <f>IF((E37&gt;0),(E61/E37),"")</f>
        <v>0.43333333333333335</v>
      </c>
      <c r="F205" s="12">
        <f>IF((F37&gt;0),(F61/F37),"")</f>
        <v>0.2</v>
      </c>
      <c r="G205" s="12">
        <f>IF((G37&gt;0),(G61/G37),"")</f>
        <v>0.42857142857142855</v>
      </c>
      <c r="H205" s="12">
        <f>IF((H37&gt;0),(H61/H37),"")</f>
        <v>0.25</v>
      </c>
      <c r="I205" s="12">
        <f>IF((I37&gt;0),(I61/I37),"")</f>
        <v>0.4</v>
      </c>
      <c r="J205" s="12">
        <f>IF((J37&gt;0),(J61/J37),"")</f>
        <v>0.30952380952380953</v>
      </c>
      <c r="K205" s="12">
        <f>IF((K37&gt;0),(K61/K37),"")</f>
        <v>0.45454545454545453</v>
      </c>
      <c r="L205" s="12">
        <f>IF((L37&gt;0),(L61/L37),"")</f>
        <v>0.25</v>
      </c>
      <c r="M205" s="12">
        <f>IF((M37&gt;0),(M61/M37),"")</f>
        <v>0.4166666666666667</v>
      </c>
      <c r="N205" s="12">
        <f>IF((N37&gt;0),(N61/N37),"")</f>
        <v>0.47058823529411764</v>
      </c>
      <c r="O205" s="12">
        <f>IF((O37&gt;0),(O61/O37),"")</f>
        <v>0.36507936507936506</v>
      </c>
      <c r="P205" s="12">
        <f>IF((P37&gt;0),(P61/P37),"")</f>
        <v>0.38461538461538464</v>
      </c>
      <c r="Q205" s="12">
        <f>IF((Q37&gt;0),(Q61/Q37),"")</f>
        <v>0.29411764705882354</v>
      </c>
      <c r="R205" s="12">
        <f>IF((R37&gt;0),(R61/R37),"")</f>
        <v>0.375</v>
      </c>
      <c r="S205" s="12">
        <f>IF((S37&gt;0),(S61/S37),"")</f>
        <v>0.375</v>
      </c>
      <c r="T205" s="12">
        <f>IF((T37&gt;0),(T61/T37),"")</f>
        <v>0.5</v>
      </c>
      <c r="U205" s="12">
        <f>IF((U37&gt;0),(U61/U37),"")</f>
        <v>0.4375</v>
      </c>
      <c r="V205" s="12">
        <f>IF((V37&gt;0),(V61/V37),"")</f>
        <v>0.19047619047619047</v>
      </c>
      <c r="W205" s="12">
        <f>IF((W37&gt;0),(W61/W37),"")</f>
        <v>0.53125</v>
      </c>
      <c r="X205" s="12">
        <f>IF((X37&gt;0),(X61/X37),"")</f>
        <v>0.5</v>
      </c>
    </row>
    <row r="206">
      <c r="A206" s="0" t="inlineStr">
        <is>
          <t xml:space="preserve">Lead to MQL</t>
        </is>
      </c>
      <c r="B206" s="0" t="inlineStr">
        <is>
          <t xml:space="preserve">Partner</t>
        </is>
      </c>
      <c r="C206" s="0" t="inlineStr">
        <is>
          <t xml:space="preserve">AMER East</t>
        </is>
      </c>
      <c r="D206" s="12">
        <f>IF((D38&gt;0),(D62/D38),"")</f>
        <v>0.5161290322580645</v>
      </c>
      <c r="E206" s="12">
        <f>IF((E38&gt;0),(E62/E38),"")</f>
        <v>0.5263157894736842</v>
      </c>
      <c r="F206" s="12">
        <f>IF((F38&gt;0),(F62/F38),"")</f>
        <v>0.35</v>
      </c>
      <c r="G206" s="12">
        <f>IF((G38&gt;0),(G62/G38),"")</f>
        <v>0.3448275862068966</v>
      </c>
      <c r="H206" s="12">
        <f>IF((H38&gt;0),(H62/H38),"")</f>
        <v>0.47368421052631576</v>
      </c>
      <c r="I206" s="12">
        <f>IF((I38&gt;0),(I62/I38),"")</f>
        <v>0.391304347826087</v>
      </c>
      <c r="J206" s="12">
        <f>IF((J38&gt;0),(J62/J38),"")</f>
        <v>0.2692307692307692</v>
      </c>
      <c r="K206" s="12">
        <f>IF((K38&gt;0),(K62/K38),"")</f>
        <v>0.47058823529411764</v>
      </c>
      <c r="L206" s="12">
        <f>IF((L38&gt;0),(L62/L38),"")</f>
        <v>0.25</v>
      </c>
      <c r="M206" s="12">
        <f>IF((M38&gt;0),(M62/M38),"")</f>
        <v>0.2777777777777778</v>
      </c>
      <c r="N206" s="12">
        <f>IF((N38&gt;0),(N62/N38),"")</f>
        <v>0.4166666666666667</v>
      </c>
      <c r="O206" s="12">
        <f>IF((O38&gt;0),(O62/O38),"")</f>
        <v>0.3333333333333333</v>
      </c>
      <c r="P206" s="12">
        <f>IF((P38&gt;0),(P62/P38),"")</f>
        <v>0.38095238095238093</v>
      </c>
      <c r="Q206" s="12">
        <f>IF((Q38&gt;0),(Q62/Q38),"")</f>
        <v>0.42857142857142855</v>
      </c>
      <c r="R206" s="12">
        <f>IF((R38&gt;0),(R62/R38),"")</f>
        <v>0.36666666666666664</v>
      </c>
      <c r="S206" s="12">
        <f>IF((S38&gt;0),(S62/S38),"")</f>
        <v>0.2</v>
      </c>
      <c r="T206" s="12">
        <f>IF((T38&gt;0),(T62/T38),"")</f>
        <v>0.22580645161290322</v>
      </c>
      <c r="U206" s="12">
        <f>IF((U38&gt;0),(U62/U38),"")</f>
        <v>0.4782608695652174</v>
      </c>
      <c r="V206" s="12">
        <f>IF((V38&gt;0),(V62/V38),"")</f>
        <v>0.5263157894736842</v>
      </c>
      <c r="W206" s="12">
        <f>IF((W38&gt;0),(W62/W38),"")</f>
        <v>0.3333333333333333</v>
      </c>
      <c r="X206" s="12">
        <f>IF((X38&gt;0),(X62/X38),"")</f>
        <v>0.19047619047619047</v>
      </c>
    </row>
    <row r="207">
      <c r="A207" s="0" t="inlineStr">
        <is>
          <t xml:space="preserve">Lead to MQL</t>
        </is>
      </c>
      <c r="B207" s="0" t="inlineStr">
        <is>
          <t xml:space="preserve">Partner</t>
        </is>
      </c>
      <c r="C207" s="0" t="inlineStr">
        <is>
          <t xml:space="preserve">AMER West</t>
        </is>
      </c>
      <c r="D207" s="12">
        <f>IF((D39&gt;0),(D63/D39),"")</f>
        <v>0.4642857142857143</v>
      </c>
      <c r="E207" s="12">
        <f>IF((E39&gt;0),(E63/E39),"")</f>
        <v>0.3333333333333333</v>
      </c>
      <c r="F207" s="12">
        <f>IF((F39&gt;0),(F63/F39),"")</f>
        <v>0.4827586206896552</v>
      </c>
      <c r="G207" s="12">
        <f>IF((G39&gt;0),(G63/G39),"")</f>
        <v>0.3333333333333333</v>
      </c>
      <c r="H207" s="12">
        <f>IF((H39&gt;0),(H63/H39),"")</f>
        <v>0.3333333333333333</v>
      </c>
      <c r="I207" s="12">
        <f>IF((I39&gt;0),(I63/I39),"")</f>
        <v>0.4583333333333333</v>
      </c>
      <c r="J207" s="12">
        <f>IF((J39&gt;0),(J63/J39),"")</f>
        <v>0.25</v>
      </c>
      <c r="K207" s="12">
        <f>IF((K39&gt;0),(K63/K39),"")</f>
        <v>0.36363636363636365</v>
      </c>
      <c r="L207" s="12">
        <f>IF((L39&gt;0),(L63/L39),"")</f>
        <v>0.40625</v>
      </c>
      <c r="M207" s="12">
        <f>IF((M39&gt;0),(M63/M39),"")</f>
        <v>0.2777777777777778</v>
      </c>
      <c r="N207" s="12">
        <f>IF((N39&gt;0),(N63/N39),"")</f>
        <v>0.47368421052631576</v>
      </c>
      <c r="O207" s="12">
        <f>IF((O39&gt;0),(O63/O39),"")</f>
        <v>0.30434782608695654</v>
      </c>
      <c r="P207" s="12">
        <f>IF((P39&gt;0),(P63/P39),"")</f>
        <v>0.3684210526315789</v>
      </c>
      <c r="Q207" s="12">
        <f>IF((Q39&gt;0),(Q63/Q39),"")</f>
        <v>0.56</v>
      </c>
      <c r="R207" s="12">
        <f>IF((R39&gt;0),(R63/R39),"")</f>
        <v>0.41379310344827586</v>
      </c>
      <c r="S207" s="12">
        <f>IF((S39&gt;0),(S63/S39),"")</f>
        <v>0.3181818181818182</v>
      </c>
      <c r="T207" s="12">
        <f>IF((T39&gt;0),(T63/T39),"")</f>
        <v>0.1111111111111111</v>
      </c>
      <c r="U207" s="12">
        <f>IF((U39&gt;0),(U63/U39),"")</f>
        <v>0.25</v>
      </c>
      <c r="V207" s="12">
        <f>IF((V39&gt;0),(V63/V39),"")</f>
        <v>0.3125</v>
      </c>
      <c r="W207" s="12">
        <f>IF((W39&gt;0),(W63/W39),"")</f>
        <v>0.42105263157894735</v>
      </c>
      <c r="X207" s="12">
        <f>IF((X39&gt;0),(X63/X39),"")</f>
        <v>0.7368421052631579</v>
      </c>
    </row>
    <row r="208">
      <c r="A208" s="0" t="inlineStr">
        <is>
          <t xml:space="preserve">Lead to MQL</t>
        </is>
      </c>
      <c r="B208" s="0" t="inlineStr">
        <is>
          <t xml:space="preserve">Partner</t>
        </is>
      </c>
      <c r="C208" s="0" t="inlineStr">
        <is>
          <t xml:space="preserve">EMEA</t>
        </is>
      </c>
      <c r="D208" s="12">
        <f>IF((D40&gt;0),(D64/D40),"")</f>
        <v>0.47368421052631576</v>
      </c>
      <c r="E208" s="12">
        <f>IF((E40&gt;0),(E64/E40),"")</f>
        <v>0.6363636363636364</v>
      </c>
      <c r="F208" s="12">
        <f>IF((F40&gt;0),(F64/F40),"")</f>
        <v>0.48148148148148145</v>
      </c>
      <c r="G208" s="12">
        <f>IF((G40&gt;0),(G64/G40),"")</f>
        <v>0.5833333333333334</v>
      </c>
      <c r="H208" s="12">
        <f>IF((H40&gt;0),(H64/H40),"")</f>
        <v>0.35294117647058826</v>
      </c>
      <c r="I208" s="12">
        <f>IF((I40&gt;0),(I64/I40),"")</f>
        <v>0.4</v>
      </c>
      <c r="J208" s="12">
        <f>IF((J40&gt;0),(J64/J40),"")</f>
        <v>0.2727272727272727</v>
      </c>
      <c r="K208" s="12">
        <f>IF((K40&gt;0),(K64/K40),"")</f>
        <v>0.2857142857142857</v>
      </c>
      <c r="L208" s="12">
        <f>IF((L40&gt;0),(L64/L40),"")</f>
        <v>0.5</v>
      </c>
      <c r="M208" s="12">
        <f>IF((M40&gt;0),(M64/M40),"")</f>
        <v>0.24</v>
      </c>
      <c r="N208" s="12">
        <f>IF((N40&gt;0),(N64/N40),"")</f>
        <v>0.4666666666666667</v>
      </c>
      <c r="O208" s="12">
        <f>IF((O40&gt;0),(O64/O40),"")</f>
        <v>0.42857142857142855</v>
      </c>
      <c r="P208" s="12">
        <f>IF((P40&gt;0),(P64/P40),"")</f>
        <v>0.5</v>
      </c>
      <c r="Q208" s="12">
        <f>IF((Q40&gt;0),(Q64/Q40),"")</f>
        <v>0.3333333333333333</v>
      </c>
      <c r="R208" s="12">
        <f>IF((R40&gt;0),(R64/R40),"")</f>
        <v>0.35</v>
      </c>
      <c r="S208" s="12">
        <f>IF((S40&gt;0),(S64/S40),"")</f>
        <v>0.25</v>
      </c>
      <c r="T208" s="12">
        <f>IF((T40&gt;0),(T64/T40),"")</f>
        <v>0.3125</v>
      </c>
      <c r="U208" s="12">
        <f>IF((U40&gt;0),(U64/U40),"")</f>
        <v>0.28</v>
      </c>
      <c r="V208" s="12">
        <f>IF((V40&gt;0),(V64/V40),"")</f>
        <v>0.3333333333333333</v>
      </c>
      <c r="W208" s="12">
        <f>IF((W40&gt;0),(W64/W40),"")</f>
        <v>0.45454545454545453</v>
      </c>
      <c r="X208" s="12">
        <f>IF((X40&gt;0),(X64/X40),"")</f>
        <v>0.38461538461538464</v>
      </c>
    </row>
    <row r="209">
      <c r="A209" s="0" t="inlineStr">
        <is>
          <t xml:space="preserve">Lead to MQL</t>
        </is>
      </c>
      <c r="B209" s="0" t="inlineStr">
        <is>
          <t xml:space="preserve">Partner</t>
        </is>
      </c>
      <c r="C209" s="0" t="inlineStr">
        <is>
          <t xml:space="preserve">APAC</t>
        </is>
      </c>
      <c r="D209" s="12">
        <f>IF((D41&gt;0),(D65/D41),"")</f>
        <v>0.38461538461538464</v>
      </c>
      <c r="E209" s="12">
        <f>IF((E41&gt;0),(E65/E41),"")</f>
        <v>0.36363636363636365</v>
      </c>
      <c r="F209" s="12">
        <f>IF((F41&gt;0),(F65/F41),"")</f>
        <v>0.2857142857142857</v>
      </c>
      <c r="G209" s="12">
        <f>IF((G41&gt;0),(G65/G41),"")</f>
        <v>0.25</v>
      </c>
      <c r="H209" s="12">
        <f>IF((H41&gt;0),(H65/H41),"")</f>
        <v>0.4166666666666667</v>
      </c>
      <c r="I209" s="12">
        <f>IF((I41&gt;0),(I65/I41),"")</f>
        <v>0.3333333333333333</v>
      </c>
      <c r="J209" s="12">
        <f>IF((J41&gt;0),(J65/J41),"")</f>
        <v>0.2727272727272727</v>
      </c>
      <c r="K209" s="12">
        <f>IF((K41&gt;0),(K65/K41),"")</f>
        <v>0.5833333333333334</v>
      </c>
      <c r="L209" s="12">
        <f>IF((L41&gt;0),(L65/L41),"")</f>
        <v>0.5384615384615384</v>
      </c>
      <c r="M209" s="12">
        <f>IF((M41&gt;0),(M65/M41),"")</f>
        <v>0.125</v>
      </c>
      <c r="N209" s="12">
        <f>IF((N41&gt;0),(N65/N41),"")</f>
        <v>0.45454545454545453</v>
      </c>
      <c r="O209" s="12">
        <f>IF((O41&gt;0),(O65/O41),"")</f>
        <v>0.18181818181818182</v>
      </c>
      <c r="P209" s="12">
        <f>IF((P41&gt;0),(P65/P41),"")</f>
        <v>0.6666666666666666</v>
      </c>
      <c r="Q209" s="12">
        <f>IF((Q41&gt;0),(Q65/Q41),"")</f>
        <v>0.16666666666666666</v>
      </c>
      <c r="R209" s="12">
        <f>IF((R41&gt;0),(R65/R41),"")</f>
        <v>0.4375</v>
      </c>
      <c r="S209" s="12">
        <f>IF((S41&gt;0),(S65/S41),"")</f>
        <v>0.45454545454545453</v>
      </c>
      <c r="T209" s="12">
        <f>IF((T41&gt;0),(T65/T41),"")</f>
        <v>0.6</v>
      </c>
      <c r="U209" s="12">
        <f>IF((U41&gt;0),(U65/U41),"")</f>
        <v>0.36363636363636365</v>
      </c>
      <c r="V209" s="12">
        <f>IF((V41&gt;0),(V65/V41),"")</f>
        <v>0.3333333333333333</v>
      </c>
      <c r="W209" s="12">
        <f>IF((W41&gt;0),(W65/W41),"")</f>
        <v>0.5454545454545454</v>
      </c>
      <c r="X209" s="12">
        <f>IF((X41&gt;0),(X65/X41),"")</f>
        <v>0.4444444444444444</v>
      </c>
    </row>
    <row r="210">
      <c r="A210" s="0" t="inlineStr">
        <is>
          <t xml:space="preserve">Lead to MQL</t>
        </is>
      </c>
      <c r="B210" s="0" t="inlineStr">
        <is>
          <t xml:space="preserve">Outbound (BDR)</t>
        </is>
      </c>
      <c r="C210" s="0" t="inlineStr">
        <is>
          <t xml:space="preserve">AMER East</t>
        </is>
      </c>
      <c r="D210" s="12">
        <f>IF((D42&gt;0),(D66/D42),"")</f>
      </c>
      <c r="E210" s="12">
        <f>IF((E42&gt;0),(E66/E42),"")</f>
      </c>
      <c r="F210" s="12">
        <f>IF((F42&gt;0),(F66/F42),"")</f>
      </c>
      <c r="G210" s="12">
        <f>IF((G42&gt;0),(G66/G42),"")</f>
      </c>
      <c r="H210" s="12">
        <f>IF((H42&gt;0),(H66/H42),"")</f>
      </c>
      <c r="I210" s="12">
        <f>IF((I42&gt;0),(I66/I42),"")</f>
      </c>
      <c r="J210" s="12">
        <f>IF((J42&gt;0),(J66/J42),"")</f>
      </c>
      <c r="K210" s="12">
        <f>IF((K42&gt;0),(K66/K42),"")</f>
      </c>
      <c r="L210" s="12">
        <f>IF((L42&gt;0),(L66/L42),"")</f>
      </c>
      <c r="M210" s="12">
        <f>IF((M42&gt;0),(M66/M42),"")</f>
      </c>
      <c r="N210" s="12">
        <f>IF((N42&gt;0),(N66/N42),"")</f>
      </c>
      <c r="O210" s="12">
        <f>IF((O42&gt;0),(O66/O42),"")</f>
      </c>
      <c r="P210" s="12">
        <f>IF((P42&gt;0),(P66/P42),"")</f>
      </c>
      <c r="Q210" s="12">
        <f>IF((Q42&gt;0),(Q66/Q42),"")</f>
      </c>
      <c r="R210" s="12">
        <f>IF((R42&gt;0),(R66/R42),"")</f>
      </c>
      <c r="S210" s="12">
        <f>IF((S42&gt;0),(S66/S42),"")</f>
      </c>
      <c r="T210" s="12">
        <f>IF((T42&gt;0),(T66/T42),"")</f>
      </c>
      <c r="U210" s="12">
        <f>IF((U42&gt;0),(U66/U42),"")</f>
      </c>
      <c r="V210" s="12">
        <f>IF((V42&gt;0),(V66/V42),"")</f>
      </c>
      <c r="W210" s="12">
        <f>IF((W42&gt;0),(W66/W42),"")</f>
      </c>
      <c r="X210" s="12">
        <f>IF((X42&gt;0),(X66/X42),"")</f>
      </c>
    </row>
    <row r="211">
      <c r="A211" s="0" t="inlineStr">
        <is>
          <t xml:space="preserve">Lead to MQL</t>
        </is>
      </c>
      <c r="B211" s="0" t="inlineStr">
        <is>
          <t xml:space="preserve">Outbound (BDR)</t>
        </is>
      </c>
      <c r="C211" s="0" t="inlineStr">
        <is>
          <t xml:space="preserve">AMER West</t>
        </is>
      </c>
      <c r="D211" s="12">
        <f>IF((D43&gt;0),(D67/D43),"")</f>
      </c>
      <c r="E211" s="12">
        <f>IF((E43&gt;0),(E67/E43),"")</f>
      </c>
      <c r="F211" s="12">
        <f>IF((F43&gt;0),(F67/F43),"")</f>
      </c>
      <c r="G211" s="12">
        <f>IF((G43&gt;0),(G67/G43),"")</f>
      </c>
      <c r="H211" s="12">
        <f>IF((H43&gt;0),(H67/H43),"")</f>
      </c>
      <c r="I211" s="12">
        <f>IF((I43&gt;0),(I67/I43),"")</f>
      </c>
      <c r="J211" s="12">
        <f>IF((J43&gt;0),(J67/J43),"")</f>
      </c>
      <c r="K211" s="12">
        <f>IF((K43&gt;0),(K67/K43),"")</f>
      </c>
      <c r="L211" s="12">
        <f>IF((L43&gt;0),(L67/L43),"")</f>
      </c>
      <c r="M211" s="12">
        <f>IF((M43&gt;0),(M67/M43),"")</f>
      </c>
      <c r="N211" s="12">
        <f>IF((N43&gt;0),(N67/N43),"")</f>
      </c>
      <c r="O211" s="12">
        <f>IF((O43&gt;0),(O67/O43),"")</f>
      </c>
      <c r="P211" s="12">
        <f>IF((P43&gt;0),(P67/P43),"")</f>
      </c>
      <c r="Q211" s="12">
        <f>IF((Q43&gt;0),(Q67/Q43),"")</f>
      </c>
      <c r="R211" s="12">
        <f>IF((R43&gt;0),(R67/R43),"")</f>
      </c>
      <c r="S211" s="12">
        <f>IF((S43&gt;0),(S67/S43),"")</f>
      </c>
      <c r="T211" s="12">
        <f>IF((T43&gt;0),(T67/T43),"")</f>
      </c>
      <c r="U211" s="12">
        <f>IF((U43&gt;0),(U67/U43),"")</f>
      </c>
      <c r="V211" s="12">
        <f>IF((V43&gt;0),(V67/V43),"")</f>
      </c>
      <c r="W211" s="12">
        <f>IF((W43&gt;0),(W67/W43),"")</f>
      </c>
      <c r="X211" s="12">
        <f>IF((X43&gt;0),(X67/X43),"")</f>
      </c>
    </row>
    <row r="212">
      <c r="A212" s="0" t="inlineStr">
        <is>
          <t xml:space="preserve">Lead to MQL</t>
        </is>
      </c>
      <c r="B212" s="0" t="inlineStr">
        <is>
          <t xml:space="preserve">Outbound (BDR)</t>
        </is>
      </c>
      <c r="C212" s="0" t="inlineStr">
        <is>
          <t xml:space="preserve">EMEA</t>
        </is>
      </c>
      <c r="D212" s="12">
        <f>IF((D44&gt;0),(D68/D44),"")</f>
      </c>
      <c r="E212" s="12">
        <f>IF((E44&gt;0),(E68/E44),"")</f>
      </c>
      <c r="F212" s="12">
        <f>IF((F44&gt;0),(F68/F44),"")</f>
      </c>
      <c r="G212" s="12">
        <f>IF((G44&gt;0),(G68/G44),"")</f>
      </c>
      <c r="H212" s="12">
        <f>IF((H44&gt;0),(H68/H44),"")</f>
      </c>
      <c r="I212" s="12">
        <f>IF((I44&gt;0),(I68/I44),"")</f>
      </c>
      <c r="J212" s="12">
        <f>IF((J44&gt;0),(J68/J44),"")</f>
      </c>
      <c r="K212" s="12">
        <f>IF((K44&gt;0),(K68/K44),"")</f>
      </c>
      <c r="L212" s="12">
        <f>IF((L44&gt;0),(L68/L44),"")</f>
      </c>
      <c r="M212" s="12">
        <f>IF((M44&gt;0),(M68/M44),"")</f>
      </c>
      <c r="N212" s="12">
        <f>IF((N44&gt;0),(N68/N44),"")</f>
      </c>
      <c r="O212" s="12">
        <f>IF((O44&gt;0),(O68/O44),"")</f>
      </c>
      <c r="P212" s="12">
        <f>IF((P44&gt;0),(P68/P44),"")</f>
      </c>
      <c r="Q212" s="12">
        <f>IF((Q44&gt;0),(Q68/Q44),"")</f>
      </c>
      <c r="R212" s="12">
        <f>IF((R44&gt;0),(R68/R44),"")</f>
      </c>
      <c r="S212" s="12">
        <f>IF((S44&gt;0),(S68/S44),"")</f>
      </c>
      <c r="T212" s="12">
        <f>IF((T44&gt;0),(T68/T44),"")</f>
      </c>
      <c r="U212" s="12">
        <f>IF((U44&gt;0),(U68/U44),"")</f>
      </c>
      <c r="V212" s="12">
        <f>IF((V44&gt;0),(V68/V44),"")</f>
      </c>
      <c r="W212" s="12">
        <f>IF((W44&gt;0),(W68/W44),"")</f>
      </c>
      <c r="X212" s="12">
        <f>IF((X44&gt;0),(X68/X44),"")</f>
      </c>
    </row>
    <row r="213">
      <c r="A213" s="0" t="inlineStr">
        <is>
          <t xml:space="preserve">Lead to MQL</t>
        </is>
      </c>
      <c r="B213" s="0" t="inlineStr">
        <is>
          <t xml:space="preserve">Outbound (BDR)</t>
        </is>
      </c>
      <c r="C213" s="0" t="inlineStr">
        <is>
          <t xml:space="preserve">APAC</t>
        </is>
      </c>
      <c r="D213" s="12">
        <f>IF((D45&gt;0),(D69/D45),"")</f>
      </c>
      <c r="E213" s="12">
        <f>IF((E45&gt;0),(E69/E45),"")</f>
      </c>
      <c r="F213" s="12">
        <f>IF((F45&gt;0),(F69/F45),"")</f>
      </c>
      <c r="G213" s="12">
        <f>IF((G45&gt;0),(G69/G45),"")</f>
      </c>
      <c r="H213" s="12">
        <f>IF((H45&gt;0),(H69/H45),"")</f>
      </c>
      <c r="I213" s="12">
        <f>IF((I45&gt;0),(I69/I45),"")</f>
      </c>
      <c r="J213" s="12">
        <f>IF((J45&gt;0),(J69/J45),"")</f>
      </c>
      <c r="K213" s="12">
        <f>IF((K45&gt;0),(K69/K45),"")</f>
      </c>
      <c r="L213" s="12">
        <f>IF((L45&gt;0),(L69/L45),"")</f>
      </c>
      <c r="M213" s="12">
        <f>IF((M45&gt;0),(M69/M45),"")</f>
      </c>
      <c r="N213" s="12">
        <f>IF((N45&gt;0),(N69/N45),"")</f>
      </c>
      <c r="O213" s="12">
        <f>IF((O45&gt;0),(O69/O45),"")</f>
      </c>
      <c r="P213" s="12">
        <f>IF((P45&gt;0),(P69/P45),"")</f>
      </c>
      <c r="Q213" s="12">
        <f>IF((Q45&gt;0),(Q69/Q45),"")</f>
      </c>
      <c r="R213" s="12">
        <f>IF((R45&gt;0),(R69/R45),"")</f>
      </c>
      <c r="S213" s="12">
        <f>IF((S45&gt;0),(S69/S45),"")</f>
      </c>
      <c r="T213" s="12">
        <f>IF((T45&gt;0),(T69/T45),"")</f>
      </c>
      <c r="U213" s="12">
        <f>IF((U45&gt;0),(U69/U45),"")</f>
      </c>
      <c r="V213" s="12">
        <f>IF((V45&gt;0),(V69/V45),"")</f>
      </c>
      <c r="W213" s="12">
        <f>IF((W45&gt;0),(W69/W45),"")</f>
      </c>
      <c r="X213" s="12">
        <f>IF((X45&gt;0),(X69/X45),"")</f>
      </c>
    </row>
    <row r="214">
      <c r="A214" s="0" t="inlineStr">
        <is>
          <t xml:space="preserve">Lead to MQL</t>
        </is>
      </c>
      <c r="B214" s="0" t="inlineStr">
        <is>
          <t xml:space="preserve">Customer referral</t>
        </is>
      </c>
      <c r="C214" s="0" t="inlineStr">
        <is>
          <t xml:space="preserve">AMER East</t>
        </is>
      </c>
      <c r="D214" s="12">
        <f>IF((D46&gt;0),(D70/D46),"")</f>
      </c>
      <c r="E214" s="12">
        <f>IF((E46&gt;0),(E70/E46),"")</f>
      </c>
      <c r="F214" s="12">
        <f>IF((F46&gt;0),(F70/F46),"")</f>
      </c>
      <c r="G214" s="12">
        <f>IF((G46&gt;0),(G70/G46),"")</f>
      </c>
      <c r="H214" s="12">
        <f>IF((H46&gt;0),(H70/H46),"")</f>
      </c>
      <c r="I214" s="12">
        <f>IF((I46&gt;0),(I70/I46),"")</f>
      </c>
      <c r="J214" s="12">
        <f>IF((J46&gt;0),(J70/J46),"")</f>
      </c>
      <c r="K214" s="12">
        <f>IF((K46&gt;0),(K70/K46),"")</f>
      </c>
      <c r="L214" s="12">
        <f>IF((L46&gt;0),(L70/L46),"")</f>
      </c>
      <c r="M214" s="12">
        <f>IF((M46&gt;0),(M70/M46),"")</f>
      </c>
      <c r="N214" s="12">
        <f>IF((N46&gt;0),(N70/N46),"")</f>
      </c>
      <c r="O214" s="12">
        <f>IF((O46&gt;0),(O70/O46),"")</f>
      </c>
      <c r="P214" s="12">
        <f>IF((P46&gt;0),(P70/P46),"")</f>
      </c>
      <c r="Q214" s="12">
        <f>IF((Q46&gt;0),(Q70/Q46),"")</f>
      </c>
      <c r="R214" s="12">
        <f>IF((R46&gt;0),(R70/R46),"")</f>
      </c>
      <c r="S214" s="12">
        <f>IF((S46&gt;0),(S70/S46),"")</f>
      </c>
      <c r="T214" s="12">
        <f>IF((T46&gt;0),(T70/T46),"")</f>
      </c>
      <c r="U214" s="12">
        <f>IF((U46&gt;0),(U70/U46),"")</f>
      </c>
      <c r="V214" s="12">
        <f>IF((V46&gt;0),(V70/V46),"")</f>
      </c>
      <c r="W214" s="12">
        <f>IF((W46&gt;0),(W70/W46),"")</f>
      </c>
      <c r="X214" s="12">
        <f>IF((X46&gt;0),(X70/X46),"")</f>
      </c>
    </row>
    <row r="215">
      <c r="A215" s="0" t="inlineStr">
        <is>
          <t xml:space="preserve">Lead to MQL</t>
        </is>
      </c>
      <c r="B215" s="0" t="inlineStr">
        <is>
          <t xml:space="preserve">Customer referral</t>
        </is>
      </c>
      <c r="C215" s="0" t="inlineStr">
        <is>
          <t xml:space="preserve">AMER West</t>
        </is>
      </c>
      <c r="D215" s="12">
        <f>IF((D47&gt;0),(D71/D47),"")</f>
      </c>
      <c r="E215" s="12">
        <f>IF((E47&gt;0),(E71/E47),"")</f>
      </c>
      <c r="F215" s="12">
        <f>IF((F47&gt;0),(F71/F47),"")</f>
      </c>
      <c r="G215" s="12">
        <f>IF((G47&gt;0),(G71/G47),"")</f>
      </c>
      <c r="H215" s="12">
        <f>IF((H47&gt;0),(H71/H47),"")</f>
      </c>
      <c r="I215" s="12">
        <f>IF((I47&gt;0),(I71/I47),"")</f>
      </c>
      <c r="J215" s="12">
        <f>IF((J47&gt;0),(J71/J47),"")</f>
      </c>
      <c r="K215" s="12">
        <f>IF((K47&gt;0),(K71/K47),"")</f>
      </c>
      <c r="L215" s="12">
        <f>IF((L47&gt;0),(L71/L47),"")</f>
      </c>
      <c r="M215" s="12">
        <f>IF((M47&gt;0),(M71/M47),"")</f>
      </c>
      <c r="N215" s="12">
        <f>IF((N47&gt;0),(N71/N47),"")</f>
      </c>
      <c r="O215" s="12">
        <f>IF((O47&gt;0),(O71/O47),"")</f>
      </c>
      <c r="P215" s="12">
        <f>IF((P47&gt;0),(P71/P47),"")</f>
      </c>
      <c r="Q215" s="12">
        <f>IF((Q47&gt;0),(Q71/Q47),"")</f>
      </c>
      <c r="R215" s="12">
        <f>IF((R47&gt;0),(R71/R47),"")</f>
      </c>
      <c r="S215" s="12">
        <f>IF((S47&gt;0),(S71/S47),"")</f>
      </c>
      <c r="T215" s="12">
        <f>IF((T47&gt;0),(T71/T47),"")</f>
      </c>
      <c r="U215" s="12">
        <f>IF((U47&gt;0),(U71/U47),"")</f>
      </c>
      <c r="V215" s="12">
        <f>IF((V47&gt;0),(V71/V47),"")</f>
      </c>
      <c r="W215" s="12">
        <f>IF((W47&gt;0),(W71/W47),"")</f>
      </c>
      <c r="X215" s="12">
        <f>IF((X47&gt;0),(X71/X47),"")</f>
      </c>
    </row>
    <row r="216">
      <c r="A216" s="0" t="inlineStr">
        <is>
          <t xml:space="preserve">Lead to MQL</t>
        </is>
      </c>
      <c r="B216" s="0" t="inlineStr">
        <is>
          <t xml:space="preserve">Customer referral</t>
        </is>
      </c>
      <c r="C216" s="0" t="inlineStr">
        <is>
          <t xml:space="preserve">EMEA</t>
        </is>
      </c>
      <c r="D216" s="12">
        <f>IF((D48&gt;0),(D72/D48),"")</f>
      </c>
      <c r="E216" s="12">
        <f>IF((E48&gt;0),(E72/E48),"")</f>
      </c>
      <c r="F216" s="12">
        <f>IF((F48&gt;0),(F72/F48),"")</f>
      </c>
      <c r="G216" s="12">
        <f>IF((G48&gt;0),(G72/G48),"")</f>
      </c>
      <c r="H216" s="12">
        <f>IF((H48&gt;0),(H72/H48),"")</f>
      </c>
      <c r="I216" s="12">
        <f>IF((I48&gt;0),(I72/I48),"")</f>
      </c>
      <c r="J216" s="12">
        <f>IF((J48&gt;0),(J72/J48),"")</f>
      </c>
      <c r="K216" s="12">
        <f>IF((K48&gt;0),(K72/K48),"")</f>
      </c>
      <c r="L216" s="12">
        <f>IF((L48&gt;0),(L72/L48),"")</f>
      </c>
      <c r="M216" s="12">
        <f>IF((M48&gt;0),(M72/M48),"")</f>
      </c>
      <c r="N216" s="12">
        <f>IF((N48&gt;0),(N72/N48),"")</f>
      </c>
      <c r="O216" s="12">
        <f>IF((O48&gt;0),(O72/O48),"")</f>
      </c>
      <c r="P216" s="12">
        <f>IF((P48&gt;0),(P72/P48),"")</f>
      </c>
      <c r="Q216" s="12">
        <f>IF((Q48&gt;0),(Q72/Q48),"")</f>
      </c>
      <c r="R216" s="12">
        <f>IF((R48&gt;0),(R72/R48),"")</f>
      </c>
      <c r="S216" s="12">
        <f>IF((S48&gt;0),(S72/S48),"")</f>
      </c>
      <c r="T216" s="12">
        <f>IF((T48&gt;0),(T72/T48),"")</f>
      </c>
      <c r="U216" s="12">
        <f>IF((U48&gt;0),(U72/U48),"")</f>
      </c>
      <c r="V216" s="12">
        <f>IF((V48&gt;0),(V72/V48),"")</f>
      </c>
      <c r="W216" s="12">
        <f>IF((W48&gt;0),(W72/W48),"")</f>
      </c>
      <c r="X216" s="12">
        <f>IF((X48&gt;0),(X72/X48),"")</f>
      </c>
    </row>
    <row r="217">
      <c r="A217" s="0" t="inlineStr">
        <is>
          <t xml:space="preserve">Lead to MQL</t>
        </is>
      </c>
      <c r="B217" s="0" t="inlineStr">
        <is>
          <t xml:space="preserve">Customer referral</t>
        </is>
      </c>
      <c r="C217" s="0" t="inlineStr">
        <is>
          <t xml:space="preserve">APAC</t>
        </is>
      </c>
      <c r="D217" s="12">
        <f>IF((D49&gt;0),(D73/D49),"")</f>
      </c>
      <c r="E217" s="12">
        <f>IF((E49&gt;0),(E73/E49),"")</f>
      </c>
      <c r="F217" s="12">
        <f>IF((F49&gt;0),(F73/F49),"")</f>
      </c>
      <c r="G217" s="12">
        <f>IF((G49&gt;0),(G73/G49),"")</f>
      </c>
      <c r="H217" s="12">
        <f>IF((H49&gt;0),(H73/H49),"")</f>
      </c>
      <c r="I217" s="12">
        <f>IF((I49&gt;0),(I73/I49),"")</f>
      </c>
      <c r="J217" s="12">
        <f>IF((J49&gt;0),(J73/J49),"")</f>
      </c>
      <c r="K217" s="12">
        <f>IF((K49&gt;0),(K73/K49),"")</f>
      </c>
      <c r="L217" s="12">
        <f>IF((L49&gt;0),(L73/L49),"")</f>
      </c>
      <c r="M217" s="12">
        <f>IF((M49&gt;0),(M73/M49),"")</f>
      </c>
      <c r="N217" s="12">
        <f>IF((N49&gt;0),(N73/N49),"")</f>
      </c>
      <c r="O217" s="12">
        <f>IF((O49&gt;0),(O73/O49),"")</f>
      </c>
      <c r="P217" s="12">
        <f>IF((P49&gt;0),(P73/P49),"")</f>
      </c>
      <c r="Q217" s="12">
        <f>IF((Q49&gt;0),(Q73/Q49),"")</f>
      </c>
      <c r="R217" s="12">
        <f>IF((R49&gt;0),(R73/R49),"")</f>
      </c>
      <c r="S217" s="12">
        <f>IF((S49&gt;0),(S73/S49),"")</f>
      </c>
      <c r="T217" s="12">
        <f>IF((T49&gt;0),(T73/T49),"")</f>
      </c>
      <c r="U217" s="12">
        <f>IF((U49&gt;0),(U73/U49),"")</f>
      </c>
      <c r="V217" s="12">
        <f>IF((V49&gt;0),(V73/V49),"")</f>
      </c>
      <c r="W217" s="12">
        <f>IF((W49&gt;0),(W73/W49),"")</f>
      </c>
      <c r="X217" s="12">
        <f>IF((X49&gt;0),(X73/X49),"")</f>
      </c>
    </row>
    <row r="218">
      <c r="A218" s="0" t="inlineStr">
        <is>
          <t xml:space="preserve">MQL to SQL</t>
        </is>
      </c>
      <c r="B218" s="0" t="inlineStr">
        <is>
          <t xml:space="preserve">Inbound (web &amp; content)</t>
        </is>
      </c>
      <c r="C218" s="0" t="inlineStr">
        <is>
          <t xml:space="preserve">AMER East</t>
        </is>
      </c>
      <c r="D218" s="12">
        <f>IF((D50&gt;0),(D74/D50),"")</f>
        <v>0.3023255813953488</v>
      </c>
      <c r="E218" s="12">
        <f>IF((E50&gt;0),(E74/E50),"")</f>
        <v>0.16981132075471697</v>
      </c>
      <c r="F218" s="12">
        <f>IF((F50&gt;0),(F74/F50),"")</f>
        <v>0.2608695652173913</v>
      </c>
      <c r="G218" s="12">
        <f>IF((G50&gt;0),(G74/G50),"")</f>
        <v>0.203125</v>
      </c>
      <c r="H218" s="12">
        <f>IF((H50&gt;0),(H74/H50),"")</f>
        <v>0.22916666666666666</v>
      </c>
      <c r="I218" s="12">
        <f>IF((I50&gt;0),(I74/I50),"")</f>
        <v>0.07272727272727272</v>
      </c>
      <c r="J218" s="12">
        <f>IF((J50&gt;0),(J74/J50),"")</f>
        <v>0.09803921568627451</v>
      </c>
      <c r="K218" s="12">
        <f>IF((K50&gt;0),(K74/K50),"")</f>
        <v>0.15217391304347827</v>
      </c>
      <c r="L218" s="12">
        <f>IF((L50&gt;0),(L74/L50),"")</f>
        <v>0.26</v>
      </c>
      <c r="M218" s="12">
        <f>IF((M50&gt;0),(M74/M50),"")</f>
        <v>0.18604651162790697</v>
      </c>
      <c r="N218" s="12">
        <f>IF((N50&gt;0),(N74/N50),"")</f>
        <v>0.125</v>
      </c>
      <c r="O218" s="12">
        <f>IF((O50&gt;0),(O74/O50),"")</f>
        <v>0.13636363636363635</v>
      </c>
      <c r="P218" s="12">
        <f>IF((P50&gt;0),(P74/P50),"")</f>
        <v>0.2631578947368421</v>
      </c>
      <c r="Q218" s="12">
        <f>IF((Q50&gt;0),(Q74/Q50),"")</f>
        <v>0.15714285714285714</v>
      </c>
      <c r="R218" s="12">
        <f>IF((R50&gt;0),(R74/R50),"")</f>
        <v>0.15</v>
      </c>
      <c r="S218" s="12">
        <f>IF((S50&gt;0),(S74/S50),"")</f>
        <v>0.22916666666666666</v>
      </c>
      <c r="T218" s="12">
        <f>IF((T50&gt;0),(T74/T50),"")</f>
        <v>0.14583333333333334</v>
      </c>
      <c r="U218" s="12">
        <f>IF((U50&gt;0),(U74/U50),"")</f>
        <v>0.1267605633802817</v>
      </c>
      <c r="V218" s="12">
        <f>IF((V50&gt;0),(V74/V50),"")</f>
        <v>0</v>
      </c>
      <c r="W218" s="12">
        <f>IF((W50&gt;0),(W74/W50),"")</f>
        <v>0</v>
      </c>
      <c r="X218" s="12">
        <f>IF((X50&gt;0),(X74/X50),"")</f>
        <v>0</v>
      </c>
    </row>
    <row r="219">
      <c r="A219" s="0" t="inlineStr">
        <is>
          <t xml:space="preserve">MQL to SQL</t>
        </is>
      </c>
      <c r="B219" s="0" t="inlineStr">
        <is>
          <t xml:space="preserve">Inbound (web &amp; content)</t>
        </is>
      </c>
      <c r="C219" s="0" t="inlineStr">
        <is>
          <t xml:space="preserve">AMER West</t>
        </is>
      </c>
      <c r="D219" s="12">
        <f>IF((D51&gt;0),(D75/D51),"")</f>
        <v>0.21739130434782608</v>
      </c>
      <c r="E219" s="12">
        <f>IF((E51&gt;0),(E75/E51),"")</f>
        <v>0.15789473684210525</v>
      </c>
      <c r="F219" s="12">
        <f>IF((F51&gt;0),(F75/F51),"")</f>
        <v>0.08163265306122448</v>
      </c>
      <c r="G219" s="12">
        <f>IF((G51&gt;0),(G75/G51),"")</f>
        <v>0.16981132075471697</v>
      </c>
      <c r="H219" s="12">
        <f>IF((H51&gt;0),(H75/H51),"")</f>
        <v>0.20408163265306123</v>
      </c>
      <c r="I219" s="12">
        <f>IF((I51&gt;0),(I75/I51),"")</f>
        <v>0.29411764705882354</v>
      </c>
      <c r="J219" s="12">
        <f>IF((J51&gt;0),(J75/J51),"")</f>
        <v>0.13157894736842105</v>
      </c>
      <c r="K219" s="12">
        <f>IF((K51&gt;0),(K75/K51),"")</f>
        <v>0.23684210526315788</v>
      </c>
      <c r="L219" s="12">
        <f>IF((L51&gt;0),(L75/L51),"")</f>
        <v>0.171875</v>
      </c>
      <c r="M219" s="12">
        <f>IF((M51&gt;0),(M75/M51),"")</f>
        <v>0.23529411764705882</v>
      </c>
      <c r="N219" s="12">
        <f>IF((N51&gt;0),(N75/N51),"")</f>
        <v>0.2653061224489796</v>
      </c>
      <c r="O219" s="12">
        <f>IF((O51&gt;0),(O75/O51),"")</f>
        <v>0.11538461538461539</v>
      </c>
      <c r="P219" s="12">
        <f>IF((P51&gt;0),(P75/P51),"")</f>
        <v>0.16176470588235295</v>
      </c>
      <c r="Q219" s="12">
        <f>IF((Q51&gt;0),(Q75/Q51),"")</f>
        <v>0.1568627450980392</v>
      </c>
      <c r="R219" s="12">
        <f>IF((R51&gt;0),(R75/R51),"")</f>
        <v>0.26</v>
      </c>
      <c r="S219" s="12">
        <f>IF((S51&gt;0),(S75/S51),"")</f>
        <v>0.2608695652173913</v>
      </c>
      <c r="T219" s="12">
        <f>IF((T51&gt;0),(T75/T51),"")</f>
        <v>0.11363636363636363</v>
      </c>
      <c r="U219" s="12">
        <f>IF((U51&gt;0),(U75/U51),"")</f>
        <v>0.16326530612244897</v>
      </c>
      <c r="V219" s="12">
        <f>IF((V51&gt;0),(V75/V51),"")</f>
        <v>0</v>
      </c>
      <c r="W219" s="12">
        <f>IF((W51&gt;0),(W75/W51),"")</f>
        <v>0</v>
      </c>
      <c r="X219" s="12">
        <f>IF((X51&gt;0),(X75/X51),"")</f>
        <v>0</v>
      </c>
    </row>
    <row r="220">
      <c r="A220" s="0" t="inlineStr">
        <is>
          <t xml:space="preserve">MQL to SQL</t>
        </is>
      </c>
      <c r="B220" s="0" t="inlineStr">
        <is>
          <t xml:space="preserve">Inbound (web &amp; content)</t>
        </is>
      </c>
      <c r="C220" s="0" t="inlineStr">
        <is>
          <t xml:space="preserve">EMEA</t>
        </is>
      </c>
      <c r="D220" s="12">
        <f>IF((D52&gt;0),(D76/D52),"")</f>
        <v>0.23529411764705882</v>
      </c>
      <c r="E220" s="12">
        <f>IF((E52&gt;0),(E76/E52),"")</f>
        <v>0.234375</v>
      </c>
      <c r="F220" s="12">
        <f>IF((F52&gt;0),(F76/F52),"")</f>
        <v>0.1836734693877551</v>
      </c>
      <c r="G220" s="12">
        <f>IF((G52&gt;0),(G76/G52),"")</f>
        <v>0.2702702702702703</v>
      </c>
      <c r="H220" s="12">
        <f>IF((H52&gt;0),(H76/H52),"")</f>
        <v>0.25</v>
      </c>
      <c r="I220" s="12">
        <f>IF((I52&gt;0),(I76/I52),"")</f>
        <v>0.13953488372093023</v>
      </c>
      <c r="J220" s="12">
        <f>IF((J52&gt;0),(J76/J52),"")</f>
        <v>0.2631578947368421</v>
      </c>
      <c r="K220" s="12">
        <f>IF((K52&gt;0),(K76/K52),"")</f>
        <v>0.34285714285714286</v>
      </c>
      <c r="L220" s="12">
        <f>IF((L52&gt;0),(L76/L52),"")</f>
        <v>0.1935483870967742</v>
      </c>
      <c r="M220" s="12">
        <f>IF((M52&gt;0),(M76/M52),"")</f>
        <v>0.2459016393442623</v>
      </c>
      <c r="N220" s="12">
        <f>IF((N52&gt;0),(N76/N52),"")</f>
        <v>0.20512820512820512</v>
      </c>
      <c r="O220" s="12">
        <f>IF((O52&gt;0),(O76/O52),"")</f>
        <v>0.14285714285714285</v>
      </c>
      <c r="P220" s="12">
        <f>IF((P52&gt;0),(P76/P52),"")</f>
        <v>0.27450980392156865</v>
      </c>
      <c r="Q220" s="12">
        <f>IF((Q52&gt;0),(Q76/Q52),"")</f>
        <v>0.19444444444444445</v>
      </c>
      <c r="R220" s="12">
        <f>IF((R52&gt;0),(R76/R52),"")</f>
        <v>0.21052631578947367</v>
      </c>
      <c r="S220" s="12">
        <f>IF((S52&gt;0),(S76/S52),"")</f>
        <v>0.25</v>
      </c>
      <c r="T220" s="12">
        <f>IF((T52&gt;0),(T76/T52),"")</f>
        <v>0.2702702702702703</v>
      </c>
      <c r="U220" s="12">
        <f>IF((U52&gt;0),(U76/U52),"")</f>
        <v>0.11363636363636363</v>
      </c>
      <c r="V220" s="12">
        <f>IF((V52&gt;0),(V76/V52),"")</f>
        <v>0</v>
      </c>
      <c r="W220" s="12">
        <f>IF((W52&gt;0),(W76/W52),"")</f>
        <v>0</v>
      </c>
      <c r="X220" s="12">
        <f>IF((X52&gt;0),(X76/X52),"")</f>
        <v>0</v>
      </c>
    </row>
    <row r="221">
      <c r="A221" s="0" t="inlineStr">
        <is>
          <t xml:space="preserve">MQL to SQL</t>
        </is>
      </c>
      <c r="B221" s="0" t="inlineStr">
        <is>
          <t xml:space="preserve">Inbound (web &amp; content)</t>
        </is>
      </c>
      <c r="C221" s="0" t="inlineStr">
        <is>
          <t xml:space="preserve">APAC</t>
        </is>
      </c>
      <c r="D221" s="12">
        <f>IF((D53&gt;0),(D77/D53),"")</f>
        <v>0.06451612903225806</v>
      </c>
      <c r="E221" s="12">
        <f>IF((E53&gt;0),(E77/E53),"")</f>
        <v>0.15625</v>
      </c>
      <c r="F221" s="12">
        <f>IF((F53&gt;0),(F77/F53),"")</f>
        <v>0.14285714285714285</v>
      </c>
      <c r="G221" s="12">
        <f>IF((G53&gt;0),(G77/G53),"")</f>
        <v>0.24444444444444444</v>
      </c>
      <c r="H221" s="12">
        <f>IF((H53&gt;0),(H77/H53),"")</f>
        <v>0.2962962962962963</v>
      </c>
      <c r="I221" s="12">
        <f>IF((I53&gt;0),(I77/I53),"")</f>
        <v>0.25925925925925924</v>
      </c>
      <c r="J221" s="12">
        <f>IF((J53&gt;0),(J77/J53),"")</f>
        <v>0.04</v>
      </c>
      <c r="K221" s="12">
        <f>IF((K53&gt;0),(K77/K53),"")</f>
        <v>0.058823529411764705</v>
      </c>
      <c r="L221" s="12">
        <f>IF((L53&gt;0),(L77/L53),"")</f>
        <v>0.047619047619047616</v>
      </c>
      <c r="M221" s="12">
        <f>IF((M53&gt;0),(M77/M53),"")</f>
        <v>0.045454545454545456</v>
      </c>
      <c r="N221" s="12">
        <f>IF((N53&gt;0),(N77/N53),"")</f>
        <v>0.16666666666666666</v>
      </c>
      <c r="O221" s="12">
        <f>IF((O53&gt;0),(O77/O53),"")</f>
        <v>0.18461538461538463</v>
      </c>
      <c r="P221" s="12">
        <f>IF((P53&gt;0),(P77/P53),"")</f>
        <v>0.13043478260869565</v>
      </c>
      <c r="Q221" s="12">
        <f>IF((Q53&gt;0),(Q77/Q53),"")</f>
        <v>0.08333333333333333</v>
      </c>
      <c r="R221" s="12">
        <f>IF((R53&gt;0),(R77/R53),"")</f>
        <v>0.3448275862068966</v>
      </c>
      <c r="S221" s="12">
        <f>IF((S53&gt;0),(S77/S53),"")</f>
        <v>0.23076923076923078</v>
      </c>
      <c r="T221" s="12">
        <f>IF((T53&gt;0),(T77/T53),"")</f>
        <v>0.2727272727272727</v>
      </c>
      <c r="U221" s="12">
        <f>IF((U53&gt;0),(U77/U53),"")</f>
        <v>0.1320754716981132</v>
      </c>
      <c r="V221" s="12">
        <f>IF((V53&gt;0),(V77/V53),"")</f>
        <v>0</v>
      </c>
      <c r="W221" s="12">
        <f>IF((W53&gt;0),(W77/W53),"")</f>
        <v>0</v>
      </c>
      <c r="X221" s="12">
        <f>IF((X53&gt;0),(X77/X53),"")</f>
        <v>0</v>
      </c>
    </row>
    <row r="222">
      <c r="A222" s="0" t="inlineStr">
        <is>
          <t xml:space="preserve">MQL to SQL</t>
        </is>
      </c>
      <c r="B222" s="0" t="inlineStr">
        <is>
          <t xml:space="preserve">Paid digital</t>
        </is>
      </c>
      <c r="C222" s="0" t="inlineStr">
        <is>
          <t xml:space="preserve">AMER East</t>
        </is>
      </c>
      <c r="D222" s="12">
        <f>IF((D54&gt;0),(D78/D54),"")</f>
        <v>0.06976744186046512</v>
      </c>
      <c r="E222" s="12">
        <f>IF((E54&gt;0),(E78/E54),"")</f>
        <v>0.13333333333333333</v>
      </c>
      <c r="F222" s="12">
        <f>IF((F54&gt;0),(F78/F54),"")</f>
        <v>0.19148936170212766</v>
      </c>
      <c r="G222" s="12">
        <f>IF((G54&gt;0),(G78/G54),"")</f>
        <v>0.11764705882352941</v>
      </c>
      <c r="H222" s="12">
        <f>IF((H54&gt;0),(H78/H54),"")</f>
        <v>0.08333333333333333</v>
      </c>
      <c r="I222" s="12">
        <f>IF((I54&gt;0),(I78/I54),"")</f>
        <v>0.12</v>
      </c>
      <c r="J222" s="12">
        <f>IF((J54&gt;0),(J78/J54),"")</f>
        <v>0.16666666666666666</v>
      </c>
      <c r="K222" s="12">
        <f>IF((K54&gt;0),(K78/K54),"")</f>
        <v>0.125</v>
      </c>
      <c r="L222" s="12">
        <f>IF((L54&gt;0),(L78/L54),"")</f>
        <v>0.08571428571428572</v>
      </c>
      <c r="M222" s="12">
        <f>IF((M54&gt;0),(M78/M54),"")</f>
        <v>0.1891891891891892</v>
      </c>
      <c r="N222" s="12">
        <f>IF((N54&gt;0),(N78/N54),"")</f>
        <v>0.09090909090909091</v>
      </c>
      <c r="O222" s="12">
        <f>IF((O54&gt;0),(O78/O54),"")</f>
        <v>0.1590909090909091</v>
      </c>
      <c r="P222" s="12">
        <f>IF((P54&gt;0),(P78/P54),"")</f>
        <v>0.21052631578947367</v>
      </c>
      <c r="Q222" s="12">
        <f>IF((Q54&gt;0),(Q78/Q54),"")</f>
        <v>0.18518518518518517</v>
      </c>
      <c r="R222" s="12">
        <f>IF((R54&gt;0),(R78/R54),"")</f>
        <v>0.11290322580645161</v>
      </c>
      <c r="S222" s="12">
        <f>IF((S54&gt;0),(S78/S54),"")</f>
        <v>0.1836734693877551</v>
      </c>
      <c r="T222" s="12">
        <f>IF((T54&gt;0),(T78/T54),"")</f>
        <v>0.2553191489361702</v>
      </c>
      <c r="U222" s="12">
        <f>IF((U54&gt;0),(U78/U54),"")</f>
        <v>0.08823529411764706</v>
      </c>
      <c r="V222" s="12">
        <f>IF((V54&gt;0),(V78/V54),"")</f>
        <v>0</v>
      </c>
      <c r="W222" s="12">
        <f>IF((W54&gt;0),(W78/W54),"")</f>
        <v>0</v>
      </c>
      <c r="X222" s="12">
        <f>IF((X54&gt;0),(X78/X54),"")</f>
        <v>0</v>
      </c>
    </row>
    <row r="223">
      <c r="A223" s="0" t="inlineStr">
        <is>
          <t xml:space="preserve">MQL to SQL</t>
        </is>
      </c>
      <c r="B223" s="0" t="inlineStr">
        <is>
          <t xml:space="preserve">Paid digital</t>
        </is>
      </c>
      <c r="C223" s="0" t="inlineStr">
        <is>
          <t xml:space="preserve">AMER West</t>
        </is>
      </c>
      <c r="D223" s="12">
        <f>IF((D55&gt;0),(D79/D55),"")</f>
        <v>0.12121212121212122</v>
      </c>
      <c r="E223" s="12">
        <f>IF((E55&gt;0),(E79/E55),"")</f>
        <v>0.2857142857142857</v>
      </c>
      <c r="F223" s="12">
        <f>IF((F55&gt;0),(F79/F55),"")</f>
        <v>0.1388888888888889</v>
      </c>
      <c r="G223" s="12">
        <f>IF((G55&gt;0),(G79/G55),"")</f>
        <v>0.125</v>
      </c>
      <c r="H223" s="12">
        <f>IF((H55&gt;0),(H79/H55),"")</f>
        <v>0.03225806451612903</v>
      </c>
      <c r="I223" s="12">
        <f>IF((I55&gt;0),(I79/I55),"")</f>
        <v>0.19230769230769232</v>
      </c>
      <c r="J223" s="12">
        <f>IF((J55&gt;0),(J79/J55),"")</f>
        <v>0.16</v>
      </c>
      <c r="K223" s="12">
        <f>IF((K55&gt;0),(K79/K55),"")</f>
        <v>0.15789473684210525</v>
      </c>
      <c r="L223" s="12">
        <f>IF((L55&gt;0),(L79/L55),"")</f>
        <v>0.16666666666666666</v>
      </c>
      <c r="M223" s="12">
        <f>IF((M55&gt;0),(M79/M55),"")</f>
        <v>0.1111111111111111</v>
      </c>
      <c r="N223" s="12">
        <f>IF((N55&gt;0),(N79/N55),"")</f>
        <v>0.043478260869565216</v>
      </c>
      <c r="O223" s="12">
        <f>IF((O55&gt;0),(O79/O55),"")</f>
        <v>0.16216216216216217</v>
      </c>
      <c r="P223" s="12">
        <f>IF((P55&gt;0),(P79/P55),"")</f>
        <v>0.15151515151515152</v>
      </c>
      <c r="Q223" s="12">
        <f>IF((Q55&gt;0),(Q79/Q55),"")</f>
        <v>0.16666666666666666</v>
      </c>
      <c r="R223" s="12">
        <f>IF((R55&gt;0),(R79/R55),"")</f>
        <v>0.1702127659574468</v>
      </c>
      <c r="S223" s="12">
        <f>IF((S55&gt;0),(S79/S55),"")</f>
        <v>0.10526315789473684</v>
      </c>
      <c r="T223" s="12">
        <f>IF((T55&gt;0),(T79/T55),"")</f>
        <v>0.23076923076923078</v>
      </c>
      <c r="U223" s="12">
        <f>IF((U55&gt;0),(U79/U55),"")</f>
        <v>0.06818181818181818</v>
      </c>
      <c r="V223" s="12">
        <f>IF((V55&gt;0),(V79/V55),"")</f>
        <v>0</v>
      </c>
      <c r="W223" s="12">
        <f>IF((W55&gt;0),(W79/W55),"")</f>
        <v>0</v>
      </c>
      <c r="X223" s="12">
        <f>IF((X55&gt;0),(X79/X55),"")</f>
        <v>0</v>
      </c>
    </row>
    <row r="224">
      <c r="A224" s="0" t="inlineStr">
        <is>
          <t xml:space="preserve">MQL to SQL</t>
        </is>
      </c>
      <c r="B224" s="0" t="inlineStr">
        <is>
          <t xml:space="preserve">Paid digital</t>
        </is>
      </c>
      <c r="C224" s="0" t="inlineStr">
        <is>
          <t xml:space="preserve">EMEA</t>
        </is>
      </c>
      <c r="D224" s="12">
        <f>IF((D56&gt;0),(D80/D56),"")</f>
        <v>0.14634146341463414</v>
      </c>
      <c r="E224" s="12">
        <f>IF((E56&gt;0),(E80/E56),"")</f>
        <v>0.05555555555555555</v>
      </c>
      <c r="F224" s="12">
        <f>IF((F56&gt;0),(F80/F56),"")</f>
        <v>0.18421052631578946</v>
      </c>
      <c r="G224" s="12">
        <f>IF((G56&gt;0),(G80/G56),"")</f>
        <v>0.17857142857142858</v>
      </c>
      <c r="H224" s="12">
        <f>IF((H56&gt;0),(H80/H56),"")</f>
        <v>0.12</v>
      </c>
      <c r="I224" s="12">
        <f>IF((I56&gt;0),(I80/I56),"")</f>
        <v>0.13636363636363635</v>
      </c>
      <c r="J224" s="12">
        <f>IF((J56&gt;0),(J80/J56),"")</f>
        <v>0.06896551724137931</v>
      </c>
      <c r="K224" s="12">
        <f>IF((K56&gt;0),(K80/K56),"")</f>
        <v>0.2631578947368421</v>
      </c>
      <c r="L224" s="12">
        <f>IF((L56&gt;0),(L80/L56),"")</f>
        <v>0.10714285714285714</v>
      </c>
      <c r="M224" s="12">
        <f>IF((M56&gt;0),(M80/M56),"")</f>
        <v>0.16666666666666666</v>
      </c>
      <c r="N224" s="12">
        <f>IF((N56&gt;0),(N80/N56),"")</f>
        <v>0.16666666666666666</v>
      </c>
      <c r="O224" s="12">
        <f>IF((O56&gt;0),(O80/O56),"")</f>
        <v>0.13636363636363635</v>
      </c>
      <c r="P224" s="12">
        <f>IF((P56&gt;0),(P80/P56),"")</f>
        <v>0.07692307692307693</v>
      </c>
      <c r="Q224" s="12">
        <f>IF((Q56&gt;0),(Q80/Q56),"")</f>
        <v>0.07142857142857142</v>
      </c>
      <c r="R224" s="12">
        <f>IF((R56&gt;0),(R80/R56),"")</f>
        <v>0.09375</v>
      </c>
      <c r="S224" s="12">
        <f>IF((S56&gt;0),(S80/S56),"")</f>
        <v>0.18181818181818182</v>
      </c>
      <c r="T224" s="12">
        <f>IF((T56&gt;0),(T80/T56),"")</f>
        <v>0.18181818181818182</v>
      </c>
      <c r="U224" s="12">
        <f>IF((U56&gt;0),(U80/U56),"")</f>
        <v>0.07692307692307693</v>
      </c>
      <c r="V224" s="12">
        <f>IF((V56&gt;0),(V80/V56),"")</f>
        <v>0</v>
      </c>
      <c r="W224" s="12">
        <f>IF((W56&gt;0),(W80/W56),"")</f>
        <v>0</v>
      </c>
      <c r="X224" s="12">
        <f>IF((X56&gt;0),(X80/X56),"")</f>
        <v>0</v>
      </c>
    </row>
    <row r="225">
      <c r="A225" s="0" t="inlineStr">
        <is>
          <t xml:space="preserve">MQL to SQL</t>
        </is>
      </c>
      <c r="B225" s="0" t="inlineStr">
        <is>
          <t xml:space="preserve">Paid digital</t>
        </is>
      </c>
      <c r="C225" s="0" t="inlineStr">
        <is>
          <t xml:space="preserve">APAC</t>
        </is>
      </c>
      <c r="D225" s="12">
        <f>IF((D57&gt;0),(D81/D57),"")</f>
        <v>0.08333333333333333</v>
      </c>
      <c r="E225" s="12">
        <f>IF((E57&gt;0),(E81/E57),"")</f>
        <v>0.1111111111111111</v>
      </c>
      <c r="F225" s="12">
        <f>IF((F57&gt;0),(F81/F57),"")</f>
        <v>0.15</v>
      </c>
      <c r="G225" s="12">
        <f>IF((G57&gt;0),(G81/G57),"")</f>
        <v>0</v>
      </c>
      <c r="H225" s="12">
        <f>IF((H57&gt;0),(H81/H57),"")</f>
        <v>0.07142857142857142</v>
      </c>
      <c r="I225" s="12">
        <f>IF((I57&gt;0),(I81/I57),"")</f>
        <v>0.06666666666666667</v>
      </c>
      <c r="J225" s="12">
        <f>IF((J57&gt;0),(J81/J57),"")</f>
        <v>0.3333333333333333</v>
      </c>
      <c r="K225" s="12">
        <f>IF((K57&gt;0),(K81/K57),"")</f>
        <v>0</v>
      </c>
      <c r="L225" s="12">
        <f>IF((L57&gt;0),(L81/L57),"")</f>
        <v>0.08</v>
      </c>
      <c r="M225" s="12">
        <f>IF((M57&gt;0),(M81/M57),"")</f>
        <v>0.15384615384615385</v>
      </c>
      <c r="N225" s="12">
        <f>IF((N57&gt;0),(N81/N57),"")</f>
        <v>0.1111111111111111</v>
      </c>
      <c r="O225" s="12">
        <f>IF((O57&gt;0),(O81/O57),"")</f>
        <v>0.29411764705882354</v>
      </c>
      <c r="P225" s="12">
        <f>IF((P57&gt;0),(P81/P57),"")</f>
        <v>0.2727272727272727</v>
      </c>
      <c r="Q225" s="12">
        <f>IF((Q57&gt;0),(Q81/Q57),"")</f>
        <v>0.14814814814814814</v>
      </c>
      <c r="R225" s="12">
        <f>IF((R57&gt;0),(R81/R57),"")</f>
        <v>0.047619047619047616</v>
      </c>
      <c r="S225" s="12">
        <f>IF((S57&gt;0),(S81/S57),"")</f>
        <v>0.045454545454545456</v>
      </c>
      <c r="T225" s="12">
        <f>IF((T57&gt;0),(T81/T57),"")</f>
        <v>0.0625</v>
      </c>
      <c r="U225" s="12">
        <f>IF((U57&gt;0),(U81/U57),"")</f>
        <v>0.13333333333333333</v>
      </c>
      <c r="V225" s="12">
        <f>IF((V57&gt;0),(V81/V57),"")</f>
        <v>0</v>
      </c>
      <c r="W225" s="12">
        <f>IF((W57&gt;0),(W81/W57),"")</f>
        <v>0</v>
      </c>
      <c r="X225" s="12">
        <f>IF((X57&gt;0),(X81/X57),"")</f>
        <v>0</v>
      </c>
    </row>
    <row r="226">
      <c r="A226" s="0" t="inlineStr">
        <is>
          <t xml:space="preserve">MQL to SQL</t>
        </is>
      </c>
      <c r="B226" s="0" t="inlineStr">
        <is>
          <t xml:space="preserve">Events &amp; field</t>
        </is>
      </c>
      <c r="C226" s="0" t="inlineStr">
        <is>
          <t xml:space="preserve">AMER East</t>
        </is>
      </c>
      <c r="D226" s="12">
        <f>IF((D58&gt;0),(D82/D58),"")</f>
        <v>0.25</v>
      </c>
      <c r="E226" s="12">
        <f>IF((E58&gt;0),(E82/E58),"")</f>
        <v>0.32432432432432434</v>
      </c>
      <c r="F226" s="12">
        <f>IF((F58&gt;0),(F82/F58),"")</f>
        <v>0.625</v>
      </c>
      <c r="G226" s="12">
        <f>IF((G58&gt;0),(G82/G58),"")</f>
        <v>0.5</v>
      </c>
      <c r="H226" s="12">
        <f>IF((H58&gt;0),(H82/H58),"")</f>
        <v>0.3</v>
      </c>
      <c r="I226" s="12">
        <f>IF((I58&gt;0),(I82/I58),"")</f>
        <v>0.16666666666666666</v>
      </c>
      <c r="J226" s="12">
        <f>IF((J58&gt;0),(J82/J58),"")</f>
        <v>0.1724137931034483</v>
      </c>
      <c r="K226" s="12">
        <f>IF((K58&gt;0),(K82/K58),"")</f>
        <v>0</v>
      </c>
      <c r="L226" s="12">
        <f>IF((L58&gt;0),(L82/L58),"")</f>
        <v>0.14285714285714285</v>
      </c>
      <c r="M226" s="12">
        <f>IF((M58&gt;0),(M82/M58),"")</f>
        <v>0</v>
      </c>
      <c r="N226" s="12">
        <f>IF((N58&gt;0),(N82/N58),"")</f>
        <v>0.2222222222222222</v>
      </c>
      <c r="O226" s="12">
        <f>IF((O58&gt;0),(O82/O58),"")</f>
        <v>0.3076923076923077</v>
      </c>
      <c r="P226" s="12">
        <f>IF((P58&gt;0),(P82/P58),"")</f>
        <v>0.18181818181818182</v>
      </c>
      <c r="Q226" s="12">
        <f>IF((Q58&gt;0),(Q82/Q58),"")</f>
        <v>0.2</v>
      </c>
      <c r="R226" s="12">
        <f>IF((R58&gt;0),(R82/R58),"")</f>
        <v>0.2553191489361702</v>
      </c>
      <c r="S226" s="12">
        <f>IF((S58&gt;0),(S82/S58),"")</f>
        <v>0.25</v>
      </c>
      <c r="T226" s="12">
        <f>IF((T58&gt;0),(T82/T58),"")</f>
        <v>0.3333333333333333</v>
      </c>
      <c r="U226" s="12">
        <f>IF((U58&gt;0),(U82/U58),"")</f>
        <v>0.2</v>
      </c>
      <c r="V226" s="12">
        <f>IF((V58&gt;0),(V82/V58),"")</f>
        <v>0</v>
      </c>
      <c r="W226" s="12">
        <f>IF((W58&gt;0),(W82/W58),"")</f>
        <v>0</v>
      </c>
      <c r="X226" s="12">
        <f>IF((X58&gt;0),(X82/X58),"")</f>
        <v>0</v>
      </c>
    </row>
    <row r="227">
      <c r="A227" s="0" t="inlineStr">
        <is>
          <t xml:space="preserve">MQL to SQL</t>
        </is>
      </c>
      <c r="B227" s="0" t="inlineStr">
        <is>
          <t xml:space="preserve">Events &amp; field</t>
        </is>
      </c>
      <c r="C227" s="0" t="inlineStr">
        <is>
          <t xml:space="preserve">AMER West</t>
        </is>
      </c>
      <c r="D227" s="12">
        <f>IF((D59&gt;0),(D83/D59),"")</f>
        <v>0.25</v>
      </c>
      <c r="E227" s="12">
        <f>IF((E59&gt;0),(E83/E59),"")</f>
        <v>0.1388888888888889</v>
      </c>
      <c r="F227" s="12">
        <f>IF((F59&gt;0),(F83/F59),"")</f>
        <v>0.26666666666666666</v>
      </c>
      <c r="G227" s="12">
        <f>IF((G59&gt;0),(G83/G59),"")</f>
        <v>0.1111111111111111</v>
      </c>
      <c r="H227" s="12">
        <f>IF((H59&gt;0),(H83/H59),"")</f>
        <v>0.1875</v>
      </c>
      <c r="I227" s="12">
        <f>IF((I59&gt;0),(I83/I59),"")</f>
        <v>0.1</v>
      </c>
      <c r="J227" s="12">
        <f>IF((J59&gt;0),(J83/J59),"")</f>
        <v>0.25925925925925924</v>
      </c>
      <c r="K227" s="12">
        <f>IF((K59&gt;0),(K83/K59),"")</f>
        <v>0.42857142857142855</v>
      </c>
      <c r="L227" s="12">
        <f>IF((L59&gt;0),(L83/L59),"")</f>
        <v>0.4</v>
      </c>
      <c r="M227" s="12">
        <f>IF((M59&gt;0),(M83/M59),"")</f>
        <v>0.8333333333333334</v>
      </c>
      <c r="N227" s="12">
        <f>IF((N59&gt;0),(N83/N59),"")</f>
        <v>0.36363636363636365</v>
      </c>
      <c r="O227" s="12">
        <f>IF((O59&gt;0),(O83/O59),"")</f>
        <v>0.2727272727272727</v>
      </c>
      <c r="P227" s="12">
        <f>IF((P59&gt;0),(P83/P59),"")</f>
        <v>0.125</v>
      </c>
      <c r="Q227" s="12">
        <f>IF((Q59&gt;0),(Q83/Q59),"")</f>
        <v>0.1875</v>
      </c>
      <c r="R227" s="12">
        <f>IF((R59&gt;0),(R83/R59),"")</f>
        <v>0.2619047619047619</v>
      </c>
      <c r="S227" s="12">
        <f>IF((S59&gt;0),(S83/S59),"")</f>
        <v>0.3333333333333333</v>
      </c>
      <c r="T227" s="12">
        <f>IF((T59&gt;0),(T83/T59),"")</f>
        <v>0.125</v>
      </c>
      <c r="U227" s="12">
        <f>IF((U59&gt;0),(U83/U59),"")</f>
        <v>0.25</v>
      </c>
      <c r="V227" s="12">
        <f>IF((V59&gt;0),(V83/V59),"")</f>
        <v>0</v>
      </c>
      <c r="W227" s="12">
        <f>IF((W59&gt;0),(W83/W59),"")</f>
        <v>0</v>
      </c>
      <c r="X227" s="12">
        <f>IF((X59&gt;0),(X83/X59),"")</f>
        <v>0</v>
      </c>
    </row>
    <row r="228">
      <c r="A228" s="0" t="inlineStr">
        <is>
          <t xml:space="preserve">MQL to SQL</t>
        </is>
      </c>
      <c r="B228" s="0" t="inlineStr">
        <is>
          <t xml:space="preserve">Events &amp; field</t>
        </is>
      </c>
      <c r="C228" s="0" t="inlineStr">
        <is>
          <t xml:space="preserve">EMEA</t>
        </is>
      </c>
      <c r="D228" s="12">
        <f>IF((D60&gt;0),(D84/D60),"")</f>
        <v>0.125</v>
      </c>
      <c r="E228" s="12">
        <f>IF((E60&gt;0),(E84/E60),"")</f>
        <v>0.36666666666666664</v>
      </c>
      <c r="F228" s="12">
        <f>IF((F60&gt;0),(F84/F60),"")</f>
        <v>0.2857142857142857</v>
      </c>
      <c r="G228" s="12">
        <f>IF((G60&gt;0),(G84/G60),"")</f>
        <v>0.2727272727272727</v>
      </c>
      <c r="H228" s="12">
        <f>IF((H60&gt;0),(H84/H60),"")</f>
        <v>0</v>
      </c>
      <c r="I228" s="12">
        <f>IF((I60&gt;0),(I84/I60),"")</f>
        <v>0.3333333333333333</v>
      </c>
      <c r="J228" s="12">
        <f>IF((J60&gt;0),(J84/J60),"")</f>
        <v>0.25806451612903225</v>
      </c>
      <c r="K228" s="12">
        <f>IF((K60&gt;0),(K84/K60),"")</f>
        <v>0.14285714285714285</v>
      </c>
      <c r="L228" s="12">
        <f>IF((L60&gt;0),(L84/L60),"")</f>
        <v>0.14285714285714285</v>
      </c>
      <c r="M228" s="12">
        <f>IF((M60&gt;0),(M84/M60),"")</f>
        <v>0.125</v>
      </c>
      <c r="N228" s="12">
        <f>IF((N60&gt;0),(N84/N60),"")</f>
        <v>0.42857142857142855</v>
      </c>
      <c r="O228" s="12">
        <f>IF((O60&gt;0),(O84/O60),"")</f>
        <v>0.13043478260869565</v>
      </c>
      <c r="P228" s="12">
        <f>IF((P60&gt;0),(P84/P60),"")</f>
        <v>0.2</v>
      </c>
      <c r="Q228" s="12">
        <f>IF((Q60&gt;0),(Q84/Q60),"")</f>
        <v>0.1</v>
      </c>
      <c r="R228" s="12">
        <f>IF((R60&gt;0),(R84/R60),"")</f>
        <v>0.3333333333333333</v>
      </c>
      <c r="S228" s="12">
        <f>IF((S60&gt;0),(S84/S60),"")</f>
        <v>0.3333333333333333</v>
      </c>
      <c r="T228" s="12">
        <f>IF((T60&gt;0),(T84/T60),"")</f>
        <v>0.5</v>
      </c>
      <c r="U228" s="12">
        <f>IF((U60&gt;0),(U84/U60),"")</f>
        <v>0</v>
      </c>
      <c r="V228" s="12">
        <f>IF((V60&gt;0),(V84/V60),"")</f>
        <v>0</v>
      </c>
      <c r="W228" s="12">
        <f>IF((W60&gt;0),(W84/W60),"")</f>
        <v>0</v>
      </c>
      <c r="X228" s="12">
        <f>IF((X60&gt;0),(X84/X60),"")</f>
        <v>0</v>
      </c>
    </row>
    <row r="229">
      <c r="A229" s="0" t="inlineStr">
        <is>
          <t xml:space="preserve">MQL to SQL</t>
        </is>
      </c>
      <c r="B229" s="0" t="inlineStr">
        <is>
          <t xml:space="preserve">Events &amp; field</t>
        </is>
      </c>
      <c r="C229" s="0" t="inlineStr">
        <is>
          <t xml:space="preserve">APAC</t>
        </is>
      </c>
      <c r="D229" s="12">
        <f>IF((D61&gt;0),(D85/D61),"")</f>
        <v>0.3333333333333333</v>
      </c>
      <c r="E229" s="12">
        <f>IF((E61&gt;0),(E85/E61),"")</f>
        <v>0.23076923076923078</v>
      </c>
      <c r="F229" s="12">
        <f>IF((F61&gt;0),(F85/F61),"")</f>
        <v>0.5</v>
      </c>
      <c r="G229" s="12">
        <f>IF((G61&gt;0),(G85/G61),"")</f>
        <v>0.16666666666666666</v>
      </c>
      <c r="H229" s="12">
        <f>IF((H61&gt;0),(H85/H61),"")</f>
        <v>0</v>
      </c>
      <c r="I229" s="12">
        <f>IF((I61&gt;0),(I85/I61),"")</f>
        <v>0.16666666666666666</v>
      </c>
      <c r="J229" s="12">
        <f>IF((J61&gt;0),(J85/J61),"")</f>
        <v>0.3076923076923077</v>
      </c>
      <c r="K229" s="12">
        <f>IF((K61&gt;0),(K85/K61),"")</f>
        <v>0.2</v>
      </c>
      <c r="L229" s="12">
        <f>IF((L61&gt;0),(L85/L61),"")</f>
        <v>0</v>
      </c>
      <c r="M229" s="12">
        <f>IF((M61&gt;0),(M85/M61),"")</f>
        <v>0</v>
      </c>
      <c r="N229" s="12">
        <f>IF((N61&gt;0),(N85/N61),"")</f>
        <v>0</v>
      </c>
      <c r="O229" s="12">
        <f>IF((O61&gt;0),(O85/O61),"")</f>
        <v>0.13043478260869565</v>
      </c>
      <c r="P229" s="12">
        <f>IF((P61&gt;0),(P85/P61),"")</f>
        <v>0.4</v>
      </c>
      <c r="Q229" s="12">
        <f>IF((Q61&gt;0),(Q85/Q61),"")</f>
        <v>0.4</v>
      </c>
      <c r="R229" s="12">
        <f>IF((R61&gt;0),(R85/R61),"")</f>
        <v>0.3333333333333333</v>
      </c>
      <c r="S229" s="12">
        <f>IF((S61&gt;0),(S85/S61),"")</f>
        <v>0.16666666666666666</v>
      </c>
      <c r="T229" s="12">
        <f>IF((T61&gt;0),(T85/T61),"")</f>
        <v>0.2</v>
      </c>
      <c r="U229" s="12">
        <f>IF((U61&gt;0),(U85/U61),"")</f>
        <v>0</v>
      </c>
      <c r="V229" s="12">
        <f>IF((V61&gt;0),(V85/V61),"")</f>
        <v>0</v>
      </c>
      <c r="W229" s="12">
        <f>IF((W61&gt;0),(W85/W61),"")</f>
        <v>0</v>
      </c>
      <c r="X229" s="12">
        <f>IF((X61&gt;0),(X85/X61),"")</f>
        <v>0</v>
      </c>
    </row>
    <row r="230">
      <c r="A230" s="0" t="inlineStr">
        <is>
          <t xml:space="preserve">MQL to SQL</t>
        </is>
      </c>
      <c r="B230" s="0" t="inlineStr">
        <is>
          <t xml:space="preserve">Partner</t>
        </is>
      </c>
      <c r="C230" s="0" t="inlineStr">
        <is>
          <t xml:space="preserve">AMER East</t>
        </is>
      </c>
      <c r="D230" s="12">
        <f>IF((D62&gt;0),(D86/D62),"")</f>
        <v>0.5</v>
      </c>
      <c r="E230" s="12">
        <f>IF((E62&gt;0),(E86/E62),"")</f>
        <v>0.3</v>
      </c>
      <c r="F230" s="12">
        <f>IF((F62&gt;0),(F86/F62),"")</f>
        <v>0.2857142857142857</v>
      </c>
      <c r="G230" s="12">
        <f>IF((G62&gt;0),(G86/G62),"")</f>
        <v>0.3</v>
      </c>
      <c r="H230" s="12">
        <f>IF((H62&gt;0),(H86/H62),"")</f>
        <v>0.3333333333333333</v>
      </c>
      <c r="I230" s="12">
        <f>IF((I62&gt;0),(I86/I62),"")</f>
        <v>0.4444444444444444</v>
      </c>
      <c r="J230" s="12">
        <f>IF((J62&gt;0),(J86/J62),"")</f>
        <v>0.2857142857142857</v>
      </c>
      <c r="K230" s="12">
        <f>IF((K62&gt;0),(K86/K62),"")</f>
        <v>0.5</v>
      </c>
      <c r="L230" s="12">
        <f>IF((L62&gt;0),(L86/L62),"")</f>
        <v>0.5</v>
      </c>
      <c r="M230" s="12">
        <f>IF((M62&gt;0),(M86/M62),"")</f>
        <v>0.2</v>
      </c>
      <c r="N230" s="12">
        <f>IF((N62&gt;0),(N86/N62),"")</f>
        <v>0.4</v>
      </c>
      <c r="O230" s="12">
        <f>IF((O62&gt;0),(O86/O62),"")</f>
        <v>0.4</v>
      </c>
      <c r="P230" s="12">
        <f>IF((P62&gt;0),(P86/P62),"")</f>
        <v>0.375</v>
      </c>
      <c r="Q230" s="12">
        <f>IF((Q62&gt;0),(Q86/Q62),"")</f>
        <v>0.3333333333333333</v>
      </c>
      <c r="R230" s="12">
        <f>IF((R62&gt;0),(R86/R62),"")</f>
        <v>0.45454545454545453</v>
      </c>
      <c r="S230" s="12">
        <f>IF((S62&gt;0),(S86/S62),"")</f>
        <v>0.6666666666666666</v>
      </c>
      <c r="T230" s="12">
        <f>IF((T62&gt;0),(T86/T62),"")</f>
        <v>0.7142857142857143</v>
      </c>
      <c r="U230" s="12">
        <f>IF((U62&gt;0),(U86/U62),"")</f>
        <v>0.2727272727272727</v>
      </c>
      <c r="V230" s="12">
        <f>IF((V62&gt;0),(V86/V62),"")</f>
        <v>0</v>
      </c>
      <c r="W230" s="12">
        <f>IF((W62&gt;0),(W86/W62),"")</f>
        <v>0</v>
      </c>
      <c r="X230" s="12">
        <f>IF((X62&gt;0),(X86/X62),"")</f>
        <v>0</v>
      </c>
    </row>
    <row r="231">
      <c r="A231" s="0" t="inlineStr">
        <is>
          <t xml:space="preserve">MQL to SQL</t>
        </is>
      </c>
      <c r="B231" s="0" t="inlineStr">
        <is>
          <t xml:space="preserve">Partner</t>
        </is>
      </c>
      <c r="C231" s="0" t="inlineStr">
        <is>
          <t xml:space="preserve">AMER West</t>
        </is>
      </c>
      <c r="D231" s="12">
        <f>IF((D63&gt;0),(D87/D63),"")</f>
        <v>0.23076923076923078</v>
      </c>
      <c r="E231" s="12">
        <f>IF((E63&gt;0),(E87/E63),"")</f>
        <v>0.14285714285714285</v>
      </c>
      <c r="F231" s="12">
        <f>IF((F63&gt;0),(F87/F63),"")</f>
        <v>0.35714285714285715</v>
      </c>
      <c r="G231" s="12">
        <f>IF((G63&gt;0),(G87/G63),"")</f>
        <v>0.8</v>
      </c>
      <c r="H231" s="12">
        <f>IF((H63&gt;0),(H87/H63),"")</f>
        <v>0.2</v>
      </c>
      <c r="I231" s="12">
        <f>IF((I63&gt;0),(I87/I63),"")</f>
        <v>0.2727272727272727</v>
      </c>
      <c r="J231" s="12">
        <f>IF((J63&gt;0),(J87/J63),"")</f>
        <v>0.25</v>
      </c>
      <c r="K231" s="12">
        <f>IF((K63&gt;0),(K87/K63),"")</f>
        <v>0.75</v>
      </c>
      <c r="L231" s="12">
        <f>IF((L63&gt;0),(L87/L63),"")</f>
        <v>0.38461538461538464</v>
      </c>
      <c r="M231" s="12">
        <f>IF((M63&gt;0),(M87/M63),"")</f>
        <v>0.4</v>
      </c>
      <c r="N231" s="12">
        <f>IF((N63&gt;0),(N87/N63),"")</f>
        <v>0.7777777777777778</v>
      </c>
      <c r="O231" s="12">
        <f>IF((O63&gt;0),(O87/O63),"")</f>
        <v>0.14285714285714285</v>
      </c>
      <c r="P231" s="12">
        <f>IF((P63&gt;0),(P87/P63),"")</f>
        <v>0</v>
      </c>
      <c r="Q231" s="12">
        <f>IF((Q63&gt;0),(Q87/Q63),"")</f>
        <v>0.35714285714285715</v>
      </c>
      <c r="R231" s="12">
        <f>IF((R63&gt;0),(R87/R63),"")</f>
        <v>0.3333333333333333</v>
      </c>
      <c r="S231" s="12">
        <f>IF((S63&gt;0),(S87/S63),"")</f>
        <v>0.2857142857142857</v>
      </c>
      <c r="T231" s="12">
        <f>IF((T63&gt;0),(T87/T63),"")</f>
        <v>0</v>
      </c>
      <c r="U231" s="12">
        <f>IF((U63&gt;0),(U87/U63),"")</f>
        <v>0.25</v>
      </c>
      <c r="V231" s="12">
        <f>IF((V63&gt;0),(V87/V63),"")</f>
        <v>0</v>
      </c>
      <c r="W231" s="12">
        <f>IF((W63&gt;0),(W87/W63),"")</f>
        <v>0</v>
      </c>
      <c r="X231" s="12">
        <f>IF((X63&gt;0),(X87/X63),"")</f>
        <v>0</v>
      </c>
    </row>
    <row r="232">
      <c r="A232" s="0" t="inlineStr">
        <is>
          <t xml:space="preserve">MQL to SQL</t>
        </is>
      </c>
      <c r="B232" s="0" t="inlineStr">
        <is>
          <t xml:space="preserve">Partner</t>
        </is>
      </c>
      <c r="C232" s="0" t="inlineStr">
        <is>
          <t xml:space="preserve">EMEA</t>
        </is>
      </c>
      <c r="D232" s="12">
        <f>IF((D64&gt;0),(D88/D64),"")</f>
        <v>0.2222222222222222</v>
      </c>
      <c r="E232" s="12">
        <f>IF((E64&gt;0),(E88/E64),"")</f>
        <v>0.2857142857142857</v>
      </c>
      <c r="F232" s="12">
        <f>IF((F64&gt;0),(F88/F64),"")</f>
        <v>0.23076923076923078</v>
      </c>
      <c r="G232" s="12">
        <f>IF((G64&gt;0),(G88/G64),"")</f>
        <v>0.2857142857142857</v>
      </c>
      <c r="H232" s="12">
        <f>IF((H64&gt;0),(H88/H64),"")</f>
        <v>0.3333333333333333</v>
      </c>
      <c r="I232" s="12">
        <f>IF((I64&gt;0),(I88/I64),"")</f>
        <v>0.16666666666666666</v>
      </c>
      <c r="J232" s="12">
        <f>IF((J64&gt;0),(J88/J64),"")</f>
        <v>0.8333333333333334</v>
      </c>
      <c r="K232" s="12">
        <f>IF((K64&gt;0),(K88/K64),"")</f>
        <v>0</v>
      </c>
      <c r="L232" s="12">
        <f>IF((L64&gt;0),(L88/L64),"")</f>
        <v>0.5</v>
      </c>
      <c r="M232" s="12">
        <f>IF((M64&gt;0),(M88/M64),"")</f>
        <v>0</v>
      </c>
      <c r="N232" s="12">
        <f>IF((N64&gt;0),(N88/N64),"")</f>
        <v>0.2857142857142857</v>
      </c>
      <c r="O232" s="12">
        <f>IF((O64&gt;0),(O88/O64),"")</f>
        <v>0.3333333333333333</v>
      </c>
      <c r="P232" s="12">
        <f>IF((P64&gt;0),(P88/P64),"")</f>
        <v>0.6</v>
      </c>
      <c r="Q232" s="12">
        <f>IF((Q64&gt;0),(Q88/Q64),"")</f>
        <v>0.2857142857142857</v>
      </c>
      <c r="R232" s="12">
        <f>IF((R64&gt;0),(R88/R64),"")</f>
        <v>0.5714285714285714</v>
      </c>
      <c r="S232" s="12">
        <f>IF((S64&gt;0),(S88/S64),"")</f>
        <v>0</v>
      </c>
      <c r="T232" s="12">
        <f>IF((T64&gt;0),(T88/T64),"")</f>
        <v>0.2</v>
      </c>
      <c r="U232" s="12">
        <f>IF((U64&gt;0),(U88/U64),"")</f>
        <v>0</v>
      </c>
      <c r="V232" s="12">
        <f>IF((V64&gt;0),(V88/V64),"")</f>
        <v>0</v>
      </c>
      <c r="W232" s="12">
        <f>IF((W64&gt;0),(W88/W64),"")</f>
        <v>0</v>
      </c>
      <c r="X232" s="12">
        <f>IF((X64&gt;0),(X88/X64),"")</f>
        <v>0</v>
      </c>
    </row>
    <row r="233">
      <c r="A233" s="0" t="inlineStr">
        <is>
          <t xml:space="preserve">MQL to SQL</t>
        </is>
      </c>
      <c r="B233" s="0" t="inlineStr">
        <is>
          <t xml:space="preserve">Partner</t>
        </is>
      </c>
      <c r="C233" s="0" t="inlineStr">
        <is>
          <t xml:space="preserve">APAC</t>
        </is>
      </c>
      <c r="D233" s="12">
        <f>IF((D65&gt;0),(D89/D65),"")</f>
        <v>0.2</v>
      </c>
      <c r="E233" s="12">
        <f>IF((E65&gt;0),(E89/E65),"")</f>
        <v>0.25</v>
      </c>
      <c r="F233" s="12">
        <f>IF((F65&gt;0),(F89/F65),"")</f>
        <v>1</v>
      </c>
      <c r="G233" s="12">
        <f>IF((G65&gt;0),(G89/G65),"")</f>
        <v>0</v>
      </c>
      <c r="H233" s="12">
        <f>IF((H65&gt;0),(H89/H65),"")</f>
        <v>0.4</v>
      </c>
      <c r="I233" s="12">
        <f>IF((I65&gt;0),(I89/I65),"")</f>
        <v>0.6666666666666666</v>
      </c>
      <c r="J233" s="12">
        <f>IF((J65&gt;0),(J89/J65),"")</f>
        <v>0</v>
      </c>
      <c r="K233" s="12">
        <f>IF((K65&gt;0),(K89/K65),"")</f>
        <v>0.2857142857142857</v>
      </c>
      <c r="L233" s="12">
        <f>IF((L65&gt;0),(L89/L65),"")</f>
        <v>0.2857142857142857</v>
      </c>
      <c r="M233" s="12">
        <f>IF((M65&gt;0),(M89/M65),"")</f>
        <v>0</v>
      </c>
      <c r="N233" s="12">
        <f>IF((N65&gt;0),(N89/N65),"")</f>
        <v>0.4</v>
      </c>
      <c r="O233" s="12">
        <f>IF((O65&gt;0),(O89/O65),"")</f>
        <v>0</v>
      </c>
      <c r="P233" s="12">
        <f>IF((P65&gt;0),(P89/P65),"")</f>
        <v>0.5</v>
      </c>
      <c r="Q233" s="12">
        <f>IF((Q65&gt;0),(Q89/Q65),"")</f>
        <v>1</v>
      </c>
      <c r="R233" s="12">
        <f>IF((R65&gt;0),(R89/R65),"")</f>
        <v>0.7142857142857143</v>
      </c>
      <c r="S233" s="12">
        <f>IF((S65&gt;0),(S89/S65),"")</f>
        <v>0</v>
      </c>
      <c r="T233" s="12">
        <f>IF((T65&gt;0),(T89/T65),"")</f>
        <v>0.5</v>
      </c>
      <c r="U233" s="12">
        <f>IF((U65&gt;0),(U89/U65),"")</f>
        <v>0.25</v>
      </c>
      <c r="V233" s="12">
        <f>IF((V65&gt;0),(V89/V65),"")</f>
        <v>0</v>
      </c>
      <c r="W233" s="12">
        <f>IF((W65&gt;0),(W89/W65),"")</f>
        <v>0</v>
      </c>
      <c r="X233" s="12">
        <f>IF((X65&gt;0),(X89/X65),"")</f>
        <v>0</v>
      </c>
    </row>
    <row r="234">
      <c r="A234" s="0" t="inlineStr">
        <is>
          <t xml:space="preserve">MQL to SQL</t>
        </is>
      </c>
      <c r="B234" s="0" t="inlineStr">
        <is>
          <t xml:space="preserve">Outbound (BDR)</t>
        </is>
      </c>
      <c r="C234" s="0" t="inlineStr">
        <is>
          <t xml:space="preserve">AMER East</t>
        </is>
      </c>
      <c r="D234" s="12">
        <f>IF((D66&gt;0),(D90/D66),"")</f>
      </c>
      <c r="E234" s="12">
        <f>IF((E66&gt;0),(E90/E66),"")</f>
      </c>
      <c r="F234" s="12">
        <f>IF((F66&gt;0),(F90/F66),"")</f>
      </c>
      <c r="G234" s="12">
        <f>IF((G66&gt;0),(G90/G66),"")</f>
      </c>
      <c r="H234" s="12">
        <f>IF((H66&gt;0),(H90/H66),"")</f>
      </c>
      <c r="I234" s="12">
        <f>IF((I66&gt;0),(I90/I66),"")</f>
      </c>
      <c r="J234" s="12">
        <f>IF((J66&gt;0),(J90/J66),"")</f>
      </c>
      <c r="K234" s="12">
        <f>IF((K66&gt;0),(K90/K66),"")</f>
      </c>
      <c r="L234" s="12">
        <f>IF((L66&gt;0),(L90/L66),"")</f>
      </c>
      <c r="M234" s="12">
        <f>IF((M66&gt;0),(M90/M66),"")</f>
      </c>
      <c r="N234" s="12">
        <f>IF((N66&gt;0),(N90/N66),"")</f>
      </c>
      <c r="O234" s="12">
        <f>IF((O66&gt;0),(O90/O66),"")</f>
      </c>
      <c r="P234" s="12">
        <f>IF((P66&gt;0),(P90/P66),"")</f>
      </c>
      <c r="Q234" s="12">
        <f>IF((Q66&gt;0),(Q90/Q66),"")</f>
      </c>
      <c r="R234" s="12">
        <f>IF((R66&gt;0),(R90/R66),"")</f>
      </c>
      <c r="S234" s="12">
        <f>IF((S66&gt;0),(S90/S66),"")</f>
      </c>
      <c r="T234" s="12">
        <f>IF((T66&gt;0),(T90/T66),"")</f>
      </c>
      <c r="U234" s="12">
        <f>IF((U66&gt;0),(U90/U66),"")</f>
      </c>
      <c r="V234" s="12">
        <f>IF((V66&gt;0),(V90/V66),"")</f>
      </c>
      <c r="W234" s="12">
        <f>IF((W66&gt;0),(W90/W66),"")</f>
      </c>
      <c r="X234" s="12">
        <f>IF((X66&gt;0),(X90/X66),"")</f>
      </c>
    </row>
    <row r="235">
      <c r="A235" s="0" t="inlineStr">
        <is>
          <t xml:space="preserve">MQL to SQL</t>
        </is>
      </c>
      <c r="B235" s="0" t="inlineStr">
        <is>
          <t xml:space="preserve">Outbound (BDR)</t>
        </is>
      </c>
      <c r="C235" s="0" t="inlineStr">
        <is>
          <t xml:space="preserve">AMER West</t>
        </is>
      </c>
      <c r="D235" s="12">
        <f>IF((D67&gt;0),(D91/D67),"")</f>
      </c>
      <c r="E235" s="12">
        <f>IF((E67&gt;0),(E91/E67),"")</f>
      </c>
      <c r="F235" s="12">
        <f>IF((F67&gt;0),(F91/F67),"")</f>
      </c>
      <c r="G235" s="12">
        <f>IF((G67&gt;0),(G91/G67),"")</f>
      </c>
      <c r="H235" s="12">
        <f>IF((H67&gt;0),(H91/H67),"")</f>
      </c>
      <c r="I235" s="12">
        <f>IF((I67&gt;0),(I91/I67),"")</f>
      </c>
      <c r="J235" s="12">
        <f>IF((J67&gt;0),(J91/J67),"")</f>
      </c>
      <c r="K235" s="12">
        <f>IF((K67&gt;0),(K91/K67),"")</f>
      </c>
      <c r="L235" s="12">
        <f>IF((L67&gt;0),(L91/L67),"")</f>
      </c>
      <c r="M235" s="12">
        <f>IF((M67&gt;0),(M91/M67),"")</f>
      </c>
      <c r="N235" s="12">
        <f>IF((N67&gt;0),(N91/N67),"")</f>
      </c>
      <c r="O235" s="12">
        <f>IF((O67&gt;0),(O91/O67),"")</f>
      </c>
      <c r="P235" s="12">
        <f>IF((P67&gt;0),(P91/P67),"")</f>
      </c>
      <c r="Q235" s="12">
        <f>IF((Q67&gt;0),(Q91/Q67),"")</f>
      </c>
      <c r="R235" s="12">
        <f>IF((R67&gt;0),(R91/R67),"")</f>
      </c>
      <c r="S235" s="12">
        <f>IF((S67&gt;0),(S91/S67),"")</f>
      </c>
      <c r="T235" s="12">
        <f>IF((T67&gt;0),(T91/T67),"")</f>
      </c>
      <c r="U235" s="12">
        <f>IF((U67&gt;0),(U91/U67),"")</f>
      </c>
      <c r="V235" s="12">
        <f>IF((V67&gt;0),(V91/V67),"")</f>
      </c>
      <c r="W235" s="12">
        <f>IF((W67&gt;0),(W91/W67),"")</f>
      </c>
      <c r="X235" s="12">
        <f>IF((X67&gt;0),(X91/X67),"")</f>
      </c>
    </row>
    <row r="236">
      <c r="A236" s="0" t="inlineStr">
        <is>
          <t xml:space="preserve">MQL to SQL</t>
        </is>
      </c>
      <c r="B236" s="0" t="inlineStr">
        <is>
          <t xml:space="preserve">Outbound (BDR)</t>
        </is>
      </c>
      <c r="C236" s="0" t="inlineStr">
        <is>
          <t xml:space="preserve">EMEA</t>
        </is>
      </c>
      <c r="D236" s="12">
        <f>IF((D68&gt;0),(D92/D68),"")</f>
      </c>
      <c r="E236" s="12">
        <f>IF((E68&gt;0),(E92/E68),"")</f>
      </c>
      <c r="F236" s="12">
        <f>IF((F68&gt;0),(F92/F68),"")</f>
      </c>
      <c r="G236" s="12">
        <f>IF((G68&gt;0),(G92/G68),"")</f>
      </c>
      <c r="H236" s="12">
        <f>IF((H68&gt;0),(H92/H68),"")</f>
      </c>
      <c r="I236" s="12">
        <f>IF((I68&gt;0),(I92/I68),"")</f>
      </c>
      <c r="J236" s="12">
        <f>IF((J68&gt;0),(J92/J68),"")</f>
      </c>
      <c r="K236" s="12">
        <f>IF((K68&gt;0),(K92/K68),"")</f>
      </c>
      <c r="L236" s="12">
        <f>IF((L68&gt;0),(L92/L68),"")</f>
      </c>
      <c r="M236" s="12">
        <f>IF((M68&gt;0),(M92/M68),"")</f>
      </c>
      <c r="N236" s="12">
        <f>IF((N68&gt;0),(N92/N68),"")</f>
      </c>
      <c r="O236" s="12">
        <f>IF((O68&gt;0),(O92/O68),"")</f>
      </c>
      <c r="P236" s="12">
        <f>IF((P68&gt;0),(P92/P68),"")</f>
      </c>
      <c r="Q236" s="12">
        <f>IF((Q68&gt;0),(Q92/Q68),"")</f>
      </c>
      <c r="R236" s="12">
        <f>IF((R68&gt;0),(R92/R68),"")</f>
      </c>
      <c r="S236" s="12">
        <f>IF((S68&gt;0),(S92/S68),"")</f>
      </c>
      <c r="T236" s="12">
        <f>IF((T68&gt;0),(T92/T68),"")</f>
      </c>
      <c r="U236" s="12">
        <f>IF((U68&gt;0),(U92/U68),"")</f>
      </c>
      <c r="V236" s="12">
        <f>IF((V68&gt;0),(V92/V68),"")</f>
      </c>
      <c r="W236" s="12">
        <f>IF((W68&gt;0),(W92/W68),"")</f>
      </c>
      <c r="X236" s="12">
        <f>IF((X68&gt;0),(X92/X68),"")</f>
      </c>
    </row>
    <row r="237">
      <c r="A237" s="0" t="inlineStr">
        <is>
          <t xml:space="preserve">MQL to SQL</t>
        </is>
      </c>
      <c r="B237" s="0" t="inlineStr">
        <is>
          <t xml:space="preserve">Outbound (BDR)</t>
        </is>
      </c>
      <c r="C237" s="0" t="inlineStr">
        <is>
          <t xml:space="preserve">APAC</t>
        </is>
      </c>
      <c r="D237" s="12">
        <f>IF((D69&gt;0),(D93/D69),"")</f>
      </c>
      <c r="E237" s="12">
        <f>IF((E69&gt;0),(E93/E69),"")</f>
      </c>
      <c r="F237" s="12">
        <f>IF((F69&gt;0),(F93/F69),"")</f>
      </c>
      <c r="G237" s="12">
        <f>IF((G69&gt;0),(G93/G69),"")</f>
      </c>
      <c r="H237" s="12">
        <f>IF((H69&gt;0),(H93/H69),"")</f>
      </c>
      <c r="I237" s="12">
        <f>IF((I69&gt;0),(I93/I69),"")</f>
      </c>
      <c r="J237" s="12">
        <f>IF((J69&gt;0),(J93/J69),"")</f>
      </c>
      <c r="K237" s="12">
        <f>IF((K69&gt;0),(K93/K69),"")</f>
      </c>
      <c r="L237" s="12">
        <f>IF((L69&gt;0),(L93/L69),"")</f>
      </c>
      <c r="M237" s="12">
        <f>IF((M69&gt;0),(M93/M69),"")</f>
      </c>
      <c r="N237" s="12">
        <f>IF((N69&gt;0),(N93/N69),"")</f>
      </c>
      <c r="O237" s="12">
        <f>IF((O69&gt;0),(O93/O69),"")</f>
      </c>
      <c r="P237" s="12">
        <f>IF((P69&gt;0),(P93/P69),"")</f>
      </c>
      <c r="Q237" s="12">
        <f>IF((Q69&gt;0),(Q93/Q69),"")</f>
      </c>
      <c r="R237" s="12">
        <f>IF((R69&gt;0),(R93/R69),"")</f>
      </c>
      <c r="S237" s="12">
        <f>IF((S69&gt;0),(S93/S69),"")</f>
      </c>
      <c r="T237" s="12">
        <f>IF((T69&gt;0),(T93/T69),"")</f>
      </c>
      <c r="U237" s="12">
        <f>IF((U69&gt;0),(U93/U69),"")</f>
      </c>
      <c r="V237" s="12">
        <f>IF((V69&gt;0),(V93/V69),"")</f>
      </c>
      <c r="W237" s="12">
        <f>IF((W69&gt;0),(W93/W69),"")</f>
      </c>
      <c r="X237" s="12">
        <f>IF((X69&gt;0),(X93/X69),"")</f>
      </c>
    </row>
    <row r="238">
      <c r="A238" s="0" t="inlineStr">
        <is>
          <t xml:space="preserve">MQL to SQL</t>
        </is>
      </c>
      <c r="B238" s="0" t="inlineStr">
        <is>
          <t xml:space="preserve">Customer referral</t>
        </is>
      </c>
      <c r="C238" s="0" t="inlineStr">
        <is>
          <t xml:space="preserve">AMER East</t>
        </is>
      </c>
      <c r="D238" s="12">
        <f>IF((D70&gt;0),(D94/D70),"")</f>
      </c>
      <c r="E238" s="12">
        <f>IF((E70&gt;0),(E94/E70),"")</f>
      </c>
      <c r="F238" s="12">
        <f>IF((F70&gt;0),(F94/F70),"")</f>
      </c>
      <c r="G238" s="12">
        <f>IF((G70&gt;0),(G94/G70),"")</f>
      </c>
      <c r="H238" s="12">
        <f>IF((H70&gt;0),(H94/H70),"")</f>
      </c>
      <c r="I238" s="12">
        <f>IF((I70&gt;0),(I94/I70),"")</f>
      </c>
      <c r="J238" s="12">
        <f>IF((J70&gt;0),(J94/J70),"")</f>
      </c>
      <c r="K238" s="12">
        <f>IF((K70&gt;0),(K94/K70),"")</f>
      </c>
      <c r="L238" s="12">
        <f>IF((L70&gt;0),(L94/L70),"")</f>
      </c>
      <c r="M238" s="12">
        <f>IF((M70&gt;0),(M94/M70),"")</f>
      </c>
      <c r="N238" s="12">
        <f>IF((N70&gt;0),(N94/N70),"")</f>
      </c>
      <c r="O238" s="12">
        <f>IF((O70&gt;0),(O94/O70),"")</f>
      </c>
      <c r="P238" s="12">
        <f>IF((P70&gt;0),(P94/P70),"")</f>
      </c>
      <c r="Q238" s="12">
        <f>IF((Q70&gt;0),(Q94/Q70),"")</f>
      </c>
      <c r="R238" s="12">
        <f>IF((R70&gt;0),(R94/R70),"")</f>
      </c>
      <c r="S238" s="12">
        <f>IF((S70&gt;0),(S94/S70),"")</f>
      </c>
      <c r="T238" s="12">
        <f>IF((T70&gt;0),(T94/T70),"")</f>
      </c>
      <c r="U238" s="12">
        <f>IF((U70&gt;0),(U94/U70),"")</f>
      </c>
      <c r="V238" s="12">
        <f>IF((V70&gt;0),(V94/V70),"")</f>
      </c>
      <c r="W238" s="12">
        <f>IF((W70&gt;0),(W94/W70),"")</f>
      </c>
      <c r="X238" s="12">
        <f>IF((X70&gt;0),(X94/X70),"")</f>
      </c>
    </row>
    <row r="239">
      <c r="A239" s="0" t="inlineStr">
        <is>
          <t xml:space="preserve">MQL to SQL</t>
        </is>
      </c>
      <c r="B239" s="0" t="inlineStr">
        <is>
          <t xml:space="preserve">Customer referral</t>
        </is>
      </c>
      <c r="C239" s="0" t="inlineStr">
        <is>
          <t xml:space="preserve">AMER West</t>
        </is>
      </c>
      <c r="D239" s="12">
        <f>IF((D71&gt;0),(D95/D71),"")</f>
      </c>
      <c r="E239" s="12">
        <f>IF((E71&gt;0),(E95/E71),"")</f>
      </c>
      <c r="F239" s="12">
        <f>IF((F71&gt;0),(F95/F71),"")</f>
      </c>
      <c r="G239" s="12">
        <f>IF((G71&gt;0),(G95/G71),"")</f>
      </c>
      <c r="H239" s="12">
        <f>IF((H71&gt;0),(H95/H71),"")</f>
      </c>
      <c r="I239" s="12">
        <f>IF((I71&gt;0),(I95/I71),"")</f>
      </c>
      <c r="J239" s="12">
        <f>IF((J71&gt;0),(J95/J71),"")</f>
      </c>
      <c r="K239" s="12">
        <f>IF((K71&gt;0),(K95/K71),"")</f>
      </c>
      <c r="L239" s="12">
        <f>IF((L71&gt;0),(L95/L71),"")</f>
      </c>
      <c r="M239" s="12">
        <f>IF((M71&gt;0),(M95/M71),"")</f>
      </c>
      <c r="N239" s="12">
        <f>IF((N71&gt;0),(N95/N71),"")</f>
      </c>
      <c r="O239" s="12">
        <f>IF((O71&gt;0),(O95/O71),"")</f>
      </c>
      <c r="P239" s="12">
        <f>IF((P71&gt;0),(P95/P71),"")</f>
      </c>
      <c r="Q239" s="12">
        <f>IF((Q71&gt;0),(Q95/Q71),"")</f>
      </c>
      <c r="R239" s="12">
        <f>IF((R71&gt;0),(R95/R71),"")</f>
      </c>
      <c r="S239" s="12">
        <f>IF((S71&gt;0),(S95/S71),"")</f>
      </c>
      <c r="T239" s="12">
        <f>IF((T71&gt;0),(T95/T71),"")</f>
      </c>
      <c r="U239" s="12">
        <f>IF((U71&gt;0),(U95/U71),"")</f>
      </c>
      <c r="V239" s="12">
        <f>IF((V71&gt;0),(V95/V71),"")</f>
      </c>
      <c r="W239" s="12">
        <f>IF((W71&gt;0),(W95/W71),"")</f>
      </c>
      <c r="X239" s="12">
        <f>IF((X71&gt;0),(X95/X71),"")</f>
      </c>
    </row>
    <row r="240">
      <c r="A240" s="0" t="inlineStr">
        <is>
          <t xml:space="preserve">MQL to SQL</t>
        </is>
      </c>
      <c r="B240" s="0" t="inlineStr">
        <is>
          <t xml:space="preserve">Customer referral</t>
        </is>
      </c>
      <c r="C240" s="0" t="inlineStr">
        <is>
          <t xml:space="preserve">EMEA</t>
        </is>
      </c>
      <c r="D240" s="12">
        <f>IF((D72&gt;0),(D96/D72),"")</f>
      </c>
      <c r="E240" s="12">
        <f>IF((E72&gt;0),(E96/E72),"")</f>
      </c>
      <c r="F240" s="12">
        <f>IF((F72&gt;0),(F96/F72),"")</f>
      </c>
      <c r="G240" s="12">
        <f>IF((G72&gt;0),(G96/G72),"")</f>
      </c>
      <c r="H240" s="12">
        <f>IF((H72&gt;0),(H96/H72),"")</f>
      </c>
      <c r="I240" s="12">
        <f>IF((I72&gt;0),(I96/I72),"")</f>
      </c>
      <c r="J240" s="12">
        <f>IF((J72&gt;0),(J96/J72),"")</f>
      </c>
      <c r="K240" s="12">
        <f>IF((K72&gt;0),(K96/K72),"")</f>
      </c>
      <c r="L240" s="12">
        <f>IF((L72&gt;0),(L96/L72),"")</f>
      </c>
      <c r="M240" s="12">
        <f>IF((M72&gt;0),(M96/M72),"")</f>
      </c>
      <c r="N240" s="12">
        <f>IF((N72&gt;0),(N96/N72),"")</f>
      </c>
      <c r="O240" s="12">
        <f>IF((O72&gt;0),(O96/O72),"")</f>
      </c>
      <c r="P240" s="12">
        <f>IF((P72&gt;0),(P96/P72),"")</f>
      </c>
      <c r="Q240" s="12">
        <f>IF((Q72&gt;0),(Q96/Q72),"")</f>
      </c>
      <c r="R240" s="12">
        <f>IF((R72&gt;0),(R96/R72),"")</f>
      </c>
      <c r="S240" s="12">
        <f>IF((S72&gt;0),(S96/S72),"")</f>
      </c>
      <c r="T240" s="12">
        <f>IF((T72&gt;0),(T96/T72),"")</f>
      </c>
      <c r="U240" s="12">
        <f>IF((U72&gt;0),(U96/U72),"")</f>
      </c>
      <c r="V240" s="12">
        <f>IF((V72&gt;0),(V96/V72),"")</f>
      </c>
      <c r="W240" s="12">
        <f>IF((W72&gt;0),(W96/W72),"")</f>
      </c>
      <c r="X240" s="12">
        <f>IF((X72&gt;0),(X96/X72),"")</f>
      </c>
    </row>
    <row r="241">
      <c r="A241" s="0" t="inlineStr">
        <is>
          <t xml:space="preserve">MQL to SQL</t>
        </is>
      </c>
      <c r="B241" s="0" t="inlineStr">
        <is>
          <t xml:space="preserve">Customer referral</t>
        </is>
      </c>
      <c r="C241" s="0" t="inlineStr">
        <is>
          <t xml:space="preserve">APAC</t>
        </is>
      </c>
      <c r="D241" s="12">
        <f>IF((D73&gt;0),(D97/D73),"")</f>
      </c>
      <c r="E241" s="12">
        <f>IF((E73&gt;0),(E97/E73),"")</f>
      </c>
      <c r="F241" s="12">
        <f>IF((F73&gt;0),(F97/F73),"")</f>
      </c>
      <c r="G241" s="12">
        <f>IF((G73&gt;0),(G97/G73),"")</f>
      </c>
      <c r="H241" s="12">
        <f>IF((H73&gt;0),(H97/H73),"")</f>
      </c>
      <c r="I241" s="12">
        <f>IF((I73&gt;0),(I97/I73),"")</f>
      </c>
      <c r="J241" s="12">
        <f>IF((J73&gt;0),(J97/J73),"")</f>
      </c>
      <c r="K241" s="12">
        <f>IF((K73&gt;0),(K97/K73),"")</f>
      </c>
      <c r="L241" s="12">
        <f>IF((L73&gt;0),(L97/L73),"")</f>
      </c>
      <c r="M241" s="12">
        <f>IF((M73&gt;0),(M97/M73),"")</f>
      </c>
      <c r="N241" s="12">
        <f>IF((N73&gt;0),(N97/N73),"")</f>
      </c>
      <c r="O241" s="12">
        <f>IF((O73&gt;0),(O97/O73),"")</f>
      </c>
      <c r="P241" s="12">
        <f>IF((P73&gt;0),(P97/P73),"")</f>
      </c>
      <c r="Q241" s="12">
        <f>IF((Q73&gt;0),(Q97/Q73),"")</f>
      </c>
      <c r="R241" s="12">
        <f>IF((R73&gt;0),(R97/R73),"")</f>
      </c>
      <c r="S241" s="12">
        <f>IF((S73&gt;0),(S97/S73),"")</f>
      </c>
      <c r="T241" s="12">
        <f>IF((T73&gt;0),(T97/T73),"")</f>
      </c>
      <c r="U241" s="12">
        <f>IF((U73&gt;0),(U97/U73),"")</f>
      </c>
      <c r="V241" s="12">
        <f>IF((V73&gt;0),(V97/V73),"")</f>
      </c>
      <c r="W241" s="12">
        <f>IF((W73&gt;0),(W97/W73),"")</f>
      </c>
      <c r="X241" s="12">
        <f>IF((X73&gt;0),(X97/X73),"")</f>
      </c>
    </row>
    <row r="242">
      <c r="A242" s="0" t="inlineStr">
        <is>
          <t xml:space="preserve">Cost per opportunity</t>
        </is>
      </c>
      <c r="B242" s="0" t="inlineStr">
        <is>
          <t xml:space="preserve">Inbound (web &amp; content)</t>
        </is>
      </c>
      <c r="C242" s="0" t="inlineStr">
        <is>
          <t xml:space="preserve">AMER East</t>
        </is>
      </c>
      <c r="D242" s="8">
        <f>IF((D74&gt;0),(D2/D74),"")</f>
        <v>1288.4615384615386</v>
      </c>
      <c r="E242" s="8">
        <f>IF((E74&gt;0),(E2/E74),"")</f>
        <v>1695.5555555555557</v>
      </c>
      <c r="F242" s="8">
        <f>IF((F74&gt;0),(F2/F74),"")</f>
        <v>1015.5555555555555</v>
      </c>
      <c r="G242" s="8">
        <f>IF((G74&gt;0),(G2/G74),"")</f>
        <v>1145.3846153846155</v>
      </c>
      <c r="H242" s="8">
        <f>IF((H74&gt;0),(H2/H74),"")</f>
        <v>1305.4545454545455</v>
      </c>
      <c r="I242" s="8">
        <f>IF((I74&gt;0),(I2/I74),"")</f>
        <v>3850</v>
      </c>
      <c r="J242" s="8">
        <f>IF((J74&gt;0),(J2/J74),"")</f>
        <v>2340</v>
      </c>
      <c r="K242" s="8">
        <f>IF((K74&gt;0),(K2/K74),"")</f>
        <v>1798.5714285714287</v>
      </c>
      <c r="L242" s="8">
        <f>IF((L74&gt;0),(L2/L74),"")</f>
        <v>1275.3846153846155</v>
      </c>
      <c r="M242" s="8">
        <f>IF((M74&gt;0),(M2/M74),"")</f>
        <v>1737.5</v>
      </c>
      <c r="N242" s="8">
        <f>IF((N74&gt;0),(N2/N74),"")</f>
        <v>2611.6666666666665</v>
      </c>
      <c r="O242" s="8">
        <f>IF((O74&gt;0),(O2/O74),"")</f>
        <v>2113.3333333333335</v>
      </c>
      <c r="P242" s="8">
        <f>IF((P74&gt;0),(P2/P74),"")</f>
        <v>828.5</v>
      </c>
      <c r="Q242" s="8">
        <f>IF((Q74&gt;0),(Q2/Q74),"")</f>
        <v>1554.5454545454545</v>
      </c>
      <c r="R242" s="8">
        <f>IF((R74&gt;0),(R2/R74),"")</f>
        <v>1872.2222222222222</v>
      </c>
      <c r="S242" s="8">
        <f>IF((S74&gt;0),(S2/S74),"")</f>
        <v>1252.7272727272727</v>
      </c>
      <c r="T242" s="8">
        <f>IF((T74&gt;0),(T2/T74),"")</f>
        <v>1608.5714285714287</v>
      </c>
      <c r="U242" s="8">
        <f>IF((U74&gt;0),(U2/U74),"")</f>
        <v>1818.888888888889</v>
      </c>
      <c r="V242" s="8">
        <f>IF((V74&gt;0),(V2/V74),"")</f>
      </c>
      <c r="W242" s="8">
        <f>IF((W74&gt;0),(W2/W74),"")</f>
      </c>
      <c r="X242" s="8">
        <f>IF((X74&gt;0),(X2/X74),"")</f>
      </c>
    </row>
    <row r="243">
      <c r="A243" s="0" t="inlineStr">
        <is>
          <t xml:space="preserve">Cost per opportunity</t>
        </is>
      </c>
      <c r="B243" s="0" t="inlineStr">
        <is>
          <t xml:space="preserve">Inbound (web &amp; content)</t>
        </is>
      </c>
      <c r="C243" s="0" t="inlineStr">
        <is>
          <t xml:space="preserve">AMER West</t>
        </is>
      </c>
      <c r="D243" s="8">
        <f>IF((D75&gt;0),(D3/D75),"")</f>
        <v>1314</v>
      </c>
      <c r="E243" s="8">
        <f>IF((E75&gt;0),(E3/E75),"")</f>
        <v>2493.3333333333335</v>
      </c>
      <c r="F243" s="8">
        <f>IF((F75&gt;0),(F3/F75),"")</f>
        <v>3837.5</v>
      </c>
      <c r="G243" s="8">
        <f>IF((G75&gt;0),(G3/G75),"")</f>
        <v>1511.111111111111</v>
      </c>
      <c r="H243" s="8">
        <f>IF((H75&gt;0),(H3/H75),"")</f>
        <v>1362</v>
      </c>
      <c r="I243" s="8">
        <f>IF((I75&gt;0),(I3/I75),"")</f>
        <v>1597</v>
      </c>
      <c r="J243" s="8">
        <f>IF((J75&gt;0),(J3/J75),"")</f>
        <v>2566</v>
      </c>
      <c r="K243" s="8">
        <f>IF((K75&gt;0),(K3/K75),"")</f>
        <v>1406.6666666666667</v>
      </c>
      <c r="L243" s="8">
        <f>IF((L75&gt;0),(L3/L75),"")</f>
        <v>1312.7272727272727</v>
      </c>
      <c r="M243" s="8">
        <f>IF((M75&gt;0),(M3/M75),"")</f>
        <v>1437.5</v>
      </c>
      <c r="N243" s="8">
        <f>IF((N75&gt;0),(N3/N75),"")</f>
        <v>1222.3076923076924</v>
      </c>
      <c r="O243" s="8">
        <f>IF((O75&gt;0),(O3/O75),"")</f>
        <v>2738.3333333333335</v>
      </c>
      <c r="P243" s="8">
        <f>IF((P75&gt;0),(P3/P75),"")</f>
        <v>1324.5454545454545</v>
      </c>
      <c r="Q243" s="8">
        <f>IF((Q75&gt;0),(Q3/Q75),"")</f>
        <v>1750</v>
      </c>
      <c r="R243" s="8">
        <f>IF((R75&gt;0),(R3/R75),"")</f>
        <v>1177.6923076923076</v>
      </c>
      <c r="S243" s="8">
        <f>IF((S75&gt;0),(S3/S75),"")</f>
        <v>740</v>
      </c>
      <c r="T243" s="8">
        <f>IF((T75&gt;0),(T3/T75),"")</f>
        <v>2630</v>
      </c>
      <c r="U243" s="8">
        <f>IF((U75&gt;0),(U3/U75),"")</f>
        <v>2102.5</v>
      </c>
      <c r="V243" s="8">
        <f>IF((V75&gt;0),(V3/V75),"")</f>
      </c>
      <c r="W243" s="8">
        <f>IF((W75&gt;0),(W3/W75),"")</f>
      </c>
      <c r="X243" s="8">
        <f>IF((X75&gt;0),(X3/X75),"")</f>
      </c>
    </row>
    <row r="244">
      <c r="A244" s="0" t="inlineStr">
        <is>
          <t xml:space="preserve">Cost per opportunity</t>
        </is>
      </c>
      <c r="B244" s="0" t="inlineStr">
        <is>
          <t xml:space="preserve">Inbound (web &amp; content)</t>
        </is>
      </c>
      <c r="C244" s="0" t="inlineStr">
        <is>
          <t xml:space="preserve">EMEA</t>
        </is>
      </c>
      <c r="D244" s="8">
        <f>IF((D76&gt;0),(D4/D76),"")</f>
        <v>1558.75</v>
      </c>
      <c r="E244" s="8">
        <f>IF((E76&gt;0),(E4/E76),"")</f>
        <v>928.6666666666666</v>
      </c>
      <c r="F244" s="8">
        <f>IF((F76&gt;0),(F4/F76),"")</f>
        <v>1573.3333333333333</v>
      </c>
      <c r="G244" s="8">
        <f>IF((G76&gt;0),(G4/G76),"")</f>
        <v>1181</v>
      </c>
      <c r="H244" s="8">
        <f>IF((H76&gt;0),(H4/H76),"")</f>
        <v>1756.6666666666667</v>
      </c>
      <c r="I244" s="8">
        <f>IF((I76&gt;0),(I4/I76),"")</f>
        <v>2093.3333333333335</v>
      </c>
      <c r="J244" s="8">
        <f>IF((J76&gt;0),(J4/J76),"")</f>
        <v>1020</v>
      </c>
      <c r="K244" s="8">
        <f>IF((K76&gt;0),(K4/K76),"")</f>
        <v>795.8333333333334</v>
      </c>
      <c r="L244" s="8">
        <f>IF((L76&gt;0),(L4/L76),"")</f>
        <v>1000</v>
      </c>
      <c r="M244" s="8">
        <f>IF((M76&gt;0),(M4/M76),"")</f>
        <v>871.3333333333334</v>
      </c>
      <c r="N244" s="8">
        <f>IF((N76&gt;0),(N4/N76),"")</f>
        <v>1485</v>
      </c>
      <c r="O244" s="8">
        <f>IF((O76&gt;0),(O4/O76),"")</f>
        <v>1531</v>
      </c>
      <c r="P244" s="8">
        <f>IF((P76&gt;0),(P4/P76),"")</f>
        <v>783.5714285714286</v>
      </c>
      <c r="Q244" s="8">
        <f>IF((Q76&gt;0),(Q4/Q76),"")</f>
        <v>1602.857142857143</v>
      </c>
      <c r="R244" s="8">
        <f>IF((R76&gt;0),(R4/R76),"")</f>
        <v>1164.1666666666667</v>
      </c>
      <c r="S244" s="8">
        <f>IF((S76&gt;0),(S4/S76),"")</f>
        <v>1121.111111111111</v>
      </c>
      <c r="T244" s="8">
        <f>IF((T76&gt;0),(T4/T76),"")</f>
        <v>956</v>
      </c>
      <c r="U244" s="8">
        <f>IF((U76&gt;0),(U4/U76),"")</f>
        <v>2762</v>
      </c>
      <c r="V244" s="8">
        <f>IF((V76&gt;0),(V4/V76),"")</f>
      </c>
      <c r="W244" s="8">
        <f>IF((W76&gt;0),(W4/W76),"")</f>
      </c>
      <c r="X244" s="8">
        <f>IF((X76&gt;0),(X4/X76),"")</f>
      </c>
    </row>
    <row r="245">
      <c r="A245" s="0" t="inlineStr">
        <is>
          <t xml:space="preserve">Cost per opportunity</t>
        </is>
      </c>
      <c r="B245" s="0" t="inlineStr">
        <is>
          <t xml:space="preserve">Inbound (web &amp; content)</t>
        </is>
      </c>
      <c r="C245" s="0" t="inlineStr">
        <is>
          <t xml:space="preserve">APAC</t>
        </is>
      </c>
      <c r="D245" s="8">
        <f>IF((D77&gt;0),(D5/D77),"")</f>
        <v>3855</v>
      </c>
      <c r="E245" s="8">
        <f>IF((E77&gt;0),(E5/E77),"")</f>
        <v>1704</v>
      </c>
      <c r="F245" s="8">
        <f>IF((F77&gt;0),(F5/F77),"")</f>
        <v>1996</v>
      </c>
      <c r="G245" s="8">
        <f>IF((G77&gt;0),(G5/G77),"")</f>
        <v>668.1818181818181</v>
      </c>
      <c r="H245" s="8">
        <f>IF((H77&gt;0),(H5/H77),"")</f>
        <v>823.75</v>
      </c>
      <c r="I245" s="8">
        <f>IF((I77&gt;0),(I5/I77),"")</f>
        <v>1015.7142857142857</v>
      </c>
      <c r="J245" s="8">
        <f>IF((J77&gt;0),(J5/J77),"")</f>
        <v>6230</v>
      </c>
      <c r="K245" s="8">
        <f>IF((K77&gt;0),(K5/K77),"")</f>
        <v>6230</v>
      </c>
      <c r="L245" s="8">
        <f>IF((L77&gt;0),(L5/L77),"")</f>
        <v>7070</v>
      </c>
      <c r="M245" s="8">
        <f>IF((M77&gt;0),(M5/M77),"")</f>
        <v>6220</v>
      </c>
      <c r="N245" s="8">
        <f>IF((N77&gt;0),(N5/N77),"")</f>
        <v>1446</v>
      </c>
      <c r="O245" s="8">
        <f>IF((O77&gt;0),(O5/O77),"")</f>
        <v>823.3333333333334</v>
      </c>
      <c r="P245" s="8">
        <f>IF((P77&gt;0),(P5/P77),"")</f>
        <v>2513.3333333333335</v>
      </c>
      <c r="Q245" s="8">
        <f>IF((Q77&gt;0),(Q5/Q77),"")</f>
        <v>3400</v>
      </c>
      <c r="R245" s="8">
        <f>IF((R77&gt;0),(R5/R77),"")</f>
        <v>814</v>
      </c>
      <c r="S245" s="8">
        <f>IF((S77&gt;0),(S5/S77),"")</f>
        <v>1188.3333333333333</v>
      </c>
      <c r="T245" s="8">
        <f>IF((T77&gt;0),(T5/T77),"")</f>
        <v>811.1111111111111</v>
      </c>
      <c r="U245" s="8">
        <f>IF((U77&gt;0),(U5/U77),"")</f>
        <v>1187.142857142857</v>
      </c>
      <c r="V245" s="8">
        <f>IF((V77&gt;0),(V5/V77),"")</f>
      </c>
      <c r="W245" s="8">
        <f>IF((W77&gt;0),(W5/W77),"")</f>
      </c>
      <c r="X245" s="8">
        <f>IF((X77&gt;0),(X5/X77),"")</f>
      </c>
    </row>
    <row r="246">
      <c r="A246" s="0" t="inlineStr">
        <is>
          <t xml:space="preserve">Cost per opportunity</t>
        </is>
      </c>
      <c r="B246" s="0" t="inlineStr">
        <is>
          <t xml:space="preserve">Paid digital</t>
        </is>
      </c>
      <c r="C246" s="0" t="inlineStr">
        <is>
          <t xml:space="preserve">AMER East</t>
        </is>
      </c>
      <c r="D246" s="8">
        <f>IF((D78&gt;0),(D6/D78),"")</f>
        <v>14470</v>
      </c>
      <c r="E246" s="8">
        <f>IF((E78&gt;0),(E6/E78),"")</f>
        <v>8275</v>
      </c>
      <c r="F246" s="8">
        <f>IF((F78&gt;0),(F6/F78),"")</f>
        <v>5505.555555555556</v>
      </c>
      <c r="G246" s="8">
        <f>IF((G78&gt;0),(G6/G78),"")</f>
        <v>11435</v>
      </c>
      <c r="H246" s="8">
        <f>IF((H78&gt;0),(H6/H78),"")</f>
        <v>13483.333333333334</v>
      </c>
      <c r="I246" s="8">
        <f>IF((I78&gt;0),(I6/I78),"")</f>
        <v>15443.333333333334</v>
      </c>
      <c r="J246" s="8">
        <f>IF((J78&gt;0),(J6/J78),"")</f>
        <v>8487.5</v>
      </c>
      <c r="K246" s="8">
        <f>IF((K78&gt;0),(K6/K78),"")</f>
        <v>9175</v>
      </c>
      <c r="L246" s="8">
        <f>IF((L78&gt;0),(L6/L78),"")</f>
        <v>16850</v>
      </c>
      <c r="M246" s="8">
        <f>IF((M78&gt;0),(M6/M78),"")</f>
        <v>6277.142857142857</v>
      </c>
      <c r="N246" s="8">
        <f>IF((N78&gt;0),(N6/N78),"")</f>
        <v>16190</v>
      </c>
      <c r="O246" s="8">
        <f>IF((O78&gt;0),(O6/O78),"")</f>
        <v>7212.857142857143</v>
      </c>
      <c r="P246" s="8">
        <f>IF((P78&gt;0),(P6/P78),"")</f>
        <v>5981.25</v>
      </c>
      <c r="Q246" s="8">
        <f>IF((Q78&gt;0),(Q6/Q78),"")</f>
        <v>5002</v>
      </c>
      <c r="R246" s="8">
        <f>IF((R78&gt;0),(R6/R78),"")</f>
        <v>9597.142857142857</v>
      </c>
      <c r="S246" s="8">
        <f>IF((S78&gt;0),(S6/S78),"")</f>
        <v>5501.111111111111</v>
      </c>
      <c r="T246" s="8">
        <f>IF((T78&gt;0),(T6/T78),"")</f>
        <v>4415</v>
      </c>
      <c r="U246" s="8">
        <f>IF((U78&gt;0),(U6/U78),"")</f>
        <v>15436.666666666666</v>
      </c>
      <c r="V246" s="8">
        <f>IF((V78&gt;0),(V6/V78),"")</f>
      </c>
      <c r="W246" s="8">
        <f>IF((W78&gt;0),(W6/W78),"")</f>
      </c>
      <c r="X246" s="8">
        <f>IF((X78&gt;0),(X6/X78),"")</f>
      </c>
    </row>
    <row r="247">
      <c r="A247" s="0" t="inlineStr">
        <is>
          <t xml:space="preserve">Cost per opportunity</t>
        </is>
      </c>
      <c r="B247" s="0" t="inlineStr">
        <is>
          <t xml:space="preserve">Paid digital</t>
        </is>
      </c>
      <c r="C247" s="0" t="inlineStr">
        <is>
          <t xml:space="preserve">AMER West</t>
        </is>
      </c>
      <c r="D247" s="8">
        <f>IF((D79&gt;0),(D7/D79),"")</f>
        <v>11812.5</v>
      </c>
      <c r="E247" s="8">
        <f>IF((E79&gt;0),(E7/E79),"")</f>
        <v>7555</v>
      </c>
      <c r="F247" s="8">
        <f>IF((F79&gt;0),(F7/F79),"")</f>
        <v>9260</v>
      </c>
      <c r="G247" s="8">
        <f>IF((G79&gt;0),(G7/G79),"")</f>
        <v>16335</v>
      </c>
      <c r="H247" s="8">
        <f>IF((H79&gt;0),(H7/H79),"")</f>
        <v>36140</v>
      </c>
      <c r="I247" s="8">
        <f>IF((I79&gt;0),(I7/I79),"")</f>
        <v>8444</v>
      </c>
      <c r="J247" s="8">
        <f>IF((J79&gt;0),(J7/J79),"")</f>
        <v>9030</v>
      </c>
      <c r="K247" s="8">
        <f>IF((K79&gt;0),(K7/K79),"")</f>
        <v>12466.666666666666</v>
      </c>
      <c r="L247" s="8">
        <f>IF((L79&gt;0),(L7/L79),"")</f>
        <v>7545</v>
      </c>
      <c r="M247" s="8">
        <f>IF((M79&gt;0),(M7/M79),"")</f>
        <v>18485</v>
      </c>
      <c r="N247" s="8">
        <f>IF((N79&gt;0),(N7/N79),"")</f>
        <v>42710</v>
      </c>
      <c r="O247" s="8">
        <f>IF((O79&gt;0),(O7/O79),"")</f>
        <v>8070</v>
      </c>
      <c r="P247" s="8">
        <f>IF((P79&gt;0),(P7/P79),"")</f>
        <v>9772</v>
      </c>
      <c r="Q247" s="8">
        <f>IF((Q79&gt;0),(Q7/Q79),"")</f>
        <v>9356</v>
      </c>
      <c r="R247" s="8">
        <f>IF((R79&gt;0),(R7/R79),"")</f>
        <v>7406.25</v>
      </c>
      <c r="S247" s="8">
        <f>IF((S79&gt;0),(S7/S79),"")</f>
        <v>10927.5</v>
      </c>
      <c r="T247" s="8">
        <f>IF((T79&gt;0),(T7/T79),"")</f>
        <v>7096.666666666667</v>
      </c>
      <c r="U247" s="8">
        <f>IF((U79&gt;0),(U7/U79),"")</f>
        <v>14760</v>
      </c>
      <c r="V247" s="8">
        <f>IF((V79&gt;0),(V7/V79),"")</f>
      </c>
      <c r="W247" s="8">
        <f>IF((W79&gt;0),(W7/W79),"")</f>
      </c>
      <c r="X247" s="8">
        <f>IF((X79&gt;0),(X7/X79),"")</f>
      </c>
    </row>
    <row r="248">
      <c r="A248" s="0" t="inlineStr">
        <is>
          <t xml:space="preserve">Cost per opportunity</t>
        </is>
      </c>
      <c r="B248" s="0" t="inlineStr">
        <is>
          <t xml:space="preserve">Paid digital</t>
        </is>
      </c>
      <c r="C248" s="0" t="inlineStr">
        <is>
          <t xml:space="preserve">EMEA</t>
        </is>
      </c>
      <c r="D248" s="8">
        <f>IF((D80&gt;0),(D8/D80),"")</f>
        <v>7111.666666666667</v>
      </c>
      <c r="E248" s="8">
        <f>IF((E80&gt;0),(E8/E80),"")</f>
        <v>37840</v>
      </c>
      <c r="F248" s="8">
        <f>IF((F80&gt;0),(F8/F80),"")</f>
        <v>6142.857142857143</v>
      </c>
      <c r="G248" s="8">
        <f>IF((G80&gt;0),(G8/G80),"")</f>
        <v>7012</v>
      </c>
      <c r="H248" s="8">
        <f>IF((H80&gt;0),(H8/H80),"")</f>
        <v>10033.333333333334</v>
      </c>
      <c r="I248" s="8">
        <f>IF((I80&gt;0),(I8/I80),"")</f>
        <v>12753.333333333334</v>
      </c>
      <c r="J248" s="8">
        <f>IF((J80&gt;0),(J8/J80),"")</f>
        <v>16740</v>
      </c>
      <c r="K248" s="8">
        <f>IF((K80&gt;0),(K8/K80),"")</f>
        <v>6776</v>
      </c>
      <c r="L248" s="8">
        <f>IF((L80&gt;0),(L8/L80),"")</f>
        <v>11333.333333333334</v>
      </c>
      <c r="M248" s="8">
        <f>IF((M80&gt;0),(M8/M80),"")</f>
        <v>7155</v>
      </c>
      <c r="N248" s="8">
        <f>IF((N80&gt;0),(N8/N80),"")</f>
        <v>13056.666666666666</v>
      </c>
      <c r="O248" s="8">
        <f>IF((O80&gt;0),(O8/O80),"")</f>
        <v>13420</v>
      </c>
      <c r="P248" s="8">
        <f>IF((P80&gt;0),(P8/P80),"")</f>
        <v>17730</v>
      </c>
      <c r="Q248" s="8">
        <f>IF((Q80&gt;0),(Q8/Q80),"")</f>
        <v>19265</v>
      </c>
      <c r="R248" s="8">
        <f>IF((R80&gt;0),(R8/R80),"")</f>
        <v>14673.333333333334</v>
      </c>
      <c r="S248" s="8">
        <f>IF((S80&gt;0),(S8/S80),"")</f>
        <v>8977.5</v>
      </c>
      <c r="T248" s="8">
        <f>IF((T80&gt;0),(T8/T80),"")</f>
        <v>9382.5</v>
      </c>
      <c r="U248" s="8">
        <f>IF((U80&gt;0),(U8/U80),"")</f>
        <v>16750</v>
      </c>
      <c r="V248" s="8">
        <f>IF((V80&gt;0),(V8/V80),"")</f>
      </c>
      <c r="W248" s="8">
        <f>IF((W80&gt;0),(W8/W80),"")</f>
      </c>
      <c r="X248" s="8">
        <f>IF((X80&gt;0),(X8/X80),"")</f>
      </c>
    </row>
    <row r="249">
      <c r="A249" s="0" t="inlineStr">
        <is>
          <t xml:space="preserve">Cost per opportunity</t>
        </is>
      </c>
      <c r="B249" s="0" t="inlineStr">
        <is>
          <t xml:space="preserve">Paid digital</t>
        </is>
      </c>
      <c r="C249" s="0" t="inlineStr">
        <is>
          <t xml:space="preserve">APAC</t>
        </is>
      </c>
      <c r="D249" s="8">
        <f>IF((D81&gt;0),(D9/D81),"")</f>
        <v>22520</v>
      </c>
      <c r="E249" s="8">
        <f>IF((E81&gt;0),(E9/E81),"")</f>
        <v>25700</v>
      </c>
      <c r="F249" s="8">
        <f>IF((F81&gt;0),(F9/F81),"")</f>
        <v>8886.666666666666</v>
      </c>
      <c r="G249" s="8">
        <f>IF((G81&gt;0),(G9/G81),"")</f>
      </c>
      <c r="H249" s="8">
        <f>IF((H81&gt;0),(H9/H81),"")</f>
        <v>20650</v>
      </c>
      <c r="I249" s="8">
        <f>IF((I81&gt;0),(I9/I81),"")</f>
        <v>22610</v>
      </c>
      <c r="J249" s="8">
        <f>IF((J81&gt;0),(J9/J81),"")</f>
        <v>3248.3333333333335</v>
      </c>
      <c r="K249" s="8">
        <f>IF((K81&gt;0),(K9/K81),"")</f>
      </c>
      <c r="L249" s="8">
        <f>IF((L81&gt;0),(L9/L81),"")</f>
        <v>13995</v>
      </c>
      <c r="M249" s="8">
        <f>IF((M81&gt;0),(M9/M81),"")</f>
        <v>10470</v>
      </c>
      <c r="N249" s="8">
        <f>IF((N81&gt;0),(N9/N81),"")</f>
        <v>7533.333333333333</v>
      </c>
      <c r="O249" s="8">
        <f>IF((O81&gt;0),(O9/O81),"")</f>
        <v>5350</v>
      </c>
      <c r="P249" s="8">
        <f>IF((P81&gt;0),(P9/P81),"")</f>
        <v>7450</v>
      </c>
      <c r="Q249" s="8">
        <f>IF((Q81&gt;0),(Q9/Q81),"")</f>
        <v>7157.5</v>
      </c>
      <c r="R249" s="8">
        <f>IF((R81&gt;0),(R9/R81),"")</f>
        <v>17515</v>
      </c>
      <c r="S249" s="8">
        <f>IF((S81&gt;0),(S9/S81),"")</f>
        <v>25300</v>
      </c>
      <c r="T249" s="8">
        <f>IF((T81&gt;0),(T9/T81),"")</f>
        <v>25030</v>
      </c>
      <c r="U249" s="8">
        <f>IF((U81&gt;0),(U9/U81),"")</f>
        <v>12510</v>
      </c>
      <c r="V249" s="8">
        <f>IF((V81&gt;0),(V9/V81),"")</f>
      </c>
      <c r="W249" s="8">
        <f>IF((W81&gt;0),(W9/W81),"")</f>
      </c>
      <c r="X249" s="8">
        <f>IF((X81&gt;0),(X9/X81),"")</f>
      </c>
    </row>
    <row r="250">
      <c r="A250" s="0" t="inlineStr">
        <is>
          <t xml:space="preserve">Cost per opportunity</t>
        </is>
      </c>
      <c r="B250" s="0" t="inlineStr">
        <is>
          <t xml:space="preserve">Events &amp; field</t>
        </is>
      </c>
      <c r="C250" s="0" t="inlineStr">
        <is>
          <t xml:space="preserve">AMER East</t>
        </is>
      </c>
      <c r="D250" s="8">
        <f>IF((D82&gt;0),(D10/D82),"")</f>
        <v>13300</v>
      </c>
      <c r="E250" s="8">
        <f>IF((E82&gt;0),(E10/E82),"")</f>
        <v>3887.5</v>
      </c>
      <c r="F250" s="8">
        <f>IF((F82&gt;0),(F10/F82),"")</f>
        <v>1605</v>
      </c>
      <c r="G250" s="8">
        <f>IF((G82&gt;0),(G10/G82),"")</f>
        <v>3760</v>
      </c>
      <c r="H250" s="8">
        <f>IF((H82&gt;0),(H10/H82),"")</f>
        <v>3490</v>
      </c>
      <c r="I250" s="8">
        <f>IF((I82&gt;0),(I10/I82),"")</f>
        <v>13060</v>
      </c>
      <c r="J250" s="8">
        <f>IF((J82&gt;0),(J10/J82),"")</f>
        <v>6566</v>
      </c>
      <c r="K250" s="8">
        <f>IF((K82&gt;0),(K10/K82),"")</f>
      </c>
      <c r="L250" s="8">
        <f>IF((L82&gt;0),(L10/L82),"")</f>
        <v>5980</v>
      </c>
      <c r="M250" s="8">
        <f>IF((M82&gt;0),(M10/M82),"")</f>
      </c>
      <c r="N250" s="8">
        <f>IF((N82&gt;0),(N10/N82),"")</f>
        <v>6425</v>
      </c>
      <c r="O250" s="8">
        <f>IF((O82&gt;0),(O10/O82),"")</f>
        <v>3405</v>
      </c>
      <c r="P250" s="8">
        <f>IF((P82&gt;0),(P10/P82),"")</f>
        <v>6155</v>
      </c>
      <c r="Q250" s="8">
        <f>IF((Q82&gt;0),(Q10/Q82),"")</f>
        <v>5875</v>
      </c>
      <c r="R250" s="8">
        <f>IF((R82&gt;0),(R10/R82),"")</f>
        <v>4599.166666666667</v>
      </c>
      <c r="S250" s="8">
        <f>IF((S82&gt;0),(S10/S82),"")</f>
        <v>4283.333333333333</v>
      </c>
      <c r="T250" s="8">
        <f>IF((T82&gt;0),(T10/T82),"")</f>
        <v>5890</v>
      </c>
      <c r="U250" s="8">
        <f>IF((U82&gt;0),(U10/U82),"")</f>
        <v>5970</v>
      </c>
      <c r="V250" s="8">
        <f>IF((V82&gt;0),(V10/V82),"")</f>
      </c>
      <c r="W250" s="8">
        <f>IF((W82&gt;0),(W10/W82),"")</f>
      </c>
      <c r="X250" s="8">
        <f>IF((X82&gt;0),(X10/X82),"")</f>
      </c>
    </row>
    <row r="251">
      <c r="A251" s="0" t="inlineStr">
        <is>
          <t xml:space="preserve">Cost per opportunity</t>
        </is>
      </c>
      <c r="B251" s="0" t="inlineStr">
        <is>
          <t xml:space="preserve">Events &amp; field</t>
        </is>
      </c>
      <c r="C251" s="0" t="inlineStr">
        <is>
          <t xml:space="preserve">AMER West</t>
        </is>
      </c>
      <c r="D251" s="8">
        <f>IF((D83&gt;0),(D11/D83),"")</f>
        <v>10970</v>
      </c>
      <c r="E251" s="8">
        <f>IF((E83&gt;0),(E11/E83),"")</f>
        <v>7968</v>
      </c>
      <c r="F251" s="8">
        <f>IF((F83&gt;0),(F11/F83),"")</f>
        <v>3832.5</v>
      </c>
      <c r="G251" s="8">
        <f>IF((G83&gt;0),(G11/G83),"")</f>
        <v>10830</v>
      </c>
      <c r="H251" s="8">
        <f>IF((H83&gt;0),(H11/H83),"")</f>
        <v>3680</v>
      </c>
      <c r="I251" s="8">
        <f>IF((I83&gt;0),(I11/I83),"")</f>
        <v>11200</v>
      </c>
      <c r="J251" s="8">
        <f>IF((J83&gt;0),(J11/J83),"")</f>
        <v>4538.571428571428</v>
      </c>
      <c r="K251" s="8">
        <f>IF((K83&gt;0),(K11/K83),"")</f>
        <v>3146.6666666666665</v>
      </c>
      <c r="L251" s="8">
        <f>IF((L83&gt;0),(L11/L83),"")</f>
        <v>5175</v>
      </c>
      <c r="M251" s="8">
        <f>IF((M83&gt;0),(M11/M83),"")</f>
        <v>1994</v>
      </c>
      <c r="N251" s="8">
        <f>IF((N83&gt;0),(N11/N83),"")</f>
        <v>2712.5</v>
      </c>
      <c r="O251" s="8">
        <f>IF((O83&gt;0),(O11/O83),"")</f>
        <v>5738.888888888889</v>
      </c>
      <c r="P251" s="8">
        <f>IF((P83&gt;0),(P11/P83),"")</f>
        <v>11450</v>
      </c>
      <c r="Q251" s="8">
        <f>IF((Q83&gt;0),(Q11/Q83),"")</f>
        <v>4670</v>
      </c>
      <c r="R251" s="8">
        <f>IF((R83&gt;0),(R11/R83),"")</f>
        <v>4303.636363636364</v>
      </c>
      <c r="S251" s="8">
        <f>IF((S83&gt;0),(S11/S83),"")</f>
        <v>3753.3333333333335</v>
      </c>
      <c r="T251" s="8">
        <f>IF((T83&gt;0),(T11/T83),"")</f>
        <v>11380</v>
      </c>
      <c r="U251" s="8">
        <f>IF((U83&gt;0),(U11/U83),"")</f>
        <v>11420</v>
      </c>
      <c r="V251" s="8">
        <f>IF((V83&gt;0),(V11/V83),"")</f>
      </c>
      <c r="W251" s="8">
        <f>IF((W83&gt;0),(W11/W83),"")</f>
      </c>
      <c r="X251" s="8">
        <f>IF((X83&gt;0),(X11/X83),"")</f>
      </c>
    </row>
    <row r="252">
      <c r="A252" s="0" t="inlineStr">
        <is>
          <t xml:space="preserve">Cost per opportunity</t>
        </is>
      </c>
      <c r="B252" s="0" t="inlineStr">
        <is>
          <t xml:space="preserve">Events &amp; field</t>
        </is>
      </c>
      <c r="C252" s="0" t="inlineStr">
        <is>
          <t xml:space="preserve">EMEA</t>
        </is>
      </c>
      <c r="D252" s="8">
        <f>IF((D84&gt;0),(D12/D84),"")</f>
        <v>9150</v>
      </c>
      <c r="E252" s="8">
        <f>IF((E84&gt;0),(E12/E84),"")</f>
        <v>3005.4545454545455</v>
      </c>
      <c r="F252" s="8">
        <f>IF((F84&gt;0),(F12/F84),"")</f>
        <v>5575</v>
      </c>
      <c r="G252" s="8">
        <f>IF((G84&gt;0),(G12/G84),"")</f>
        <v>3190</v>
      </c>
      <c r="H252" s="8">
        <f>IF((H84&gt;0),(H12/H84),"")</f>
      </c>
      <c r="I252" s="8">
        <f>IF((I84&gt;0),(I12/I84),"")</f>
        <v>4970</v>
      </c>
      <c r="J252" s="8">
        <f>IF((J84&gt;0),(J12/J84),"")</f>
        <v>3623.75</v>
      </c>
      <c r="K252" s="8">
        <f>IF((K84&gt;0),(K12/K84),"")</f>
        <v>7040</v>
      </c>
      <c r="L252" s="8">
        <f>IF((L84&gt;0),(L12/L84),"")</f>
        <v>10360</v>
      </c>
      <c r="M252" s="8">
        <f>IF((M84&gt;0),(M12/M84),"")</f>
        <v>8710</v>
      </c>
      <c r="N252" s="8">
        <f>IF((N84&gt;0),(N12/N84),"")</f>
        <v>3463.3333333333335</v>
      </c>
      <c r="O252" s="8">
        <f>IF((O84&gt;0),(O12/O84),"")</f>
        <v>12916.666666666666</v>
      </c>
      <c r="P252" s="8">
        <f>IF((P84&gt;0),(P12/P84),"")</f>
        <v>4895</v>
      </c>
      <c r="Q252" s="8">
        <f>IF((Q84&gt;0),(Q12/Q84),"")</f>
        <v>10630</v>
      </c>
      <c r="R252" s="8">
        <f>IF((R84&gt;0),(R12/R84),"")</f>
        <v>2873.3333333333335</v>
      </c>
      <c r="S252" s="8">
        <f>IF((S84&gt;0),(S12/S84),"")</f>
        <v>3093.3333333333335</v>
      </c>
      <c r="T252" s="8">
        <f>IF((T84&gt;0),(T12/T84),"")</f>
        <v>4165</v>
      </c>
      <c r="U252" s="8">
        <f>IF((U84&gt;0),(U12/U84),"")</f>
      </c>
      <c r="V252" s="8">
        <f>IF((V84&gt;0),(V12/V84),"")</f>
      </c>
      <c r="W252" s="8">
        <f>IF((W84&gt;0),(W12/W84),"")</f>
      </c>
      <c r="X252" s="8">
        <f>IF((X84&gt;0),(X12/X84),"")</f>
      </c>
    </row>
    <row r="253">
      <c r="A253" s="0" t="inlineStr">
        <is>
          <t xml:space="preserve">Cost per opportunity</t>
        </is>
      </c>
      <c r="B253" s="0" t="inlineStr">
        <is>
          <t xml:space="preserve">Events &amp; field</t>
        </is>
      </c>
      <c r="C253" s="0" t="inlineStr">
        <is>
          <t xml:space="preserve">APAC</t>
        </is>
      </c>
      <c r="D253" s="8">
        <f>IF((D85&gt;0),(D13/D85),"")</f>
        <v>3150</v>
      </c>
      <c r="E253" s="8">
        <f>IF((E85&gt;0),(E13/E85),"")</f>
        <v>3510</v>
      </c>
      <c r="F253" s="8">
        <f>IF((F85&gt;0),(F13/F85),"")</f>
        <v>3665</v>
      </c>
      <c r="G253" s="8">
        <f>IF((G85&gt;0),(G13/G85),"")</f>
        <v>7030</v>
      </c>
      <c r="H253" s="8">
        <f>IF((H85&gt;0),(H13/H85),"")</f>
      </c>
      <c r="I253" s="8">
        <f>IF((I85&gt;0),(I13/I85),"")</f>
        <v>5630</v>
      </c>
      <c r="J253" s="8">
        <f>IF((J85&gt;0),(J13/J85),"")</f>
        <v>4812.5</v>
      </c>
      <c r="K253" s="8">
        <f>IF((K85&gt;0),(K13/K85),"")</f>
        <v>5040</v>
      </c>
      <c r="L253" s="8">
        <f>IF((L85&gt;0),(L13/L85),"")</f>
      </c>
      <c r="M253" s="8">
        <f>IF((M85&gt;0),(M13/M85),"")</f>
      </c>
      <c r="N253" s="8">
        <f>IF((N85&gt;0),(N13/N85),"")</f>
      </c>
      <c r="O253" s="8">
        <f>IF((O85&gt;0),(O13/O85),"")</f>
        <v>8153.333333333333</v>
      </c>
      <c r="P253" s="8">
        <f>IF((P85&gt;0),(P13/P85),"")</f>
        <v>2940</v>
      </c>
      <c r="Q253" s="8">
        <f>IF((Q85&gt;0),(Q13/Q85),"")</f>
        <v>3410</v>
      </c>
      <c r="R253" s="8">
        <f>IF((R85&gt;0),(R13/R85),"")</f>
        <v>3337.1428571428573</v>
      </c>
      <c r="S253" s="8">
        <f>IF((S85&gt;0),(S13/S85),"")</f>
        <v>6010</v>
      </c>
      <c r="T253" s="8">
        <f>IF((T85&gt;0),(T13/T85),"")</f>
        <v>5610</v>
      </c>
      <c r="U253" s="8">
        <f>IF((U85&gt;0),(U13/U85),"")</f>
      </c>
      <c r="V253" s="8">
        <f>IF((V85&gt;0),(V13/V85),"")</f>
      </c>
      <c r="W253" s="8">
        <f>IF((W85&gt;0),(W13/W85),"")</f>
      </c>
      <c r="X253" s="8">
        <f>IF((X85&gt;0),(X13/X85),"")</f>
      </c>
    </row>
    <row r="254">
      <c r="A254" s="0" t="inlineStr">
        <is>
          <t xml:space="preserve">Cost per opportunity</t>
        </is>
      </c>
      <c r="B254" s="0" t="inlineStr">
        <is>
          <t xml:space="preserve">Partner</t>
        </is>
      </c>
      <c r="C254" s="0" t="inlineStr">
        <is>
          <t xml:space="preserve">AMER East</t>
        </is>
      </c>
      <c r="D254" s="8">
        <f>IF((D86&gt;0),(D14/D86),"")</f>
        <v>866.25</v>
      </c>
      <c r="E254" s="8">
        <f>IF((E86&gt;0),(E14/E86),"")</f>
        <v>1940</v>
      </c>
      <c r="F254" s="8">
        <f>IF((F86&gt;0),(F14/F86),"")</f>
        <v>3035</v>
      </c>
      <c r="G254" s="8">
        <f>IF((G86&gt;0),(G14/G86),"")</f>
        <v>1863.3333333333333</v>
      </c>
      <c r="H254" s="8">
        <f>IF((H86&gt;0),(H14/H86),"")</f>
        <v>1666.6666666666667</v>
      </c>
      <c r="I254" s="8">
        <f>IF((I86&gt;0),(I14/I86),"")</f>
        <v>1455</v>
      </c>
      <c r="J254" s="8">
        <f>IF((J86&gt;0),(J14/J86),"")</f>
        <v>2530</v>
      </c>
      <c r="K254" s="8">
        <f>IF((K86&gt;0),(K14/K86),"")</f>
        <v>1185</v>
      </c>
      <c r="L254" s="8">
        <f>IF((L86&gt;0),(L14/L86),"")</f>
        <v>2343.3333333333335</v>
      </c>
      <c r="M254" s="8">
        <f>IF((M86&gt;0),(M14/M86),"")</f>
        <v>5850</v>
      </c>
      <c r="N254" s="8">
        <f>IF((N86&gt;0),(N14/N86),"")</f>
        <v>2660</v>
      </c>
      <c r="O254" s="8">
        <f>IF((O86&gt;0),(O14/O86),"")</f>
        <v>1670</v>
      </c>
      <c r="P254" s="8">
        <f>IF((P86&gt;0),(P14/P86),"")</f>
        <v>2193.3333333333335</v>
      </c>
      <c r="Q254" s="8">
        <f>IF((Q86&gt;0),(Q14/Q86),"")</f>
        <v>1950</v>
      </c>
      <c r="R254" s="8">
        <f>IF((R86&gt;0),(R14/R86),"")</f>
        <v>1474</v>
      </c>
      <c r="S254" s="8">
        <f>IF((S86&gt;0),(S14/S86),"")</f>
        <v>2660</v>
      </c>
      <c r="T254" s="8">
        <f>IF((T86&gt;0),(T14/T86),"")</f>
        <v>1242</v>
      </c>
      <c r="U254" s="8">
        <f>IF((U86&gt;0),(U14/U86),"")</f>
        <v>2003.3333333333333</v>
      </c>
      <c r="V254" s="8">
        <f>IF((V86&gt;0),(V14/V86),"")</f>
      </c>
      <c r="W254" s="8">
        <f>IF((W86&gt;0),(W14/W86),"")</f>
      </c>
      <c r="X254" s="8">
        <f>IF((X86&gt;0),(X14/X86),"")</f>
      </c>
    </row>
    <row r="255">
      <c r="A255" s="0" t="inlineStr">
        <is>
          <t xml:space="preserve">Cost per opportunity</t>
        </is>
      </c>
      <c r="B255" s="0" t="inlineStr">
        <is>
          <t xml:space="preserve">Partner</t>
        </is>
      </c>
      <c r="C255" s="0" t="inlineStr">
        <is>
          <t xml:space="preserve">AMER West</t>
        </is>
      </c>
      <c r="D255" s="8">
        <f>IF((D87&gt;0),(D15/D87),"")</f>
        <v>2116.6666666666665</v>
      </c>
      <c r="E255" s="8">
        <f>IF((E87&gt;0),(E15/E87),"")</f>
        <v>5280</v>
      </c>
      <c r="F255" s="8">
        <f>IF((F87&gt;0),(F15/F87),"")</f>
        <v>1230</v>
      </c>
      <c r="G255" s="8">
        <f>IF((G87&gt;0),(G15/G87),"")</f>
        <v>1452.5</v>
      </c>
      <c r="H255" s="8">
        <f>IF((H87&gt;0),(H15/H87),"")</f>
        <v>2575</v>
      </c>
      <c r="I255" s="8">
        <f>IF((I87&gt;0),(I15/I87),"")</f>
        <v>1646.6666666666667</v>
      </c>
      <c r="J255" s="8">
        <f>IF((J87&gt;0),(J15/J87),"")</f>
        <v>4550</v>
      </c>
      <c r="K255" s="8">
        <f>IF((K87&gt;0),(K15/K87),"")</f>
        <v>1576.6666666666667</v>
      </c>
      <c r="L255" s="8">
        <f>IF((L87&gt;0),(L15/L87),"")</f>
        <v>1084</v>
      </c>
      <c r="M255" s="8">
        <f>IF((M87&gt;0),(M15/M87),"")</f>
        <v>2490</v>
      </c>
      <c r="N255" s="8">
        <f>IF((N87&gt;0),(N15/N87),"")</f>
        <v>822.8571428571429</v>
      </c>
      <c r="O255" s="8">
        <f>IF((O87&gt;0),(O15/O87),"")</f>
        <v>6780</v>
      </c>
      <c r="P255" s="8">
        <f>IF((P87&gt;0),(P15/P87),"")</f>
      </c>
      <c r="Q255" s="8">
        <f>IF((Q87&gt;0),(Q15/Q87),"")</f>
        <v>1216</v>
      </c>
      <c r="R255" s="8">
        <f>IF((R87&gt;0),(R15/R87),"")</f>
        <v>1650</v>
      </c>
      <c r="S255" s="8">
        <f>IF((S87&gt;0),(S15/S87),"")</f>
        <v>2710</v>
      </c>
      <c r="T255" s="8">
        <f>IF((T87&gt;0),(T15/T87),"")</f>
      </c>
      <c r="U255" s="8">
        <f>IF((U87&gt;0),(U15/U87),"")</f>
        <v>4650</v>
      </c>
      <c r="V255" s="8">
        <f>IF((V87&gt;0),(V15/V87),"")</f>
      </c>
      <c r="W255" s="8">
        <f>IF((W87&gt;0),(W15/W87),"")</f>
      </c>
      <c r="X255" s="8">
        <f>IF((X87&gt;0),(X15/X87),"")</f>
      </c>
    </row>
    <row r="256">
      <c r="A256" s="0" t="inlineStr">
        <is>
          <t xml:space="preserve">Cost per opportunity</t>
        </is>
      </c>
      <c r="B256" s="0" t="inlineStr">
        <is>
          <t xml:space="preserve">Partner</t>
        </is>
      </c>
      <c r="C256" s="0" t="inlineStr">
        <is>
          <t xml:space="preserve">EMEA</t>
        </is>
      </c>
      <c r="D256" s="8">
        <f>IF((D88&gt;0),(D16/D88),"")</f>
        <v>2780</v>
      </c>
      <c r="E256" s="8">
        <f>IF((E88&gt;0),(E16/E88),"")</f>
        <v>1407.5</v>
      </c>
      <c r="F256" s="8">
        <f>IF((F88&gt;0),(F16/F88),"")</f>
        <v>1766.6666666666667</v>
      </c>
      <c r="G256" s="8">
        <f>IF((G88&gt;0),(G16/G88),"")</f>
        <v>2115</v>
      </c>
      <c r="H256" s="8">
        <f>IF((H88&gt;0),(H16/H88),"")</f>
        <v>2125</v>
      </c>
      <c r="I256" s="8">
        <f>IF((I88&gt;0),(I16/I88),"")</f>
        <v>4020</v>
      </c>
      <c r="J256" s="8">
        <f>IF((J88&gt;0),(J16/J88),"")</f>
        <v>816</v>
      </c>
      <c r="K256" s="8">
        <f>IF((K88&gt;0),(K16/K88),"")</f>
      </c>
      <c r="L256" s="8">
        <f>IF((L88&gt;0),(L16/L88),"")</f>
        <v>1020</v>
      </c>
      <c r="M256" s="8">
        <f>IF((M88&gt;0),(M16/M88),"")</f>
      </c>
      <c r="N256" s="8">
        <f>IF((N88&gt;0),(N16/N88),"")</f>
        <v>2395</v>
      </c>
      <c r="O256" s="8">
        <f>IF((O88&gt;0),(O16/O88),"")</f>
        <v>1427.5</v>
      </c>
      <c r="P256" s="8">
        <f>IF((P88&gt;0),(P16/P88),"")</f>
        <v>801.6666666666666</v>
      </c>
      <c r="Q256" s="8">
        <f>IF((Q88&gt;0),(Q16/Q88),"")</f>
        <v>2515</v>
      </c>
      <c r="R256" s="8">
        <f>IF((R88&gt;0),(R16/R88),"")</f>
        <v>1240</v>
      </c>
      <c r="S256" s="8">
        <f>IF((S88&gt;0),(S16/S88),"")</f>
      </c>
      <c r="T256" s="8">
        <f>IF((T88&gt;0),(T16/T88),"")</f>
        <v>4070</v>
      </c>
      <c r="U256" s="8">
        <f>IF((U88&gt;0),(U16/U88),"")</f>
      </c>
      <c r="V256" s="8">
        <f>IF((V88&gt;0),(V16/V88),"")</f>
      </c>
      <c r="W256" s="8">
        <f>IF((W88&gt;0),(W16/W88),"")</f>
      </c>
      <c r="X256" s="8">
        <f>IF((X88&gt;0),(X16/X88),"")</f>
      </c>
    </row>
    <row r="257">
      <c r="A257" s="0" t="inlineStr">
        <is>
          <t xml:space="preserve">Cost per opportunity</t>
        </is>
      </c>
      <c r="B257" s="0" t="inlineStr">
        <is>
          <t xml:space="preserve">Partner</t>
        </is>
      </c>
      <c r="C257" s="0" t="inlineStr">
        <is>
          <t xml:space="preserve">APAC</t>
        </is>
      </c>
      <c r="D257" s="8">
        <f>IF((D89&gt;0),(D17/D89),"")</f>
        <v>2960</v>
      </c>
      <c r="E257" s="8">
        <f>IF((E89&gt;0),(E17/E89),"")</f>
        <v>2660</v>
      </c>
      <c r="F257" s="8">
        <f>IF((F89&gt;0),(F17/F89),"")</f>
        <v>1022.5</v>
      </c>
      <c r="G257" s="8">
        <f>IF((G89&gt;0),(G17/G89),"")</f>
      </c>
      <c r="H257" s="8">
        <f>IF((H89&gt;0),(H17/H89),"")</f>
        <v>1300</v>
      </c>
      <c r="I257" s="8">
        <f>IF((I89&gt;0),(I17/I89),"")</f>
        <v>1290</v>
      </c>
      <c r="J257" s="8">
        <f>IF((J89&gt;0),(J17/J89),"")</f>
      </c>
      <c r="K257" s="8">
        <f>IF((K89&gt;0),(K17/K89),"")</f>
        <v>1285</v>
      </c>
      <c r="L257" s="8">
        <f>IF((L89&gt;0),(L17/L89),"")</f>
        <v>1335</v>
      </c>
      <c r="M257" s="8">
        <f>IF((M89&gt;0),(M17/M89),"")</f>
      </c>
      <c r="N257" s="8">
        <f>IF((N89&gt;0),(N17/N89),"")</f>
        <v>1610</v>
      </c>
      <c r="O257" s="8">
        <f>IF((O89&gt;0),(O17/O89),"")</f>
      </c>
      <c r="P257" s="8">
        <f>IF((P89&gt;0),(P17/P89),"")</f>
        <v>1076.6666666666667</v>
      </c>
      <c r="Q257" s="8">
        <f>IF((Q89&gt;0),(Q17/Q89),"")</f>
        <v>1540</v>
      </c>
      <c r="R257" s="8">
        <f>IF((R89&gt;0),(R17/R89),"")</f>
        <v>662</v>
      </c>
      <c r="S257" s="8">
        <f>IF((S89&gt;0),(S17/S89),"")</f>
      </c>
      <c r="T257" s="8">
        <f>IF((T89&gt;0),(T17/T89),"")</f>
        <v>896.6666666666666</v>
      </c>
      <c r="U257" s="8">
        <f>IF((U89&gt;0),(U17/U89),"")</f>
        <v>3320</v>
      </c>
      <c r="V257" s="8">
        <f>IF((V89&gt;0),(V17/V89),"")</f>
      </c>
      <c r="W257" s="8">
        <f>IF((W89&gt;0),(W17/W89),"")</f>
      </c>
      <c r="X257" s="8">
        <f>IF((X89&gt;0),(X17/X89),"")</f>
      </c>
    </row>
    <row r="258">
      <c r="A258" s="0" t="inlineStr">
        <is>
          <t xml:space="preserve">Cost per opportunity</t>
        </is>
      </c>
      <c r="B258" s="0" t="inlineStr">
        <is>
          <t xml:space="preserve">Outbound (BDR)</t>
        </is>
      </c>
      <c r="C258" s="0" t="inlineStr">
        <is>
          <t xml:space="preserve">AMER East</t>
        </is>
      </c>
      <c r="D258" s="4">
        <f>IF((D90&gt;0),(D18/D90),"")</f>
        <v>0</v>
      </c>
      <c r="E258" s="4">
        <f>IF((E90&gt;0),(E18/E90),"")</f>
        <v>0</v>
      </c>
      <c r="F258" s="4">
        <f>IF((F90&gt;0),(F18/F90),"")</f>
        <v>0</v>
      </c>
      <c r="G258" s="4">
        <f>IF((G90&gt;0),(G18/G90),"")</f>
        <v>0</v>
      </c>
      <c r="H258" s="4">
        <f>IF((H90&gt;0),(H18/H90),"")</f>
        <v>0</v>
      </c>
      <c r="I258" s="4">
        <f>IF((I90&gt;0),(I18/I90),"")</f>
        <v>0</v>
      </c>
      <c r="J258" s="4">
        <f>IF((J90&gt;0),(J18/J90),"")</f>
        <v>0</v>
      </c>
      <c r="K258" s="4">
        <f>IF((K90&gt;0),(K18/K90),"")</f>
        <v>0</v>
      </c>
      <c r="L258" s="4">
        <f>IF((L90&gt;0),(L18/L90),"")</f>
        <v>0</v>
      </c>
      <c r="M258" s="4">
        <f>IF((M90&gt;0),(M18/M90),"")</f>
        <v>0</v>
      </c>
      <c r="N258" s="4">
        <f>IF((N90&gt;0),(N18/N90),"")</f>
        <v>0</v>
      </c>
      <c r="O258" s="4">
        <f>IF((O90&gt;0),(O18/O90),"")</f>
        <v>0</v>
      </c>
      <c r="P258" s="4">
        <f>IF((P90&gt;0),(P18/P90),"")</f>
        <v>0</v>
      </c>
      <c r="Q258" s="4">
        <f>IF((Q90&gt;0),(Q18/Q90),"")</f>
        <v>0</v>
      </c>
      <c r="R258" s="4">
        <f>IF((R90&gt;0),(R18/R90),"")</f>
        <v>0</v>
      </c>
      <c r="S258" s="4">
        <f>IF((S90&gt;0),(S18/S90),"")</f>
        <v>0</v>
      </c>
      <c r="T258" s="4">
        <f>IF((T90&gt;0),(T18/T90),"")</f>
        <v>0</v>
      </c>
      <c r="U258" s="4">
        <f>IF((U90&gt;0),(U18/U90),"")</f>
        <v>0</v>
      </c>
      <c r="V258" s="4">
        <f>IF((V90&gt;0),(V18/V90),"")</f>
      </c>
      <c r="W258" s="4">
        <f>IF((W90&gt;0),(W18/W90),"")</f>
      </c>
      <c r="X258" s="4">
        <f>IF((X90&gt;0),(X18/X90),"")</f>
      </c>
    </row>
    <row r="259">
      <c r="A259" s="0" t="inlineStr">
        <is>
          <t xml:space="preserve">Cost per opportunity</t>
        </is>
      </c>
      <c r="B259" s="0" t="inlineStr">
        <is>
          <t xml:space="preserve">Outbound (BDR)</t>
        </is>
      </c>
      <c r="C259" s="0" t="inlineStr">
        <is>
          <t xml:space="preserve">AMER West</t>
        </is>
      </c>
      <c r="D259" s="4">
        <f>IF((D91&gt;0),(D19/D91),"")</f>
        <v>0</v>
      </c>
      <c r="E259" s="4">
        <f>IF((E91&gt;0),(E19/E91),"")</f>
        <v>0</v>
      </c>
      <c r="F259" s="4">
        <f>IF((F91&gt;0),(F19/F91),"")</f>
        <v>0</v>
      </c>
      <c r="G259" s="4">
        <f>IF((G91&gt;0),(G19/G91),"")</f>
        <v>0</v>
      </c>
      <c r="H259" s="4">
        <f>IF((H91&gt;0),(H19/H91),"")</f>
        <v>0</v>
      </c>
      <c r="I259" s="4">
        <f>IF((I91&gt;0),(I19/I91),"")</f>
        <v>0</v>
      </c>
      <c r="J259" s="4">
        <f>IF((J91&gt;0),(J19/J91),"")</f>
        <v>0</v>
      </c>
      <c r="K259" s="4">
        <f>IF((K91&gt;0),(K19/K91),"")</f>
        <v>0</v>
      </c>
      <c r="L259" s="4">
        <f>IF((L91&gt;0),(L19/L91),"")</f>
        <v>0</v>
      </c>
      <c r="M259" s="4">
        <f>IF((M91&gt;0),(M19/M91),"")</f>
        <v>0</v>
      </c>
      <c r="N259" s="4">
        <f>IF((N91&gt;0),(N19/N91),"")</f>
        <v>0</v>
      </c>
      <c r="O259" s="4">
        <f>IF((O91&gt;0),(O19/O91),"")</f>
        <v>0</v>
      </c>
      <c r="P259" s="4">
        <f>IF((P91&gt;0),(P19/P91),"")</f>
        <v>0</v>
      </c>
      <c r="Q259" s="4">
        <f>IF((Q91&gt;0),(Q19/Q91),"")</f>
        <v>0</v>
      </c>
      <c r="R259" s="4">
        <f>IF((R91&gt;0),(R19/R91),"")</f>
        <v>0</v>
      </c>
      <c r="S259" s="4">
        <f>IF((S91&gt;0),(S19/S91),"")</f>
        <v>0</v>
      </c>
      <c r="T259" s="4">
        <f>IF((T91&gt;0),(T19/T91),"")</f>
        <v>0</v>
      </c>
      <c r="U259" s="4">
        <f>IF((U91&gt;0),(U19/U91),"")</f>
        <v>0</v>
      </c>
      <c r="V259" s="4">
        <f>IF((V91&gt;0),(V19/V91),"")</f>
      </c>
      <c r="W259" s="4">
        <f>IF((W91&gt;0),(W19/W91),"")</f>
      </c>
      <c r="X259" s="4">
        <f>IF((X91&gt;0),(X19/X91),"")</f>
      </c>
    </row>
    <row r="260">
      <c r="A260" s="0" t="inlineStr">
        <is>
          <t xml:space="preserve">Cost per opportunity</t>
        </is>
      </c>
      <c r="B260" s="0" t="inlineStr">
        <is>
          <t xml:space="preserve">Outbound (BDR)</t>
        </is>
      </c>
      <c r="C260" s="0" t="inlineStr">
        <is>
          <t xml:space="preserve">EMEA</t>
        </is>
      </c>
      <c r="D260" s="4">
        <f>IF((D92&gt;0),(D20/D92),"")</f>
        <v>0</v>
      </c>
      <c r="E260" s="4">
        <f>IF((E92&gt;0),(E20/E92),"")</f>
        <v>0</v>
      </c>
      <c r="F260" s="4">
        <f>IF((F92&gt;0),(F20/F92),"")</f>
        <v>0</v>
      </c>
      <c r="G260" s="4">
        <f>IF((G92&gt;0),(G20/G92),"")</f>
        <v>0</v>
      </c>
      <c r="H260" s="4">
        <f>IF((H92&gt;0),(H20/H92),"")</f>
        <v>0</v>
      </c>
      <c r="I260" s="4">
        <f>IF((I92&gt;0),(I20/I92),"")</f>
        <v>0</v>
      </c>
      <c r="J260" s="4">
        <f>IF((J92&gt;0),(J20/J92),"")</f>
        <v>0</v>
      </c>
      <c r="K260" s="4">
        <f>IF((K92&gt;0),(K20/K92),"")</f>
        <v>0</v>
      </c>
      <c r="L260" s="4">
        <f>IF((L92&gt;0),(L20/L92),"")</f>
        <v>0</v>
      </c>
      <c r="M260" s="4">
        <f>IF((M92&gt;0),(M20/M92),"")</f>
        <v>0</v>
      </c>
      <c r="N260" s="4">
        <f>IF((N92&gt;0),(N20/N92),"")</f>
        <v>0</v>
      </c>
      <c r="O260" s="4">
        <f>IF((O92&gt;0),(O20/O92),"")</f>
        <v>0</v>
      </c>
      <c r="P260" s="4">
        <f>IF((P92&gt;0),(P20/P92),"")</f>
        <v>0</v>
      </c>
      <c r="Q260" s="4">
        <f>IF((Q92&gt;0),(Q20/Q92),"")</f>
        <v>0</v>
      </c>
      <c r="R260" s="4">
        <f>IF((R92&gt;0),(R20/R92),"")</f>
        <v>0</v>
      </c>
      <c r="S260" s="4">
        <f>IF((S92&gt;0),(S20/S92),"")</f>
        <v>0</v>
      </c>
      <c r="T260" s="4">
        <f>IF((T92&gt;0),(T20/T92),"")</f>
        <v>0</v>
      </c>
      <c r="U260" s="4">
        <f>IF((U92&gt;0),(U20/U92),"")</f>
      </c>
      <c r="V260" s="4">
        <f>IF((V92&gt;0),(V20/V92),"")</f>
      </c>
      <c r="W260" s="4">
        <f>IF((W92&gt;0),(W20/W92),"")</f>
      </c>
      <c r="X260" s="4">
        <f>IF((X92&gt;0),(X20/X92),"")</f>
      </c>
    </row>
    <row r="261">
      <c r="A261" s="0" t="inlineStr">
        <is>
          <t xml:space="preserve">Cost per opportunity</t>
        </is>
      </c>
      <c r="B261" s="0" t="inlineStr">
        <is>
          <t xml:space="preserve">Outbound (BDR)</t>
        </is>
      </c>
      <c r="C261" s="0" t="inlineStr">
        <is>
          <t xml:space="preserve">APAC</t>
        </is>
      </c>
      <c r="D261" s="4">
        <f>IF((D93&gt;0),(D21/D93),"")</f>
        <v>0</v>
      </c>
      <c r="E261" s="4">
        <f>IF((E93&gt;0),(E21/E93),"")</f>
        <v>0</v>
      </c>
      <c r="F261" s="4">
        <f>IF((F93&gt;0),(F21/F93),"")</f>
        <v>0</v>
      </c>
      <c r="G261" s="4">
        <f>IF((G93&gt;0),(G21/G93),"")</f>
        <v>0</v>
      </c>
      <c r="H261" s="4">
        <f>IF((H93&gt;0),(H21/H93),"")</f>
        <v>0</v>
      </c>
      <c r="I261" s="4">
        <f>IF((I93&gt;0),(I21/I93),"")</f>
        <v>0</v>
      </c>
      <c r="J261" s="4">
        <f>IF((J93&gt;0),(J21/J93),"")</f>
        <v>0</v>
      </c>
      <c r="K261" s="4">
        <f>IF((K93&gt;0),(K21/K93),"")</f>
        <v>0</v>
      </c>
      <c r="L261" s="4">
        <f>IF((L93&gt;0),(L21/L93),"")</f>
        <v>0</v>
      </c>
      <c r="M261" s="4">
        <f>IF((M93&gt;0),(M21/M93),"")</f>
        <v>0</v>
      </c>
      <c r="N261" s="4">
        <f>IF((N93&gt;0),(N21/N93),"")</f>
        <v>0</v>
      </c>
      <c r="O261" s="4">
        <f>IF((O93&gt;0),(O21/O93),"")</f>
        <v>0</v>
      </c>
      <c r="P261" s="4">
        <f>IF((P93&gt;0),(P21/P93),"")</f>
        <v>0</v>
      </c>
      <c r="Q261" s="4">
        <f>IF((Q93&gt;0),(Q21/Q93),"")</f>
        <v>0</v>
      </c>
      <c r="R261" s="4">
        <f>IF((R93&gt;0),(R21/R93),"")</f>
        <v>0</v>
      </c>
      <c r="S261" s="4">
        <f>IF((S93&gt;0),(S21/S93),"")</f>
        <v>0</v>
      </c>
      <c r="T261" s="4">
        <f>IF((T93&gt;0),(T21/T93),"")</f>
        <v>0</v>
      </c>
      <c r="U261" s="4">
        <f>IF((U93&gt;0),(U21/U93),"")</f>
        <v>0</v>
      </c>
      <c r="V261" s="4">
        <f>IF((V93&gt;0),(V21/V93),"")</f>
      </c>
      <c r="W261" s="4">
        <f>IF((W93&gt;0),(W21/W93),"")</f>
      </c>
      <c r="X261" s="4">
        <f>IF((X93&gt;0),(X21/X93),"")</f>
      </c>
    </row>
    <row r="262">
      <c r="A262" s="0" t="inlineStr">
        <is>
          <t xml:space="preserve">Cost per opportunity</t>
        </is>
      </c>
      <c r="B262" s="0" t="inlineStr">
        <is>
          <t xml:space="preserve">Customer referral</t>
        </is>
      </c>
      <c r="C262" s="0" t="inlineStr">
        <is>
          <t xml:space="preserve">AMER East</t>
        </is>
      </c>
      <c r="D262" s="4">
        <f>IF((D94&gt;0),(D22/D94),"")</f>
        <v>0</v>
      </c>
      <c r="E262" s="4">
        <f>IF((E94&gt;0),(E22/E94),"")</f>
        <v>0</v>
      </c>
      <c r="F262" s="4">
        <f>IF((F94&gt;0),(F22/F94),"")</f>
        <v>0</v>
      </c>
      <c r="G262" s="4">
        <f>IF((G94&gt;0),(G22/G94),"")</f>
        <v>0</v>
      </c>
      <c r="H262" s="4">
        <f>IF((H94&gt;0),(H22/H94),"")</f>
      </c>
      <c r="I262" s="4">
        <f>IF((I94&gt;0),(I22/I94),"")</f>
        <v>0</v>
      </c>
      <c r="J262" s="4">
        <f>IF((J94&gt;0),(J22/J94),"")</f>
        <v>0</v>
      </c>
      <c r="K262" s="4">
        <f>IF((K94&gt;0),(K22/K94),"")</f>
        <v>0</v>
      </c>
      <c r="L262" s="4">
        <f>IF((L94&gt;0),(L22/L94),"")</f>
        <v>0</v>
      </c>
      <c r="M262" s="4">
        <f>IF((M94&gt;0),(M22/M94),"")</f>
        <v>0</v>
      </c>
      <c r="N262" s="4">
        <f>IF((N94&gt;0),(N22/N94),"")</f>
        <v>0</v>
      </c>
      <c r="O262" s="4">
        <f>IF((O94&gt;0),(O22/O94),"")</f>
        <v>0</v>
      </c>
      <c r="P262" s="4">
        <f>IF((P94&gt;0),(P22/P94),"")</f>
        <v>0</v>
      </c>
      <c r="Q262" s="4">
        <f>IF((Q94&gt;0),(Q22/Q94),"")</f>
        <v>0</v>
      </c>
      <c r="R262" s="4">
        <f>IF((R94&gt;0),(R22/R94),"")</f>
        <v>0</v>
      </c>
      <c r="S262" s="4">
        <f>IF((S94&gt;0),(S22/S94),"")</f>
        <v>0</v>
      </c>
      <c r="T262" s="4">
        <f>IF((T94&gt;0),(T22/T94),"")</f>
        <v>0</v>
      </c>
      <c r="U262" s="4">
        <f>IF((U94&gt;0),(U22/U94),"")</f>
        <v>0</v>
      </c>
      <c r="V262" s="4">
        <f>IF((V94&gt;0),(V22/V94),"")</f>
      </c>
      <c r="W262" s="4">
        <f>IF((W94&gt;0),(W22/W94),"")</f>
      </c>
      <c r="X262" s="4">
        <f>IF((X94&gt;0),(X22/X94),"")</f>
      </c>
    </row>
    <row r="263">
      <c r="A263" s="0" t="inlineStr">
        <is>
          <t xml:space="preserve">Cost per opportunity</t>
        </is>
      </c>
      <c r="B263" s="0" t="inlineStr">
        <is>
          <t xml:space="preserve">Customer referral</t>
        </is>
      </c>
      <c r="C263" s="0" t="inlineStr">
        <is>
          <t xml:space="preserve">AMER West</t>
        </is>
      </c>
      <c r="D263" s="4">
        <f>IF((D95&gt;0),(D23/D95),"")</f>
        <v>0</v>
      </c>
      <c r="E263" s="4">
        <f>IF((E95&gt;0),(E23/E95),"")</f>
        <v>0</v>
      </c>
      <c r="F263" s="4">
        <f>IF((F95&gt;0),(F23/F95),"")</f>
        <v>0</v>
      </c>
      <c r="G263" s="4">
        <f>IF((G95&gt;0),(G23/G95),"")</f>
        <v>0</v>
      </c>
      <c r="H263" s="4">
        <f>IF((H95&gt;0),(H23/H95),"")</f>
      </c>
      <c r="I263" s="4">
        <f>IF((I95&gt;0),(I23/I95),"")</f>
        <v>0</v>
      </c>
      <c r="J263" s="4">
        <f>IF((J95&gt;0),(J23/J95),"")</f>
        <v>0</v>
      </c>
      <c r="K263" s="4">
        <f>IF((K95&gt;0),(K23/K95),"")</f>
        <v>0</v>
      </c>
      <c r="L263" s="4">
        <f>IF((L95&gt;0),(L23/L95),"")</f>
        <v>0</v>
      </c>
      <c r="M263" s="4">
        <f>IF((M95&gt;0),(M23/M95),"")</f>
        <v>0</v>
      </c>
      <c r="N263" s="4">
        <f>IF((N95&gt;0),(N23/N95),"")</f>
        <v>0</v>
      </c>
      <c r="O263" s="4">
        <f>IF((O95&gt;0),(O23/O95),"")</f>
        <v>0</v>
      </c>
      <c r="P263" s="4">
        <f>IF((P95&gt;0),(P23/P95),"")</f>
        <v>0</v>
      </c>
      <c r="Q263" s="4">
        <f>IF((Q95&gt;0),(Q23/Q95),"")</f>
        <v>0</v>
      </c>
      <c r="R263" s="4">
        <f>IF((R95&gt;0),(R23/R95),"")</f>
        <v>0</v>
      </c>
      <c r="S263" s="4">
        <f>IF((S95&gt;0),(S23/S95),"")</f>
        <v>0</v>
      </c>
      <c r="T263" s="4">
        <f>IF((T95&gt;0),(T23/T95),"")</f>
        <v>0</v>
      </c>
      <c r="U263" s="4">
        <f>IF((U95&gt;0),(U23/U95),"")</f>
      </c>
      <c r="V263" s="4">
        <f>IF((V95&gt;0),(V23/V95),"")</f>
      </c>
      <c r="W263" s="4">
        <f>IF((W95&gt;0),(W23/W95),"")</f>
      </c>
      <c r="X263" s="4">
        <f>IF((X95&gt;0),(X23/X95),"")</f>
      </c>
    </row>
    <row r="264">
      <c r="A264" s="0" t="inlineStr">
        <is>
          <t xml:space="preserve">Cost per opportunity</t>
        </is>
      </c>
      <c r="B264" s="0" t="inlineStr">
        <is>
          <t xml:space="preserve">Customer referral</t>
        </is>
      </c>
      <c r="C264" s="0" t="inlineStr">
        <is>
          <t xml:space="preserve">EMEA</t>
        </is>
      </c>
      <c r="D264" s="4">
        <f>IF((D96&gt;0),(D24/D96),"")</f>
        <v>0</v>
      </c>
      <c r="E264" s="4">
        <f>IF((E96&gt;0),(E24/E96),"")</f>
        <v>0</v>
      </c>
      <c r="F264" s="4">
        <f>IF((F96&gt;0),(F24/F96),"")</f>
        <v>0</v>
      </c>
      <c r="G264" s="4">
        <f>IF((G96&gt;0),(G24/G96),"")</f>
        <v>0</v>
      </c>
      <c r="H264" s="4">
        <f>IF((H96&gt;0),(H24/H96),"")</f>
        <v>0</v>
      </c>
      <c r="I264" s="4">
        <f>IF((I96&gt;0),(I24/I96),"")</f>
        <v>0</v>
      </c>
      <c r="J264" s="4">
        <f>IF((J96&gt;0),(J24/J96),"")</f>
        <v>0</v>
      </c>
      <c r="K264" s="4">
        <f>IF((K96&gt;0),(K24/K96),"")</f>
      </c>
      <c r="L264" s="4">
        <f>IF((L96&gt;0),(L24/L96),"")</f>
        <v>0</v>
      </c>
      <c r="M264" s="4">
        <f>IF((M96&gt;0),(M24/M96),"")</f>
        <v>0</v>
      </c>
      <c r="N264" s="4">
        <f>IF((N96&gt;0),(N24/N96),"")</f>
        <v>0</v>
      </c>
      <c r="O264" s="4">
        <f>IF((O96&gt;0),(O24/O96),"")</f>
      </c>
      <c r="P264" s="4">
        <f>IF((P96&gt;0),(P24/P96),"")</f>
        <v>0</v>
      </c>
      <c r="Q264" s="4">
        <f>IF((Q96&gt;0),(Q24/Q96),"")</f>
        <v>0</v>
      </c>
      <c r="R264" s="4">
        <f>IF((R96&gt;0),(R24/R96),"")</f>
        <v>0</v>
      </c>
      <c r="S264" s="4">
        <f>IF((S96&gt;0),(S24/S96),"")</f>
        <v>0</v>
      </c>
      <c r="T264" s="4">
        <f>IF((T96&gt;0),(T24/T96),"")</f>
        <v>0</v>
      </c>
      <c r="U264" s="4">
        <f>IF((U96&gt;0),(U24/U96),"")</f>
        <v>0</v>
      </c>
      <c r="V264" s="4">
        <f>IF((V96&gt;0),(V24/V96),"")</f>
      </c>
      <c r="W264" s="4">
        <f>IF((W96&gt;0),(W24/W96),"")</f>
      </c>
      <c r="X264" s="4">
        <f>IF((X96&gt;0),(X24/X96),"")</f>
      </c>
    </row>
    <row r="265">
      <c r="A265" s="0" t="inlineStr">
        <is>
          <t xml:space="preserve">Cost per opportunity</t>
        </is>
      </c>
      <c r="B265" s="0" t="inlineStr">
        <is>
          <t xml:space="preserve">Customer referral</t>
        </is>
      </c>
      <c r="C265" s="0" t="inlineStr">
        <is>
          <t xml:space="preserve">APAC</t>
        </is>
      </c>
      <c r="D265" s="4">
        <f>IF((D97&gt;0),(D25/D97),"")</f>
      </c>
      <c r="E265" s="4">
        <f>IF((E97&gt;0),(E25/E97),"")</f>
      </c>
      <c r="F265" s="4">
        <f>IF((F97&gt;0),(F25/F97),"")</f>
        <v>0</v>
      </c>
      <c r="G265" s="4">
        <f>IF((G97&gt;0),(G25/G97),"")</f>
        <v>0</v>
      </c>
      <c r="H265" s="4">
        <f>IF((H97&gt;0),(H25/H97),"")</f>
      </c>
      <c r="I265" s="4">
        <f>IF((I97&gt;0),(I25/I97),"")</f>
        <v>0</v>
      </c>
      <c r="J265" s="4">
        <f>IF((J97&gt;0),(J25/J97),"")</f>
        <v>0</v>
      </c>
      <c r="K265" s="4">
        <f>IF((K97&gt;0),(K25/K97),"")</f>
        <v>0</v>
      </c>
      <c r="L265" s="4">
        <f>IF((L97&gt;0),(L25/L97),"")</f>
        <v>0</v>
      </c>
      <c r="M265" s="4">
        <f>IF((M97&gt;0),(M25/M97),"")</f>
        <v>0</v>
      </c>
      <c r="N265" s="4">
        <f>IF((N97&gt;0),(N25/N97),"")</f>
        <v>0</v>
      </c>
      <c r="O265" s="4">
        <f>IF((O97&gt;0),(O25/O97),"")</f>
      </c>
      <c r="P265" s="4">
        <f>IF((P97&gt;0),(P25/P97),"")</f>
      </c>
      <c r="Q265" s="4">
        <f>IF((Q97&gt;0),(Q25/Q97),"")</f>
        <v>0</v>
      </c>
      <c r="R265" s="4">
        <f>IF((R97&gt;0),(R25/R97),"")</f>
        <v>0</v>
      </c>
      <c r="S265" s="4">
        <f>IF((S97&gt;0),(S25/S97),"")</f>
      </c>
      <c r="T265" s="4">
        <f>IF((T97&gt;0),(T25/T97),"")</f>
        <v>0</v>
      </c>
      <c r="U265" s="4">
        <f>IF((U97&gt;0),(U25/U97),"")</f>
      </c>
      <c r="V265" s="4">
        <f>IF((V97&gt;0),(V25/V97),"")</f>
      </c>
      <c r="W265" s="4">
        <f>IF((W97&gt;0),(W25/W97),"")</f>
      </c>
      <c r="X265" s="4">
        <f>IF((X97&gt;0),(X25/X97),"")</f>
      </c>
    </row>
    <row r="266">
      <c r="A266" s="0" t="inlineStr">
        <is>
          <t xml:space="preserve">Pipeline per $ of spend</t>
        </is>
      </c>
      <c r="B266" s="0" t="inlineStr">
        <is>
          <t xml:space="preserve">Inbound (web &amp; content)</t>
        </is>
      </c>
      <c r="C266" s="0" t="inlineStr">
        <is>
          <t xml:space="preserve">AMER East</t>
        </is>
      </c>
      <c r="D266" s="8">
        <f>IF((D2&gt;0),(D98/D2),"")</f>
        <v>36.62089552238806</v>
      </c>
      <c r="E266" s="8">
        <f>IF((E2&gt;0),(E98/E2),"")</f>
        <v>11.231979030144167</v>
      </c>
      <c r="F266" s="8">
        <f>IF((F2&gt;0),(F98/F2),"")</f>
        <v>56.2800875273523</v>
      </c>
      <c r="G266" s="8">
        <f>IF((G2&gt;0),(G98/G2),"")</f>
        <v>13.975822699798522</v>
      </c>
      <c r="H266" s="8">
        <f>IF((H2&gt;0),(H98/H2),"")</f>
        <v>48.551532033426184</v>
      </c>
      <c r="I266" s="8">
        <f>IF((I2&gt;0),(I98/I2),"")</f>
        <v>16.51948051948052</v>
      </c>
      <c r="J266" s="8">
        <f>IF((J2&gt;0),(J98/J2),"")</f>
        <v>44.666666666666664</v>
      </c>
      <c r="K266" s="8">
        <f>IF((K2&gt;0),(K98/K2),"")</f>
        <v>11.540905480540111</v>
      </c>
      <c r="L266" s="8">
        <f>IF((L2&gt;0),(L98/L2),"")</f>
        <v>33.082026537997585</v>
      </c>
      <c r="M266" s="8">
        <f>IF((M2&gt;0),(M98/M2),"")</f>
        <v>36.35971223021583</v>
      </c>
      <c r="N266" s="8">
        <f>IF((N2&gt;0),(N98/N2),"")</f>
        <v>12.227185705169113</v>
      </c>
      <c r="O266" s="8">
        <f>IF((O2&gt;0),(O98/O2),"")</f>
        <v>20.420609884332283</v>
      </c>
      <c r="P266" s="8">
        <f>IF((P2&gt;0),(P98/P2),"")</f>
        <v>43.6028968014484</v>
      </c>
      <c r="Q266" s="8">
        <f>IF((Q2&gt;0),(Q98/Q2),"")</f>
        <v>38.748538011695906</v>
      </c>
      <c r="R266" s="8">
        <f>IF((R2&gt;0),(R98/R2),"")</f>
        <v>32.652818991097924</v>
      </c>
      <c r="S266" s="8">
        <f>IF((S2&gt;0),(S98/S2),"")</f>
        <v>17.18432510885341</v>
      </c>
      <c r="T266" s="8">
        <f>IF((T2&gt;0),(T98/T2),"")</f>
        <v>14.706927175843694</v>
      </c>
      <c r="U266" s="8">
        <f>IF((U2&gt;0),(U98/U2),"")</f>
        <v>48.6682956627978</v>
      </c>
      <c r="V266" s="8">
        <f>IF((V2&gt;0),(V98/V2),"")</f>
        <v>0</v>
      </c>
      <c r="W266" s="8">
        <f>IF((W2&gt;0),(W98/W2),"")</f>
        <v>0</v>
      </c>
      <c r="X266" s="8">
        <f>IF((X2&gt;0),(X98/X2),"")</f>
        <v>0</v>
      </c>
    </row>
    <row r="267">
      <c r="A267" s="0" t="inlineStr">
        <is>
          <t xml:space="preserve">Pipeline per $ of spend</t>
        </is>
      </c>
      <c r="B267" s="0" t="inlineStr">
        <is>
          <t xml:space="preserve">Inbound (web &amp; content)</t>
        </is>
      </c>
      <c r="C267" s="0" t="inlineStr">
        <is>
          <t xml:space="preserve">AMER West</t>
        </is>
      </c>
      <c r="D267" s="8">
        <f>IF((D3&gt;0),(D99/D3),"")</f>
        <v>21.126331811263316</v>
      </c>
      <c r="E267" s="8">
        <f>IF((E3&gt;0),(E99/E3),"")</f>
        <v>8.455882352941176</v>
      </c>
      <c r="F267" s="8">
        <f>IF((F3&gt;0),(F99/F3),"")</f>
        <v>6.879478827361564</v>
      </c>
      <c r="G267" s="8">
        <f>IF((G3&gt;0),(G99/G3),"")</f>
        <v>11.338235294117647</v>
      </c>
      <c r="H267" s="8">
        <f>IF((H3&gt;0),(H99/H3),"")</f>
        <v>25.13950073421439</v>
      </c>
      <c r="I267" s="8">
        <f>IF((I3&gt;0),(I99/I3),"")</f>
        <v>7.777082028804007</v>
      </c>
      <c r="J267" s="8">
        <f>IF((J3&gt;0),(J99/J3),"")</f>
        <v>65.4871395167576</v>
      </c>
      <c r="K267" s="8">
        <f>IF((K3&gt;0),(K99/K3),"")</f>
        <v>74.13902053712481</v>
      </c>
      <c r="L267" s="8">
        <f>IF((L3&gt;0),(L99/L3),"")</f>
        <v>26.75207756232687</v>
      </c>
      <c r="M267" s="8">
        <f>IF((M3&gt;0),(M99/M3),"")</f>
        <v>33.04347826086956</v>
      </c>
      <c r="N267" s="8">
        <f>IF((N3&gt;0),(N99/N3),"")</f>
        <v>71.15796098174953</v>
      </c>
      <c r="O267" s="8">
        <f>IF((O3&gt;0),(O99/O3),"")</f>
        <v>13.621424223980524</v>
      </c>
      <c r="P267" s="8">
        <f>IF((P3&gt;0),(P99/P3),"")</f>
        <v>50.68634179821551</v>
      </c>
      <c r="Q267" s="8">
        <f>IF((Q3&gt;0),(Q99/Q3),"")</f>
        <v>27.514285714285716</v>
      </c>
      <c r="R267" s="8">
        <f>IF((R3&gt;0),(R99/R3),"")</f>
        <v>38.41280209013716</v>
      </c>
      <c r="S267" s="8">
        <f>IF((S3&gt;0),(S99/S3),"")</f>
        <v>50.953453453453456</v>
      </c>
      <c r="T267" s="8">
        <f>IF((T3&gt;0),(T99/T3),"")</f>
        <v>6.9581749049429655</v>
      </c>
      <c r="U267" s="8">
        <f>IF((U3&gt;0),(U99/U3),"")</f>
        <v>7.110582639714625</v>
      </c>
      <c r="V267" s="8">
        <f>IF((V3&gt;0),(V99/V3),"")</f>
        <v>0</v>
      </c>
      <c r="W267" s="8">
        <f>IF((W3&gt;0),(W99/W3),"")</f>
        <v>0</v>
      </c>
      <c r="X267" s="8">
        <f>IF((X3&gt;0),(X99/X3),"")</f>
        <v>0</v>
      </c>
    </row>
    <row r="268">
      <c r="A268" s="0" t="inlineStr">
        <is>
          <t xml:space="preserve">Pipeline per $ of spend</t>
        </is>
      </c>
      <c r="B268" s="0" t="inlineStr">
        <is>
          <t xml:space="preserve">Inbound (web &amp; content)</t>
        </is>
      </c>
      <c r="C268" s="0" t="inlineStr">
        <is>
          <t xml:space="preserve">EMEA</t>
        </is>
      </c>
      <c r="D268" s="8">
        <f>IF((D4&gt;0),(D100/D4),"")</f>
        <v>17.19326383319968</v>
      </c>
      <c r="E268" s="8">
        <f>IF((E4&gt;0),(E100/E4),"")</f>
        <v>40.753768844221106</v>
      </c>
      <c r="F268" s="8">
        <f>IF((F4&gt;0),(F100/F4),"")</f>
        <v>31.55367231638418</v>
      </c>
      <c r="G268" s="8">
        <f>IF((G4&gt;0),(G100/G4),"")</f>
        <v>69.18712955122777</v>
      </c>
      <c r="H268" s="8">
        <f>IF((H4&gt;0),(H100/H4),"")</f>
        <v>21.242884250474383</v>
      </c>
      <c r="I268" s="8">
        <f>IF((I4&gt;0),(I100/I4),"")</f>
        <v>10.573248407643312</v>
      </c>
      <c r="J268" s="8">
        <f>IF((J4&gt;0),(J100/J4),"")</f>
        <v>73.65686274509804</v>
      </c>
      <c r="K268" s="8">
        <f>IF((K4&gt;0),(K100/K4),"")</f>
        <v>41.35078534031414</v>
      </c>
      <c r="L268" s="8">
        <f>IF((L4&gt;0),(L100/L4),"")</f>
        <v>44.71666666666667</v>
      </c>
      <c r="M268" s="8">
        <f>IF((M4&gt;0),(M100/M4),"")</f>
        <v>37.918898240244836</v>
      </c>
      <c r="N268" s="8">
        <f>IF((N4&gt;0),(N100/N4),"")</f>
        <v>11.27946127946128</v>
      </c>
      <c r="O268" s="8">
        <f>IF((O4&gt;0),(O100/O4),"")</f>
        <v>10.69888961463096</v>
      </c>
      <c r="P268" s="8">
        <f>IF((P4&gt;0),(P100/P4),"")</f>
        <v>54.29352780309936</v>
      </c>
      <c r="Q268" s="8">
        <f>IF((Q4&gt;0),(Q100/Q4),"")</f>
        <v>14.269162210338681</v>
      </c>
      <c r="R268" s="8">
        <f>IF((R4&gt;0),(R100/R4),"")</f>
        <v>40.45096635647817</v>
      </c>
      <c r="S268" s="8">
        <f>IF((S4&gt;0),(S100/S4),"")</f>
        <v>42.22993062438057</v>
      </c>
      <c r="T268" s="8">
        <f>IF((T4&gt;0),(T100/T4),"")</f>
        <v>57.83472803347281</v>
      </c>
      <c r="U268" s="8">
        <f>IF((U4&gt;0),(U100/U4),"")</f>
        <v>14.243301955104997</v>
      </c>
      <c r="V268" s="8">
        <f>IF((V4&gt;0),(V100/V4),"")</f>
        <v>0</v>
      </c>
      <c r="W268" s="8">
        <f>IF((W4&gt;0),(W100/W4),"")</f>
        <v>0</v>
      </c>
      <c r="X268" s="8">
        <f>IF((X4&gt;0),(X100/X4),"")</f>
        <v>0</v>
      </c>
    </row>
    <row r="269">
      <c r="A269" s="0" t="inlineStr">
        <is>
          <t xml:space="preserve">Pipeline per $ of spend</t>
        </is>
      </c>
      <c r="B269" s="0" t="inlineStr">
        <is>
          <t xml:space="preserve">Inbound (web &amp; content)</t>
        </is>
      </c>
      <c r="C269" s="0" t="inlineStr">
        <is>
          <t xml:space="preserve">APAC</t>
        </is>
      </c>
      <c r="D269" s="8">
        <f>IF((D5&gt;0),(D101/D5),"")</f>
        <v>7.691309987029832</v>
      </c>
      <c r="E269" s="8">
        <f>IF((E5&gt;0),(E101/E5),"")</f>
        <v>22.511737089201876</v>
      </c>
      <c r="F269" s="8">
        <f>IF((F5&gt;0),(F101/F5),"")</f>
        <v>18.06613226452906</v>
      </c>
      <c r="G269" s="8">
        <f>IF((G5&gt;0),(G101/G5),"")</f>
        <v>56.48979591836735</v>
      </c>
      <c r="H269" s="8">
        <f>IF((H5&gt;0),(H101/H5),"")</f>
        <v>34.40060698027314</v>
      </c>
      <c r="I269" s="8">
        <f>IF((I5&gt;0),(I101/I5),"")</f>
        <v>65.17580872011251</v>
      </c>
      <c r="J269" s="8">
        <f>IF((J5&gt;0),(J101/J5),"")</f>
        <v>5.409309791332263</v>
      </c>
      <c r="K269" s="8">
        <f>IF((K5&gt;0),(K101/K5),"")</f>
        <v>2.536115569823435</v>
      </c>
      <c r="L269" s="8">
        <f>IF((L5&gt;0),(L101/L5),"")</f>
        <v>2.772277227722772</v>
      </c>
      <c r="M269" s="8">
        <f>IF((M5&gt;0),(M101/M5),"")</f>
        <v>6.093247588424437</v>
      </c>
      <c r="N269" s="8">
        <f>IF((N5&gt;0),(N101/N5),"")</f>
        <v>14.287690179806363</v>
      </c>
      <c r="O269" s="8">
        <f>IF((O5&gt;0),(O101/O5),"")</f>
        <v>52.80364372469636</v>
      </c>
      <c r="P269" s="8">
        <f>IF((P5&gt;0),(P101/P5),"")</f>
        <v>27.75862068965517</v>
      </c>
      <c r="Q269" s="8">
        <f>IF((Q5&gt;0),(Q101/Q5),"")</f>
        <v>13.161764705882353</v>
      </c>
      <c r="R269" s="8">
        <f>IF((R5&gt;0),(R101/R5),"")</f>
        <v>80</v>
      </c>
      <c r="S269" s="8">
        <f>IF((S5&gt;0),(S101/S5),"")</f>
        <v>39.22861150070126</v>
      </c>
      <c r="T269" s="8">
        <f>IF((T5&gt;0),(T101/T5),"")</f>
        <v>100.47945205479452</v>
      </c>
      <c r="U269" s="8">
        <f>IF((U5&gt;0),(U101/U5),"")</f>
        <v>18.447653429602887</v>
      </c>
      <c r="V269" s="8">
        <f>IF((V5&gt;0),(V101/V5),"")</f>
        <v>0</v>
      </c>
      <c r="W269" s="8">
        <f>IF((W5&gt;0),(W101/W5),"")</f>
        <v>0</v>
      </c>
      <c r="X269" s="8">
        <f>IF((X5&gt;0),(X101/X5),"")</f>
        <v>0</v>
      </c>
    </row>
    <row r="270">
      <c r="A270" s="0" t="inlineStr">
        <is>
          <t xml:space="preserve">Pipeline per $ of spend</t>
        </is>
      </c>
      <c r="B270" s="0" t="inlineStr">
        <is>
          <t xml:space="preserve">Paid digital</t>
        </is>
      </c>
      <c r="C270" s="0" t="inlineStr">
        <is>
          <t xml:space="preserve">AMER East</t>
        </is>
      </c>
      <c r="D270" s="8">
        <f>IF((D6&gt;0),(D102/D6),"")</f>
        <v>1.7438378253858557</v>
      </c>
      <c r="E270" s="8">
        <f>IF((E6&gt;0),(E102/E6),"")</f>
        <v>4.27190332326284</v>
      </c>
      <c r="F270" s="8">
        <f>IF((F6&gt;0),(F102/F6),"")</f>
        <v>7.412714429868819</v>
      </c>
      <c r="G270" s="8">
        <f>IF((G6&gt;0),(G102/G6),"")</f>
        <v>4.8950590292960205</v>
      </c>
      <c r="H270" s="8">
        <f>IF((H6&gt;0),(H102/H6),"")</f>
        <v>0.8479604449938195</v>
      </c>
      <c r="I270" s="8">
        <f>IF((I6&gt;0),(I102/I6),"")</f>
        <v>4.631987912799482</v>
      </c>
      <c r="J270" s="8">
        <f>IF((J6&gt;0),(J102/J6),"")</f>
        <v>1.2665684830633284</v>
      </c>
      <c r="K270" s="8">
        <f>IF((K6&gt;0),(K102/K6),"")</f>
        <v>2.8392370572207084</v>
      </c>
      <c r="L270" s="8">
        <f>IF((L6&gt;0),(L102/L6),"")</f>
        <v>2.6508407517309593</v>
      </c>
      <c r="M270" s="8">
        <f>IF((M6&gt;0),(M102/M6),"")</f>
        <v>5.939918070095585</v>
      </c>
      <c r="N270" s="8">
        <f>IF((N6&gt;0),(N102/N6),"")</f>
        <v>3.0224418365246035</v>
      </c>
      <c r="O270" s="8">
        <f>IF((O6&gt;0),(O102/O6),"")</f>
        <v>1.8498712616359676</v>
      </c>
      <c r="P270" s="8">
        <f>IF((P6&gt;0),(P102/P6),"")</f>
        <v>5.726227795193313</v>
      </c>
      <c r="Q270" s="8">
        <f>IF((Q6&gt;0),(Q102/Q6),"")</f>
        <v>18.126749300279887</v>
      </c>
      <c r="R270" s="8">
        <f>IF((R6&gt;0),(R102/R6),"")</f>
        <v>3.1676094075617742</v>
      </c>
      <c r="S270" s="8">
        <f>IF((S6&gt;0),(S102/S6),"")</f>
        <v>8.487174308220562</v>
      </c>
      <c r="T270" s="8">
        <f>IF((T6&gt;0),(T102/T6),"")</f>
        <v>21.862967157417895</v>
      </c>
      <c r="U270" s="8">
        <f>IF((U6&gt;0),(U102/U6),"")</f>
        <v>7.242496221118549</v>
      </c>
      <c r="V270" s="8">
        <f>IF((V6&gt;0),(V102/V6),"")</f>
        <v>0</v>
      </c>
      <c r="W270" s="8">
        <f>IF((W6&gt;0),(W102/W6),"")</f>
        <v>0</v>
      </c>
      <c r="X270" s="8">
        <f>IF((X6&gt;0),(X102/X6),"")</f>
        <v>0</v>
      </c>
    </row>
    <row r="271">
      <c r="A271" s="0" t="inlineStr">
        <is>
          <t xml:space="preserve">Pipeline per $ of spend</t>
        </is>
      </c>
      <c r="B271" s="0" t="inlineStr">
        <is>
          <t xml:space="preserve">Paid digital</t>
        </is>
      </c>
      <c r="C271" s="0" t="inlineStr">
        <is>
          <t xml:space="preserve">AMER West</t>
        </is>
      </c>
      <c r="D271" s="8">
        <f>IF((D7&gt;0),(D103/D7),"")</f>
        <v>2.364021164021164</v>
      </c>
      <c r="E271" s="8">
        <f>IF((E7&gt;0),(E103/E7),"")</f>
        <v>3.013456871828811</v>
      </c>
      <c r="F271" s="8">
        <f>IF((F7&gt;0),(F103/F7),"")</f>
        <v>3.3563714902807775</v>
      </c>
      <c r="G271" s="8">
        <f>IF((G7&gt;0),(G103/G7),"")</f>
        <v>0.6764615855524947</v>
      </c>
      <c r="H271" s="8">
        <f>IF((H7&gt;0),(H103/H7),"")</f>
        <v>1.5080243497509684</v>
      </c>
      <c r="I271" s="8">
        <f>IF((I7&gt;0),(I103/I7),"")</f>
        <v>2.818569398389389</v>
      </c>
      <c r="J271" s="8">
        <f>IF((J7&gt;0),(J103/J7),"")</f>
        <v>7.137320044296788</v>
      </c>
      <c r="K271" s="8">
        <f>IF((K7&gt;0),(K103/K7),"")</f>
        <v>12.066844919786096</v>
      </c>
      <c r="L271" s="8">
        <f>IF((L7&gt;0),(L103/L7),"")</f>
        <v>5.294897282968853</v>
      </c>
      <c r="M271" s="8">
        <f>IF((M7&gt;0),(M103/M7),"")</f>
        <v>1.2767108466324046</v>
      </c>
      <c r="N271" s="8">
        <f>IF((N7&gt;0),(N103/N7),"")</f>
        <v>4.350269257785062</v>
      </c>
      <c r="O271" s="8">
        <f>IF((O7&gt;0),(O103/O7),"")</f>
        <v>5.349029326724494</v>
      </c>
      <c r="P271" s="8">
        <f>IF((P7&gt;0),(P103/P7),"")</f>
        <v>7.316823577568563</v>
      </c>
      <c r="Q271" s="8">
        <f>IF((Q7&gt;0),(Q103/Q7),"")</f>
        <v>6.684480547242411</v>
      </c>
      <c r="R271" s="8">
        <f>IF((R7&gt;0),(R103/R7),"")</f>
        <v>8.072573839662446</v>
      </c>
      <c r="S271" s="8">
        <f>IF((S7&gt;0),(S103/S7),"")</f>
        <v>4.468085106382978</v>
      </c>
      <c r="T271" s="8">
        <f>IF((T7&gt;0),(T103/T7),"")</f>
        <v>5.347581023954908</v>
      </c>
      <c r="U271" s="8">
        <f>IF((U7&gt;0),(U103/U7),"")</f>
        <v>2.7845528455284554</v>
      </c>
      <c r="V271" s="8">
        <f>IF((V7&gt;0),(V103/V7),"")</f>
        <v>0</v>
      </c>
      <c r="W271" s="8">
        <f>IF((W7&gt;0),(W103/W7),"")</f>
        <v>0</v>
      </c>
      <c r="X271" s="8">
        <f>IF((X7&gt;0),(X103/X7),"")</f>
        <v>0</v>
      </c>
    </row>
    <row r="272">
      <c r="A272" s="0" t="inlineStr">
        <is>
          <t xml:space="preserve">Pipeline per $ of spend</t>
        </is>
      </c>
      <c r="B272" s="0" t="inlineStr">
        <is>
          <t xml:space="preserve">Paid digital</t>
        </is>
      </c>
      <c r="C272" s="0" t="inlineStr">
        <is>
          <t xml:space="preserve">EMEA</t>
        </is>
      </c>
      <c r="D272" s="8">
        <f>IF((D8&gt;0),(D104/D8),"")</f>
        <v>8.586829153972346</v>
      </c>
      <c r="E272" s="8">
        <f>IF((E8&gt;0),(E104/E8),"")</f>
        <v>1.0306553911205074</v>
      </c>
      <c r="F272" s="8">
        <f>IF((F8&gt;0),(F104/F8),"")</f>
        <v>9.388372093023255</v>
      </c>
      <c r="G272" s="8">
        <f>IF((G8&gt;0),(G104/G8),"")</f>
        <v>2.986309184255562</v>
      </c>
      <c r="H272" s="8">
        <f>IF((H8&gt;0),(H104/H8),"")</f>
        <v>4.943521594684386</v>
      </c>
      <c r="I272" s="8">
        <f>IF((I8&gt;0),(I104/I8),"")</f>
        <v>1.65446941975954</v>
      </c>
      <c r="J272" s="8">
        <f>IF((J8&gt;0),(J104/J8),"")</f>
        <v>0.8452807646356033</v>
      </c>
      <c r="K272" s="8">
        <f>IF((K8&gt;0),(K104/K8),"")</f>
        <v>4.719598583234947</v>
      </c>
      <c r="L272" s="8">
        <f>IF((L8&gt;0),(L104/L8),"")</f>
        <v>0.6323529411764706</v>
      </c>
      <c r="M272" s="8">
        <f>IF((M8&gt;0),(M104/M8),"")</f>
        <v>4.385045422781272</v>
      </c>
      <c r="N272" s="8">
        <f>IF((N8&gt;0),(N104/N8),"")</f>
        <v>1.2815930559101354</v>
      </c>
      <c r="O272" s="8">
        <f>IF((O8&gt;0),(O104/O8),"")</f>
        <v>1.594634873323398</v>
      </c>
      <c r="P272" s="8">
        <f>IF((P8&gt;0),(P104/P8),"")</f>
        <v>1.5256627185561196</v>
      </c>
      <c r="Q272" s="8">
        <f>IF((Q8&gt;0),(Q104/Q8),"")</f>
        <v>0.8227355307552556</v>
      </c>
      <c r="R272" s="8">
        <f>IF((R8&gt;0),(R104/R8),"")</f>
        <v>2.644252612448887</v>
      </c>
      <c r="S272" s="8">
        <f>IF((S8&gt;0),(S104/S8),"")</f>
        <v>7.9866332497911445</v>
      </c>
      <c r="T272" s="8">
        <f>IF((T8&gt;0),(T104/T8),"")</f>
        <v>1.5587529976019185</v>
      </c>
      <c r="U272" s="8">
        <f>IF((U8&gt;0),(U104/U8),"")</f>
        <v>1.9432835820895522</v>
      </c>
      <c r="V272" s="8">
        <f>IF((V8&gt;0),(V104/V8),"")</f>
        <v>0</v>
      </c>
      <c r="W272" s="8">
        <f>IF((W8&gt;0),(W104/W8),"")</f>
        <v>0</v>
      </c>
      <c r="X272" s="8">
        <f>IF((X8&gt;0),(X104/X8),"")</f>
        <v>0</v>
      </c>
    </row>
    <row r="273">
      <c r="A273" s="0" t="inlineStr">
        <is>
          <t xml:space="preserve">Pipeline per $ of spend</t>
        </is>
      </c>
      <c r="B273" s="0" t="inlineStr">
        <is>
          <t xml:space="preserve">Paid digital</t>
        </is>
      </c>
      <c r="C273" s="0" t="inlineStr">
        <is>
          <t xml:space="preserve">APAC</t>
        </is>
      </c>
      <c r="D273" s="8">
        <f>IF((D9&gt;0),(D105/D9),"")</f>
        <v>1.1278863232682061</v>
      </c>
      <c r="E273" s="8">
        <f>IF((E9&gt;0),(E105/E9),"")</f>
        <v>5.408560311284047</v>
      </c>
      <c r="F273" s="8">
        <f>IF((F9&gt;0),(F105/F9),"")</f>
        <v>4.879969992498125</v>
      </c>
      <c r="G273" s="8">
        <f>IF((G9&gt;0),(G105/G9),"")</f>
        <v>0</v>
      </c>
      <c r="H273" s="8">
        <f>IF((H9&gt;0),(H105/H9),"")</f>
        <v>1.0605326876513317</v>
      </c>
      <c r="I273" s="8">
        <f>IF((I9&gt;0),(I105/I9),"")</f>
        <v>1.5435647943387882</v>
      </c>
      <c r="J273" s="8">
        <f>IF((J9&gt;0),(J105/J9),"")</f>
        <v>7.178040020523345</v>
      </c>
      <c r="K273" s="8">
        <f>IF((K9&gt;0),(K105/K9),"")</f>
        <v>0</v>
      </c>
      <c r="L273" s="8">
        <f>IF((L9&gt;0),(L105/L9),"")</f>
        <v>1.246873883529832</v>
      </c>
      <c r="M273" s="8">
        <f>IF((M9&gt;0),(M105/M9),"")</f>
        <v>17.78414517669532</v>
      </c>
      <c r="N273" s="8">
        <f>IF((N9&gt;0),(N105/N9),"")</f>
        <v>7.482300884955753</v>
      </c>
      <c r="O273" s="8">
        <f>IF((O9&gt;0),(O105/O9),"")</f>
        <v>18.441121495327103</v>
      </c>
      <c r="P273" s="8">
        <f>IF((P9&gt;0),(P105/P9),"")</f>
        <v>1.825503355704698</v>
      </c>
      <c r="Q273" s="8">
        <f>IF((Q9&gt;0),(Q105/Q9),"")</f>
        <v>2.399580859238561</v>
      </c>
      <c r="R273" s="8">
        <f>IF((R9&gt;0),(R105/R9),"")</f>
        <v>0.9420496717099629</v>
      </c>
      <c r="S273" s="8">
        <f>IF((S9&gt;0),(S105/S9),"")</f>
        <v>0.5928853754940712</v>
      </c>
      <c r="T273" s="8">
        <f>IF((T9&gt;0),(T105/T9),"")</f>
        <v>0.0998801438274071</v>
      </c>
      <c r="U273" s="8">
        <f>IF((U9&gt;0),(U105/U9),"")</f>
        <v>6.270983213429257</v>
      </c>
      <c r="V273" s="8">
        <f>IF((V9&gt;0),(V105/V9),"")</f>
        <v>0</v>
      </c>
      <c r="W273" s="8">
        <f>IF((W9&gt;0),(W105/W9),"")</f>
        <v>0</v>
      </c>
      <c r="X273" s="8">
        <f>IF((X9&gt;0),(X105/X9),"")</f>
        <v>0</v>
      </c>
    </row>
    <row r="274">
      <c r="A274" s="0" t="inlineStr">
        <is>
          <t xml:space="preserve">Pipeline per $ of spend</t>
        </is>
      </c>
      <c r="B274" s="0" t="inlineStr">
        <is>
          <t xml:space="preserve">Events &amp; field</t>
        </is>
      </c>
      <c r="C274" s="0" t="inlineStr">
        <is>
          <t xml:space="preserve">AMER East</t>
        </is>
      </c>
      <c r="D274" s="8">
        <f>IF((D10&gt;0),(D106/D10),"")</f>
        <v>1.5263157894736843</v>
      </c>
      <c r="E274" s="8">
        <f>IF((E10&gt;0),(E106/E10),"")</f>
        <v>9.905680600214362</v>
      </c>
      <c r="F274" s="8">
        <f>IF((F10&gt;0),(F106/F10),"")</f>
        <v>24.909657320872274</v>
      </c>
      <c r="G274" s="8">
        <f>IF((G10&gt;0),(G106/G10),"")</f>
        <v>3.5815602836879434</v>
      </c>
      <c r="H274" s="8">
        <f>IF((H10&gt;0),(H106/H10),"")</f>
        <v>5.9312320916905446</v>
      </c>
      <c r="I274" s="8">
        <f>IF((I10&gt;0),(I106/I10),"")</f>
        <v>3.529862174578867</v>
      </c>
      <c r="J274" s="8">
        <f>IF((J10&gt;0),(J106/J10),"")</f>
        <v>3.0795004568991775</v>
      </c>
      <c r="K274" s="8">
        <f>IF((K10&gt;0),(K106/K10),"")</f>
        <v>0</v>
      </c>
      <c r="L274" s="8">
        <f>IF((L10&gt;0),(L106/L10),"")</f>
        <v>2.4581939799331103</v>
      </c>
      <c r="M274" s="8">
        <f>IF((M10&gt;0),(M106/M10),"")</f>
        <v>0</v>
      </c>
      <c r="N274" s="8">
        <f>IF((N10&gt;0),(N106/N10),"")</f>
        <v>13.284046692607005</v>
      </c>
      <c r="O274" s="8">
        <f>IF((O10&gt;0),(O106/O10),"")</f>
        <v>13.5003671071953</v>
      </c>
      <c r="P274" s="8">
        <f>IF((P10&gt;0),(P106/P10),"")</f>
        <v>3.980503655564582</v>
      </c>
      <c r="Q274" s="8">
        <f>IF((Q10&gt;0),(Q106/Q10),"")</f>
        <v>7.174468085106383</v>
      </c>
      <c r="R274" s="8">
        <f>IF((R10&gt;0),(R106/R10),"")</f>
        <v>9.831491212176118</v>
      </c>
      <c r="S274" s="8">
        <f>IF((S10&gt;0),(S106/S10),"")</f>
        <v>9.53307392996109</v>
      </c>
      <c r="T274" s="8">
        <f>IF((T10&gt;0),(T106/T10),"")</f>
        <v>2.640067911714771</v>
      </c>
      <c r="U274" s="8">
        <f>IF((U10&gt;0),(U106/U10),"")</f>
        <v>5.7705192629815745</v>
      </c>
      <c r="V274" s="8">
        <f>IF((V10&gt;0),(V106/V10),"")</f>
        <v>0</v>
      </c>
      <c r="W274" s="8">
        <f>IF((W10&gt;0),(W106/W10),"")</f>
        <v>0</v>
      </c>
      <c r="X274" s="8">
        <f>IF((X10&gt;0),(X106/X10),"")</f>
        <v>0</v>
      </c>
    </row>
    <row r="275">
      <c r="A275" s="0" t="inlineStr">
        <is>
          <t xml:space="preserve">Pipeline per $ of spend</t>
        </is>
      </c>
      <c r="B275" s="0" t="inlineStr">
        <is>
          <t xml:space="preserve">Events &amp; field</t>
        </is>
      </c>
      <c r="C275" s="0" t="inlineStr">
        <is>
          <t xml:space="preserve">AMER West</t>
        </is>
      </c>
      <c r="D275" s="8">
        <f>IF((D11&gt;0),(D107/D11),"")</f>
        <v>17.39288969917958</v>
      </c>
      <c r="E275" s="8">
        <f>IF((E11&gt;0),(E107/E11),"")</f>
        <v>2.8112449799196786</v>
      </c>
      <c r="F275" s="8">
        <f>IF((F11&gt;0),(F107/F11),"")</f>
        <v>47.37116764514025</v>
      </c>
      <c r="G275" s="8">
        <f>IF((G11&gt;0),(G107/G11),"")</f>
        <v>2.280701754385965</v>
      </c>
      <c r="H275" s="8">
        <f>IF((H11&gt;0),(H107/H11),"")</f>
        <v>5.054347826086956</v>
      </c>
      <c r="I275" s="8">
        <f>IF((I11&gt;0),(I107/I11),"")</f>
        <v>2.4910714285714284</v>
      </c>
      <c r="J275" s="8">
        <f>IF((J11&gt;0),(J107/J11),"")</f>
        <v>3.887315077116777</v>
      </c>
      <c r="K275" s="8">
        <f>IF((K11&gt;0),(K107/K11),"")</f>
        <v>17.04449152542373</v>
      </c>
      <c r="L275" s="8">
        <f>IF((L11&gt;0),(L107/L11),"")</f>
        <v>1.5458937198067633</v>
      </c>
      <c r="M275" s="8">
        <f>IF((M11&gt;0),(M107/M11),"")</f>
        <v>14.012036108324974</v>
      </c>
      <c r="N275" s="8">
        <f>IF((N11&gt;0),(N107/N11),"")</f>
        <v>15.244239631336406</v>
      </c>
      <c r="O275" s="8">
        <f>IF((O11&gt;0),(O107/O11),"")</f>
        <v>8.369796708615683</v>
      </c>
      <c r="P275" s="8">
        <f>IF((P11&gt;0),(P107/P11),"")</f>
        <v>0.2183406113537118</v>
      </c>
      <c r="Q275" s="8">
        <f>IF((Q11&gt;0),(Q107/Q11),"")</f>
        <v>3.654532476802284</v>
      </c>
      <c r="R275" s="8">
        <f>IF((R11&gt;0),(R107/R11),"")</f>
        <v>9.357836924376848</v>
      </c>
      <c r="S275" s="8">
        <f>IF((S11&gt;0),(S107/S11),"")</f>
        <v>6.891651865008881</v>
      </c>
      <c r="T275" s="8">
        <f>IF((T11&gt;0),(T107/T11),"")</f>
        <v>0.6239015817223199</v>
      </c>
      <c r="U275" s="8">
        <f>IF((U11&gt;0),(U107/U11),"")</f>
        <v>1.7075306479859895</v>
      </c>
      <c r="V275" s="8">
        <f>IF((V11&gt;0),(V107/V11),"")</f>
        <v>0</v>
      </c>
      <c r="W275" s="8">
        <f>IF((W11&gt;0),(W107/W11),"")</f>
        <v>0</v>
      </c>
      <c r="X275" s="8">
        <f>IF((X11&gt;0),(X107/X11),"")</f>
        <v>0</v>
      </c>
    </row>
    <row r="276">
      <c r="A276" s="0" t="inlineStr">
        <is>
          <t xml:space="preserve">Pipeline per $ of spend</t>
        </is>
      </c>
      <c r="B276" s="0" t="inlineStr">
        <is>
          <t xml:space="preserve">Events &amp; field</t>
        </is>
      </c>
      <c r="C276" s="0" t="inlineStr">
        <is>
          <t xml:space="preserve">EMEA</t>
        </is>
      </c>
      <c r="D276" s="8">
        <f>IF((D12&gt;0),(D108/D12),"")</f>
        <v>0.3825136612021858</v>
      </c>
      <c r="E276" s="8">
        <f>IF((E12&gt;0),(E108/E12),"")</f>
        <v>19.189352692075015</v>
      </c>
      <c r="F276" s="8">
        <f>IF((F12&gt;0),(F108/F12),"")</f>
        <v>8.32286995515695</v>
      </c>
      <c r="G276" s="8">
        <f>IF((G12&gt;0),(G108/G12),"")</f>
        <v>14.430512016718913</v>
      </c>
      <c r="H276" s="8">
        <f>IF((H12&gt;0),(H108/H12),"")</f>
        <v>0</v>
      </c>
      <c r="I276" s="8">
        <f>IF((I12&gt;0),(I108/I12),"")</f>
        <v>6.197183098591549</v>
      </c>
      <c r="J276" s="8">
        <f>IF((J12&gt;0),(J108/J12),"")</f>
        <v>14.066919627457745</v>
      </c>
      <c r="K276" s="8">
        <f>IF((K12&gt;0),(K108/K12),"")</f>
        <v>3.0255681818181817</v>
      </c>
      <c r="L276" s="8">
        <f>IF((L12&gt;0),(L108/L12),"")</f>
        <v>10.434362934362934</v>
      </c>
      <c r="M276" s="8">
        <f>IF((M12&gt;0),(M108/M12),"")</f>
        <v>2.1814006888633752</v>
      </c>
      <c r="N276" s="8">
        <f>IF((N12&gt;0),(N108/N12),"")</f>
        <v>12.916265640038498</v>
      </c>
      <c r="O276" s="8">
        <f>IF((O12&gt;0),(O108/O12),"")</f>
        <v>1.2335483870967743</v>
      </c>
      <c r="P276" s="8">
        <f>IF((P12&gt;0),(P108/P12),"")</f>
        <v>13.840653728294178</v>
      </c>
      <c r="Q276" s="8">
        <f>IF((Q12&gt;0),(Q108/Q12),"")</f>
        <v>0.6491063029162747</v>
      </c>
      <c r="R276" s="8">
        <f>IF((R12&gt;0),(R108/R12),"")</f>
        <v>12.064965197215777</v>
      </c>
      <c r="S276" s="8">
        <f>IF((S12&gt;0),(S108/S12),"")</f>
        <v>23.103448275862068</v>
      </c>
      <c r="T276" s="8">
        <f>IF((T12&gt;0),(T108/T12),"")</f>
        <v>6.122448979591836</v>
      </c>
      <c r="U276" s="8">
        <f>IF((U12&gt;0),(U108/U12),"")</f>
        <v>0</v>
      </c>
      <c r="V276" s="8">
        <f>IF((V12&gt;0),(V108/V12),"")</f>
        <v>0</v>
      </c>
      <c r="W276" s="8">
        <f>IF((W12&gt;0),(W108/W12),"")</f>
        <v>0</v>
      </c>
      <c r="X276" s="8">
        <f>IF((X12&gt;0),(X108/X12),"")</f>
        <v>0</v>
      </c>
    </row>
    <row r="277">
      <c r="A277" s="0" t="inlineStr">
        <is>
          <t xml:space="preserve">Pipeline per $ of spend</t>
        </is>
      </c>
      <c r="B277" s="0" t="inlineStr">
        <is>
          <t xml:space="preserve">Events &amp; field</t>
        </is>
      </c>
      <c r="C277" s="0" t="inlineStr">
        <is>
          <t xml:space="preserve">APAC</t>
        </is>
      </c>
      <c r="D277" s="8">
        <f>IF((D13&gt;0),(D109/D13),"")</f>
        <v>7.317460317460317</v>
      </c>
      <c r="E277" s="8">
        <f>IF((E13&gt;0),(E109/E13),"")</f>
        <v>16.334283000949668</v>
      </c>
      <c r="F277" s="8">
        <f>IF((F13&gt;0),(F109/F13),"")</f>
        <v>4.965893587994543</v>
      </c>
      <c r="G277" s="8">
        <f>IF((G13&gt;0),(G109/G13),"")</f>
        <v>4.964438122332859</v>
      </c>
      <c r="H277" s="8">
        <f>IF((H13&gt;0),(H109/H13),"")</f>
        <v>0</v>
      </c>
      <c r="I277" s="8">
        <f>IF((I13&gt;0),(I109/I13),"")</f>
        <v>1.580817051509769</v>
      </c>
      <c r="J277" s="8">
        <f>IF((J13&gt;0),(J109/J13),"")</f>
        <v>7.412987012987013</v>
      </c>
      <c r="K277" s="8">
        <f>IF((K13&gt;0),(K109/K13),"")</f>
        <v>14.186507936507937</v>
      </c>
      <c r="L277" s="8">
        <f>IF((L13&gt;0),(L109/L13),"")</f>
        <v>0</v>
      </c>
      <c r="M277" s="8">
        <f>IF((M13&gt;0),(M109/M13),"")</f>
        <v>0</v>
      </c>
      <c r="N277" s="8">
        <f>IF((N13&gt;0),(N109/N13),"")</f>
        <v>0</v>
      </c>
      <c r="O277" s="8">
        <f>IF((O13&gt;0),(O109/O13),"")</f>
        <v>3.1847914963205235</v>
      </c>
      <c r="P277" s="8">
        <f>IF((P13&gt;0),(P109/P13),"")</f>
        <v>2.6530612244897958</v>
      </c>
      <c r="Q277" s="8">
        <f>IF((Q13&gt;0),(Q109/Q13),"")</f>
        <v>4.442815249266862</v>
      </c>
      <c r="R277" s="8">
        <f>IF((R13&gt;0),(R109/R13),"")</f>
        <v>6.9006849315068495</v>
      </c>
      <c r="S277" s="8">
        <f>IF((S13&gt;0),(S109/S13),"")</f>
        <v>2.129783693843594</v>
      </c>
      <c r="T277" s="8">
        <f>IF((T13&gt;0),(T109/T13),"")</f>
        <v>18.003565062388592</v>
      </c>
      <c r="U277" s="8">
        <f>IF((U13&gt;0),(U109/U13),"")</f>
        <v>0</v>
      </c>
      <c r="V277" s="8">
        <f>IF((V13&gt;0),(V109/V13),"")</f>
        <v>0</v>
      </c>
      <c r="W277" s="8">
        <f>IF((W13&gt;0),(W109/W13),"")</f>
        <v>0</v>
      </c>
      <c r="X277" s="8">
        <f>IF((X13&gt;0),(X109/X13),"")</f>
        <v>0</v>
      </c>
    </row>
    <row r="278">
      <c r="A278" s="0" t="inlineStr">
        <is>
          <t xml:space="preserve">Pipeline per $ of spend</t>
        </is>
      </c>
      <c r="B278" s="0" t="inlineStr">
        <is>
          <t xml:space="preserve">Partner</t>
        </is>
      </c>
      <c r="C278" s="0" t="inlineStr">
        <is>
          <t xml:space="preserve">AMER East</t>
        </is>
      </c>
      <c r="D278" s="8">
        <f>IF((D14&gt;0),(D110/D14),"")</f>
        <v>48.64357864357864</v>
      </c>
      <c r="E278" s="8">
        <f>IF((E14&gt;0),(E110/E14),"")</f>
        <v>25.54982817869416</v>
      </c>
      <c r="F278" s="8">
        <f>IF((F14&gt;0),(F110/F14),"")</f>
        <v>4.299835255354201</v>
      </c>
      <c r="G278" s="8">
        <f>IF((G14&gt;0),(G110/G14),"")</f>
        <v>9.123434704830053</v>
      </c>
      <c r="H278" s="8">
        <f>IF((H14&gt;0),(H110/H14),"")</f>
        <v>5.28</v>
      </c>
      <c r="I278" s="8">
        <f>IF((I14&gt;0),(I110/I14),"")</f>
        <v>170.39518900343643</v>
      </c>
      <c r="J278" s="8">
        <f>IF((J14&gt;0),(J110/J14),"")</f>
        <v>4.525691699604743</v>
      </c>
      <c r="K278" s="8">
        <f>IF((K14&gt;0),(K110/K14),"")</f>
        <v>87.76371308016877</v>
      </c>
      <c r="L278" s="8">
        <f>IF((L14&gt;0),(L110/L14),"")</f>
        <v>23.17211948790896</v>
      </c>
      <c r="M278" s="8">
        <f>IF((M14&gt;0),(M110/M14),"")</f>
        <v>0.8888888888888888</v>
      </c>
      <c r="N278" s="8">
        <f>IF((N14&gt;0),(N110/N14),"")</f>
        <v>11.18421052631579</v>
      </c>
      <c r="O278" s="8">
        <f>IF((O14&gt;0),(O110/O14),"")</f>
        <v>36.721556886227546</v>
      </c>
      <c r="P278" s="8">
        <f>IF((P14&gt;0),(P110/P14),"")</f>
        <v>25.3951367781155</v>
      </c>
      <c r="Q278" s="8">
        <f>IF((Q14&gt;0),(Q110/Q14),"")</f>
        <v>13.452991452991453</v>
      </c>
      <c r="R278" s="8">
        <f>IF((R14&gt;0),(R110/R14),"")</f>
        <v>16.28222523744912</v>
      </c>
      <c r="S278" s="8">
        <f>IF((S14&gt;0),(S110/S14),"")</f>
        <v>21.597744360902254</v>
      </c>
      <c r="T278" s="8">
        <f>IF((T14&gt;0),(T110/T14),"")</f>
        <v>20.03220611916264</v>
      </c>
      <c r="U278" s="8">
        <f>IF((U14&gt;0),(U110/U14),"")</f>
        <v>6.8885191347753745</v>
      </c>
      <c r="V278" s="8">
        <f>IF((V14&gt;0),(V110/V14),"")</f>
        <v>0</v>
      </c>
      <c r="W278" s="8">
        <f>IF((W14&gt;0),(W110/W14),"")</f>
        <v>0</v>
      </c>
      <c r="X278" s="8">
        <f>IF((X14&gt;0),(X110/X14),"")</f>
        <v>0</v>
      </c>
    </row>
    <row r="279">
      <c r="A279" s="0" t="inlineStr">
        <is>
          <t xml:space="preserve">Pipeline per $ of spend</t>
        </is>
      </c>
      <c r="B279" s="0" t="inlineStr">
        <is>
          <t xml:space="preserve">Partner</t>
        </is>
      </c>
      <c r="C279" s="0" t="inlineStr">
        <is>
          <t xml:space="preserve">AMER West</t>
        </is>
      </c>
      <c r="D279" s="8">
        <f>IF((D15&gt;0),(D111/D15),"")</f>
        <v>5.811023622047244</v>
      </c>
      <c r="E279" s="8">
        <f>IF((E15&gt;0),(E111/E15),"")</f>
        <v>10.530303030303031</v>
      </c>
      <c r="F279" s="8">
        <f>IF((F15&gt;0),(F111/F15),"")</f>
        <v>34.56910569105691</v>
      </c>
      <c r="G279" s="8">
        <f>IF((G15&gt;0),(G111/G15),"")</f>
        <v>43.545611015490536</v>
      </c>
      <c r="H279" s="8">
        <f>IF((H15&gt;0),(H111/H15),"")</f>
        <v>5.087378640776699</v>
      </c>
      <c r="I279" s="8">
        <f>IF((I15&gt;0),(I111/I15),"")</f>
        <v>16.65991902834008</v>
      </c>
      <c r="J279" s="8">
        <f>IF((J15&gt;0),(J111/J15),"")</f>
        <v>2.065934065934066</v>
      </c>
      <c r="K279" s="8">
        <f>IF((K15&gt;0),(K111/K15),"")</f>
        <v>32.38900634249472</v>
      </c>
      <c r="L279" s="8">
        <f>IF((L15&gt;0),(L111/L15),"")</f>
        <v>16.25461254612546</v>
      </c>
      <c r="M279" s="8">
        <f>IF((M15&gt;0),(M111/M15),"")</f>
        <v>18.93574297188755</v>
      </c>
      <c r="N279" s="8">
        <f>IF((N15&gt;0),(N111/N15),"")</f>
        <v>36.979166666666664</v>
      </c>
      <c r="O279" s="8">
        <f>IF((O15&gt;0),(O111/O15),"")</f>
        <v>30.825958702064895</v>
      </c>
      <c r="P279" s="8">
        <f>IF((P15&gt;0),(P111/P15),"")</f>
        <v>0</v>
      </c>
      <c r="Q279" s="8">
        <f>IF((Q15&gt;0),(Q111/Q15),"")</f>
        <v>14.424342105263158</v>
      </c>
      <c r="R279" s="8">
        <f>IF((R15&gt;0),(R111/R15),"")</f>
        <v>10.363636363636363</v>
      </c>
      <c r="S279" s="8">
        <f>IF((S15&gt;0),(S111/S15),"")</f>
        <v>5.627306273062731</v>
      </c>
      <c r="T279" s="8">
        <f>IF((T15&gt;0),(T111/T15),"")</f>
        <v>0</v>
      </c>
      <c r="U279" s="8">
        <f>IF((U15&gt;0),(U111/U15),"")</f>
        <v>1.956989247311828</v>
      </c>
      <c r="V279" s="8">
        <f>IF((V15&gt;0),(V111/V15),"")</f>
        <v>0</v>
      </c>
      <c r="W279" s="8">
        <f>IF((W15&gt;0),(W111/W15),"")</f>
        <v>0</v>
      </c>
      <c r="X279" s="8">
        <f>IF((X15&gt;0),(X111/X15),"")</f>
        <v>0</v>
      </c>
    </row>
    <row r="280">
      <c r="A280" s="0" t="inlineStr">
        <is>
          <t xml:space="preserve">Pipeline per $ of spend</t>
        </is>
      </c>
      <c r="B280" s="0" t="inlineStr">
        <is>
          <t xml:space="preserve">Partner</t>
        </is>
      </c>
      <c r="C280" s="0" t="inlineStr">
        <is>
          <t xml:space="preserve">EMEA</t>
        </is>
      </c>
      <c r="D280" s="8">
        <f>IF((D16&gt;0),(D112/D16),"")</f>
        <v>12.715827338129497</v>
      </c>
      <c r="E280" s="8">
        <f>IF((E16&gt;0),(E112/E16),"")</f>
        <v>48.17051509769094</v>
      </c>
      <c r="F280" s="8">
        <f>IF((F16&gt;0),(F112/F16),"")</f>
        <v>6.188679245283019</v>
      </c>
      <c r="G280" s="8">
        <f>IF((G16&gt;0),(G112/G16),"")</f>
        <v>65.46099290780141</v>
      </c>
      <c r="H280" s="8">
        <f>IF((H16&gt;0),(H112/H16),"")</f>
        <v>16.376470588235293</v>
      </c>
      <c r="I280" s="8">
        <f>IF((I16&gt;0),(I112/I16),"")</f>
        <v>10.597014925373134</v>
      </c>
      <c r="J280" s="8">
        <f>IF((J16&gt;0),(J112/J16),"")</f>
        <v>14.240196078431373</v>
      </c>
      <c r="K280" s="8">
        <f>IF((K16&gt;0),(K112/K16),"")</f>
        <v>0</v>
      </c>
      <c r="L280" s="8">
        <f>IF((L16&gt;0),(L112/L16),"")</f>
        <v>28.176470588235293</v>
      </c>
      <c r="M280" s="8">
        <f>IF((M16&gt;0),(M112/M16),"")</f>
        <v>0</v>
      </c>
      <c r="N280" s="8">
        <f>IF((N16&gt;0),(N112/N16),"")</f>
        <v>25.511482254697285</v>
      </c>
      <c r="O280" s="8">
        <f>IF((O16&gt;0),(O112/O16),"")</f>
        <v>23.169877408056042</v>
      </c>
      <c r="P280" s="8">
        <f>IF((P16&gt;0),(P112/P16),"")</f>
        <v>20.956340956340956</v>
      </c>
      <c r="Q280" s="8">
        <f>IF((Q16&gt;0),(Q112/Q16),"")</f>
        <v>17.077534791252486</v>
      </c>
      <c r="R280" s="8">
        <f>IF((R16&gt;0),(R112/R16),"")</f>
        <v>108.50806451612904</v>
      </c>
      <c r="S280" s="8">
        <f>IF((S16&gt;0),(S112/S16),"")</f>
        <v>0</v>
      </c>
      <c r="T280" s="8">
        <f>IF((T16&gt;0),(T112/T16),"")</f>
        <v>3.3169533169533167</v>
      </c>
      <c r="U280" s="8">
        <f>IF((U16&gt;0),(U112/U16),"")</f>
        <v>0</v>
      </c>
      <c r="V280" s="8">
        <f>IF((V16&gt;0),(V112/V16),"")</f>
        <v>0</v>
      </c>
      <c r="W280" s="8">
        <f>IF((W16&gt;0),(W112/W16),"")</f>
        <v>0</v>
      </c>
      <c r="X280" s="8">
        <f>IF((X16&gt;0),(X112/X16),"")</f>
        <v>0</v>
      </c>
    </row>
    <row r="281">
      <c r="A281" s="0" t="inlineStr">
        <is>
          <t xml:space="preserve">Pipeline per $ of spend</t>
        </is>
      </c>
      <c r="B281" s="0" t="inlineStr">
        <is>
          <t xml:space="preserve">Partner</t>
        </is>
      </c>
      <c r="C281" s="0" t="inlineStr">
        <is>
          <t xml:space="preserve">APAC</t>
        </is>
      </c>
      <c r="D281" s="8">
        <f>IF((D17&gt;0),(D113/D17),"")</f>
        <v>18.344594594594593</v>
      </c>
      <c r="E281" s="8">
        <f>IF((E17&gt;0),(E113/E17),"")</f>
        <v>18.909774436090224</v>
      </c>
      <c r="F281" s="8">
        <f>IF((F17&gt;0),(F113/F17),"")</f>
        <v>52.98288508557457</v>
      </c>
      <c r="G281" s="8">
        <f>IF((G17&gt;0),(G113/G17),"")</f>
        <v>0</v>
      </c>
      <c r="H281" s="8">
        <f>IF((H17&gt;0),(H113/H17),"")</f>
        <v>16.5</v>
      </c>
      <c r="I281" s="8">
        <f>IF((I17&gt;0),(I113/I17),"")</f>
        <v>10.426356589147288</v>
      </c>
      <c r="J281" s="8">
        <f>IF((J17&gt;0),(J113/J17),"")</f>
        <v>0</v>
      </c>
      <c r="K281" s="8">
        <f>IF((K17&gt;0),(K113/K17),"")</f>
        <v>13.11284046692607</v>
      </c>
      <c r="L281" s="8">
        <f>IF((L17&gt;0),(L113/L17),"")</f>
        <v>40.0749063670412</v>
      </c>
      <c r="M281" s="8">
        <f>IF((M17&gt;0),(M113/M17),"")</f>
        <v>0</v>
      </c>
      <c r="N281" s="8">
        <f>IF((N17&gt;0),(N113/N17),"")</f>
        <v>6.428571428571429</v>
      </c>
      <c r="O281" s="8">
        <f>IF((O17&gt;0),(O113/O17),"")</f>
        <v>0</v>
      </c>
      <c r="P281" s="8">
        <f>IF((P17&gt;0),(P113/P17),"")</f>
        <v>14.520123839009289</v>
      </c>
      <c r="Q281" s="8">
        <f>IF((Q17&gt;0),(Q113/Q17),"")</f>
        <v>43.116883116883116</v>
      </c>
      <c r="R281" s="8">
        <f>IF((R17&gt;0),(R113/R17),"")</f>
        <v>49.78851963746224</v>
      </c>
      <c r="S281" s="8">
        <f>IF((S17&gt;0),(S113/S17),"")</f>
        <v>0</v>
      </c>
      <c r="T281" s="8">
        <f>IF((T17&gt;0),(T113/T17),"")</f>
        <v>28.99628252788104</v>
      </c>
      <c r="U281" s="8">
        <f>IF((U17&gt;0),(U113/U17),"")</f>
        <v>58.31325301204819</v>
      </c>
      <c r="V281" s="8">
        <f>IF((V17&gt;0),(V113/V17),"")</f>
        <v>0</v>
      </c>
      <c r="W281" s="8">
        <f>IF((W17&gt;0),(W113/W17),"")</f>
        <v>0</v>
      </c>
      <c r="X281" s="8">
        <f>IF((X17&gt;0),(X113/X17),"")</f>
        <v>0</v>
      </c>
    </row>
    <row r="282">
      <c r="A282" s="0" t="inlineStr">
        <is>
          <t xml:space="preserve">Pipeline per $ of spend</t>
        </is>
      </c>
      <c r="B282" s="0" t="inlineStr">
        <is>
          <t xml:space="preserve">Outbound (BDR)</t>
        </is>
      </c>
      <c r="C282" s="0" t="inlineStr">
        <is>
          <t xml:space="preserve">AMER East</t>
        </is>
      </c>
      <c r="D282" s="4">
        <f>IF((D18&gt;0),(D114/D18),"")</f>
      </c>
      <c r="E282" s="4">
        <f>IF((E18&gt;0),(E114/E18),"")</f>
      </c>
      <c r="F282" s="4">
        <f>IF((F18&gt;0),(F114/F18),"")</f>
      </c>
      <c r="G282" s="4">
        <f>IF((G18&gt;0),(G114/G18),"")</f>
      </c>
      <c r="H282" s="4">
        <f>IF((H18&gt;0),(H114/H18),"")</f>
      </c>
      <c r="I282" s="4">
        <f>IF((I18&gt;0),(I114/I18),"")</f>
      </c>
      <c r="J282" s="4">
        <f>IF((J18&gt;0),(J114/J18),"")</f>
      </c>
      <c r="K282" s="4">
        <f>IF((K18&gt;0),(K114/K18),"")</f>
      </c>
      <c r="L282" s="4">
        <f>IF((L18&gt;0),(L114/L18),"")</f>
      </c>
      <c r="M282" s="4">
        <f>IF((M18&gt;0),(M114/M18),"")</f>
      </c>
      <c r="N282" s="4">
        <f>IF((N18&gt;0),(N114/N18),"")</f>
      </c>
      <c r="O282" s="4">
        <f>IF((O18&gt;0),(O114/O18),"")</f>
      </c>
      <c r="P282" s="4">
        <f>IF((P18&gt;0),(P114/P18),"")</f>
      </c>
      <c r="Q282" s="4">
        <f>IF((Q18&gt;0),(Q114/Q18),"")</f>
      </c>
      <c r="R282" s="4">
        <f>IF((R18&gt;0),(R114/R18),"")</f>
      </c>
      <c r="S282" s="4">
        <f>IF((S18&gt;0),(S114/S18),"")</f>
      </c>
      <c r="T282" s="4">
        <f>IF((T18&gt;0),(T114/T18),"")</f>
      </c>
      <c r="U282" s="4">
        <f>IF((U18&gt;0),(U114/U18),"")</f>
      </c>
      <c r="V282" s="4">
        <f>IF((V18&gt;0),(V114/V18),"")</f>
      </c>
      <c r="W282" s="4">
        <f>IF((W18&gt;0),(W114/W18),"")</f>
      </c>
      <c r="X282" s="4">
        <f>IF((X18&gt;0),(X114/X18),"")</f>
      </c>
    </row>
    <row r="283">
      <c r="A283" s="0" t="inlineStr">
        <is>
          <t xml:space="preserve">Pipeline per $ of spend</t>
        </is>
      </c>
      <c r="B283" s="0" t="inlineStr">
        <is>
          <t xml:space="preserve">Outbound (BDR)</t>
        </is>
      </c>
      <c r="C283" s="0" t="inlineStr">
        <is>
          <t xml:space="preserve">AMER West</t>
        </is>
      </c>
      <c r="D283" s="4">
        <f>IF((D19&gt;0),(D115/D19),"")</f>
      </c>
      <c r="E283" s="4">
        <f>IF((E19&gt;0),(E115/E19),"")</f>
      </c>
      <c r="F283" s="4">
        <f>IF((F19&gt;0),(F115/F19),"")</f>
      </c>
      <c r="G283" s="4">
        <f>IF((G19&gt;0),(G115/G19),"")</f>
      </c>
      <c r="H283" s="4">
        <f>IF((H19&gt;0),(H115/H19),"")</f>
      </c>
      <c r="I283" s="4">
        <f>IF((I19&gt;0),(I115/I19),"")</f>
      </c>
      <c r="J283" s="4">
        <f>IF((J19&gt;0),(J115/J19),"")</f>
      </c>
      <c r="K283" s="4">
        <f>IF((K19&gt;0),(K115/K19),"")</f>
      </c>
      <c r="L283" s="4">
        <f>IF((L19&gt;0),(L115/L19),"")</f>
      </c>
      <c r="M283" s="4">
        <f>IF((M19&gt;0),(M115/M19),"")</f>
      </c>
      <c r="N283" s="4">
        <f>IF((N19&gt;0),(N115/N19),"")</f>
      </c>
      <c r="O283" s="4">
        <f>IF((O19&gt;0),(O115/O19),"")</f>
      </c>
      <c r="P283" s="4">
        <f>IF((P19&gt;0),(P115/P19),"")</f>
      </c>
      <c r="Q283" s="4">
        <f>IF((Q19&gt;0),(Q115/Q19),"")</f>
      </c>
      <c r="R283" s="4">
        <f>IF((R19&gt;0),(R115/R19),"")</f>
      </c>
      <c r="S283" s="4">
        <f>IF((S19&gt;0),(S115/S19),"")</f>
      </c>
      <c r="T283" s="4">
        <f>IF((T19&gt;0),(T115/T19),"")</f>
      </c>
      <c r="U283" s="4">
        <f>IF((U19&gt;0),(U115/U19),"")</f>
      </c>
      <c r="V283" s="4">
        <f>IF((V19&gt;0),(V115/V19),"")</f>
      </c>
      <c r="W283" s="4">
        <f>IF((W19&gt;0),(W115/W19),"")</f>
      </c>
      <c r="X283" s="4">
        <f>IF((X19&gt;0),(X115/X19),"")</f>
      </c>
    </row>
    <row r="284">
      <c r="A284" s="0" t="inlineStr">
        <is>
          <t xml:space="preserve">Pipeline per $ of spend</t>
        </is>
      </c>
      <c r="B284" s="0" t="inlineStr">
        <is>
          <t xml:space="preserve">Outbound (BDR)</t>
        </is>
      </c>
      <c r="C284" s="0" t="inlineStr">
        <is>
          <t xml:space="preserve">EMEA</t>
        </is>
      </c>
      <c r="D284" s="4">
        <f>IF((D20&gt;0),(D116/D20),"")</f>
      </c>
      <c r="E284" s="4">
        <f>IF((E20&gt;0),(E116/E20),"")</f>
      </c>
      <c r="F284" s="4">
        <f>IF((F20&gt;0),(F116/F20),"")</f>
      </c>
      <c r="G284" s="4">
        <f>IF((G20&gt;0),(G116/G20),"")</f>
      </c>
      <c r="H284" s="4">
        <f>IF((H20&gt;0),(H116/H20),"")</f>
      </c>
      <c r="I284" s="4">
        <f>IF((I20&gt;0),(I116/I20),"")</f>
      </c>
      <c r="J284" s="4">
        <f>IF((J20&gt;0),(J116/J20),"")</f>
      </c>
      <c r="K284" s="4">
        <f>IF((K20&gt;0),(K116/K20),"")</f>
      </c>
      <c r="L284" s="4">
        <f>IF((L20&gt;0),(L116/L20),"")</f>
      </c>
      <c r="M284" s="4">
        <f>IF((M20&gt;0),(M116/M20),"")</f>
      </c>
      <c r="N284" s="4">
        <f>IF((N20&gt;0),(N116/N20),"")</f>
      </c>
      <c r="O284" s="4">
        <f>IF((O20&gt;0),(O116/O20),"")</f>
      </c>
      <c r="P284" s="4">
        <f>IF((P20&gt;0),(P116/P20),"")</f>
      </c>
      <c r="Q284" s="4">
        <f>IF((Q20&gt;0),(Q116/Q20),"")</f>
      </c>
      <c r="R284" s="4">
        <f>IF((R20&gt;0),(R116/R20),"")</f>
      </c>
      <c r="S284" s="4">
        <f>IF((S20&gt;0),(S116/S20),"")</f>
      </c>
      <c r="T284" s="4">
        <f>IF((T20&gt;0),(T116/T20),"")</f>
      </c>
      <c r="U284" s="4">
        <f>IF((U20&gt;0),(U116/U20),"")</f>
      </c>
      <c r="V284" s="4">
        <f>IF((V20&gt;0),(V116/V20),"")</f>
      </c>
      <c r="W284" s="4">
        <f>IF((W20&gt;0),(W116/W20),"")</f>
      </c>
      <c r="X284" s="4">
        <f>IF((X20&gt;0),(X116/X20),"")</f>
      </c>
    </row>
    <row r="285">
      <c r="A285" s="0" t="inlineStr">
        <is>
          <t xml:space="preserve">Pipeline per $ of spend</t>
        </is>
      </c>
      <c r="B285" s="0" t="inlineStr">
        <is>
          <t xml:space="preserve">Outbound (BDR)</t>
        </is>
      </c>
      <c r="C285" s="0" t="inlineStr">
        <is>
          <t xml:space="preserve">APAC</t>
        </is>
      </c>
      <c r="D285" s="4">
        <f>IF((D21&gt;0),(D117/D21),"")</f>
      </c>
      <c r="E285" s="4">
        <f>IF((E21&gt;0),(E117/E21),"")</f>
      </c>
      <c r="F285" s="4">
        <f>IF((F21&gt;0),(F117/F21),"")</f>
      </c>
      <c r="G285" s="4">
        <f>IF((G21&gt;0),(G117/G21),"")</f>
      </c>
      <c r="H285" s="4">
        <f>IF((H21&gt;0),(H117/H21),"")</f>
      </c>
      <c r="I285" s="4">
        <f>IF((I21&gt;0),(I117/I21),"")</f>
      </c>
      <c r="J285" s="4">
        <f>IF((J21&gt;0),(J117/J21),"")</f>
      </c>
      <c r="K285" s="4">
        <f>IF((K21&gt;0),(K117/K21),"")</f>
      </c>
      <c r="L285" s="4">
        <f>IF((L21&gt;0),(L117/L21),"")</f>
      </c>
      <c r="M285" s="4">
        <f>IF((M21&gt;0),(M117/M21),"")</f>
      </c>
      <c r="N285" s="4">
        <f>IF((N21&gt;0),(N117/N21),"")</f>
      </c>
      <c r="O285" s="4">
        <f>IF((O21&gt;0),(O117/O21),"")</f>
      </c>
      <c r="P285" s="4">
        <f>IF((P21&gt;0),(P117/P21),"")</f>
      </c>
      <c r="Q285" s="4">
        <f>IF((Q21&gt;0),(Q117/Q21),"")</f>
      </c>
      <c r="R285" s="4">
        <f>IF((R21&gt;0),(R117/R21),"")</f>
      </c>
      <c r="S285" s="4">
        <f>IF((S21&gt;0),(S117/S21),"")</f>
      </c>
      <c r="T285" s="4">
        <f>IF((T21&gt;0),(T117/T21),"")</f>
      </c>
      <c r="U285" s="4">
        <f>IF((U21&gt;0),(U117/U21),"")</f>
      </c>
      <c r="V285" s="4">
        <f>IF((V21&gt;0),(V117/V21),"")</f>
      </c>
      <c r="W285" s="4">
        <f>IF((W21&gt;0),(W117/W21),"")</f>
      </c>
      <c r="X285" s="4">
        <f>IF((X21&gt;0),(X117/X21),"")</f>
      </c>
    </row>
    <row r="286">
      <c r="A286" s="0" t="inlineStr">
        <is>
          <t xml:space="preserve">Pipeline per $ of spend</t>
        </is>
      </c>
      <c r="B286" s="0" t="inlineStr">
        <is>
          <t xml:space="preserve">Customer referral</t>
        </is>
      </c>
      <c r="C286" s="0" t="inlineStr">
        <is>
          <t xml:space="preserve">AMER East</t>
        </is>
      </c>
      <c r="D286" s="4">
        <f>IF((D22&gt;0),(D118/D22),"")</f>
      </c>
      <c r="E286" s="4">
        <f>IF((E22&gt;0),(E118/E22),"")</f>
      </c>
      <c r="F286" s="4">
        <f>IF((F22&gt;0),(F118/F22),"")</f>
      </c>
      <c r="G286" s="4">
        <f>IF((G22&gt;0),(G118/G22),"")</f>
      </c>
      <c r="H286" s="4">
        <f>IF((H22&gt;0),(H118/H22),"")</f>
      </c>
      <c r="I286" s="4">
        <f>IF((I22&gt;0),(I118/I22),"")</f>
      </c>
      <c r="J286" s="4">
        <f>IF((J22&gt;0),(J118/J22),"")</f>
      </c>
      <c r="K286" s="4">
        <f>IF((K22&gt;0),(K118/K22),"")</f>
      </c>
      <c r="L286" s="4">
        <f>IF((L22&gt;0),(L118/L22),"")</f>
      </c>
      <c r="M286" s="4">
        <f>IF((M22&gt;0),(M118/M22),"")</f>
      </c>
      <c r="N286" s="4">
        <f>IF((N22&gt;0),(N118/N22),"")</f>
      </c>
      <c r="O286" s="4">
        <f>IF((O22&gt;0),(O118/O22),"")</f>
      </c>
      <c r="P286" s="4">
        <f>IF((P22&gt;0),(P118/P22),"")</f>
      </c>
      <c r="Q286" s="4">
        <f>IF((Q22&gt;0),(Q118/Q22),"")</f>
      </c>
      <c r="R286" s="4">
        <f>IF((R22&gt;0),(R118/R22),"")</f>
      </c>
      <c r="S286" s="4">
        <f>IF((S22&gt;0),(S118/S22),"")</f>
      </c>
      <c r="T286" s="4">
        <f>IF((T22&gt;0),(T118/T22),"")</f>
      </c>
      <c r="U286" s="4">
        <f>IF((U22&gt;0),(U118/U22),"")</f>
      </c>
      <c r="V286" s="4">
        <f>IF((V22&gt;0),(V118/V22),"")</f>
      </c>
      <c r="W286" s="4">
        <f>IF((W22&gt;0),(W118/W22),"")</f>
      </c>
      <c r="X286" s="4">
        <f>IF((X22&gt;0),(X118/X22),"")</f>
      </c>
    </row>
    <row r="287">
      <c r="A287" s="0" t="inlineStr">
        <is>
          <t xml:space="preserve">Pipeline per $ of spend</t>
        </is>
      </c>
      <c r="B287" s="0" t="inlineStr">
        <is>
          <t xml:space="preserve">Customer referral</t>
        </is>
      </c>
      <c r="C287" s="0" t="inlineStr">
        <is>
          <t xml:space="preserve">AMER West</t>
        </is>
      </c>
      <c r="D287" s="4">
        <f>IF((D23&gt;0),(D119/D23),"")</f>
      </c>
      <c r="E287" s="4">
        <f>IF((E23&gt;0),(E119/E23),"")</f>
      </c>
      <c r="F287" s="4">
        <f>IF((F23&gt;0),(F119/F23),"")</f>
      </c>
      <c r="G287" s="4">
        <f>IF((G23&gt;0),(G119/G23),"")</f>
      </c>
      <c r="H287" s="4">
        <f>IF((H23&gt;0),(H119/H23),"")</f>
      </c>
      <c r="I287" s="4">
        <f>IF((I23&gt;0),(I119/I23),"")</f>
      </c>
      <c r="J287" s="4">
        <f>IF((J23&gt;0),(J119/J23),"")</f>
      </c>
      <c r="K287" s="4">
        <f>IF((K23&gt;0),(K119/K23),"")</f>
      </c>
      <c r="L287" s="4">
        <f>IF((L23&gt;0),(L119/L23),"")</f>
      </c>
      <c r="M287" s="4">
        <f>IF((M23&gt;0),(M119/M23),"")</f>
      </c>
      <c r="N287" s="4">
        <f>IF((N23&gt;0),(N119/N23),"")</f>
      </c>
      <c r="O287" s="4">
        <f>IF((O23&gt;0),(O119/O23),"")</f>
      </c>
      <c r="P287" s="4">
        <f>IF((P23&gt;0),(P119/P23),"")</f>
      </c>
      <c r="Q287" s="4">
        <f>IF((Q23&gt;0),(Q119/Q23),"")</f>
      </c>
      <c r="R287" s="4">
        <f>IF((R23&gt;0),(R119/R23),"")</f>
      </c>
      <c r="S287" s="4">
        <f>IF((S23&gt;0),(S119/S23),"")</f>
      </c>
      <c r="T287" s="4">
        <f>IF((T23&gt;0),(T119/T23),"")</f>
      </c>
      <c r="U287" s="4">
        <f>IF((U23&gt;0),(U119/U23),"")</f>
      </c>
      <c r="V287" s="4">
        <f>IF((V23&gt;0),(V119/V23),"")</f>
      </c>
      <c r="W287" s="4">
        <f>IF((W23&gt;0),(W119/W23),"")</f>
      </c>
      <c r="X287" s="4">
        <f>IF((X23&gt;0),(X119/X23),"")</f>
      </c>
    </row>
    <row r="288">
      <c r="A288" s="0" t="inlineStr">
        <is>
          <t xml:space="preserve">Pipeline per $ of spend</t>
        </is>
      </c>
      <c r="B288" s="0" t="inlineStr">
        <is>
          <t xml:space="preserve">Customer referral</t>
        </is>
      </c>
      <c r="C288" s="0" t="inlineStr">
        <is>
          <t xml:space="preserve">EMEA</t>
        </is>
      </c>
      <c r="D288" s="4">
        <f>IF((D24&gt;0),(D120/D24),"")</f>
      </c>
      <c r="E288" s="4">
        <f>IF((E24&gt;0),(E120/E24),"")</f>
      </c>
      <c r="F288" s="4">
        <f>IF((F24&gt;0),(F120/F24),"")</f>
      </c>
      <c r="G288" s="4">
        <f>IF((G24&gt;0),(G120/G24),"")</f>
      </c>
      <c r="H288" s="4">
        <f>IF((H24&gt;0),(H120/H24),"")</f>
      </c>
      <c r="I288" s="4">
        <f>IF((I24&gt;0),(I120/I24),"")</f>
      </c>
      <c r="J288" s="4">
        <f>IF((J24&gt;0),(J120/J24),"")</f>
      </c>
      <c r="K288" s="4">
        <f>IF((K24&gt;0),(K120/K24),"")</f>
      </c>
      <c r="L288" s="4">
        <f>IF((L24&gt;0),(L120/L24),"")</f>
      </c>
      <c r="M288" s="4">
        <f>IF((M24&gt;0),(M120/M24),"")</f>
      </c>
      <c r="N288" s="4">
        <f>IF((N24&gt;0),(N120/N24),"")</f>
      </c>
      <c r="O288" s="4">
        <f>IF((O24&gt;0),(O120/O24),"")</f>
      </c>
      <c r="P288" s="4">
        <f>IF((P24&gt;0),(P120/P24),"")</f>
      </c>
      <c r="Q288" s="4">
        <f>IF((Q24&gt;0),(Q120/Q24),"")</f>
      </c>
      <c r="R288" s="4">
        <f>IF((R24&gt;0),(R120/R24),"")</f>
      </c>
      <c r="S288" s="4">
        <f>IF((S24&gt;0),(S120/S24),"")</f>
      </c>
      <c r="T288" s="4">
        <f>IF((T24&gt;0),(T120/T24),"")</f>
      </c>
      <c r="U288" s="4">
        <f>IF((U24&gt;0),(U120/U24),"")</f>
      </c>
      <c r="V288" s="4">
        <f>IF((V24&gt;0),(V120/V24),"")</f>
      </c>
      <c r="W288" s="4">
        <f>IF((W24&gt;0),(W120/W24),"")</f>
      </c>
      <c r="X288" s="4">
        <f>IF((X24&gt;0),(X120/X24),"")</f>
      </c>
    </row>
    <row r="289">
      <c r="A289" s="0" t="inlineStr">
        <is>
          <t xml:space="preserve">Pipeline per $ of spend</t>
        </is>
      </c>
      <c r="B289" s="0" t="inlineStr">
        <is>
          <t xml:space="preserve">Customer referral</t>
        </is>
      </c>
      <c r="C289" s="0" t="inlineStr">
        <is>
          <t xml:space="preserve">APAC</t>
        </is>
      </c>
      <c r="D289" s="4">
        <f>IF((D25&gt;0),(D121/D25),"")</f>
      </c>
      <c r="E289" s="4">
        <f>IF((E25&gt;0),(E121/E25),"")</f>
      </c>
      <c r="F289" s="4">
        <f>IF((F25&gt;0),(F121/F25),"")</f>
      </c>
      <c r="G289" s="4">
        <f>IF((G25&gt;0),(G121/G25),"")</f>
      </c>
      <c r="H289" s="4">
        <f>IF((H25&gt;0),(H121/H25),"")</f>
      </c>
      <c r="I289" s="4">
        <f>IF((I25&gt;0),(I121/I25),"")</f>
      </c>
      <c r="J289" s="4">
        <f>IF((J25&gt;0),(J121/J25),"")</f>
      </c>
      <c r="K289" s="4">
        <f>IF((K25&gt;0),(K121/K25),"")</f>
      </c>
      <c r="L289" s="4">
        <f>IF((L25&gt;0),(L121/L25),"")</f>
      </c>
      <c r="M289" s="4">
        <f>IF((M25&gt;0),(M121/M25),"")</f>
      </c>
      <c r="N289" s="4">
        <f>IF((N25&gt;0),(N121/N25),"")</f>
      </c>
      <c r="O289" s="4">
        <f>IF((O25&gt;0),(O121/O25),"")</f>
      </c>
      <c r="P289" s="4">
        <f>IF((P25&gt;0),(P121/P25),"")</f>
      </c>
      <c r="Q289" s="4">
        <f>IF((Q25&gt;0),(Q121/Q25),"")</f>
      </c>
      <c r="R289" s="4">
        <f>IF((R25&gt;0),(R121/R25),"")</f>
      </c>
      <c r="S289" s="4">
        <f>IF((S25&gt;0),(S121/S25),"")</f>
      </c>
      <c r="T289" s="4">
        <f>IF((T25&gt;0),(T121/T25),"")</f>
      </c>
      <c r="U289" s="4">
        <f>IF((U25&gt;0),(U121/U25),"")</f>
      </c>
      <c r="V289" s="4">
        <f>IF((V25&gt;0),(V121/V25),"")</f>
      </c>
      <c r="W289" s="4">
        <f>IF((W25&gt;0),(W121/W25),"")</f>
      </c>
      <c r="X289" s="4">
        <f>IF((X25&gt;0),(X121/X25),"")</f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cols>
    <col min="1" max="1" width="18" customWidth="1"/>
    <col min="2" max="2" width="3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</cols>
  <sheetData>
    <row r="1">
      <c r="A1" s="1" t="inlineStr">
        <is>
          <t xml:space="preserve">line</t>
        </is>
      </c>
      <c r="B1" s="1" t="inlineStr">
        <is>
          <t xml:space="preserve">channel</t>
        </is>
      </c>
      <c r="C1" s="1" t="inlineStr">
        <is>
          <t xml:space="preserve">Apr-25</t>
        </is>
      </c>
      <c r="D1" s="1" t="inlineStr">
        <is>
          <t xml:space="preserve">May-25</t>
        </is>
      </c>
      <c r="E1" s="1" t="inlineStr">
        <is>
          <t xml:space="preserve">Jun-25</t>
        </is>
      </c>
      <c r="F1" s="1" t="inlineStr">
        <is>
          <t xml:space="preserve">Jul-25</t>
        </is>
      </c>
      <c r="G1" s="1" t="inlineStr">
        <is>
          <t xml:space="preserve">Aug-25</t>
        </is>
      </c>
      <c r="H1" s="1" t="inlineStr">
        <is>
          <t xml:space="preserve">Sep-25</t>
        </is>
      </c>
      <c r="I1" s="1" t="inlineStr">
        <is>
          <t xml:space="preserve">Oct-25</t>
        </is>
      </c>
      <c r="J1" s="1" t="inlineStr">
        <is>
          <t xml:space="preserve">Nov-25</t>
        </is>
      </c>
      <c r="K1" s="1" t="inlineStr">
        <is>
          <t xml:space="preserve">Dec-25</t>
        </is>
      </c>
      <c r="L1" s="1" t="inlineStr">
        <is>
          <t xml:space="preserve">Jan-26</t>
        </is>
      </c>
      <c r="M1" s="1" t="inlineStr">
        <is>
          <t xml:space="preserve">Feb-26</t>
        </is>
      </c>
      <c r="N1" s="1" t="inlineStr">
        <is>
          <t xml:space="preserve">Mar-26</t>
        </is>
      </c>
      <c r="O1" s="1" t="inlineStr">
        <is>
          <t xml:space="preserve">Apr-26</t>
        </is>
      </c>
      <c r="P1" s="1" t="inlineStr">
        <is>
          <t xml:space="preserve">May-26</t>
        </is>
      </c>
      <c r="Q1" s="1" t="inlineStr">
        <is>
          <t xml:space="preserve">Jun-26</t>
        </is>
      </c>
      <c r="R1" s="1" t="inlineStr">
        <is>
          <t xml:space="preserve">Jul-26</t>
        </is>
      </c>
      <c r="S1" s="1" t="inlineStr">
        <is>
          <t xml:space="preserve">Aug-26</t>
        </is>
      </c>
      <c r="T1" s="1" t="inlineStr">
        <is>
          <t xml:space="preserve">Sep-26</t>
        </is>
      </c>
      <c r="U1" s="1" t="inlineStr">
        <is>
          <t xml:space="preserve">Oct-26</t>
        </is>
      </c>
      <c r="V1" s="1" t="inlineStr">
        <is>
          <t xml:space="preserve">Nov-26</t>
        </is>
      </c>
      <c r="W1" s="1" t="inlineStr">
        <is>
          <t xml:space="preserve">Dec-26</t>
        </is>
      </c>
    </row>
    <row r="2">
      <c r="A2" s="0" t="inlineStr">
        <is>
          <t xml:space="preserve">Spend</t>
        </is>
      </c>
      <c r="B2" s="0" t="inlineStr">
        <is>
          <t xml:space="preserve">Inbound (web &amp; content)</t>
        </is>
      </c>
      <c r="C2" s="4">
        <f>SUM('Marketing funnel by channel and'!D2:D5)</f>
        <v>50070</v>
      </c>
      <c r="D2" s="4">
        <f>SUM('Marketing funnel by channel and'!E2:E5)</f>
        <v>52670</v>
      </c>
      <c r="E2" s="4">
        <f>SUM('Marketing funnel by channel and'!F2:F5)</f>
        <v>57770</v>
      </c>
      <c r="F2" s="4">
        <f>SUM('Marketing funnel by channel and'!G2:G5)</f>
        <v>47650</v>
      </c>
      <c r="G2" s="4">
        <f>SUM('Marketing funnel by channel and'!H2:H5)</f>
        <v>45110</v>
      </c>
      <c r="H2" s="4">
        <f>SUM('Marketing funnel by channel and'!I2:I5)</f>
        <v>51040</v>
      </c>
      <c r="I2" s="4">
        <f>SUM('Marketing funnel by channel and'!J2:J5)</f>
        <v>40960</v>
      </c>
      <c r="J2" s="4">
        <f>SUM('Marketing funnel by channel and'!K2:K5)</f>
        <v>41030</v>
      </c>
      <c r="K2" s="4">
        <f>SUM('Marketing funnel by channel and'!L2:L5)</f>
        <v>50090</v>
      </c>
      <c r="L2" s="4">
        <f>SUM('Marketing funnel by channel and'!M2:M5)</f>
        <v>44690</v>
      </c>
      <c r="M2" s="4">
        <f>SUM('Marketing funnel by channel and'!N2:N5)</f>
        <v>50670</v>
      </c>
      <c r="N2" s="4">
        <f>SUM('Marketing funnel by channel and'!O2:O5)</f>
        <v>60640</v>
      </c>
      <c r="O2" s="4">
        <f>SUM('Marketing funnel by channel and'!P2:P5)</f>
        <v>49650</v>
      </c>
      <c r="P2" s="4">
        <f>SUM('Marketing funnel by channel and'!Q2:Q5)</f>
        <v>49120</v>
      </c>
      <c r="Q2" s="4">
        <f>SUM('Marketing funnel by channel and'!R2:R5)</f>
        <v>54270</v>
      </c>
      <c r="R2" s="4">
        <f>SUM('Marketing funnel by channel and'!S2:S5)</f>
        <v>44320</v>
      </c>
      <c r="S2" s="4">
        <f>SUM('Marketing funnel by channel and'!T2:T5)</f>
        <v>41270</v>
      </c>
      <c r="T2" s="4">
        <f>SUM('Marketing funnel by channel and'!U2:U5)</f>
        <v>55310</v>
      </c>
      <c r="U2" s="4">
        <f>SUM('Marketing funnel by channel and'!V2:V5)</f>
        <v>41860</v>
      </c>
      <c r="V2" s="4">
        <f>SUM('Marketing funnel by channel and'!W2:W5)</f>
        <v>40330</v>
      </c>
      <c r="W2" s="4">
        <f>SUM('Marketing funnel by channel and'!X2:X5)</f>
        <v>50370</v>
      </c>
    </row>
    <row r="3">
      <c r="A3" s="0" t="inlineStr">
        <is>
          <t xml:space="preserve">Spend</t>
        </is>
      </c>
      <c r="B3" s="0" t="inlineStr">
        <is>
          <t xml:space="preserve">Paid digital</t>
        </is>
      </c>
      <c r="C3" s="4">
        <f>SUM('Marketing funnel by channel and'!D6:D9)</f>
        <v>155850</v>
      </c>
      <c r="D3" s="4">
        <f>SUM('Marketing funnel by channel and'!E6:E9)</f>
        <v>158520</v>
      </c>
      <c r="E3" s="4">
        <f>SUM('Marketing funnel by channel and'!F6:F9)</f>
        <v>165510</v>
      </c>
      <c r="F3" s="4">
        <f>SUM('Marketing funnel by channel and'!G6:G9)</f>
        <v>133030</v>
      </c>
      <c r="G3" s="4">
        <f>SUM('Marketing funnel by channel and'!H6:H9)</f>
        <v>127340</v>
      </c>
      <c r="H3" s="4">
        <f>SUM('Marketing funnel by channel and'!I6:I9)</f>
        <v>149420</v>
      </c>
      <c r="I3" s="4">
        <f>SUM('Marketing funnel by channel and'!J6:J9)</f>
        <v>123040</v>
      </c>
      <c r="J3" s="4">
        <f>SUM('Marketing funnel by channel and'!K6:K9)</f>
        <v>126520</v>
      </c>
      <c r="K3" s="4">
        <f>SUM('Marketing funnel by channel and'!L6:L9)</f>
        <v>157810</v>
      </c>
      <c r="L3" s="4">
        <f>SUM('Marketing funnel by channel and'!M6:M9)</f>
        <v>130470</v>
      </c>
      <c r="M3" s="4">
        <f>SUM('Marketing funnel by channel and'!N6:N9)</f>
        <v>153050</v>
      </c>
      <c r="N3" s="4">
        <f>SUM('Marketing funnel by channel and'!O6:O9)</f>
        <v>165920</v>
      </c>
      <c r="O3" s="4">
        <f>SUM('Marketing funnel by channel and'!P6:P9)</f>
        <v>154520</v>
      </c>
      <c r="P3" s="4">
        <f>SUM('Marketing funnel by channel and'!Q6:Q9)</f>
        <v>163960</v>
      </c>
      <c r="Q3" s="4">
        <f>SUM('Marketing funnel by channel and'!R6:R9)</f>
        <v>205480</v>
      </c>
      <c r="R3" s="4">
        <f>SUM('Marketing funnel by channel and'!S6:S9)</f>
        <v>154430</v>
      </c>
      <c r="S3" s="4">
        <f>SUM('Marketing funnel by channel and'!T6:T9)</f>
        <v>158120</v>
      </c>
      <c r="T3" s="4">
        <f>SUM('Marketing funnel by channel and'!U6:U9)</f>
        <v>149110</v>
      </c>
      <c r="U3" s="4">
        <f>SUM('Marketing funnel by channel and'!V6:V9)</f>
        <v>134810</v>
      </c>
      <c r="V3" s="4">
        <f>SUM('Marketing funnel by channel and'!W6:W9)</f>
        <v>146450</v>
      </c>
      <c r="W3" s="4">
        <f>SUM('Marketing funnel by channel and'!X6:X9)</f>
        <v>178120</v>
      </c>
    </row>
    <row r="4">
      <c r="A4" s="0" t="inlineStr">
        <is>
          <t xml:space="preserve">Spend</t>
        </is>
      </c>
      <c r="B4" s="0" t="inlineStr">
        <is>
          <t xml:space="preserve">Events &amp; field</t>
        </is>
      </c>
      <c r="C4" s="4">
        <f>SUM('Marketing funnel by channel and'!D10:D13)</f>
        <v>39720</v>
      </c>
      <c r="D4" s="4">
        <f>SUM('Marketing funnel by channel and'!E10:E13)</f>
        <v>140610</v>
      </c>
      <c r="E4" s="4">
        <f>SUM('Marketing funnel by channel and'!F10:F13)</f>
        <v>49860</v>
      </c>
      <c r="F4" s="4">
        <f>SUM('Marketing funnel by channel and'!G10:G13)</f>
        <v>38710</v>
      </c>
      <c r="G4" s="4">
        <f>SUM('Marketing funnel by channel and'!H10:H13)</f>
        <v>35480</v>
      </c>
      <c r="H4" s="4">
        <f>SUM('Marketing funnel by channel and'!I10:I13)</f>
        <v>39830</v>
      </c>
      <c r="I4" s="4">
        <f>SUM('Marketing funnel by channel and'!J10:J13)</f>
        <v>112840</v>
      </c>
      <c r="J4" s="4">
        <f>SUM('Marketing funnel by channel and'!K10:K13)</f>
        <v>32230</v>
      </c>
      <c r="K4" s="4">
        <f>SUM('Marketing funnel by channel and'!L10:L13)</f>
        <v>39890</v>
      </c>
      <c r="L4" s="4">
        <f>SUM('Marketing funnel by channel and'!M10:M13)</f>
        <v>35330</v>
      </c>
      <c r="M4" s="4">
        <f>SUM('Marketing funnel by channel and'!N10:N13)</f>
        <v>39630</v>
      </c>
      <c r="N4" s="4">
        <f>SUM('Marketing funnel by channel and'!O10:O13)</f>
        <v>169340</v>
      </c>
      <c r="O4" s="4">
        <f>SUM('Marketing funnel by channel and'!P10:P13)</f>
        <v>39430</v>
      </c>
      <c r="P4" s="4">
        <f>SUM('Marketing funnel by channel and'!Q10:Q13)</f>
        <v>43210</v>
      </c>
      <c r="Q4" s="4">
        <f>SUM('Marketing funnel by channel and'!R10:R13)</f>
        <v>160370</v>
      </c>
      <c r="R4" s="4">
        <f>SUM('Marketing funnel by channel and'!S10:S13)</f>
        <v>39400</v>
      </c>
      <c r="S4" s="4">
        <f>SUM('Marketing funnel by channel and'!T10:T13)</f>
        <v>37100</v>
      </c>
      <c r="T4" s="4">
        <f>SUM('Marketing funnel by channel and'!U10:U13)</f>
        <v>40750</v>
      </c>
      <c r="U4" s="4">
        <f>SUM('Marketing funnel by channel and'!V10:V13)</f>
        <v>124580</v>
      </c>
      <c r="V4" s="4">
        <f>SUM('Marketing funnel by channel and'!W10:W13)</f>
        <v>88340</v>
      </c>
      <c r="W4" s="4">
        <f>SUM('Marketing funnel by channel and'!X10:X13)</f>
        <v>42030</v>
      </c>
    </row>
    <row r="5">
      <c r="A5" s="0" t="inlineStr">
        <is>
          <t xml:space="preserve">Spend</t>
        </is>
      </c>
      <c r="B5" s="0" t="inlineStr">
        <is>
          <t xml:space="preserve">Partner</t>
        </is>
      </c>
      <c r="C5" s="4">
        <f>SUM('Marketing funnel by channel and'!D14:D17)</f>
        <v>21800</v>
      </c>
      <c r="D5" s="4">
        <f>SUM('Marketing funnel by channel and'!E14:E17)</f>
        <v>19390</v>
      </c>
      <c r="E5" s="4">
        <f>SUM('Marketing funnel by channel and'!F14:F17)</f>
        <v>21610</v>
      </c>
      <c r="F5" s="4">
        <f>SUM('Marketing funnel by channel and'!G14:G17)</f>
        <v>18470</v>
      </c>
      <c r="G5" s="4">
        <f>SUM('Marketing funnel by channel and'!H14:H17)</f>
        <v>17000</v>
      </c>
      <c r="H5" s="4">
        <f>SUM('Marketing funnel by channel and'!I14:I17)</f>
        <v>17360</v>
      </c>
      <c r="I5" s="4">
        <f>SUM('Marketing funnel by channel and'!J14:J17)</f>
        <v>16180</v>
      </c>
      <c r="J5" s="4">
        <f>SUM('Marketing funnel by channel and'!K14:K17)</f>
        <v>16380</v>
      </c>
      <c r="K5" s="4">
        <f>SUM('Marketing funnel by channel and'!L14:L17)</f>
        <v>20220</v>
      </c>
      <c r="L5" s="4">
        <f>SUM('Marketing funnel by channel and'!M14:M17)</f>
        <v>19190</v>
      </c>
      <c r="M5" s="4">
        <f>SUM('Marketing funnel by channel and'!N14:N17)</f>
        <v>19090</v>
      </c>
      <c r="N5" s="4">
        <f>SUM('Marketing funnel by channel and'!O14:O17)</f>
        <v>22830</v>
      </c>
      <c r="O5" s="4">
        <f>SUM('Marketing funnel by channel and'!P14:P17)</f>
        <v>20560</v>
      </c>
      <c r="P5" s="4">
        <f>SUM('Marketing funnel by channel and'!Q14:Q17)</f>
        <v>20040</v>
      </c>
      <c r="Q5" s="4">
        <f>SUM('Marketing funnel by channel and'!R14:R17)</f>
        <v>22240</v>
      </c>
      <c r="R5" s="4">
        <f>SUM('Marketing funnel by channel and'!S14:S17)</f>
        <v>18560</v>
      </c>
      <c r="S5" s="4">
        <f>SUM('Marketing funnel by channel and'!T14:T17)</f>
        <v>18170</v>
      </c>
      <c r="T5" s="4">
        <f>SUM('Marketing funnel by channel and'!U14:U17)</f>
        <v>19040</v>
      </c>
      <c r="U5" s="4">
        <f>SUM('Marketing funnel by channel and'!V14:V17)</f>
        <v>15860</v>
      </c>
      <c r="V5" s="4">
        <f>SUM('Marketing funnel by channel and'!W14:W17)</f>
        <v>17020</v>
      </c>
      <c r="W5" s="4">
        <f>SUM('Marketing funnel by channel and'!X14:X17)</f>
        <v>19060</v>
      </c>
    </row>
    <row r="6">
      <c r="A6" s="0" t="inlineStr">
        <is>
          <t xml:space="preserve">Spend</t>
        </is>
      </c>
      <c r="B6" s="0" t="inlineStr">
        <is>
          <t xml:space="preserve">Outbound (BDR)</t>
        </is>
      </c>
      <c r="C6" s="4">
        <f>SUM('Marketing funnel by channel and'!D18:D21)</f>
        <v>0</v>
      </c>
      <c r="D6" s="4">
        <f>SUM('Marketing funnel by channel and'!E18:E21)</f>
        <v>0</v>
      </c>
      <c r="E6" s="4">
        <f>SUM('Marketing funnel by channel and'!F18:F21)</f>
        <v>0</v>
      </c>
      <c r="F6" s="4">
        <f>SUM('Marketing funnel by channel and'!G18:G21)</f>
        <v>0</v>
      </c>
      <c r="G6" s="4">
        <f>SUM('Marketing funnel by channel and'!H18:H21)</f>
        <v>0</v>
      </c>
      <c r="H6" s="4">
        <f>SUM('Marketing funnel by channel and'!I18:I21)</f>
        <v>0</v>
      </c>
      <c r="I6" s="4">
        <f>SUM('Marketing funnel by channel and'!J18:J21)</f>
        <v>0</v>
      </c>
      <c r="J6" s="4">
        <f>SUM('Marketing funnel by channel and'!K18:K21)</f>
        <v>0</v>
      </c>
      <c r="K6" s="4">
        <f>SUM('Marketing funnel by channel and'!L18:L21)</f>
        <v>0</v>
      </c>
      <c r="L6" s="4">
        <f>SUM('Marketing funnel by channel and'!M18:M21)</f>
        <v>0</v>
      </c>
      <c r="M6" s="4">
        <f>SUM('Marketing funnel by channel and'!N18:N21)</f>
        <v>0</v>
      </c>
      <c r="N6" s="4">
        <f>SUM('Marketing funnel by channel and'!O18:O21)</f>
        <v>0</v>
      </c>
      <c r="O6" s="4">
        <f>SUM('Marketing funnel by channel and'!P18:P21)</f>
        <v>0</v>
      </c>
      <c r="P6" s="4">
        <f>SUM('Marketing funnel by channel and'!Q18:Q21)</f>
        <v>0</v>
      </c>
      <c r="Q6" s="4">
        <f>SUM('Marketing funnel by channel and'!R18:R21)</f>
        <v>0</v>
      </c>
      <c r="R6" s="4">
        <f>SUM('Marketing funnel by channel and'!S18:S21)</f>
        <v>0</v>
      </c>
      <c r="S6" s="4">
        <f>SUM('Marketing funnel by channel and'!T18:T21)</f>
        <v>0</v>
      </c>
      <c r="T6" s="4">
        <f>SUM('Marketing funnel by channel and'!U18:U21)</f>
        <v>0</v>
      </c>
      <c r="U6" s="4">
        <f>SUM('Marketing funnel by channel and'!V18:V21)</f>
        <v>0</v>
      </c>
      <c r="V6" s="4">
        <f>SUM('Marketing funnel by channel and'!W18:W21)</f>
        <v>0</v>
      </c>
      <c r="W6" s="4">
        <f>SUM('Marketing funnel by channel and'!X18:X21)</f>
        <v>0</v>
      </c>
    </row>
    <row r="7">
      <c r="A7" s="0" t="inlineStr">
        <is>
          <t xml:space="preserve">Spend</t>
        </is>
      </c>
      <c r="B7" s="0" t="inlineStr">
        <is>
          <t xml:space="preserve">Customer referral</t>
        </is>
      </c>
      <c r="C7" s="4">
        <f>SUM('Marketing funnel by channel and'!D22:D25)</f>
        <v>0</v>
      </c>
      <c r="D7" s="4">
        <f>SUM('Marketing funnel by channel and'!E22:E25)</f>
        <v>0</v>
      </c>
      <c r="E7" s="4">
        <f>SUM('Marketing funnel by channel and'!F22:F25)</f>
        <v>0</v>
      </c>
      <c r="F7" s="4">
        <f>SUM('Marketing funnel by channel and'!G22:G25)</f>
        <v>0</v>
      </c>
      <c r="G7" s="4">
        <f>SUM('Marketing funnel by channel and'!H22:H25)</f>
        <v>0</v>
      </c>
      <c r="H7" s="4">
        <f>SUM('Marketing funnel by channel and'!I22:I25)</f>
        <v>0</v>
      </c>
      <c r="I7" s="4">
        <f>SUM('Marketing funnel by channel and'!J22:J25)</f>
        <v>0</v>
      </c>
      <c r="J7" s="4">
        <f>SUM('Marketing funnel by channel and'!K22:K25)</f>
        <v>0</v>
      </c>
      <c r="K7" s="4">
        <f>SUM('Marketing funnel by channel and'!L22:L25)</f>
        <v>0</v>
      </c>
      <c r="L7" s="4">
        <f>SUM('Marketing funnel by channel and'!M22:M25)</f>
        <v>0</v>
      </c>
      <c r="M7" s="4">
        <f>SUM('Marketing funnel by channel and'!N22:N25)</f>
        <v>0</v>
      </c>
      <c r="N7" s="4">
        <f>SUM('Marketing funnel by channel and'!O22:O25)</f>
        <v>0</v>
      </c>
      <c r="O7" s="4">
        <f>SUM('Marketing funnel by channel and'!P22:P25)</f>
        <v>0</v>
      </c>
      <c r="P7" s="4">
        <f>SUM('Marketing funnel by channel and'!Q22:Q25)</f>
        <v>0</v>
      </c>
      <c r="Q7" s="4">
        <f>SUM('Marketing funnel by channel and'!R22:R25)</f>
        <v>0</v>
      </c>
      <c r="R7" s="4">
        <f>SUM('Marketing funnel by channel and'!S22:S25)</f>
        <v>0</v>
      </c>
      <c r="S7" s="4">
        <f>SUM('Marketing funnel by channel and'!T22:T25)</f>
        <v>0</v>
      </c>
      <c r="T7" s="4">
        <f>SUM('Marketing funnel by channel and'!U22:U25)</f>
        <v>0</v>
      </c>
      <c r="U7" s="4">
        <f>SUM('Marketing funnel by channel and'!V22:V25)</f>
        <v>0</v>
      </c>
      <c r="V7" s="4">
        <f>SUM('Marketing funnel by channel and'!W22:W25)</f>
        <v>0</v>
      </c>
      <c r="W7" s="4">
        <f>SUM('Marketing funnel by channel and'!X22:X25)</f>
        <v>0</v>
      </c>
    </row>
    <row r="8">
      <c r="A8" s="0" t="inlineStr">
        <is>
          <t xml:space="preserve">Leads</t>
        </is>
      </c>
      <c r="B8" s="0" t="inlineStr">
        <is>
          <t xml:space="preserve">Inbound (web &amp; content)</t>
        </is>
      </c>
      <c r="C8" s="4">
        <f>SUM('Marketing funnel by channel and'!D26:D29)</f>
        <v>1107</v>
      </c>
      <c r="D8" s="4">
        <f>SUM('Marketing funnel by channel and'!E26:E29)</f>
        <v>1187</v>
      </c>
      <c r="E8" s="4">
        <f>SUM('Marketing funnel by channel and'!F26:F29)</f>
        <v>1266</v>
      </c>
      <c r="F8" s="4">
        <f>SUM('Marketing funnel by channel and'!G26:G29)</f>
        <v>1149</v>
      </c>
      <c r="G8" s="4">
        <f>SUM('Marketing funnel by channel and'!H26:H29)</f>
        <v>969</v>
      </c>
      <c r="H8" s="4">
        <f>SUM('Marketing funnel by channel and'!I26:I29)</f>
        <v>984</v>
      </c>
      <c r="I8" s="4">
        <f>SUM('Marketing funnel by channel and'!J26:J29)</f>
        <v>925</v>
      </c>
      <c r="J8" s="4">
        <f>SUM('Marketing funnel by channel and'!K26:K29)</f>
        <v>852</v>
      </c>
      <c r="K8" s="4">
        <f>SUM('Marketing funnel by channel and'!L26:L29)</f>
        <v>1230</v>
      </c>
      <c r="L8" s="4">
        <f>SUM('Marketing funnel by channel and'!M26:M29)</f>
        <v>1059</v>
      </c>
      <c r="M8" s="4">
        <f>SUM('Marketing funnel by channel and'!N26:N29)</f>
        <v>1020</v>
      </c>
      <c r="N8" s="4">
        <f>SUM('Marketing funnel by channel and'!O26:O29)</f>
        <v>1517</v>
      </c>
      <c r="O8" s="4">
        <f>SUM('Marketing funnel by channel and'!P26:P29)</f>
        <v>1365</v>
      </c>
      <c r="P8" s="4">
        <f>SUM('Marketing funnel by channel and'!Q26:Q29)</f>
        <v>1168</v>
      </c>
      <c r="Q8" s="4">
        <f>SUM('Marketing funnel by channel and'!R26:R29)</f>
        <v>1145</v>
      </c>
      <c r="R8" s="4">
        <f>SUM('Marketing funnel by channel and'!S26:S29)</f>
        <v>966</v>
      </c>
      <c r="S8" s="4">
        <f>SUM('Marketing funnel by channel and'!T26:T29)</f>
        <v>939</v>
      </c>
      <c r="T8" s="4">
        <f>SUM('Marketing funnel by channel and'!U26:U29)</f>
        <v>1374</v>
      </c>
      <c r="U8" s="4">
        <f>SUM('Marketing funnel by channel and'!V26:V29)</f>
        <v>847</v>
      </c>
      <c r="V8" s="4">
        <f>SUM('Marketing funnel by channel and'!W26:W29)</f>
        <v>926</v>
      </c>
      <c r="W8" s="4">
        <f>SUM('Marketing funnel by channel and'!X26:X29)</f>
        <v>1056</v>
      </c>
    </row>
    <row r="9">
      <c r="A9" s="0" t="inlineStr">
        <is>
          <t xml:space="preserve">Leads</t>
        </is>
      </c>
      <c r="B9" s="0" t="inlineStr">
        <is>
          <t xml:space="preserve">Paid digital</t>
        </is>
      </c>
      <c r="C9" s="4">
        <f>SUM('Marketing funnel by channel and'!D30:D33)</f>
        <v>1088</v>
      </c>
      <c r="D9" s="4">
        <f>SUM('Marketing funnel by channel and'!E30:E33)</f>
        <v>936</v>
      </c>
      <c r="E9" s="4">
        <f>SUM('Marketing funnel by channel and'!F30:F33)</f>
        <v>1113</v>
      </c>
      <c r="F9" s="4">
        <f>SUM('Marketing funnel by channel and'!G30:G33)</f>
        <v>930</v>
      </c>
      <c r="G9" s="4">
        <f>SUM('Marketing funnel by channel and'!H30:H33)</f>
        <v>919</v>
      </c>
      <c r="H9" s="4">
        <f>SUM('Marketing funnel by channel and'!I30:I33)</f>
        <v>913</v>
      </c>
      <c r="I9" s="4">
        <f>SUM('Marketing funnel by channel and'!J30:J33)</f>
        <v>780</v>
      </c>
      <c r="J9" s="4">
        <f>SUM('Marketing funnel by channel and'!K30:K33)</f>
        <v>888</v>
      </c>
      <c r="K9" s="4">
        <f>SUM('Marketing funnel by channel and'!L30:L33)</f>
        <v>1009</v>
      </c>
      <c r="L9" s="4">
        <f>SUM('Marketing funnel by channel and'!M30:M33)</f>
        <v>820</v>
      </c>
      <c r="M9" s="4">
        <f>SUM('Marketing funnel by channel and'!N30:N33)</f>
        <v>981</v>
      </c>
      <c r="N9" s="4">
        <f>SUM('Marketing funnel by channel and'!O30:O33)</f>
        <v>1207</v>
      </c>
      <c r="O9" s="4">
        <f>SUM('Marketing funnel by channel and'!P30:P33)</f>
        <v>1099</v>
      </c>
      <c r="P9" s="4">
        <f>SUM('Marketing funnel by channel and'!Q30:Q33)</f>
        <v>1206</v>
      </c>
      <c r="Q9" s="4">
        <f>SUM('Marketing funnel by channel and'!R30:R33)</f>
        <v>1472</v>
      </c>
      <c r="R9" s="4">
        <f>SUM('Marketing funnel by channel and'!S30:S33)</f>
        <v>1133</v>
      </c>
      <c r="S9" s="4">
        <f>SUM('Marketing funnel by channel and'!T30:T33)</f>
        <v>1062</v>
      </c>
      <c r="T9" s="4">
        <f>SUM('Marketing funnel by channel and'!U30:U33)</f>
        <v>1025</v>
      </c>
      <c r="U9" s="4">
        <f>SUM('Marketing funnel by channel and'!V30:V33)</f>
        <v>935</v>
      </c>
      <c r="V9" s="4">
        <f>SUM('Marketing funnel by channel and'!W30:W33)</f>
        <v>1114</v>
      </c>
      <c r="W9" s="4">
        <f>SUM('Marketing funnel by channel and'!X30:X33)</f>
        <v>1109</v>
      </c>
    </row>
    <row r="10">
      <c r="A10" s="0" t="inlineStr">
        <is>
          <t xml:space="preserve">Leads</t>
        </is>
      </c>
      <c r="B10" s="0" t="inlineStr">
        <is>
          <t xml:space="preserve">Events &amp; field</t>
        </is>
      </c>
      <c r="C10" s="4">
        <f>SUM('Marketing funnel by channel and'!D34:D37)</f>
        <v>86</v>
      </c>
      <c r="D10" s="4">
        <f>SUM('Marketing funnel by channel and'!E34:E37)</f>
        <v>377</v>
      </c>
      <c r="E10" s="4">
        <f>SUM('Marketing funnel by channel and'!F34:F37)</f>
        <v>121</v>
      </c>
      <c r="F10" s="4">
        <f>SUM('Marketing funnel by channel and'!G34:G37)</f>
        <v>86</v>
      </c>
      <c r="G10" s="4">
        <f>SUM('Marketing funnel by channel and'!H34:H37)</f>
        <v>92</v>
      </c>
      <c r="H10" s="4">
        <f>SUM('Marketing funnel by channel and'!I34:I37)</f>
        <v>85</v>
      </c>
      <c r="I10" s="4">
        <f>SUM('Marketing funnel by channel and'!J34:J37)</f>
        <v>305</v>
      </c>
      <c r="J10" s="4">
        <f>SUM('Marketing funnel by channel and'!K34:K37)</f>
        <v>77</v>
      </c>
      <c r="K10" s="4">
        <f>SUM('Marketing funnel by channel and'!L34:L37)</f>
        <v>96</v>
      </c>
      <c r="L10" s="4">
        <f>SUM('Marketing funnel by channel and'!M34:M37)</f>
        <v>87</v>
      </c>
      <c r="M10" s="4">
        <f>SUM('Marketing funnel by channel and'!N34:N37)</f>
        <v>93</v>
      </c>
      <c r="N10" s="4">
        <f>SUM('Marketing funnel by channel and'!O34:O37)</f>
        <v>416</v>
      </c>
      <c r="O10" s="4">
        <f>SUM('Marketing funnel by channel and'!P34:P37)</f>
        <v>95</v>
      </c>
      <c r="P10" s="4">
        <f>SUM('Marketing funnel by channel and'!Q34:Q37)</f>
        <v>119</v>
      </c>
      <c r="Q10" s="4">
        <f>SUM('Marketing funnel by channel and'!R34:R37)</f>
        <v>425</v>
      </c>
      <c r="R10" s="4">
        <f>SUM('Marketing funnel by channel and'!S34:S37)</f>
        <v>98</v>
      </c>
      <c r="S10" s="4">
        <f>SUM('Marketing funnel by channel and'!T34:T37)</f>
        <v>81</v>
      </c>
      <c r="T10" s="4">
        <f>SUM('Marketing funnel by channel and'!U34:U37)</f>
        <v>97</v>
      </c>
      <c r="U10" s="4">
        <f>SUM('Marketing funnel by channel and'!V34:V37)</f>
        <v>358</v>
      </c>
      <c r="V10" s="4">
        <f>SUM('Marketing funnel by channel and'!W34:W37)</f>
        <v>220</v>
      </c>
      <c r="W10" s="4">
        <f>SUM('Marketing funnel by channel and'!X34:X37)</f>
        <v>117</v>
      </c>
    </row>
    <row r="11">
      <c r="A11" s="0" t="inlineStr">
        <is>
          <t xml:space="preserve">Leads</t>
        </is>
      </c>
      <c r="B11" s="0" t="inlineStr">
        <is>
          <t xml:space="preserve">Partner</t>
        </is>
      </c>
      <c r="C11" s="4">
        <f>SUM('Marketing funnel by channel and'!D38:D41)</f>
        <v>91</v>
      </c>
      <c r="D11" s="4">
        <f>SUM('Marketing funnel by channel and'!E38:E41)</f>
        <v>73</v>
      </c>
      <c r="E11" s="4">
        <f>SUM('Marketing funnel by channel and'!F38:F41)</f>
        <v>90</v>
      </c>
      <c r="F11" s="4">
        <f>SUM('Marketing funnel by channel and'!G38:G41)</f>
        <v>64</v>
      </c>
      <c r="G11" s="4">
        <f>SUM('Marketing funnel by channel and'!H38:H41)</f>
        <v>78</v>
      </c>
      <c r="H11" s="4">
        <f>SUM('Marketing funnel by channel and'!I38:I41)</f>
        <v>71</v>
      </c>
      <c r="I11" s="4">
        <f>SUM('Marketing funnel by channel and'!J38:J41)</f>
        <v>75</v>
      </c>
      <c r="J11" s="4">
        <f>SUM('Marketing funnel by channel and'!K38:K41)</f>
        <v>54</v>
      </c>
      <c r="K11" s="4">
        <f>SUM('Marketing funnel by channel and'!L38:L41)</f>
        <v>89</v>
      </c>
      <c r="L11" s="4">
        <f>SUM('Marketing funnel by channel and'!M38:M41)</f>
        <v>69</v>
      </c>
      <c r="M11" s="4">
        <f>SUM('Marketing funnel by channel and'!N38:N41)</f>
        <v>57</v>
      </c>
      <c r="N11" s="4">
        <f>SUM('Marketing funnel by channel and'!O38:O41)</f>
        <v>92</v>
      </c>
      <c r="O11" s="4">
        <f>SUM('Marketing funnel by channel and'!P38:P41)</f>
        <v>69</v>
      </c>
      <c r="P11" s="4">
        <f>SUM('Marketing funnel by channel and'!Q38:Q41)</f>
        <v>79</v>
      </c>
      <c r="Q11" s="4">
        <f>SUM('Marketing funnel by channel and'!R38:R41)</f>
        <v>95</v>
      </c>
      <c r="R11" s="4">
        <f>SUM('Marketing funnel by channel and'!S38:S41)</f>
        <v>64</v>
      </c>
      <c r="S11" s="4">
        <f>SUM('Marketing funnel by channel and'!T38:T41)</f>
        <v>75</v>
      </c>
      <c r="T11" s="4">
        <f>SUM('Marketing funnel by channel and'!U38:U41)</f>
        <v>75</v>
      </c>
      <c r="U11" s="4">
        <f>SUM('Marketing funnel by channel and'!V38:V41)</f>
        <v>59</v>
      </c>
      <c r="V11" s="4">
        <f>SUM('Marketing funnel by channel and'!W38:W41)</f>
        <v>74</v>
      </c>
      <c r="W11" s="4">
        <f>SUM('Marketing funnel by channel and'!X38:X41)</f>
        <v>75</v>
      </c>
    </row>
    <row r="12">
      <c r="A12" s="0" t="inlineStr">
        <is>
          <t xml:space="preserve">Leads</t>
        </is>
      </c>
      <c r="B12" s="0" t="inlineStr">
        <is>
          <t xml:space="preserve">Outbound (BDR)</t>
        </is>
      </c>
      <c r="C12" s="4">
        <f>SUM('Marketing funnel by channel and'!D42:D45)</f>
        <v>0</v>
      </c>
      <c r="D12" s="4">
        <f>SUM('Marketing funnel by channel and'!E42:E45)</f>
        <v>0</v>
      </c>
      <c r="E12" s="4">
        <f>SUM('Marketing funnel by channel and'!F42:F45)</f>
        <v>0</v>
      </c>
      <c r="F12" s="4">
        <f>SUM('Marketing funnel by channel and'!G42:G45)</f>
        <v>0</v>
      </c>
      <c r="G12" s="4">
        <f>SUM('Marketing funnel by channel and'!H42:H45)</f>
        <v>0</v>
      </c>
      <c r="H12" s="4">
        <f>SUM('Marketing funnel by channel and'!I42:I45)</f>
        <v>0</v>
      </c>
      <c r="I12" s="4">
        <f>SUM('Marketing funnel by channel and'!J42:J45)</f>
        <v>0</v>
      </c>
      <c r="J12" s="4">
        <f>SUM('Marketing funnel by channel and'!K42:K45)</f>
        <v>0</v>
      </c>
      <c r="K12" s="4">
        <f>SUM('Marketing funnel by channel and'!L42:L45)</f>
        <v>0</v>
      </c>
      <c r="L12" s="4">
        <f>SUM('Marketing funnel by channel and'!M42:M45)</f>
        <v>0</v>
      </c>
      <c r="M12" s="4">
        <f>SUM('Marketing funnel by channel and'!N42:N45)</f>
        <v>0</v>
      </c>
      <c r="N12" s="4">
        <f>SUM('Marketing funnel by channel and'!O42:O45)</f>
        <v>0</v>
      </c>
      <c r="O12" s="4">
        <f>SUM('Marketing funnel by channel and'!P42:P45)</f>
        <v>0</v>
      </c>
      <c r="P12" s="4">
        <f>SUM('Marketing funnel by channel and'!Q42:Q45)</f>
        <v>0</v>
      </c>
      <c r="Q12" s="4">
        <f>SUM('Marketing funnel by channel and'!R42:R45)</f>
        <v>0</v>
      </c>
      <c r="R12" s="4">
        <f>SUM('Marketing funnel by channel and'!S42:S45)</f>
        <v>0</v>
      </c>
      <c r="S12" s="4">
        <f>SUM('Marketing funnel by channel and'!T42:T45)</f>
        <v>0</v>
      </c>
      <c r="T12" s="4">
        <f>SUM('Marketing funnel by channel and'!U42:U45)</f>
        <v>0</v>
      </c>
      <c r="U12" s="4">
        <f>SUM('Marketing funnel by channel and'!V42:V45)</f>
        <v>0</v>
      </c>
      <c r="V12" s="4">
        <f>SUM('Marketing funnel by channel and'!W42:W45)</f>
        <v>0</v>
      </c>
      <c r="W12" s="4">
        <f>SUM('Marketing funnel by channel and'!X42:X45)</f>
        <v>0</v>
      </c>
    </row>
    <row r="13">
      <c r="A13" s="0" t="inlineStr">
        <is>
          <t xml:space="preserve">Leads</t>
        </is>
      </c>
      <c r="B13" s="0" t="inlineStr">
        <is>
          <t xml:space="preserve">Customer referral</t>
        </is>
      </c>
      <c r="C13" s="4">
        <f>SUM('Marketing funnel by channel and'!D46:D49)</f>
        <v>0</v>
      </c>
      <c r="D13" s="4">
        <f>SUM('Marketing funnel by channel and'!E46:E49)</f>
        <v>0</v>
      </c>
      <c r="E13" s="4">
        <f>SUM('Marketing funnel by channel and'!F46:F49)</f>
        <v>0</v>
      </c>
      <c r="F13" s="4">
        <f>SUM('Marketing funnel by channel and'!G46:G49)</f>
        <v>0</v>
      </c>
      <c r="G13" s="4">
        <f>SUM('Marketing funnel by channel and'!H46:H49)</f>
        <v>0</v>
      </c>
      <c r="H13" s="4">
        <f>SUM('Marketing funnel by channel and'!I46:I49)</f>
        <v>0</v>
      </c>
      <c r="I13" s="4">
        <f>SUM('Marketing funnel by channel and'!J46:J49)</f>
        <v>0</v>
      </c>
      <c r="J13" s="4">
        <f>SUM('Marketing funnel by channel and'!K46:K49)</f>
        <v>0</v>
      </c>
      <c r="K13" s="4">
        <f>SUM('Marketing funnel by channel and'!L46:L49)</f>
        <v>0</v>
      </c>
      <c r="L13" s="4">
        <f>SUM('Marketing funnel by channel and'!M46:M49)</f>
        <v>0</v>
      </c>
      <c r="M13" s="4">
        <f>SUM('Marketing funnel by channel and'!N46:N49)</f>
        <v>0</v>
      </c>
      <c r="N13" s="4">
        <f>SUM('Marketing funnel by channel and'!O46:O49)</f>
        <v>0</v>
      </c>
      <c r="O13" s="4">
        <f>SUM('Marketing funnel by channel and'!P46:P49)</f>
        <v>0</v>
      </c>
      <c r="P13" s="4">
        <f>SUM('Marketing funnel by channel and'!Q46:Q49)</f>
        <v>0</v>
      </c>
      <c r="Q13" s="4">
        <f>SUM('Marketing funnel by channel and'!R46:R49)</f>
        <v>0</v>
      </c>
      <c r="R13" s="4">
        <f>SUM('Marketing funnel by channel and'!S46:S49)</f>
        <v>0</v>
      </c>
      <c r="S13" s="4">
        <f>SUM('Marketing funnel by channel and'!T46:T49)</f>
        <v>0</v>
      </c>
      <c r="T13" s="4">
        <f>SUM('Marketing funnel by channel and'!U46:U49)</f>
        <v>0</v>
      </c>
      <c r="U13" s="4">
        <f>SUM('Marketing funnel by channel and'!V46:V49)</f>
        <v>0</v>
      </c>
      <c r="V13" s="4">
        <f>SUM('Marketing funnel by channel and'!W46:W49)</f>
        <v>0</v>
      </c>
      <c r="W13" s="4">
        <f>SUM('Marketing funnel by channel and'!X46:X49)</f>
        <v>0</v>
      </c>
    </row>
    <row r="14">
      <c r="A14" s="0" t="inlineStr">
        <is>
          <t xml:space="preserve">MQLs</t>
        </is>
      </c>
      <c r="B14" s="0" t="inlineStr">
        <is>
          <t xml:space="preserve">Inbound (web &amp; content)</t>
        </is>
      </c>
      <c r="C14" s="4">
        <f>SUM('Marketing funnel by channel and'!D50:D53)</f>
        <v>154</v>
      </c>
      <c r="D14" s="4">
        <f>SUM('Marketing funnel by channel and'!E50:E53)</f>
        <v>187</v>
      </c>
      <c r="E14" s="4">
        <f>SUM('Marketing funnel by channel and'!F50:F53)</f>
        <v>202</v>
      </c>
      <c r="F14" s="4">
        <f>SUM('Marketing funnel by channel and'!G50:G53)</f>
        <v>199</v>
      </c>
      <c r="G14" s="4">
        <f>SUM('Marketing funnel by channel and'!H50:H53)</f>
        <v>148</v>
      </c>
      <c r="H14" s="4">
        <f>SUM('Marketing funnel by channel and'!I50:I53)</f>
        <v>159</v>
      </c>
      <c r="I14" s="4">
        <f>SUM('Marketing funnel by channel and'!J50:J53)</f>
        <v>152</v>
      </c>
      <c r="J14" s="4">
        <f>SUM('Marketing funnel by channel and'!K50:K53)</f>
        <v>136</v>
      </c>
      <c r="K14" s="4">
        <f>SUM('Marketing funnel by channel and'!L50:L53)</f>
        <v>197</v>
      </c>
      <c r="L14" s="4">
        <f>SUM('Marketing funnel by channel and'!M50:M53)</f>
        <v>160</v>
      </c>
      <c r="M14" s="4">
        <f>SUM('Marketing funnel by channel and'!N50:N53)</f>
        <v>166</v>
      </c>
      <c r="N14" s="4">
        <f>SUM('Marketing funnel by channel and'!O50:O53)</f>
        <v>253</v>
      </c>
      <c r="O14" s="4">
        <f>SUM('Marketing funnel by channel and'!P50:P53)</f>
        <v>218</v>
      </c>
      <c r="P14" s="4">
        <f>SUM('Marketing funnel by channel and'!Q50:Q53)</f>
        <v>181</v>
      </c>
      <c r="Q14" s="4">
        <f>SUM('Marketing funnel by channel and'!R50:R53)</f>
        <v>196</v>
      </c>
      <c r="R14" s="4">
        <f>SUM('Marketing funnel by channel and'!S50:S53)</f>
        <v>179</v>
      </c>
      <c r="S14" s="4">
        <f>SUM('Marketing funnel by channel and'!T50:T53)</f>
        <v>162</v>
      </c>
      <c r="T14" s="4">
        <f>SUM('Marketing funnel by channel and'!U50:U53)</f>
        <v>217</v>
      </c>
      <c r="U14" s="4">
        <f>SUM('Marketing funnel by channel and'!V50:V53)</f>
        <v>149</v>
      </c>
      <c r="V14" s="4">
        <f>SUM('Marketing funnel by channel and'!W50:W53)</f>
        <v>153</v>
      </c>
      <c r="W14" s="4">
        <f>SUM('Marketing funnel by channel and'!X50:X53)</f>
        <v>185</v>
      </c>
    </row>
    <row r="15">
      <c r="A15" s="0" t="inlineStr">
        <is>
          <t xml:space="preserve">MQLs</t>
        </is>
      </c>
      <c r="B15" s="0" t="inlineStr">
        <is>
          <t xml:space="preserve">Paid digital</t>
        </is>
      </c>
      <c r="C15" s="4">
        <f>SUM('Marketing funnel by channel and'!D54:D57)</f>
        <v>129</v>
      </c>
      <c r="D15" s="4">
        <f>SUM('Marketing funnel by channel and'!E54:E57)</f>
        <v>93</v>
      </c>
      <c r="E15" s="4">
        <f>SUM('Marketing funnel by channel and'!F54:F57)</f>
        <v>141</v>
      </c>
      <c r="F15" s="4">
        <f>SUM('Marketing funnel by channel and'!G54:G57)</f>
        <v>87</v>
      </c>
      <c r="G15" s="4">
        <f>SUM('Marketing funnel by channel and'!H54:H57)</f>
        <v>106</v>
      </c>
      <c r="H15" s="4">
        <f>SUM('Marketing funnel by channel and'!I54:I57)</f>
        <v>88</v>
      </c>
      <c r="I15" s="4">
        <f>SUM('Marketing funnel by channel and'!J54:J57)</f>
        <v>96</v>
      </c>
      <c r="J15" s="4">
        <f>SUM('Marketing funnel by channel and'!K54:K57)</f>
        <v>76</v>
      </c>
      <c r="K15" s="4">
        <f>SUM('Marketing funnel by channel and'!L54:L57)</f>
        <v>124</v>
      </c>
      <c r="L15" s="4">
        <f>SUM('Marketing funnel by channel and'!M54:M57)</f>
        <v>92</v>
      </c>
      <c r="M15" s="4">
        <f>SUM('Marketing funnel by channel and'!N54:N57)</f>
        <v>101</v>
      </c>
      <c r="N15" s="4">
        <f>SUM('Marketing funnel by channel and'!O54:O57)</f>
        <v>120</v>
      </c>
      <c r="O15" s="4">
        <f>SUM('Marketing funnel by channel and'!P54:P57)</f>
        <v>108</v>
      </c>
      <c r="P15" s="4">
        <f>SUM('Marketing funnel by channel and'!Q54:Q57)</f>
        <v>139</v>
      </c>
      <c r="Q15" s="4">
        <f>SUM('Marketing funnel by channel and'!R54:R57)</f>
        <v>183</v>
      </c>
      <c r="R15" s="4">
        <f>SUM('Marketing funnel by channel and'!S54:S57)</f>
        <v>131</v>
      </c>
      <c r="S15" s="4">
        <f>SUM('Marketing funnel by channel and'!T54:T57)</f>
        <v>111</v>
      </c>
      <c r="T15" s="4">
        <f>SUM('Marketing funnel by channel and'!U54:U57)</f>
        <v>119</v>
      </c>
      <c r="U15" s="4">
        <f>SUM('Marketing funnel by channel and'!V54:V57)</f>
        <v>94</v>
      </c>
      <c r="V15" s="4">
        <f>SUM('Marketing funnel by channel and'!W54:W57)</f>
        <v>121</v>
      </c>
      <c r="W15" s="4">
        <f>SUM('Marketing funnel by channel and'!X54:X57)</f>
        <v>113</v>
      </c>
    </row>
    <row r="16">
      <c r="A16" s="0" t="inlineStr">
        <is>
          <t xml:space="preserve">MQLs</t>
        </is>
      </c>
      <c r="B16" s="0" t="inlineStr">
        <is>
          <t xml:space="preserve">Events &amp; field</t>
        </is>
      </c>
      <c r="C16" s="4">
        <f>SUM('Marketing funnel by channel and'!D58:D61)</f>
        <v>22</v>
      </c>
      <c r="D16" s="4">
        <f>SUM('Marketing funnel by channel and'!E58:E61)</f>
        <v>129</v>
      </c>
      <c r="E16" s="4">
        <f>SUM('Marketing funnel by channel and'!F58:F61)</f>
        <v>42</v>
      </c>
      <c r="F16" s="4">
        <f>SUM('Marketing funnel by channel and'!G58:G61)</f>
        <v>32</v>
      </c>
      <c r="G16" s="4">
        <f>SUM('Marketing funnel by channel and'!H58:H61)</f>
        <v>36</v>
      </c>
      <c r="H16" s="4">
        <f>SUM('Marketing funnel by channel and'!I58:I61)</f>
        <v>28</v>
      </c>
      <c r="I16" s="4">
        <f>SUM('Marketing funnel by channel and'!J58:J61)</f>
        <v>100</v>
      </c>
      <c r="J16" s="4">
        <f>SUM('Marketing funnel by channel and'!K58:K61)</f>
        <v>24</v>
      </c>
      <c r="K16" s="4">
        <f>SUM('Marketing funnel by channel and'!L58:L61)</f>
        <v>30</v>
      </c>
      <c r="L16" s="4">
        <f>SUM('Marketing funnel by channel and'!M58:M61)</f>
        <v>26</v>
      </c>
      <c r="M16" s="4">
        <f>SUM('Marketing funnel by channel and'!N58:N61)</f>
        <v>35</v>
      </c>
      <c r="N16" s="4">
        <f>SUM('Marketing funnel by channel and'!O58:O61)</f>
        <v>131</v>
      </c>
      <c r="O16" s="4">
        <f>SUM('Marketing funnel by channel and'!P58:P61)</f>
        <v>34</v>
      </c>
      <c r="P16" s="4">
        <f>SUM('Marketing funnel by channel and'!Q58:Q61)</f>
        <v>41</v>
      </c>
      <c r="Q16" s="4">
        <f>SUM('Marketing funnel by channel and'!R58:R61)</f>
        <v>146</v>
      </c>
      <c r="R16" s="4">
        <f>SUM('Marketing funnel by channel and'!S58:S61)</f>
        <v>36</v>
      </c>
      <c r="S16" s="4">
        <f>SUM('Marketing funnel by channel and'!T58:T61)</f>
        <v>23</v>
      </c>
      <c r="T16" s="4">
        <f>SUM('Marketing funnel by channel and'!U58:U61)</f>
        <v>30</v>
      </c>
      <c r="U16" s="4">
        <f>SUM('Marketing funnel by channel and'!V58:V61)</f>
        <v>117</v>
      </c>
      <c r="V16" s="4">
        <f>SUM('Marketing funnel by channel and'!W58:W61)</f>
        <v>89</v>
      </c>
      <c r="W16" s="4">
        <f>SUM('Marketing funnel by channel and'!X58:X61)</f>
        <v>49</v>
      </c>
    </row>
    <row r="17">
      <c r="A17" s="0" t="inlineStr">
        <is>
          <t xml:space="preserve">MQLs</t>
        </is>
      </c>
      <c r="B17" s="0" t="inlineStr">
        <is>
          <t xml:space="preserve">Partner</t>
        </is>
      </c>
      <c r="C17" s="4">
        <f>SUM('Marketing funnel by channel and'!D62:D65)</f>
        <v>43</v>
      </c>
      <c r="D17" s="4">
        <f>SUM('Marketing funnel by channel and'!E62:E65)</f>
        <v>35</v>
      </c>
      <c r="E17" s="4">
        <f>SUM('Marketing funnel by channel and'!F62:F65)</f>
        <v>38</v>
      </c>
      <c r="F17" s="4">
        <f>SUM('Marketing funnel by channel and'!G62:G65)</f>
        <v>24</v>
      </c>
      <c r="G17" s="4">
        <f>SUM('Marketing funnel by channel and'!H62:H65)</f>
        <v>30</v>
      </c>
      <c r="H17" s="4">
        <f>SUM('Marketing funnel by channel and'!I62:I65)</f>
        <v>29</v>
      </c>
      <c r="I17" s="4">
        <f>SUM('Marketing funnel by channel and'!J62:J65)</f>
        <v>20</v>
      </c>
      <c r="J17" s="4">
        <f>SUM('Marketing funnel by channel and'!K62:K65)</f>
        <v>23</v>
      </c>
      <c r="K17" s="4">
        <f>SUM('Marketing funnel by channel and'!L62:L65)</f>
        <v>36</v>
      </c>
      <c r="L17" s="4">
        <f>SUM('Marketing funnel by channel and'!M62:M65)</f>
        <v>17</v>
      </c>
      <c r="M17" s="4">
        <f>SUM('Marketing funnel by channel and'!N62:N65)</f>
        <v>26</v>
      </c>
      <c r="N17" s="4">
        <f>SUM('Marketing funnel by channel and'!O62:O65)</f>
        <v>31</v>
      </c>
      <c r="O17" s="4">
        <f>SUM('Marketing funnel by channel and'!P62:P65)</f>
        <v>31</v>
      </c>
      <c r="P17" s="4">
        <f>SUM('Marketing funnel by channel and'!Q62:Q65)</f>
        <v>32</v>
      </c>
      <c r="Q17" s="4">
        <f>SUM('Marketing funnel by channel and'!R62:R65)</f>
        <v>37</v>
      </c>
      <c r="R17" s="4">
        <f>SUM('Marketing funnel by channel and'!S62:S65)</f>
        <v>19</v>
      </c>
      <c r="S17" s="4">
        <f>SUM('Marketing funnel by channel and'!T62:T65)</f>
        <v>20</v>
      </c>
      <c r="T17" s="4">
        <f>SUM('Marketing funnel by channel and'!U62:U65)</f>
        <v>26</v>
      </c>
      <c r="U17" s="4">
        <f>SUM('Marketing funnel by channel and'!V62:V65)</f>
        <v>23</v>
      </c>
      <c r="V17" s="4">
        <f>SUM('Marketing funnel by channel and'!W62:W65)</f>
        <v>30</v>
      </c>
      <c r="W17" s="4">
        <f>SUM('Marketing funnel by channel and'!X62:X65)</f>
        <v>32</v>
      </c>
    </row>
    <row r="18">
      <c r="A18" s="0" t="inlineStr">
        <is>
          <t xml:space="preserve">MQLs</t>
        </is>
      </c>
      <c r="B18" s="0" t="inlineStr">
        <is>
          <t xml:space="preserve">Outbound (BDR)</t>
        </is>
      </c>
      <c r="C18" s="4">
        <f>SUM('Marketing funnel by channel and'!D66:D69)</f>
        <v>0</v>
      </c>
      <c r="D18" s="4">
        <f>SUM('Marketing funnel by channel and'!E66:E69)</f>
        <v>0</v>
      </c>
      <c r="E18" s="4">
        <f>SUM('Marketing funnel by channel and'!F66:F69)</f>
        <v>0</v>
      </c>
      <c r="F18" s="4">
        <f>SUM('Marketing funnel by channel and'!G66:G69)</f>
        <v>0</v>
      </c>
      <c r="G18" s="4">
        <f>SUM('Marketing funnel by channel and'!H66:H69)</f>
        <v>0</v>
      </c>
      <c r="H18" s="4">
        <f>SUM('Marketing funnel by channel and'!I66:I69)</f>
        <v>0</v>
      </c>
      <c r="I18" s="4">
        <f>SUM('Marketing funnel by channel and'!J66:J69)</f>
        <v>0</v>
      </c>
      <c r="J18" s="4">
        <f>SUM('Marketing funnel by channel and'!K66:K69)</f>
        <v>0</v>
      </c>
      <c r="K18" s="4">
        <f>SUM('Marketing funnel by channel and'!L66:L69)</f>
        <v>0</v>
      </c>
      <c r="L18" s="4">
        <f>SUM('Marketing funnel by channel and'!M66:M69)</f>
        <v>0</v>
      </c>
      <c r="M18" s="4">
        <f>SUM('Marketing funnel by channel and'!N66:N69)</f>
        <v>0</v>
      </c>
      <c r="N18" s="4">
        <f>SUM('Marketing funnel by channel and'!O66:O69)</f>
        <v>0</v>
      </c>
      <c r="O18" s="4">
        <f>SUM('Marketing funnel by channel and'!P66:P69)</f>
        <v>0</v>
      </c>
      <c r="P18" s="4">
        <f>SUM('Marketing funnel by channel and'!Q66:Q69)</f>
        <v>0</v>
      </c>
      <c r="Q18" s="4">
        <f>SUM('Marketing funnel by channel and'!R66:R69)</f>
        <v>0</v>
      </c>
      <c r="R18" s="4">
        <f>SUM('Marketing funnel by channel and'!S66:S69)</f>
        <v>0</v>
      </c>
      <c r="S18" s="4">
        <f>SUM('Marketing funnel by channel and'!T66:T69)</f>
        <v>0</v>
      </c>
      <c r="T18" s="4">
        <f>SUM('Marketing funnel by channel and'!U66:U69)</f>
        <v>0</v>
      </c>
      <c r="U18" s="4">
        <f>SUM('Marketing funnel by channel and'!V66:V69)</f>
        <v>0</v>
      </c>
      <c r="V18" s="4">
        <f>SUM('Marketing funnel by channel and'!W66:W69)</f>
        <v>0</v>
      </c>
      <c r="W18" s="4">
        <f>SUM('Marketing funnel by channel and'!X66:X69)</f>
        <v>0</v>
      </c>
    </row>
    <row r="19">
      <c r="A19" s="0" t="inlineStr">
        <is>
          <t xml:space="preserve">MQLs</t>
        </is>
      </c>
      <c r="B19" s="0" t="inlineStr">
        <is>
          <t xml:space="preserve">Customer referral</t>
        </is>
      </c>
      <c r="C19" s="4">
        <f>SUM('Marketing funnel by channel and'!D70:D73)</f>
        <v>0</v>
      </c>
      <c r="D19" s="4">
        <f>SUM('Marketing funnel by channel and'!E70:E73)</f>
        <v>0</v>
      </c>
      <c r="E19" s="4">
        <f>SUM('Marketing funnel by channel and'!F70:F73)</f>
        <v>0</v>
      </c>
      <c r="F19" s="4">
        <f>SUM('Marketing funnel by channel and'!G70:G73)</f>
        <v>0</v>
      </c>
      <c r="G19" s="4">
        <f>SUM('Marketing funnel by channel and'!H70:H73)</f>
        <v>0</v>
      </c>
      <c r="H19" s="4">
        <f>SUM('Marketing funnel by channel and'!I70:I73)</f>
        <v>0</v>
      </c>
      <c r="I19" s="4">
        <f>SUM('Marketing funnel by channel and'!J70:J73)</f>
        <v>0</v>
      </c>
      <c r="J19" s="4">
        <f>SUM('Marketing funnel by channel and'!K70:K73)</f>
        <v>0</v>
      </c>
      <c r="K19" s="4">
        <f>SUM('Marketing funnel by channel and'!L70:L73)</f>
        <v>0</v>
      </c>
      <c r="L19" s="4">
        <f>SUM('Marketing funnel by channel and'!M70:M73)</f>
        <v>0</v>
      </c>
      <c r="M19" s="4">
        <f>SUM('Marketing funnel by channel and'!N70:N73)</f>
        <v>0</v>
      </c>
      <c r="N19" s="4">
        <f>SUM('Marketing funnel by channel and'!O70:O73)</f>
        <v>0</v>
      </c>
      <c r="O19" s="4">
        <f>SUM('Marketing funnel by channel and'!P70:P73)</f>
        <v>0</v>
      </c>
      <c r="P19" s="4">
        <f>SUM('Marketing funnel by channel and'!Q70:Q73)</f>
        <v>0</v>
      </c>
      <c r="Q19" s="4">
        <f>SUM('Marketing funnel by channel and'!R70:R73)</f>
        <v>0</v>
      </c>
      <c r="R19" s="4">
        <f>SUM('Marketing funnel by channel and'!S70:S73)</f>
        <v>0</v>
      </c>
      <c r="S19" s="4">
        <f>SUM('Marketing funnel by channel and'!T70:T73)</f>
        <v>0</v>
      </c>
      <c r="T19" s="4">
        <f>SUM('Marketing funnel by channel and'!U70:U73)</f>
        <v>0</v>
      </c>
      <c r="U19" s="4">
        <f>SUM('Marketing funnel by channel and'!V70:V73)</f>
        <v>0</v>
      </c>
      <c r="V19" s="4">
        <f>SUM('Marketing funnel by channel and'!W70:W73)</f>
        <v>0</v>
      </c>
      <c r="W19" s="4">
        <f>SUM('Marketing funnel by channel and'!X70:X73)</f>
        <v>0</v>
      </c>
    </row>
    <row r="20">
      <c r="A20" s="0" t="inlineStr">
        <is>
          <t xml:space="preserve">Opportunities created (SQLs)</t>
        </is>
      </c>
      <c r="B20" s="0" t="inlineStr">
        <is>
          <t xml:space="preserve">Inbound (web &amp; content)</t>
        </is>
      </c>
      <c r="C20" s="4">
        <f>SUM('Marketing funnel by channel and'!D74:D77)</f>
        <v>33</v>
      </c>
      <c r="D20" s="4">
        <f>SUM('Marketing funnel by channel and'!E74:E77)</f>
        <v>35</v>
      </c>
      <c r="E20" s="4">
        <f>SUM('Marketing funnel by channel and'!F74:F77)</f>
        <v>36</v>
      </c>
      <c r="F20" s="4">
        <f>SUM('Marketing funnel by channel and'!G74:G77)</f>
        <v>43</v>
      </c>
      <c r="G20" s="4">
        <f>SUM('Marketing funnel by channel and'!H74:H77)</f>
        <v>35</v>
      </c>
      <c r="H20" s="4">
        <f>SUM('Marketing funnel by channel and'!I74:I77)</f>
        <v>27</v>
      </c>
      <c r="I20" s="4">
        <f>SUM('Marketing funnel by channel and'!J74:J77)</f>
        <v>21</v>
      </c>
      <c r="J20" s="4">
        <f>SUM('Marketing funnel by channel and'!K74:K77)</f>
        <v>29</v>
      </c>
      <c r="K20" s="4">
        <f>SUM('Marketing funnel by channel and'!L74:L77)</f>
        <v>37</v>
      </c>
      <c r="L20" s="4">
        <f>SUM('Marketing funnel by channel and'!M74:M77)</f>
        <v>32</v>
      </c>
      <c r="M20" s="4">
        <f>SUM('Marketing funnel by channel and'!N74:N77)</f>
        <v>32</v>
      </c>
      <c r="N20" s="4">
        <f>SUM('Marketing funnel by channel and'!O74:O77)</f>
        <v>37</v>
      </c>
      <c r="O20" s="4">
        <f>SUM('Marketing funnel by channel and'!P74:P77)</f>
        <v>48</v>
      </c>
      <c r="P20" s="4">
        <f>SUM('Marketing funnel by channel and'!Q74:Q77)</f>
        <v>28</v>
      </c>
      <c r="Q20" s="4">
        <f>SUM('Marketing funnel by channel and'!R74:R77)</f>
        <v>44</v>
      </c>
      <c r="R20" s="4">
        <f>SUM('Marketing funnel by channel and'!S74:S77)</f>
        <v>44</v>
      </c>
      <c r="S20" s="4">
        <f>SUM('Marketing funnel by channel and'!T74:T77)</f>
        <v>31</v>
      </c>
      <c r="T20" s="4">
        <f>SUM('Marketing funnel by channel and'!U74:U77)</f>
        <v>29</v>
      </c>
      <c r="U20" s="4">
        <f>SUM('Marketing funnel by channel and'!V74:V77)</f>
        <v>0</v>
      </c>
      <c r="V20" s="4">
        <f>SUM('Marketing funnel by channel and'!W74:W77)</f>
        <v>0</v>
      </c>
      <c r="W20" s="4">
        <f>SUM('Marketing funnel by channel and'!X74:X77)</f>
        <v>0</v>
      </c>
    </row>
    <row r="21">
      <c r="A21" s="0" t="inlineStr">
        <is>
          <t xml:space="preserve">Opportunities created (SQLs)</t>
        </is>
      </c>
      <c r="B21" s="0" t="inlineStr">
        <is>
          <t xml:space="preserve">Paid digital</t>
        </is>
      </c>
      <c r="C21" s="4">
        <f>SUM('Marketing funnel by channel and'!D78:D81)</f>
        <v>14</v>
      </c>
      <c r="D21" s="4">
        <f>SUM('Marketing funnel by channel and'!E78:E81)</f>
        <v>14</v>
      </c>
      <c r="E21" s="4">
        <f>SUM('Marketing funnel by channel and'!F78:F81)</f>
        <v>24</v>
      </c>
      <c r="F21" s="4">
        <f>SUM('Marketing funnel by channel and'!G78:G81)</f>
        <v>11</v>
      </c>
      <c r="G21" s="4">
        <f>SUM('Marketing funnel by channel and'!H78:H81)</f>
        <v>8</v>
      </c>
      <c r="H21" s="4">
        <f>SUM('Marketing funnel by channel and'!I78:I81)</f>
        <v>12</v>
      </c>
      <c r="I21" s="4">
        <f>SUM('Marketing funnel by channel and'!J78:J81)</f>
        <v>16</v>
      </c>
      <c r="J21" s="4">
        <f>SUM('Marketing funnel by channel and'!K78:K81)</f>
        <v>12</v>
      </c>
      <c r="K21" s="4">
        <f>SUM('Marketing funnel by channel and'!L78:L81)</f>
        <v>14</v>
      </c>
      <c r="L21" s="4">
        <f>SUM('Marketing funnel by channel and'!M78:M81)</f>
        <v>15</v>
      </c>
      <c r="M21" s="4">
        <f>SUM('Marketing funnel by channel and'!N78:N81)</f>
        <v>10</v>
      </c>
      <c r="N21" s="4">
        <f>SUM('Marketing funnel by channel and'!O78:O81)</f>
        <v>21</v>
      </c>
      <c r="O21" s="4">
        <f>SUM('Marketing funnel by channel and'!P78:P81)</f>
        <v>18</v>
      </c>
      <c r="P21" s="4">
        <f>SUM('Marketing funnel by channel and'!Q78:Q81)</f>
        <v>21</v>
      </c>
      <c r="Q21" s="4">
        <f>SUM('Marketing funnel by channel and'!R78:R81)</f>
        <v>20</v>
      </c>
      <c r="R21" s="4">
        <f>SUM('Marketing funnel by channel and'!S78:S81)</f>
        <v>18</v>
      </c>
      <c r="S21" s="4">
        <f>SUM('Marketing funnel by channel and'!T78:T81)</f>
        <v>23</v>
      </c>
      <c r="T21" s="4">
        <f>SUM('Marketing funnel by channel and'!U78:U81)</f>
        <v>10</v>
      </c>
      <c r="U21" s="4">
        <f>SUM('Marketing funnel by channel and'!V78:V81)</f>
        <v>0</v>
      </c>
      <c r="V21" s="4">
        <f>SUM('Marketing funnel by channel and'!W78:W81)</f>
        <v>0</v>
      </c>
      <c r="W21" s="4">
        <f>SUM('Marketing funnel by channel and'!X78:X81)</f>
        <v>0</v>
      </c>
    </row>
    <row r="22">
      <c r="A22" s="0" t="inlineStr">
        <is>
          <t xml:space="preserve">Opportunities created (SQLs)</t>
        </is>
      </c>
      <c r="B22" s="0" t="inlineStr">
        <is>
          <t xml:space="preserve">Events &amp; field</t>
        </is>
      </c>
      <c r="C22" s="4">
        <f>SUM('Marketing funnel by channel and'!D82:D85)</f>
        <v>5</v>
      </c>
      <c r="D22" s="4">
        <f>SUM('Marketing funnel by channel and'!E82:E85)</f>
        <v>34</v>
      </c>
      <c r="E22" s="4">
        <f>SUM('Marketing funnel by channel and'!F82:F85)</f>
        <v>18</v>
      </c>
      <c r="F22" s="4">
        <f>SUM('Marketing funnel by channel and'!G82:G85)</f>
        <v>8</v>
      </c>
      <c r="G22" s="4">
        <f>SUM('Marketing funnel by channel and'!H82:H85)</f>
        <v>6</v>
      </c>
      <c r="H22" s="4">
        <f>SUM('Marketing funnel by channel and'!I82:I85)</f>
        <v>5</v>
      </c>
      <c r="I22" s="4">
        <f>SUM('Marketing funnel by channel and'!J82:J85)</f>
        <v>24</v>
      </c>
      <c r="J22" s="4">
        <f>SUM('Marketing funnel by channel and'!K82:K85)</f>
        <v>5</v>
      </c>
      <c r="K22" s="4">
        <f>SUM('Marketing funnel by channel and'!L82:L85)</f>
        <v>5</v>
      </c>
      <c r="L22" s="4">
        <f>SUM('Marketing funnel by channel and'!M82:M85)</f>
        <v>6</v>
      </c>
      <c r="M22" s="4">
        <f>SUM('Marketing funnel by channel and'!N82:N85)</f>
        <v>9</v>
      </c>
      <c r="N22" s="4">
        <f>SUM('Marketing funnel by channel and'!O82:O85)</f>
        <v>31</v>
      </c>
      <c r="O22" s="4">
        <f>SUM('Marketing funnel by channel and'!P82:P85)</f>
        <v>7</v>
      </c>
      <c r="P22" s="4">
        <f>SUM('Marketing funnel by channel and'!Q82:Q85)</f>
        <v>8</v>
      </c>
      <c r="Q22" s="4">
        <f>SUM('Marketing funnel by channel and'!R82:R85)</f>
        <v>42</v>
      </c>
      <c r="R22" s="4">
        <f>SUM('Marketing funnel by channel and'!S82:S85)</f>
        <v>10</v>
      </c>
      <c r="S22" s="4">
        <f>SUM('Marketing funnel by channel and'!T82:T85)</f>
        <v>6</v>
      </c>
      <c r="T22" s="4">
        <f>SUM('Marketing funnel by channel and'!U82:U85)</f>
        <v>3</v>
      </c>
      <c r="U22" s="4">
        <f>SUM('Marketing funnel by channel and'!V82:V85)</f>
        <v>0</v>
      </c>
      <c r="V22" s="4">
        <f>SUM('Marketing funnel by channel and'!W82:W85)</f>
        <v>0</v>
      </c>
      <c r="W22" s="4">
        <f>SUM('Marketing funnel by channel and'!X82:X85)</f>
        <v>0</v>
      </c>
    </row>
    <row r="23">
      <c r="A23" s="0" t="inlineStr">
        <is>
          <t xml:space="preserve">Opportunities created (SQLs)</t>
        </is>
      </c>
      <c r="B23" s="0" t="inlineStr">
        <is>
          <t xml:space="preserve">Partner</t>
        </is>
      </c>
      <c r="C23" s="4">
        <f>SUM('Marketing funnel by channel and'!D86:D89)</f>
        <v>14</v>
      </c>
      <c r="D23" s="4">
        <f>SUM('Marketing funnel by channel and'!E86:E89)</f>
        <v>9</v>
      </c>
      <c r="E23" s="4">
        <f>SUM('Marketing funnel by channel and'!F86:F89)</f>
        <v>14</v>
      </c>
      <c r="F23" s="4">
        <f>SUM('Marketing funnel by channel and'!G86:G89)</f>
        <v>9</v>
      </c>
      <c r="G23" s="4">
        <f>SUM('Marketing funnel by channel and'!H86:H89)</f>
        <v>9</v>
      </c>
      <c r="H23" s="4">
        <f>SUM('Marketing funnel by channel and'!I86:I89)</f>
        <v>10</v>
      </c>
      <c r="I23" s="4">
        <f>SUM('Marketing funnel by channel and'!J86:J89)</f>
        <v>8</v>
      </c>
      <c r="J23" s="4">
        <f>SUM('Marketing funnel by channel and'!K86:K89)</f>
        <v>9</v>
      </c>
      <c r="K23" s="4">
        <f>SUM('Marketing funnel by channel and'!L86:L89)</f>
        <v>15</v>
      </c>
      <c r="L23" s="4">
        <f>SUM('Marketing funnel by channel and'!M86:M89)</f>
        <v>3</v>
      </c>
      <c r="M23" s="4">
        <f>SUM('Marketing funnel by channel and'!N86:N89)</f>
        <v>13</v>
      </c>
      <c r="N23" s="4">
        <f>SUM('Marketing funnel by channel and'!O86:O89)</f>
        <v>9</v>
      </c>
      <c r="O23" s="4">
        <f>SUM('Marketing funnel by channel and'!P86:P89)</f>
        <v>12</v>
      </c>
      <c r="P23" s="4">
        <f>SUM('Marketing funnel by channel and'!Q86:Q89)</f>
        <v>12</v>
      </c>
      <c r="Q23" s="4">
        <f>SUM('Marketing funnel by channel and'!R86:R89)</f>
        <v>18</v>
      </c>
      <c r="R23" s="4">
        <f>SUM('Marketing funnel by channel and'!S86:S89)</f>
        <v>4</v>
      </c>
      <c r="S23" s="4">
        <f>SUM('Marketing funnel by channel and'!T86:T89)</f>
        <v>9</v>
      </c>
      <c r="T23" s="4">
        <f>SUM('Marketing funnel by channel and'!U86:U89)</f>
        <v>5</v>
      </c>
      <c r="U23" s="4">
        <f>SUM('Marketing funnel by channel and'!V86:V89)</f>
        <v>0</v>
      </c>
      <c r="V23" s="4">
        <f>SUM('Marketing funnel by channel and'!W86:W89)</f>
        <v>0</v>
      </c>
      <c r="W23" s="4">
        <f>SUM('Marketing funnel by channel and'!X86:X89)</f>
        <v>0</v>
      </c>
    </row>
    <row r="24">
      <c r="A24" s="0" t="inlineStr">
        <is>
          <t xml:space="preserve">Opportunities created (SQLs)</t>
        </is>
      </c>
      <c r="B24" s="0" t="inlineStr">
        <is>
          <t xml:space="preserve">Outbound (BDR)</t>
        </is>
      </c>
      <c r="C24" s="4">
        <f>SUM('Marketing funnel by channel and'!D90:D93)</f>
        <v>17</v>
      </c>
      <c r="D24" s="4">
        <f>SUM('Marketing funnel by channel and'!E90:E93)</f>
        <v>28</v>
      </c>
      <c r="E24" s="4">
        <f>SUM('Marketing funnel by channel and'!F90:F93)</f>
        <v>16</v>
      </c>
      <c r="F24" s="4">
        <f>SUM('Marketing funnel by channel and'!G90:G93)</f>
        <v>20</v>
      </c>
      <c r="G24" s="4">
        <f>SUM('Marketing funnel by channel and'!H90:H93)</f>
        <v>12</v>
      </c>
      <c r="H24" s="4">
        <f>SUM('Marketing funnel by channel and'!I90:I93)</f>
        <v>16</v>
      </c>
      <c r="I24" s="4">
        <f>SUM('Marketing funnel by channel and'!J90:J93)</f>
        <v>16</v>
      </c>
      <c r="J24" s="4">
        <f>SUM('Marketing funnel by channel and'!K90:K93)</f>
        <v>16</v>
      </c>
      <c r="K24" s="4">
        <f>SUM('Marketing funnel by channel and'!L90:L93)</f>
        <v>19</v>
      </c>
      <c r="L24" s="4">
        <f>SUM('Marketing funnel by channel and'!M90:M93)</f>
        <v>21</v>
      </c>
      <c r="M24" s="4">
        <f>SUM('Marketing funnel by channel and'!N90:N93)</f>
        <v>25</v>
      </c>
      <c r="N24" s="4">
        <f>SUM('Marketing funnel by channel and'!O90:O93)</f>
        <v>14</v>
      </c>
      <c r="O24" s="4">
        <f>SUM('Marketing funnel by channel and'!P90:P93)</f>
        <v>18</v>
      </c>
      <c r="P24" s="4">
        <f>SUM('Marketing funnel by channel and'!Q90:Q93)</f>
        <v>19</v>
      </c>
      <c r="Q24" s="4">
        <f>SUM('Marketing funnel by channel and'!R90:R93)</f>
        <v>19</v>
      </c>
      <c r="R24" s="4">
        <f>SUM('Marketing funnel by channel and'!S90:S93)</f>
        <v>19</v>
      </c>
      <c r="S24" s="4">
        <f>SUM('Marketing funnel by channel and'!T90:T93)</f>
        <v>20</v>
      </c>
      <c r="T24" s="4">
        <f>SUM('Marketing funnel by channel and'!U90:U93)</f>
        <v>10</v>
      </c>
      <c r="U24" s="4">
        <f>SUM('Marketing funnel by channel and'!V90:V93)</f>
        <v>0</v>
      </c>
      <c r="V24" s="4">
        <f>SUM('Marketing funnel by channel and'!W90:W93)</f>
        <v>0</v>
      </c>
      <c r="W24" s="4">
        <f>SUM('Marketing funnel by channel and'!X90:X93)</f>
        <v>0</v>
      </c>
    </row>
    <row r="25">
      <c r="A25" s="0" t="inlineStr">
        <is>
          <t xml:space="preserve">Opportunities created (SQLs)</t>
        </is>
      </c>
      <c r="B25" s="0" t="inlineStr">
        <is>
          <t xml:space="preserve">Customer referral</t>
        </is>
      </c>
      <c r="C25" s="4">
        <f>SUM('Marketing funnel by channel and'!D94:D97)</f>
        <v>13</v>
      </c>
      <c r="D25" s="4">
        <f>SUM('Marketing funnel by channel and'!E94:E97)</f>
        <v>6</v>
      </c>
      <c r="E25" s="4">
        <f>SUM('Marketing funnel by channel and'!F94:F97)</f>
        <v>7</v>
      </c>
      <c r="F25" s="4">
        <f>SUM('Marketing funnel by channel and'!G94:G97)</f>
        <v>11</v>
      </c>
      <c r="G25" s="4">
        <f>SUM('Marketing funnel by channel and'!H94:H97)</f>
        <v>2</v>
      </c>
      <c r="H25" s="4">
        <f>SUM('Marketing funnel by channel and'!I94:I97)</f>
        <v>9</v>
      </c>
      <c r="I25" s="4">
        <f>SUM('Marketing funnel by channel and'!J94:J97)</f>
        <v>5</v>
      </c>
      <c r="J25" s="4">
        <f>SUM('Marketing funnel by channel and'!K94:K97)</f>
        <v>7</v>
      </c>
      <c r="K25" s="4">
        <f>SUM('Marketing funnel by channel and'!L94:L97)</f>
        <v>12</v>
      </c>
      <c r="L25" s="4">
        <f>SUM('Marketing funnel by channel and'!M94:M97)</f>
        <v>10</v>
      </c>
      <c r="M25" s="4">
        <f>SUM('Marketing funnel by channel and'!N94:N97)</f>
        <v>6</v>
      </c>
      <c r="N25" s="4">
        <f>SUM('Marketing funnel by channel and'!O94:O97)</f>
        <v>4</v>
      </c>
      <c r="O25" s="4">
        <f>SUM('Marketing funnel by channel and'!P94:P97)</f>
        <v>8</v>
      </c>
      <c r="P25" s="4">
        <f>SUM('Marketing funnel by channel and'!Q94:Q97)</f>
        <v>10</v>
      </c>
      <c r="Q25" s="4">
        <f>SUM('Marketing funnel by channel and'!R94:R97)</f>
        <v>6</v>
      </c>
      <c r="R25" s="4">
        <f>SUM('Marketing funnel by channel and'!S94:S97)</f>
        <v>7</v>
      </c>
      <c r="S25" s="4">
        <f>SUM('Marketing funnel by channel and'!T94:T97)</f>
        <v>6</v>
      </c>
      <c r="T25" s="4">
        <f>SUM('Marketing funnel by channel and'!U94:U97)</f>
        <v>4</v>
      </c>
      <c r="U25" s="4">
        <f>SUM('Marketing funnel by channel and'!V94:V97)</f>
        <v>0</v>
      </c>
      <c r="V25" s="4">
        <f>SUM('Marketing funnel by channel and'!W94:W97)</f>
        <v>0</v>
      </c>
      <c r="W25" s="4">
        <f>SUM('Marketing funnel by channel and'!X94:X97)</f>
        <v>0</v>
      </c>
    </row>
    <row r="26">
      <c r="A26" s="0" t="inlineStr">
        <is>
          <t xml:space="preserve">Pipeline created</t>
        </is>
      </c>
      <c r="B26" s="0" t="inlineStr">
        <is>
          <t xml:space="preserve">Inbound (web &amp; content)</t>
        </is>
      </c>
      <c r="C26" s="4">
        <f>SUM('Marketing funnel by channel and'!D98:D101)</f>
        <v>1164700</v>
      </c>
      <c r="D26" s="4">
        <f>SUM('Marketing funnel by channel and'!E98:E101)</f>
        <v>1057400</v>
      </c>
      <c r="E26" s="4">
        <f>SUM('Marketing funnel by channel and'!F98:F101)</f>
        <v>1761500</v>
      </c>
      <c r="F26" s="4">
        <f>SUM('Marketing funnel by channel and'!G98:G101)</f>
        <v>1594600</v>
      </c>
      <c r="G26" s="4">
        <f>SUM('Marketing funnel by channel and'!H98:H101)</f>
        <v>1490200</v>
      </c>
      <c r="H26" s="4">
        <f>SUM('Marketing funnel by channel and'!I98:I101)</f>
        <v>974800</v>
      </c>
      <c r="I26" s="4">
        <f>SUM('Marketing funnel by channel and'!J98:J101)</f>
        <v>2147800</v>
      </c>
      <c r="J26" s="4">
        <f>SUM('Marketing funnel by channel and'!K98:K101)</f>
        <v>1494600</v>
      </c>
      <c r="K26" s="4">
        <f>SUM('Marketing funnel by channel and'!L98:L101)</f>
        <v>1491000</v>
      </c>
      <c r="L26" s="4">
        <f>SUM('Marketing funnel by channel and'!M98:M101)</f>
        <v>1418900</v>
      </c>
      <c r="M26" s="4">
        <f>SUM('Marketing funnel by channel and'!N98:N101)</f>
        <v>1559600</v>
      </c>
      <c r="N26" s="4">
        <f>SUM('Marketing funnel by channel and'!O98:O101)</f>
        <v>1297700</v>
      </c>
      <c r="O26" s="4">
        <f>SUM('Marketing funnel by channel and'!P98:P101)</f>
        <v>2265900</v>
      </c>
      <c r="P26" s="4">
        <f>SUM('Marketing funnel by channel and'!Q98:Q101)</f>
        <v>1297400</v>
      </c>
      <c r="Q26" s="4">
        <f>SUM('Marketing funnel by channel and'!R98:R101)</f>
        <v>2354600</v>
      </c>
      <c r="R26" s="4">
        <f>SUM('Marketing funnel by channel and'!S98:S101)</f>
        <v>1621300</v>
      </c>
      <c r="S26" s="4">
        <f>SUM('Marketing funnel by channel and'!T98:T101)</f>
        <v>1543500</v>
      </c>
      <c r="T26" s="4">
        <f>SUM('Marketing funnel by channel and'!U98:U101)</f>
        <v>1266300</v>
      </c>
      <c r="U26" s="4">
        <f>SUM('Marketing funnel by channel and'!V98:V101)</f>
        <v>0</v>
      </c>
      <c r="V26" s="4">
        <f>SUM('Marketing funnel by channel and'!W98:W101)</f>
        <v>0</v>
      </c>
      <c r="W26" s="4">
        <f>SUM('Marketing funnel by channel and'!X98:X101)</f>
        <v>0</v>
      </c>
    </row>
    <row r="27">
      <c r="A27" s="0" t="inlineStr">
        <is>
          <t xml:space="preserve">Pipeline created</t>
        </is>
      </c>
      <c r="B27" s="0" t="inlineStr">
        <is>
          <t xml:space="preserve">Paid digital</t>
        </is>
      </c>
      <c r="C27" s="4">
        <f>SUM('Marketing funnel by channel and'!D102:D105)</f>
        <v>579200</v>
      </c>
      <c r="D27" s="4">
        <f>SUM('Marketing funnel by channel and'!E102:E105)</f>
        <v>526700</v>
      </c>
      <c r="E27" s="4">
        <f>SUM('Marketing funnel by channel and'!F102:F105)</f>
        <v>1056500</v>
      </c>
      <c r="F27" s="4">
        <f>SUM('Marketing funnel by channel and'!G102:G105)</f>
        <v>350700</v>
      </c>
      <c r="G27" s="4">
        <f>SUM('Marketing funnel by channel and'!H102:H105)</f>
        <v>259500</v>
      </c>
      <c r="H27" s="4">
        <f>SUM('Marketing funnel by channel and'!I102:I105)</f>
        <v>431800</v>
      </c>
      <c r="I27" s="4">
        <f>SUM('Marketing funnel by channel and'!J102:J105)</f>
        <v>469000</v>
      </c>
      <c r="J27" s="4">
        <f>SUM('Marketing funnel by channel and'!K102:K105)</f>
        <v>715400</v>
      </c>
      <c r="K27" s="4">
        <f>SUM('Marketing funnel by channel and'!L102:L105)</f>
        <v>430100</v>
      </c>
      <c r="L27" s="4">
        <f>SUM('Marketing funnel by channel and'!M102:M105)</f>
        <v>806100</v>
      </c>
      <c r="M27" s="4">
        <f>SUM('Marketing funnel by channel and'!N102:N105)</f>
        <v>551900</v>
      </c>
      <c r="N27" s="4">
        <f>SUM('Marketing funnel by channel and'!O102:O105)</f>
        <v>909900</v>
      </c>
      <c r="O27" s="4">
        <f>SUM('Marketing funnel by channel and'!P102:P105)</f>
        <v>726400</v>
      </c>
      <c r="P27" s="4">
        <f>SUM('Marketing funnel by channel and'!Q102:Q105)</f>
        <v>1319800</v>
      </c>
      <c r="Q27" s="4">
        <f>SUM('Marketing funnel by channel and'!R102:R105)</f>
        <v>840500</v>
      </c>
      <c r="R27" s="4">
        <f>SUM('Marketing funnel by channel and'!S102:S105)</f>
        <v>917300</v>
      </c>
      <c r="S27" s="4">
        <f>SUM('Marketing funnel by channel and'!T102:T105)</f>
        <v>1447000</v>
      </c>
      <c r="T27" s="4">
        <f>SUM('Marketing funnel by channel and'!U102:U105)</f>
        <v>680700</v>
      </c>
      <c r="U27" s="4">
        <f>SUM('Marketing funnel by channel and'!V102:V105)</f>
        <v>0</v>
      </c>
      <c r="V27" s="4">
        <f>SUM('Marketing funnel by channel and'!W102:W105)</f>
        <v>0</v>
      </c>
      <c r="W27" s="4">
        <f>SUM('Marketing funnel by channel and'!X102:X105)</f>
        <v>0</v>
      </c>
    </row>
    <row r="28">
      <c r="A28" s="0" t="inlineStr">
        <is>
          <t xml:space="preserve">Pipeline created</t>
        </is>
      </c>
      <c r="B28" s="0" t="inlineStr">
        <is>
          <t xml:space="preserve">Events &amp; field</t>
        </is>
      </c>
      <c r="C28" s="4">
        <f>SUM('Marketing funnel by channel and'!D106:D109)</f>
        <v>260700</v>
      </c>
      <c r="D28" s="4">
        <f>SUM('Marketing funnel by channel and'!E106:E109)</f>
        <v>1552500</v>
      </c>
      <c r="E28" s="4">
        <f>SUM('Marketing funnel by channel and'!F106:F109)</f>
        <v>1255200</v>
      </c>
      <c r="F28" s="4">
        <f>SUM('Marketing funnel by channel and'!G106:G109)</f>
        <v>238100</v>
      </c>
      <c r="G28" s="4">
        <f>SUM('Marketing funnel by channel and'!H106:H109)</f>
        <v>117900</v>
      </c>
      <c r="H28" s="4">
        <f>SUM('Marketing funnel by channel and'!I106:I109)</f>
        <v>144500</v>
      </c>
      <c r="I28" s="4">
        <f>SUM('Marketing funnel by channel and'!J106:J109)</f>
        <v>775100</v>
      </c>
      <c r="J28" s="4">
        <f>SUM('Marketing funnel by channel and'!K106:K109)</f>
        <v>253700</v>
      </c>
      <c r="K28" s="4">
        <f>SUM('Marketing funnel by channel and'!L106:L109)</f>
        <v>153500</v>
      </c>
      <c r="L28" s="4">
        <f>SUM('Marketing funnel by channel and'!M106:M109)</f>
        <v>158700</v>
      </c>
      <c r="M28" s="4">
        <f>SUM('Marketing funnel by channel and'!N106:N109)</f>
        <v>470300</v>
      </c>
      <c r="N28" s="4">
        <f>SUM('Marketing funnel by channel and'!O106:O109)</f>
        <v>1293500</v>
      </c>
      <c r="O28" s="4">
        <f>SUM('Marketing funnel by channel and'!P106:P109)</f>
        <v>202600</v>
      </c>
      <c r="P28" s="4">
        <f>SUM('Marketing funnel by channel and'!Q106:Q109)</f>
        <v>172700</v>
      </c>
      <c r="Q28" s="4">
        <f>SUM('Marketing funnel by channel and'!R106:R109)</f>
        <v>1562800</v>
      </c>
      <c r="R28" s="4">
        <f>SUM('Marketing funnel by channel and'!S106:S109)</f>
        <v>427300</v>
      </c>
      <c r="S28" s="4">
        <f>SUM('Marketing funnel by channel and'!T106:T109)</f>
        <v>190200</v>
      </c>
      <c r="T28" s="4">
        <f>SUM('Marketing funnel by channel and'!U106:U109)</f>
        <v>88400</v>
      </c>
      <c r="U28" s="4">
        <f>SUM('Marketing funnel by channel and'!V106:V109)</f>
        <v>0</v>
      </c>
      <c r="V28" s="4">
        <f>SUM('Marketing funnel by channel and'!W106:W109)</f>
        <v>0</v>
      </c>
      <c r="W28" s="4">
        <f>SUM('Marketing funnel by channel and'!X106:X109)</f>
        <v>0</v>
      </c>
    </row>
    <row r="29">
      <c r="A29" s="0" t="inlineStr">
        <is>
          <t xml:space="preserve">Pipeline created</t>
        </is>
      </c>
      <c r="B29" s="0" t="inlineStr">
        <is>
          <t xml:space="preserve">Partner</t>
        </is>
      </c>
      <c r="C29" s="4">
        <f>SUM('Marketing funnel by channel and'!D110:D113)</f>
        <v>499000</v>
      </c>
      <c r="D29" s="4">
        <f>SUM('Marketing funnel by channel and'!E110:E113)</f>
        <v>525800</v>
      </c>
      <c r="E29" s="4">
        <f>SUM('Marketing funnel by channel and'!F110:F113)</f>
        <v>488200</v>
      </c>
      <c r="F29" s="4">
        <f>SUM('Marketing funnel by channel and'!G110:G113)</f>
        <v>580900</v>
      </c>
      <c r="G29" s="4">
        <f>SUM('Marketing funnel by channel and'!H110:H113)</f>
        <v>165100</v>
      </c>
      <c r="H29" s="4">
        <f>SUM('Marketing funnel by channel and'!I110:I113)</f>
        <v>1143500</v>
      </c>
      <c r="I29" s="4">
        <f>SUM('Marketing funnel by channel and'!J110:J113)</f>
        <v>90400</v>
      </c>
      <c r="J29" s="4">
        <f>SUM('Marketing funnel by channel and'!K110:K113)</f>
        <v>602900</v>
      </c>
      <c r="K29" s="4">
        <f>SUM('Marketing funnel by channel and'!L110:L113)</f>
        <v>501700</v>
      </c>
      <c r="L29" s="4">
        <f>SUM('Marketing funnel by channel and'!M110:M113)</f>
        <v>99500</v>
      </c>
      <c r="M29" s="4">
        <f>SUM('Marketing funnel by channel and'!N110:N113)</f>
        <v>415400</v>
      </c>
      <c r="N29" s="4">
        <f>SUM('Marketing funnel by channel and'!O110:O113)</f>
        <v>586600</v>
      </c>
      <c r="O29" s="4">
        <f>SUM('Marketing funnel by channel and'!P110:P113)</f>
        <v>314800</v>
      </c>
      <c r="P29" s="4">
        <f>SUM('Marketing funnel by channel and'!Q110:Q113)</f>
        <v>385100</v>
      </c>
      <c r="Q29" s="4">
        <f>SUM('Marketing funnel by channel and'!R110:R113)</f>
        <v>891400</v>
      </c>
      <c r="R29" s="4">
        <f>SUM('Marketing funnel by channel and'!S110:S113)</f>
        <v>145400</v>
      </c>
      <c r="S29" s="4">
        <f>SUM('Marketing funnel by channel and'!T110:T113)</f>
        <v>215900</v>
      </c>
      <c r="T29" s="4">
        <f>SUM('Marketing funnel by channel and'!U110:U113)</f>
        <v>244100</v>
      </c>
      <c r="U29" s="4">
        <f>SUM('Marketing funnel by channel and'!V110:V113)</f>
        <v>0</v>
      </c>
      <c r="V29" s="4">
        <f>SUM('Marketing funnel by channel and'!W110:W113)</f>
        <v>0</v>
      </c>
      <c r="W29" s="4">
        <f>SUM('Marketing funnel by channel and'!X110:X113)</f>
        <v>0</v>
      </c>
    </row>
    <row r="30">
      <c r="A30" s="0" t="inlineStr">
        <is>
          <t xml:space="preserve">Pipeline created</t>
        </is>
      </c>
      <c r="B30" s="0" t="inlineStr">
        <is>
          <t xml:space="preserve">Outbound (BDR)</t>
        </is>
      </c>
      <c r="C30" s="4">
        <f>SUM('Marketing funnel by channel and'!D114:D117)</f>
        <v>876600</v>
      </c>
      <c r="D30" s="4">
        <f>SUM('Marketing funnel by channel and'!E114:E117)</f>
        <v>1564600</v>
      </c>
      <c r="E30" s="4">
        <f>SUM('Marketing funnel by channel and'!F114:F117)</f>
        <v>674800</v>
      </c>
      <c r="F30" s="4">
        <f>SUM('Marketing funnel by channel and'!G114:G117)</f>
        <v>826200</v>
      </c>
      <c r="G30" s="4">
        <f>SUM('Marketing funnel by channel and'!H114:H117)</f>
        <v>862400</v>
      </c>
      <c r="H30" s="4">
        <f>SUM('Marketing funnel by channel and'!I114:I117)</f>
        <v>989200</v>
      </c>
      <c r="I30" s="4">
        <f>SUM('Marketing funnel by channel and'!J114:J117)</f>
        <v>364200</v>
      </c>
      <c r="J30" s="4">
        <f>SUM('Marketing funnel by channel and'!K114:K117)</f>
        <v>596100</v>
      </c>
      <c r="K30" s="4">
        <f>SUM('Marketing funnel by channel and'!L114:L117)</f>
        <v>784000</v>
      </c>
      <c r="L30" s="4">
        <f>SUM('Marketing funnel by channel and'!M114:M117)</f>
        <v>843000</v>
      </c>
      <c r="M30" s="4">
        <f>SUM('Marketing funnel by channel and'!N114:N117)</f>
        <v>2141600</v>
      </c>
      <c r="N30" s="4">
        <f>SUM('Marketing funnel by channel and'!O114:O117)</f>
        <v>1046600</v>
      </c>
      <c r="O30" s="4">
        <f>SUM('Marketing funnel by channel and'!P114:P117)</f>
        <v>582800</v>
      </c>
      <c r="P30" s="4">
        <f>SUM('Marketing funnel by channel and'!Q114:Q117)</f>
        <v>1208600</v>
      </c>
      <c r="Q30" s="4">
        <f>SUM('Marketing funnel by channel and'!R114:R117)</f>
        <v>1107300</v>
      </c>
      <c r="R30" s="4">
        <f>SUM('Marketing funnel by channel and'!S114:S117)</f>
        <v>386100</v>
      </c>
      <c r="S30" s="4">
        <f>SUM('Marketing funnel by channel and'!T114:T117)</f>
        <v>592400</v>
      </c>
      <c r="T30" s="4">
        <f>SUM('Marketing funnel by channel and'!U114:U117)</f>
        <v>534700</v>
      </c>
      <c r="U30" s="4">
        <f>SUM('Marketing funnel by channel and'!V114:V117)</f>
        <v>0</v>
      </c>
      <c r="V30" s="4">
        <f>SUM('Marketing funnel by channel and'!W114:W117)</f>
        <v>0</v>
      </c>
      <c r="W30" s="4">
        <f>SUM('Marketing funnel by channel and'!X114:X117)</f>
        <v>0</v>
      </c>
    </row>
    <row r="31">
      <c r="A31" s="0" t="inlineStr">
        <is>
          <t xml:space="preserve">Pipeline created</t>
        </is>
      </c>
      <c r="B31" s="0" t="inlineStr">
        <is>
          <t xml:space="preserve">Customer referral</t>
        </is>
      </c>
      <c r="C31" s="4">
        <f>SUM('Marketing funnel by channel and'!D118:D121)</f>
        <v>620100</v>
      </c>
      <c r="D31" s="4">
        <f>SUM('Marketing funnel by channel and'!E118:E121)</f>
        <v>233800</v>
      </c>
      <c r="E31" s="4">
        <f>SUM('Marketing funnel by channel and'!F118:F121)</f>
        <v>117600</v>
      </c>
      <c r="F31" s="4">
        <f>SUM('Marketing funnel by channel and'!G118:G121)</f>
        <v>355500</v>
      </c>
      <c r="G31" s="4">
        <f>SUM('Marketing funnel by channel and'!H118:H121)</f>
        <v>70500</v>
      </c>
      <c r="H31" s="4">
        <f>SUM('Marketing funnel by channel and'!I118:I121)</f>
        <v>332900</v>
      </c>
      <c r="I31" s="4">
        <f>SUM('Marketing funnel by channel and'!J118:J121)</f>
        <v>464800</v>
      </c>
      <c r="J31" s="4">
        <f>SUM('Marketing funnel by channel and'!K118:K121)</f>
        <v>770200</v>
      </c>
      <c r="K31" s="4">
        <f>SUM('Marketing funnel by channel and'!L118:L121)</f>
        <v>437700</v>
      </c>
      <c r="L31" s="4">
        <f>SUM('Marketing funnel by channel and'!M118:M121)</f>
        <v>598600</v>
      </c>
      <c r="M31" s="4">
        <f>SUM('Marketing funnel by channel and'!N118:N121)</f>
        <v>77100</v>
      </c>
      <c r="N31" s="4">
        <f>SUM('Marketing funnel by channel and'!O118:O121)</f>
        <v>208900</v>
      </c>
      <c r="O31" s="4">
        <f>SUM('Marketing funnel by channel and'!P118:P121)</f>
        <v>101100</v>
      </c>
      <c r="P31" s="4">
        <f>SUM('Marketing funnel by channel and'!Q118:Q121)</f>
        <v>429100</v>
      </c>
      <c r="Q31" s="4">
        <f>SUM('Marketing funnel by channel and'!R118:R121)</f>
        <v>223100</v>
      </c>
      <c r="R31" s="4">
        <f>SUM('Marketing funnel by channel and'!S118:S121)</f>
        <v>319500</v>
      </c>
      <c r="S31" s="4">
        <f>SUM('Marketing funnel by channel and'!T118:T121)</f>
        <v>913900</v>
      </c>
      <c r="T31" s="4">
        <f>SUM('Marketing funnel by channel and'!U118:U121)</f>
        <v>94200</v>
      </c>
      <c r="U31" s="4">
        <f>SUM('Marketing funnel by channel and'!V118:V121)</f>
        <v>0</v>
      </c>
      <c r="V31" s="4">
        <f>SUM('Marketing funnel by channel and'!W118:W121)</f>
        <v>0</v>
      </c>
      <c r="W31" s="4">
        <f>SUM('Marketing funnel by channel and'!X118:X121)</f>
        <v>0</v>
      </c>
    </row>
    <row r="32">
      <c r="A32" s="0" t="inlineStr">
        <is>
          <t xml:space="preserve">Deals won</t>
        </is>
      </c>
      <c r="B32" s="0" t="inlineStr">
        <is>
          <t xml:space="preserve">Inbound (web &amp; content)</t>
        </is>
      </c>
      <c r="C32" s="4">
        <f>SUM('Marketing funnel by channel and'!D122:D125)</f>
        <v>1</v>
      </c>
      <c r="D32" s="4">
        <f>SUM('Marketing funnel by channel and'!E122:E125)</f>
        <v>7</v>
      </c>
      <c r="E32" s="4">
        <f>SUM('Marketing funnel by channel and'!F122:F125)</f>
        <v>9</v>
      </c>
      <c r="F32" s="4">
        <f>SUM('Marketing funnel by channel and'!G122:G125)</f>
        <v>14</v>
      </c>
      <c r="G32" s="4">
        <f>SUM('Marketing funnel by channel and'!H122:H125)</f>
        <v>8</v>
      </c>
      <c r="H32" s="4">
        <f>SUM('Marketing funnel by channel and'!I122:I125)</f>
        <v>20</v>
      </c>
      <c r="I32" s="4">
        <f>SUM('Marketing funnel by channel and'!J122:J125)</f>
        <v>6</v>
      </c>
      <c r="J32" s="4">
        <f>SUM('Marketing funnel by channel and'!K122:K125)</f>
        <v>8</v>
      </c>
      <c r="K32" s="4">
        <f>SUM('Marketing funnel by channel and'!L122:L125)</f>
        <v>20</v>
      </c>
      <c r="L32" s="4">
        <f>SUM('Marketing funnel by channel and'!M122:M125)</f>
        <v>15</v>
      </c>
      <c r="M32" s="4">
        <f>SUM('Marketing funnel by channel and'!N122:N125)</f>
        <v>11</v>
      </c>
      <c r="N32" s="4">
        <f>SUM('Marketing funnel by channel and'!O122:O125)</f>
        <v>13</v>
      </c>
      <c r="O32" s="4">
        <f>SUM('Marketing funnel by channel and'!P122:P125)</f>
        <v>11</v>
      </c>
      <c r="P32" s="4">
        <f>SUM('Marketing funnel by channel and'!Q122:Q125)</f>
        <v>14</v>
      </c>
      <c r="Q32" s="4">
        <f>SUM('Marketing funnel by channel and'!R122:R125)</f>
        <v>23</v>
      </c>
      <c r="R32" s="4">
        <f>SUM('Marketing funnel by channel and'!S122:S125)</f>
        <v>11</v>
      </c>
      <c r="S32" s="4">
        <f>SUM('Marketing funnel by channel and'!T122:T125)</f>
        <v>12</v>
      </c>
      <c r="T32" s="4">
        <f>SUM('Marketing funnel by channel and'!U122:U125)</f>
        <v>14</v>
      </c>
      <c r="U32" s="4">
        <f>SUM('Marketing funnel by channel and'!V122:V125)</f>
        <v>0</v>
      </c>
      <c r="V32" s="4">
        <f>SUM('Marketing funnel by channel and'!W122:W125)</f>
        <v>0</v>
      </c>
      <c r="W32" s="4">
        <f>SUM('Marketing funnel by channel and'!X122:X125)</f>
        <v>0</v>
      </c>
    </row>
    <row r="33">
      <c r="A33" s="0" t="inlineStr">
        <is>
          <t xml:space="preserve">Deals won</t>
        </is>
      </c>
      <c r="B33" s="0" t="inlineStr">
        <is>
          <t xml:space="preserve">Paid digital</t>
        </is>
      </c>
      <c r="C33" s="4">
        <f>SUM('Marketing funnel by channel and'!D126:D129)</f>
        <v>1</v>
      </c>
      <c r="D33" s="4">
        <f>SUM('Marketing funnel by channel and'!E126:E129)</f>
        <v>4</v>
      </c>
      <c r="E33" s="4">
        <f>SUM('Marketing funnel by channel and'!F126:F129)</f>
        <v>4</v>
      </c>
      <c r="F33" s="4">
        <f>SUM('Marketing funnel by channel and'!G126:G129)</f>
        <v>2</v>
      </c>
      <c r="G33" s="4">
        <f>SUM('Marketing funnel by channel and'!H126:H129)</f>
        <v>0</v>
      </c>
      <c r="H33" s="4">
        <f>SUM('Marketing funnel by channel and'!I126:I129)</f>
        <v>8</v>
      </c>
      <c r="I33" s="4">
        <f>SUM('Marketing funnel by channel and'!J126:J129)</f>
        <v>2</v>
      </c>
      <c r="J33" s="4">
        <f>SUM('Marketing funnel by channel and'!K126:K129)</f>
        <v>5</v>
      </c>
      <c r="K33" s="4">
        <f>SUM('Marketing funnel by channel and'!L126:L129)</f>
        <v>1</v>
      </c>
      <c r="L33" s="4">
        <f>SUM('Marketing funnel by channel and'!M126:M129)</f>
        <v>1</v>
      </c>
      <c r="M33" s="4">
        <f>SUM('Marketing funnel by channel and'!N126:N129)</f>
        <v>1</v>
      </c>
      <c r="N33" s="4">
        <f>SUM('Marketing funnel by channel and'!O126:O129)</f>
        <v>7</v>
      </c>
      <c r="O33" s="4">
        <f>SUM('Marketing funnel by channel and'!P126:P129)</f>
        <v>4</v>
      </c>
      <c r="P33" s="4">
        <f>SUM('Marketing funnel by channel and'!Q126:Q129)</f>
        <v>2</v>
      </c>
      <c r="Q33" s="4">
        <f>SUM('Marketing funnel by channel and'!R126:R129)</f>
        <v>7</v>
      </c>
      <c r="R33" s="4">
        <f>SUM('Marketing funnel by channel and'!S126:S129)</f>
        <v>4</v>
      </c>
      <c r="S33" s="4">
        <f>SUM('Marketing funnel by channel and'!T126:T129)</f>
        <v>3</v>
      </c>
      <c r="T33" s="4">
        <f>SUM('Marketing funnel by channel and'!U126:U129)</f>
        <v>5</v>
      </c>
      <c r="U33" s="4">
        <f>SUM('Marketing funnel by channel and'!V126:V129)</f>
        <v>0</v>
      </c>
      <c r="V33" s="4">
        <f>SUM('Marketing funnel by channel and'!W126:W129)</f>
        <v>0</v>
      </c>
      <c r="W33" s="4">
        <f>SUM('Marketing funnel by channel and'!X126:X129)</f>
        <v>0</v>
      </c>
    </row>
    <row r="34">
      <c r="A34" s="0" t="inlineStr">
        <is>
          <t xml:space="preserve">Deals won</t>
        </is>
      </c>
      <c r="B34" s="0" t="inlineStr">
        <is>
          <t xml:space="preserve">Events &amp; field</t>
        </is>
      </c>
      <c r="C34" s="4">
        <f>SUM('Marketing funnel by channel and'!D130:D133)</f>
        <v>0</v>
      </c>
      <c r="D34" s="4">
        <f>SUM('Marketing funnel by channel and'!E130:E133)</f>
        <v>2</v>
      </c>
      <c r="E34" s="4">
        <f>SUM('Marketing funnel by channel and'!F130:F133)</f>
        <v>5</v>
      </c>
      <c r="F34" s="4">
        <f>SUM('Marketing funnel by channel and'!G130:G133)</f>
        <v>4</v>
      </c>
      <c r="G34" s="4">
        <f>SUM('Marketing funnel by channel and'!H130:H133)</f>
        <v>8</v>
      </c>
      <c r="H34" s="4">
        <f>SUM('Marketing funnel by channel and'!I130:I133)</f>
        <v>3</v>
      </c>
      <c r="I34" s="4">
        <f>SUM('Marketing funnel by channel and'!J130:J133)</f>
        <v>5</v>
      </c>
      <c r="J34" s="4">
        <f>SUM('Marketing funnel by channel and'!K130:K133)</f>
        <v>3</v>
      </c>
      <c r="K34" s="4">
        <f>SUM('Marketing funnel by channel and'!L130:L133)</f>
        <v>10</v>
      </c>
      <c r="L34" s="4">
        <f>SUM('Marketing funnel by channel and'!M130:M133)</f>
        <v>1</v>
      </c>
      <c r="M34" s="4">
        <f>SUM('Marketing funnel by channel and'!N130:N133)</f>
        <v>3</v>
      </c>
      <c r="N34" s="4">
        <f>SUM('Marketing funnel by channel and'!O130:O133)</f>
        <v>2</v>
      </c>
      <c r="O34" s="4">
        <f>SUM('Marketing funnel by channel and'!P130:P133)</f>
        <v>6</v>
      </c>
      <c r="P34" s="4">
        <f>SUM('Marketing funnel by channel and'!Q130:Q133)</f>
        <v>5</v>
      </c>
      <c r="Q34" s="4">
        <f>SUM('Marketing funnel by channel and'!R130:R133)</f>
        <v>6</v>
      </c>
      <c r="R34" s="4">
        <f>SUM('Marketing funnel by channel and'!S130:S133)</f>
        <v>11</v>
      </c>
      <c r="S34" s="4">
        <f>SUM('Marketing funnel by channel and'!T130:T133)</f>
        <v>1</v>
      </c>
      <c r="T34" s="4">
        <f>SUM('Marketing funnel by channel and'!U130:U133)</f>
        <v>5</v>
      </c>
      <c r="U34" s="4">
        <f>SUM('Marketing funnel by channel and'!V130:V133)</f>
        <v>0</v>
      </c>
      <c r="V34" s="4">
        <f>SUM('Marketing funnel by channel and'!W130:W133)</f>
        <v>0</v>
      </c>
      <c r="W34" s="4">
        <f>SUM('Marketing funnel by channel and'!X130:X133)</f>
        <v>0</v>
      </c>
    </row>
    <row r="35">
      <c r="A35" s="0" t="inlineStr">
        <is>
          <t xml:space="preserve">Deals won</t>
        </is>
      </c>
      <c r="B35" s="0" t="inlineStr">
        <is>
          <t xml:space="preserve">Partner</t>
        </is>
      </c>
      <c r="C35" s="4">
        <f>SUM('Marketing funnel by channel and'!D134:D137)</f>
        <v>1</v>
      </c>
      <c r="D35" s="4">
        <f>SUM('Marketing funnel by channel and'!E134:E137)</f>
        <v>1</v>
      </c>
      <c r="E35" s="4">
        <f>SUM('Marketing funnel by channel and'!F134:F137)</f>
        <v>5</v>
      </c>
      <c r="F35" s="4">
        <f>SUM('Marketing funnel by channel and'!G134:G137)</f>
        <v>2</v>
      </c>
      <c r="G35" s="4">
        <f>SUM('Marketing funnel by channel and'!H134:H137)</f>
        <v>3</v>
      </c>
      <c r="H35" s="4">
        <f>SUM('Marketing funnel by channel and'!I134:I137)</f>
        <v>11</v>
      </c>
      <c r="I35" s="4">
        <f>SUM('Marketing funnel by channel and'!J134:J137)</f>
        <v>2</v>
      </c>
      <c r="J35" s="4">
        <f>SUM('Marketing funnel by channel and'!K134:K137)</f>
        <v>3</v>
      </c>
      <c r="K35" s="4">
        <f>SUM('Marketing funnel by channel and'!L134:L137)</f>
        <v>6</v>
      </c>
      <c r="L35" s="4">
        <f>SUM('Marketing funnel by channel and'!M134:M137)</f>
        <v>1</v>
      </c>
      <c r="M35" s="4">
        <f>SUM('Marketing funnel by channel and'!N134:N137)</f>
        <v>1</v>
      </c>
      <c r="N35" s="4">
        <f>SUM('Marketing funnel by channel and'!O134:O137)</f>
        <v>5</v>
      </c>
      <c r="O35" s="4">
        <f>SUM('Marketing funnel by channel and'!P134:P137)</f>
        <v>2</v>
      </c>
      <c r="P35" s="4">
        <f>SUM('Marketing funnel by channel and'!Q134:Q137)</f>
        <v>1</v>
      </c>
      <c r="Q35" s="4">
        <f>SUM('Marketing funnel by channel and'!R134:R137)</f>
        <v>6</v>
      </c>
      <c r="R35" s="4">
        <f>SUM('Marketing funnel by channel and'!S134:S137)</f>
        <v>9</v>
      </c>
      <c r="S35" s="4">
        <f>SUM('Marketing funnel by channel and'!T134:T137)</f>
        <v>2</v>
      </c>
      <c r="T35" s="4">
        <f>SUM('Marketing funnel by channel and'!U134:U137)</f>
        <v>4</v>
      </c>
      <c r="U35" s="4">
        <f>SUM('Marketing funnel by channel and'!V134:V137)</f>
        <v>0</v>
      </c>
      <c r="V35" s="4">
        <f>SUM('Marketing funnel by channel and'!W134:W137)</f>
        <v>0</v>
      </c>
      <c r="W35" s="4">
        <f>SUM('Marketing funnel by channel and'!X134:X137)</f>
        <v>0</v>
      </c>
    </row>
    <row r="36">
      <c r="A36" s="0" t="inlineStr">
        <is>
          <t xml:space="preserve">Deals won</t>
        </is>
      </c>
      <c r="B36" s="0" t="inlineStr">
        <is>
          <t xml:space="preserve">Outbound (BDR)</t>
        </is>
      </c>
      <c r="C36" s="4">
        <f>SUM('Marketing funnel by channel and'!D138:D141)</f>
        <v>0</v>
      </c>
      <c r="D36" s="4">
        <f>SUM('Marketing funnel by channel and'!E138:E141)</f>
        <v>2</v>
      </c>
      <c r="E36" s="4">
        <f>SUM('Marketing funnel by channel and'!F138:F141)</f>
        <v>2</v>
      </c>
      <c r="F36" s="4">
        <f>SUM('Marketing funnel by channel and'!G138:G141)</f>
        <v>3</v>
      </c>
      <c r="G36" s="4">
        <f>SUM('Marketing funnel by channel and'!H138:H141)</f>
        <v>2</v>
      </c>
      <c r="H36" s="4">
        <f>SUM('Marketing funnel by channel and'!I138:I141)</f>
        <v>6</v>
      </c>
      <c r="I36" s="4">
        <f>SUM('Marketing funnel by channel and'!J138:J141)</f>
        <v>3</v>
      </c>
      <c r="J36" s="4">
        <f>SUM('Marketing funnel by channel and'!K138:K141)</f>
        <v>5</v>
      </c>
      <c r="K36" s="4">
        <f>SUM('Marketing funnel by channel and'!L138:L141)</f>
        <v>8</v>
      </c>
      <c r="L36" s="4">
        <f>SUM('Marketing funnel by channel and'!M138:M141)</f>
        <v>7</v>
      </c>
      <c r="M36" s="4">
        <f>SUM('Marketing funnel by channel and'!N138:N141)</f>
        <v>2</v>
      </c>
      <c r="N36" s="4">
        <f>SUM('Marketing funnel by channel and'!O138:O141)</f>
        <v>10</v>
      </c>
      <c r="O36" s="4">
        <f>SUM('Marketing funnel by channel and'!P138:P141)</f>
        <v>2</v>
      </c>
      <c r="P36" s="4">
        <f>SUM('Marketing funnel by channel and'!Q138:Q141)</f>
        <v>3</v>
      </c>
      <c r="Q36" s="4">
        <f>SUM('Marketing funnel by channel and'!R138:R141)</f>
        <v>9</v>
      </c>
      <c r="R36" s="4">
        <f>SUM('Marketing funnel by channel and'!S138:S141)</f>
        <v>4</v>
      </c>
      <c r="S36" s="4">
        <f>SUM('Marketing funnel by channel and'!T138:T141)</f>
        <v>4</v>
      </c>
      <c r="T36" s="4">
        <f>SUM('Marketing funnel by channel and'!U138:U141)</f>
        <v>2</v>
      </c>
      <c r="U36" s="4">
        <f>SUM('Marketing funnel by channel and'!V138:V141)</f>
        <v>0</v>
      </c>
      <c r="V36" s="4">
        <f>SUM('Marketing funnel by channel and'!W138:W141)</f>
        <v>0</v>
      </c>
      <c r="W36" s="4">
        <f>SUM('Marketing funnel by channel and'!X138:X141)</f>
        <v>0</v>
      </c>
    </row>
    <row r="37">
      <c r="A37" s="0" t="inlineStr">
        <is>
          <t xml:space="preserve">Deals won</t>
        </is>
      </c>
      <c r="B37" s="0" t="inlineStr">
        <is>
          <t xml:space="preserve">Customer referral</t>
        </is>
      </c>
      <c r="C37" s="4">
        <f>SUM('Marketing funnel by channel and'!D142:D145)</f>
        <v>0</v>
      </c>
      <c r="D37" s="4">
        <f>SUM('Marketing funnel by channel and'!E142:E145)</f>
        <v>3</v>
      </c>
      <c r="E37" s="4">
        <f>SUM('Marketing funnel by channel and'!F142:F145)</f>
        <v>4</v>
      </c>
      <c r="F37" s="4">
        <f>SUM('Marketing funnel by channel and'!G142:G145)</f>
        <v>2</v>
      </c>
      <c r="G37" s="4">
        <f>SUM('Marketing funnel by channel and'!H142:H145)</f>
        <v>1</v>
      </c>
      <c r="H37" s="4">
        <f>SUM('Marketing funnel by channel and'!I142:I145)</f>
        <v>5</v>
      </c>
      <c r="I37" s="4">
        <f>SUM('Marketing funnel by channel and'!J142:J145)</f>
        <v>1</v>
      </c>
      <c r="J37" s="4">
        <f>SUM('Marketing funnel by channel and'!K142:K145)</f>
        <v>3</v>
      </c>
      <c r="K37" s="4">
        <f>SUM('Marketing funnel by channel and'!L142:L145)</f>
        <v>3</v>
      </c>
      <c r="L37" s="4">
        <f>SUM('Marketing funnel by channel and'!M142:M145)</f>
        <v>2</v>
      </c>
      <c r="M37" s="4">
        <f>SUM('Marketing funnel by channel and'!N142:N145)</f>
        <v>2</v>
      </c>
      <c r="N37" s="4">
        <f>SUM('Marketing funnel by channel and'!O142:O145)</f>
        <v>8</v>
      </c>
      <c r="O37" s="4">
        <f>SUM('Marketing funnel by channel and'!P142:P145)</f>
        <v>0</v>
      </c>
      <c r="P37" s="4">
        <f>SUM('Marketing funnel by channel and'!Q142:Q145)</f>
        <v>3</v>
      </c>
      <c r="Q37" s="4">
        <f>SUM('Marketing funnel by channel and'!R142:R145)</f>
        <v>5</v>
      </c>
      <c r="R37" s="4">
        <f>SUM('Marketing funnel by channel and'!S142:S145)</f>
        <v>4</v>
      </c>
      <c r="S37" s="4">
        <f>SUM('Marketing funnel by channel and'!T142:T145)</f>
        <v>4</v>
      </c>
      <c r="T37" s="4">
        <f>SUM('Marketing funnel by channel and'!U142:U145)</f>
        <v>1</v>
      </c>
      <c r="U37" s="4">
        <f>SUM('Marketing funnel by channel and'!V142:V145)</f>
        <v>0</v>
      </c>
      <c r="V37" s="4">
        <f>SUM('Marketing funnel by channel and'!W142:W145)</f>
        <v>0</v>
      </c>
      <c r="W37" s="4">
        <f>SUM('Marketing funnel by channel and'!X142:X145)</f>
        <v>0</v>
      </c>
    </row>
    <row r="38">
      <c r="A38" s="0" t="inlineStr">
        <is>
          <t xml:space="preserve">Bookings</t>
        </is>
      </c>
      <c r="B38" s="0" t="inlineStr">
        <is>
          <t xml:space="preserve">Inbound (web &amp; content)</t>
        </is>
      </c>
      <c r="C38" s="4">
        <f>SUM('Marketing funnel by channel and'!D146:D149)</f>
        <v>6800</v>
      </c>
      <c r="D38" s="4">
        <f>SUM('Marketing funnel by channel and'!E146:E149)</f>
        <v>140400</v>
      </c>
      <c r="E38" s="4">
        <f>SUM('Marketing funnel by channel and'!F146:F149)</f>
        <v>242200</v>
      </c>
      <c r="F38" s="4">
        <f>SUM('Marketing funnel by channel and'!G146:G149)</f>
        <v>339500</v>
      </c>
      <c r="G38" s="4">
        <f>SUM('Marketing funnel by channel and'!H146:H149)</f>
        <v>102500</v>
      </c>
      <c r="H38" s="4">
        <f>SUM('Marketing funnel by channel and'!I146:I149)</f>
        <v>1121100</v>
      </c>
      <c r="I38" s="4">
        <f>SUM('Marketing funnel by channel and'!J146:J149)</f>
        <v>181900</v>
      </c>
      <c r="J38" s="4">
        <f>SUM('Marketing funnel by channel and'!K146:K149)</f>
        <v>258100</v>
      </c>
      <c r="K38" s="4">
        <f>SUM('Marketing funnel by channel and'!L146:L149)</f>
        <v>574100</v>
      </c>
      <c r="L38" s="4">
        <f>SUM('Marketing funnel by channel and'!M146:M149)</f>
        <v>761100</v>
      </c>
      <c r="M38" s="4">
        <f>SUM('Marketing funnel by channel and'!N146:N149)</f>
        <v>1012300</v>
      </c>
      <c r="N38" s="4">
        <f>SUM('Marketing funnel by channel and'!O146:O149)</f>
        <v>676000</v>
      </c>
      <c r="O38" s="4">
        <f>SUM('Marketing funnel by channel and'!P146:P149)</f>
        <v>339600</v>
      </c>
      <c r="P38" s="4">
        <f>SUM('Marketing funnel by channel and'!Q146:Q149)</f>
        <v>315900</v>
      </c>
      <c r="Q38" s="4">
        <f>SUM('Marketing funnel by channel and'!R146:R149)</f>
        <v>1068200</v>
      </c>
      <c r="R38" s="4">
        <f>SUM('Marketing funnel by channel and'!S146:S149)</f>
        <v>437500</v>
      </c>
      <c r="S38" s="4">
        <f>SUM('Marketing funnel by channel and'!T146:T149)</f>
        <v>454100</v>
      </c>
      <c r="T38" s="4">
        <f>SUM('Marketing funnel by channel and'!U146:U149)</f>
        <v>1029700</v>
      </c>
      <c r="U38" s="4">
        <f>SUM('Marketing funnel by channel and'!V146:V149)</f>
        <v>0</v>
      </c>
      <c r="V38" s="4">
        <f>SUM('Marketing funnel by channel and'!W146:W149)</f>
        <v>0</v>
      </c>
      <c r="W38" s="4">
        <f>SUM('Marketing funnel by channel and'!X146:X149)</f>
        <v>0</v>
      </c>
    </row>
    <row r="39">
      <c r="A39" s="0" t="inlineStr">
        <is>
          <t xml:space="preserve">Bookings</t>
        </is>
      </c>
      <c r="B39" s="0" t="inlineStr">
        <is>
          <t xml:space="preserve">Paid digital</t>
        </is>
      </c>
      <c r="C39" s="4">
        <f>SUM('Marketing funnel by channel and'!D150:D153)</f>
        <v>32500</v>
      </c>
      <c r="D39" s="4">
        <f>SUM('Marketing funnel by channel and'!E150:E153)</f>
        <v>113500</v>
      </c>
      <c r="E39" s="4">
        <f>SUM('Marketing funnel by channel and'!F150:F153)</f>
        <v>268800</v>
      </c>
      <c r="F39" s="4">
        <f>SUM('Marketing funnel by channel and'!G150:G153)</f>
        <v>46800</v>
      </c>
      <c r="G39" s="4">
        <f>SUM('Marketing funnel by channel and'!H150:H153)</f>
        <v>0</v>
      </c>
      <c r="H39" s="4">
        <f>SUM('Marketing funnel by channel and'!I150:I153)</f>
        <v>254900</v>
      </c>
      <c r="I39" s="4">
        <f>SUM('Marketing funnel by channel and'!J150:J153)</f>
        <v>35600</v>
      </c>
      <c r="J39" s="4">
        <f>SUM('Marketing funnel by channel and'!K150:K153)</f>
        <v>133600</v>
      </c>
      <c r="K39" s="4">
        <f>SUM('Marketing funnel by channel and'!L150:L153)</f>
        <v>13000</v>
      </c>
      <c r="L39" s="4">
        <f>SUM('Marketing funnel by channel and'!M150:M153)</f>
        <v>6200</v>
      </c>
      <c r="M39" s="4">
        <f>SUM('Marketing funnel by channel and'!N150:N153)</f>
        <v>3600</v>
      </c>
      <c r="N39" s="4">
        <f>SUM('Marketing funnel by channel and'!O150:O153)</f>
        <v>590300</v>
      </c>
      <c r="O39" s="4">
        <f>SUM('Marketing funnel by channel and'!P150:P153)</f>
        <v>268500</v>
      </c>
      <c r="P39" s="4">
        <f>SUM('Marketing funnel by channel and'!Q150:Q153)</f>
        <v>21800</v>
      </c>
      <c r="Q39" s="4">
        <f>SUM('Marketing funnel by channel and'!R150:R153)</f>
        <v>274100</v>
      </c>
      <c r="R39" s="4">
        <f>SUM('Marketing funnel by channel and'!S150:S153)</f>
        <v>45400</v>
      </c>
      <c r="S39" s="4">
        <f>SUM('Marketing funnel by channel and'!T150:T153)</f>
        <v>62800</v>
      </c>
      <c r="T39" s="4">
        <f>SUM('Marketing funnel by channel and'!U150:U153)</f>
        <v>482800</v>
      </c>
      <c r="U39" s="4">
        <f>SUM('Marketing funnel by channel and'!V150:V153)</f>
        <v>0</v>
      </c>
      <c r="V39" s="4">
        <f>SUM('Marketing funnel by channel and'!W150:W153)</f>
        <v>0</v>
      </c>
      <c r="W39" s="4">
        <f>SUM('Marketing funnel by channel and'!X150:X153)</f>
        <v>0</v>
      </c>
    </row>
    <row r="40">
      <c r="A40" s="0" t="inlineStr">
        <is>
          <t xml:space="preserve">Bookings</t>
        </is>
      </c>
      <c r="B40" s="0" t="inlineStr">
        <is>
          <t xml:space="preserve">Events &amp; field</t>
        </is>
      </c>
      <c r="C40" s="4">
        <f>SUM('Marketing funnel by channel and'!D154:D157)</f>
        <v>0</v>
      </c>
      <c r="D40" s="4">
        <f>SUM('Marketing funnel by channel and'!E154:E157)</f>
        <v>18900</v>
      </c>
      <c r="E40" s="4">
        <f>SUM('Marketing funnel by channel and'!F154:F157)</f>
        <v>65200</v>
      </c>
      <c r="F40" s="4">
        <f>SUM('Marketing funnel by channel and'!G154:G157)</f>
        <v>74700</v>
      </c>
      <c r="G40" s="4">
        <f>SUM('Marketing funnel by channel and'!H154:H157)</f>
        <v>271900</v>
      </c>
      <c r="H40" s="4">
        <f>SUM('Marketing funnel by channel and'!I154:I157)</f>
        <v>176100</v>
      </c>
      <c r="I40" s="4">
        <f>SUM('Marketing funnel by channel and'!J154:J157)</f>
        <v>163700</v>
      </c>
      <c r="J40" s="4">
        <f>SUM('Marketing funnel by channel and'!K154:K157)</f>
        <v>73900</v>
      </c>
      <c r="K40" s="4">
        <f>SUM('Marketing funnel by channel and'!L154:L157)</f>
        <v>354900</v>
      </c>
      <c r="L40" s="4">
        <f>SUM('Marketing funnel by channel and'!M154:M157)</f>
        <v>54800</v>
      </c>
      <c r="M40" s="4">
        <f>SUM('Marketing funnel by channel and'!N154:N157)</f>
        <v>126200</v>
      </c>
      <c r="N40" s="4">
        <f>SUM('Marketing funnel by channel and'!O154:O157)</f>
        <v>35400</v>
      </c>
      <c r="O40" s="4">
        <f>SUM('Marketing funnel by channel and'!P154:P157)</f>
        <v>84500</v>
      </c>
      <c r="P40" s="4">
        <f>SUM('Marketing funnel by channel and'!Q154:Q157)</f>
        <v>208500</v>
      </c>
      <c r="Q40" s="4">
        <f>SUM('Marketing funnel by channel and'!R154:R157)</f>
        <v>121500</v>
      </c>
      <c r="R40" s="4">
        <f>SUM('Marketing funnel by channel and'!S154:S157)</f>
        <v>208800</v>
      </c>
      <c r="S40" s="4">
        <f>SUM('Marketing funnel by channel and'!T154:T157)</f>
        <v>15700</v>
      </c>
      <c r="T40" s="4">
        <f>SUM('Marketing funnel by channel and'!U154:U157)</f>
        <v>109600</v>
      </c>
      <c r="U40" s="4">
        <f>SUM('Marketing funnel by channel and'!V154:V157)</f>
        <v>0</v>
      </c>
      <c r="V40" s="4">
        <f>SUM('Marketing funnel by channel and'!W154:W157)</f>
        <v>0</v>
      </c>
      <c r="W40" s="4">
        <f>SUM('Marketing funnel by channel and'!X154:X157)</f>
        <v>0</v>
      </c>
    </row>
    <row r="41">
      <c r="A41" s="0" t="inlineStr">
        <is>
          <t xml:space="preserve">Bookings</t>
        </is>
      </c>
      <c r="B41" s="0" t="inlineStr">
        <is>
          <t xml:space="preserve">Partner</t>
        </is>
      </c>
      <c r="C41" s="4">
        <f>SUM('Marketing funnel by channel and'!D158:D161)</f>
        <v>9900</v>
      </c>
      <c r="D41" s="4">
        <f>SUM('Marketing funnel by channel and'!E158:E161)</f>
        <v>6800</v>
      </c>
      <c r="E41" s="4">
        <f>SUM('Marketing funnel by channel and'!F158:F161)</f>
        <v>239000</v>
      </c>
      <c r="F41" s="4">
        <f>SUM('Marketing funnel by channel and'!G158:G161)</f>
        <v>88800</v>
      </c>
      <c r="G41" s="4">
        <f>SUM('Marketing funnel by channel and'!H158:H161)</f>
        <v>43100</v>
      </c>
      <c r="H41" s="4">
        <f>SUM('Marketing funnel by channel and'!I158:I161)</f>
        <v>249300</v>
      </c>
      <c r="I41" s="4">
        <f>SUM('Marketing funnel by channel and'!J158:J161)</f>
        <v>64900</v>
      </c>
      <c r="J41" s="4">
        <f>SUM('Marketing funnel by channel and'!K158:K161)</f>
        <v>54100</v>
      </c>
      <c r="K41" s="4">
        <f>SUM('Marketing funnel by channel and'!L158:L161)</f>
        <v>170900</v>
      </c>
      <c r="L41" s="4">
        <f>SUM('Marketing funnel by channel and'!M158:M161)</f>
        <v>42200</v>
      </c>
      <c r="M41" s="4">
        <f>SUM('Marketing funnel by channel and'!N158:N161)</f>
        <v>34300</v>
      </c>
      <c r="N41" s="4">
        <f>SUM('Marketing funnel by channel and'!O158:O161)</f>
        <v>397800</v>
      </c>
      <c r="O41" s="4">
        <f>SUM('Marketing funnel by channel and'!P158:P161)</f>
        <v>88200</v>
      </c>
      <c r="P41" s="4">
        <f>SUM('Marketing funnel by channel and'!Q158:Q161)</f>
        <v>6000</v>
      </c>
      <c r="Q41" s="4">
        <f>SUM('Marketing funnel by channel and'!R158:R161)</f>
        <v>194300</v>
      </c>
      <c r="R41" s="4">
        <f>SUM('Marketing funnel by channel and'!S158:S161)</f>
        <v>362400</v>
      </c>
      <c r="S41" s="4">
        <f>SUM('Marketing funnel by channel and'!T158:T161)</f>
        <v>158700</v>
      </c>
      <c r="T41" s="4">
        <f>SUM('Marketing funnel by channel and'!U158:U161)</f>
        <v>83300</v>
      </c>
      <c r="U41" s="4">
        <f>SUM('Marketing funnel by channel and'!V158:V161)</f>
        <v>0</v>
      </c>
      <c r="V41" s="4">
        <f>SUM('Marketing funnel by channel and'!W158:W161)</f>
        <v>0</v>
      </c>
      <c r="W41" s="4">
        <f>SUM('Marketing funnel by channel and'!X158:X161)</f>
        <v>0</v>
      </c>
    </row>
    <row r="42">
      <c r="A42" s="0" t="inlineStr">
        <is>
          <t xml:space="preserve">Bookings</t>
        </is>
      </c>
      <c r="B42" s="0" t="inlineStr">
        <is>
          <t xml:space="preserve">Outbound (BDR)</t>
        </is>
      </c>
      <c r="C42" s="4">
        <f>SUM('Marketing funnel by channel and'!D162:D165)</f>
        <v>0</v>
      </c>
      <c r="D42" s="4">
        <f>SUM('Marketing funnel by channel and'!E162:E165)</f>
        <v>60900</v>
      </c>
      <c r="E42" s="4">
        <f>SUM('Marketing funnel by channel and'!F162:F165)</f>
        <v>34300</v>
      </c>
      <c r="F42" s="4">
        <f>SUM('Marketing funnel by channel and'!G162:G165)</f>
        <v>38500</v>
      </c>
      <c r="G42" s="4">
        <f>SUM('Marketing funnel by channel and'!H162:H165)</f>
        <v>41900</v>
      </c>
      <c r="H42" s="4">
        <f>SUM('Marketing funnel by channel and'!I162:I165)</f>
        <v>268600</v>
      </c>
      <c r="I42" s="4">
        <f>SUM('Marketing funnel by channel and'!J162:J165)</f>
        <v>61800</v>
      </c>
      <c r="J42" s="4">
        <f>SUM('Marketing funnel by channel and'!K162:K165)</f>
        <v>225000</v>
      </c>
      <c r="K42" s="4">
        <f>SUM('Marketing funnel by channel and'!L162:L165)</f>
        <v>204700</v>
      </c>
      <c r="L42" s="4">
        <f>SUM('Marketing funnel by channel and'!M162:M165)</f>
        <v>227800</v>
      </c>
      <c r="M42" s="4">
        <f>SUM('Marketing funnel by channel and'!N162:N165)</f>
        <v>23600</v>
      </c>
      <c r="N42" s="4">
        <f>SUM('Marketing funnel by channel and'!O162:O165)</f>
        <v>309200</v>
      </c>
      <c r="O42" s="4">
        <f>SUM('Marketing funnel by channel and'!P162:P165)</f>
        <v>109700</v>
      </c>
      <c r="P42" s="4">
        <f>SUM('Marketing funnel by channel and'!Q162:Q165)</f>
        <v>159300</v>
      </c>
      <c r="Q42" s="4">
        <f>SUM('Marketing funnel by channel and'!R162:R165)</f>
        <v>397300</v>
      </c>
      <c r="R42" s="4">
        <f>SUM('Marketing funnel by channel and'!S162:S165)</f>
        <v>233000</v>
      </c>
      <c r="S42" s="4">
        <f>SUM('Marketing funnel by channel and'!T162:T165)</f>
        <v>62500</v>
      </c>
      <c r="T42" s="4">
        <f>SUM('Marketing funnel by channel and'!U162:U165)</f>
        <v>49900</v>
      </c>
      <c r="U42" s="4">
        <f>SUM('Marketing funnel by channel and'!V162:V165)</f>
        <v>0</v>
      </c>
      <c r="V42" s="4">
        <f>SUM('Marketing funnel by channel and'!W162:W165)</f>
        <v>0</v>
      </c>
      <c r="W42" s="4">
        <f>SUM('Marketing funnel by channel and'!X162:X165)</f>
        <v>0</v>
      </c>
    </row>
    <row r="43">
      <c r="A43" s="0" t="inlineStr">
        <is>
          <t xml:space="preserve">Bookings</t>
        </is>
      </c>
      <c r="B43" s="0" t="inlineStr">
        <is>
          <t xml:space="preserve">Customer referral</t>
        </is>
      </c>
      <c r="C43" s="4">
        <f>SUM('Marketing funnel by channel and'!D166:D169)</f>
        <v>0</v>
      </c>
      <c r="D43" s="4">
        <f>SUM('Marketing funnel by channel and'!E166:E169)</f>
        <v>34200</v>
      </c>
      <c r="E43" s="4">
        <f>SUM('Marketing funnel by channel and'!F166:F169)</f>
        <v>197600</v>
      </c>
      <c r="F43" s="4">
        <f>SUM('Marketing funnel by channel and'!G166:G169)</f>
        <v>37900</v>
      </c>
      <c r="G43" s="4">
        <f>SUM('Marketing funnel by channel and'!H166:H169)</f>
        <v>11500</v>
      </c>
      <c r="H43" s="4">
        <f>SUM('Marketing funnel by channel and'!I166:I169)</f>
        <v>140700</v>
      </c>
      <c r="I43" s="4">
        <f>SUM('Marketing funnel by channel and'!J166:J169)</f>
        <v>32500</v>
      </c>
      <c r="J43" s="4">
        <f>SUM('Marketing funnel by channel and'!K166:K169)</f>
        <v>127300</v>
      </c>
      <c r="K43" s="4">
        <f>SUM('Marketing funnel by channel and'!L166:L169)</f>
        <v>56300</v>
      </c>
      <c r="L43" s="4">
        <f>SUM('Marketing funnel by channel and'!M166:M169)</f>
        <v>21400</v>
      </c>
      <c r="M43" s="4">
        <f>SUM('Marketing funnel by channel and'!N166:N169)</f>
        <v>33000</v>
      </c>
      <c r="N43" s="4">
        <f>SUM('Marketing funnel by channel and'!O166:O169)</f>
        <v>106800</v>
      </c>
      <c r="O43" s="4">
        <f>SUM('Marketing funnel by channel and'!P166:P169)</f>
        <v>0</v>
      </c>
      <c r="P43" s="4">
        <f>SUM('Marketing funnel by channel and'!Q166:Q169)</f>
        <v>114500</v>
      </c>
      <c r="Q43" s="4">
        <f>SUM('Marketing funnel by channel and'!R166:R169)</f>
        <v>83100</v>
      </c>
      <c r="R43" s="4">
        <f>SUM('Marketing funnel by channel and'!S166:S169)</f>
        <v>79700</v>
      </c>
      <c r="S43" s="4">
        <f>SUM('Marketing funnel by channel and'!T166:T169)</f>
        <v>199900</v>
      </c>
      <c r="T43" s="4">
        <f>SUM('Marketing funnel by channel and'!U166:U169)</f>
        <v>28000</v>
      </c>
      <c r="U43" s="4">
        <f>SUM('Marketing funnel by channel and'!V166:V169)</f>
        <v>0</v>
      </c>
      <c r="V43" s="4">
        <f>SUM('Marketing funnel by channel and'!W166:W169)</f>
        <v>0</v>
      </c>
      <c r="W43" s="4">
        <f>SUM('Marketing funnel by channel and'!X166:X169)</f>
        <v>0</v>
      </c>
    </row>
    <row r="44">
      <c r="A44" s="0" t="inlineStr">
        <is>
          <t xml:space="preserve">Cost per lead</t>
        </is>
      </c>
      <c r="B44" s="0" t="inlineStr">
        <is>
          <t xml:space="preserve">Inbound (web &amp; content)</t>
        </is>
      </c>
      <c r="C44" s="8">
        <f>IF((C8&gt;0),(C2/C8),"")</f>
        <v>45.230352303523034</v>
      </c>
      <c r="D44" s="8">
        <f>IF((D8&gt;0),(D2/D8),"")</f>
        <v>44.372367312552655</v>
      </c>
      <c r="E44" s="8">
        <f>IF((E8&gt;0),(E2/E8),"")</f>
        <v>45.631911532385466</v>
      </c>
      <c r="F44" s="8">
        <f>IF((F8&gt;0),(F2/F8),"")</f>
        <v>41.47084421235857</v>
      </c>
      <c r="G44" s="8">
        <f>IF((G8&gt;0),(G2/G8),"")</f>
        <v>46.5531475748194</v>
      </c>
      <c r="H44" s="8">
        <f>IF((H8&gt;0),(H2/H8),"")</f>
        <v>51.86991869918699</v>
      </c>
      <c r="I44" s="8">
        <f>IF((I8&gt;0),(I2/I8),"")</f>
        <v>44.28108108108108</v>
      </c>
      <c r="J44" s="8">
        <f>IF((J8&gt;0),(J2/J8),"")</f>
        <v>48.15727699530517</v>
      </c>
      <c r="K44" s="8">
        <f>IF((K8&gt;0),(K2/K8),"")</f>
        <v>40.72357723577236</v>
      </c>
      <c r="L44" s="8">
        <f>IF((L8&gt;0),(L2/L8),"")</f>
        <v>42.200188857412655</v>
      </c>
      <c r="M44" s="8">
        <f>IF((M8&gt;0),(M2/M8),"")</f>
        <v>49.6764705882353</v>
      </c>
      <c r="N44" s="8">
        <f>IF((N8&gt;0),(N2/N8),"")</f>
        <v>39.97363216875412</v>
      </c>
      <c r="O44" s="8">
        <f>IF((O8&gt;0),(O2/O8),"")</f>
        <v>36.37362637362637</v>
      </c>
      <c r="P44" s="8">
        <f>IF((P8&gt;0),(P2/P8),"")</f>
        <v>42.054794520547944</v>
      </c>
      <c r="Q44" s="8">
        <f>IF((Q8&gt;0),(Q2/Q8),"")</f>
        <v>47.39737991266376</v>
      </c>
      <c r="R44" s="8">
        <f>IF((R8&gt;0),(R2/R8),"")</f>
        <v>45.87991718426501</v>
      </c>
      <c r="S44" s="8">
        <f>IF((S8&gt;0),(S2/S8),"")</f>
        <v>43.95101171458999</v>
      </c>
      <c r="T44" s="8">
        <f>IF((T8&gt;0),(T2/T8),"")</f>
        <v>40.254730713246</v>
      </c>
      <c r="U44" s="8">
        <f>IF((U8&gt;0),(U2/U8),"")</f>
        <v>49.421487603305785</v>
      </c>
      <c r="V44" s="8">
        <f>IF((V8&gt;0),(V2/V8),"")</f>
        <v>43.552915766738664</v>
      </c>
      <c r="W44" s="8">
        <f>IF((W8&gt;0),(W2/W8),"")</f>
        <v>47.69886363636363</v>
      </c>
    </row>
    <row r="45">
      <c r="A45" s="0" t="inlineStr">
        <is>
          <t xml:space="preserve">Cost per lead</t>
        </is>
      </c>
      <c r="B45" s="0" t="inlineStr">
        <is>
          <t xml:space="preserve">Paid digital</t>
        </is>
      </c>
      <c r="C45" s="8">
        <f>IF((C9&gt;0),(C3/C9),"")</f>
        <v>143.24448529411765</v>
      </c>
      <c r="D45" s="8">
        <f>IF((D9&gt;0),(D3/D9),"")</f>
        <v>169.35897435897436</v>
      </c>
      <c r="E45" s="8">
        <f>IF((E9&gt;0),(E3/E9),"")</f>
        <v>148.70619946091645</v>
      </c>
      <c r="F45" s="8">
        <f>IF((F9&gt;0),(F3/F9),"")</f>
        <v>143.04301075268816</v>
      </c>
      <c r="G45" s="8">
        <f>IF((G9&gt;0),(G3/G9),"")</f>
        <v>138.56365614798693</v>
      </c>
      <c r="H45" s="8">
        <f>IF((H9&gt;0),(H3/H9),"")</f>
        <v>163.65826944140198</v>
      </c>
      <c r="I45" s="8">
        <f>IF((I9&gt;0),(I3/I9),"")</f>
        <v>157.74358974358975</v>
      </c>
      <c r="J45" s="8">
        <f>IF((J9&gt;0),(J3/J9),"")</f>
        <v>142.47747747747746</v>
      </c>
      <c r="K45" s="8">
        <f>IF((K9&gt;0),(K3/K9),"")</f>
        <v>156.402378592666</v>
      </c>
      <c r="L45" s="8">
        <f>IF((L9&gt;0),(L3/L9),"")</f>
        <v>159.109756097561</v>
      </c>
      <c r="M45" s="8">
        <f>IF((M9&gt;0),(M3/M9),"")</f>
        <v>156.01427115188582</v>
      </c>
      <c r="N45" s="8">
        <f>IF((N9&gt;0),(N3/N9),"")</f>
        <v>137.46478873239437</v>
      </c>
      <c r="O45" s="8">
        <f>IF((O9&gt;0),(O3/O9),"")</f>
        <v>140.60054595086442</v>
      </c>
      <c r="P45" s="8">
        <f>IF((P9&gt;0),(P3/P9),"")</f>
        <v>135.9535655058043</v>
      </c>
      <c r="Q45" s="8">
        <f>IF((Q9&gt;0),(Q3/Q9),"")</f>
        <v>139.5923913043478</v>
      </c>
      <c r="R45" s="8">
        <f>IF((R9&gt;0),(R3/R9),"")</f>
        <v>136.30185348631952</v>
      </c>
      <c r="S45" s="8">
        <f>IF((S9&gt;0),(S3/S9),"")</f>
        <v>148.88888888888889</v>
      </c>
      <c r="T45" s="8">
        <f>IF((T9&gt;0),(T3/T9),"")</f>
        <v>145.4731707317073</v>
      </c>
      <c r="U45" s="8">
        <f>IF((U9&gt;0),(U3/U9),"")</f>
        <v>144.1818181818182</v>
      </c>
      <c r="V45" s="8">
        <f>IF((V9&gt;0),(V3/V9),"")</f>
        <v>131.46319569120288</v>
      </c>
      <c r="W45" s="8">
        <f>IF((W9&gt;0),(W3/W9),"")</f>
        <v>160.6131650135257</v>
      </c>
    </row>
    <row r="46">
      <c r="A46" s="0" t="inlineStr">
        <is>
          <t xml:space="preserve">Cost per lead</t>
        </is>
      </c>
      <c r="B46" s="0" t="inlineStr">
        <is>
          <t xml:space="preserve">Events &amp; field</t>
        </is>
      </c>
      <c r="C46" s="8">
        <f>IF((C10&gt;0),(C4/C10),"")</f>
        <v>461.86046511627904</v>
      </c>
      <c r="D46" s="8">
        <f>IF((D10&gt;0),(D4/D10),"")</f>
        <v>372.9708222811671</v>
      </c>
      <c r="E46" s="8">
        <f>IF((E10&gt;0),(E4/E10),"")</f>
        <v>412.06611570247935</v>
      </c>
      <c r="F46" s="8">
        <f>IF((F10&gt;0),(F4/F10),"")</f>
        <v>450.1162790697674</v>
      </c>
      <c r="G46" s="8">
        <f>IF((G10&gt;0),(G4/G10),"")</f>
        <v>385.6521739130435</v>
      </c>
      <c r="H46" s="8">
        <f>IF((H10&gt;0),(H4/H10),"")</f>
        <v>468.5882352941176</v>
      </c>
      <c r="I46" s="8">
        <f>IF((I10&gt;0),(I4/I10),"")</f>
        <v>369.9672131147541</v>
      </c>
      <c r="J46" s="8">
        <f>IF((J10&gt;0),(J4/J10),"")</f>
        <v>418.57142857142856</v>
      </c>
      <c r="K46" s="8">
        <f>IF((K10&gt;0),(K4/K10),"")</f>
        <v>415.5208333333333</v>
      </c>
      <c r="L46" s="8">
        <f>IF((L10&gt;0),(L4/L10),"")</f>
        <v>406.0919540229885</v>
      </c>
      <c r="M46" s="8">
        <f>IF((M10&gt;0),(M4/M10),"")</f>
        <v>426.1290322580645</v>
      </c>
      <c r="N46" s="8">
        <f>IF((N10&gt;0),(N4/N10),"")</f>
        <v>407.0673076923077</v>
      </c>
      <c r="O46" s="8">
        <f>IF((O10&gt;0),(O4/O10),"")</f>
        <v>415.05263157894734</v>
      </c>
      <c r="P46" s="8">
        <f>IF((P10&gt;0),(P4/P10),"")</f>
        <v>363.109243697479</v>
      </c>
      <c r="Q46" s="8">
        <f>IF((Q10&gt;0),(Q4/Q10),"")</f>
        <v>377.3411764705882</v>
      </c>
      <c r="R46" s="8">
        <f>IF((R10&gt;0),(R4/R10),"")</f>
        <v>402.0408163265306</v>
      </c>
      <c r="S46" s="8">
        <f>IF((S10&gt;0),(S4/S10),"")</f>
        <v>458.0246913580247</v>
      </c>
      <c r="T46" s="8">
        <f>IF((T10&gt;0),(T4/T10),"")</f>
        <v>420.10309278350513</v>
      </c>
      <c r="U46" s="8">
        <f>IF((U10&gt;0),(U4/U10),"")</f>
        <v>347.9888268156425</v>
      </c>
      <c r="V46" s="8">
        <f>IF((V10&gt;0),(V4/V10),"")</f>
        <v>401.54545454545456</v>
      </c>
      <c r="W46" s="8">
        <f>IF((W10&gt;0),(W4/W10),"")</f>
        <v>359.2307692307692</v>
      </c>
    </row>
    <row r="47">
      <c r="A47" s="0" t="inlineStr">
        <is>
          <t xml:space="preserve">Cost per lead</t>
        </is>
      </c>
      <c r="B47" s="0" t="inlineStr">
        <is>
          <t xml:space="preserve">Partner</t>
        </is>
      </c>
      <c r="C47" s="8">
        <f>IF((C11&gt;0),(C5/C11),"")</f>
        <v>239.56043956043956</v>
      </c>
      <c r="D47" s="8">
        <f>IF((D11&gt;0),(D5/D11),"")</f>
        <v>265.6164383561644</v>
      </c>
      <c r="E47" s="8">
        <f>IF((E11&gt;0),(E5/E11),"")</f>
        <v>240.11111111111111</v>
      </c>
      <c r="F47" s="8">
        <f>IF((F11&gt;0),(F5/F11),"")</f>
        <v>288.59375</v>
      </c>
      <c r="G47" s="8">
        <f>IF((G11&gt;0),(G5/G11),"")</f>
        <v>217.94871794871796</v>
      </c>
      <c r="H47" s="8">
        <f>IF((H11&gt;0),(H5/H11),"")</f>
        <v>244.50704225352112</v>
      </c>
      <c r="I47" s="8">
        <f>IF((I11&gt;0),(I5/I11),"")</f>
        <v>215.73333333333332</v>
      </c>
      <c r="J47" s="8">
        <f>IF((J11&gt;0),(J5/J11),"")</f>
        <v>303.3333333333333</v>
      </c>
      <c r="K47" s="8">
        <f>IF((K11&gt;0),(K5/K11),"")</f>
        <v>227.19101123595505</v>
      </c>
      <c r="L47" s="8">
        <f>IF((L11&gt;0),(L5/L11),"")</f>
        <v>278.1159420289855</v>
      </c>
      <c r="M47" s="8">
        <f>IF((M11&gt;0),(M5/M11),"")</f>
        <v>334.9122807017544</v>
      </c>
      <c r="N47" s="8">
        <f>IF((N11&gt;0),(N5/N11),"")</f>
        <v>248.15217391304347</v>
      </c>
      <c r="O47" s="8">
        <f>IF((O11&gt;0),(O5/O11),"")</f>
        <v>297.9710144927536</v>
      </c>
      <c r="P47" s="8">
        <f>IF((P11&gt;0),(P5/P11),"")</f>
        <v>253.67088607594937</v>
      </c>
      <c r="Q47" s="8">
        <f>IF((Q11&gt;0),(Q5/Q11),"")</f>
        <v>234.10526315789474</v>
      </c>
      <c r="R47" s="8">
        <f>IF((R11&gt;0),(R5/R11),"")</f>
        <v>290</v>
      </c>
      <c r="S47" s="8">
        <f>IF((S11&gt;0),(S5/S11),"")</f>
        <v>242.26666666666668</v>
      </c>
      <c r="T47" s="8">
        <f>IF((T11&gt;0),(T5/T11),"")</f>
        <v>253.86666666666667</v>
      </c>
      <c r="U47" s="8">
        <f>IF((U11&gt;0),(U5/U11),"")</f>
        <v>268.8135593220339</v>
      </c>
      <c r="V47" s="8">
        <f>IF((V11&gt;0),(V5/V11),"")</f>
        <v>230</v>
      </c>
      <c r="W47" s="8">
        <f>IF((W11&gt;0),(W5/W11),"")</f>
        <v>254.13333333333333</v>
      </c>
    </row>
    <row r="48">
      <c r="A48" s="0" t="inlineStr">
        <is>
          <t xml:space="preserve">Cost per lead</t>
        </is>
      </c>
      <c r="B48" s="0" t="inlineStr">
        <is>
          <t xml:space="preserve">Outbound (BDR)</t>
        </is>
      </c>
      <c r="C48" s="4">
        <f>IF((C12&gt;0),(C6/C12),"")</f>
      </c>
      <c r="D48" s="4">
        <f>IF((D12&gt;0),(D6/D12),"")</f>
      </c>
      <c r="E48" s="4">
        <f>IF((E12&gt;0),(E6/E12),"")</f>
      </c>
      <c r="F48" s="4">
        <f>IF((F12&gt;0),(F6/F12),"")</f>
      </c>
      <c r="G48" s="4">
        <f>IF((G12&gt;0),(G6/G12),"")</f>
      </c>
      <c r="H48" s="4">
        <f>IF((H12&gt;0),(H6/H12),"")</f>
      </c>
      <c r="I48" s="4">
        <f>IF((I12&gt;0),(I6/I12),"")</f>
      </c>
      <c r="J48" s="4">
        <f>IF((J12&gt;0),(J6/J12),"")</f>
      </c>
      <c r="K48" s="4">
        <f>IF((K12&gt;0),(K6/K12),"")</f>
      </c>
      <c r="L48" s="4">
        <f>IF((L12&gt;0),(L6/L12),"")</f>
      </c>
      <c r="M48" s="4">
        <f>IF((M12&gt;0),(M6/M12),"")</f>
      </c>
      <c r="N48" s="4">
        <f>IF((N12&gt;0),(N6/N12),"")</f>
      </c>
      <c r="O48" s="4">
        <f>IF((O12&gt;0),(O6/O12),"")</f>
      </c>
      <c r="P48" s="4">
        <f>IF((P12&gt;0),(P6/P12),"")</f>
      </c>
      <c r="Q48" s="4">
        <f>IF((Q12&gt;0),(Q6/Q12),"")</f>
      </c>
      <c r="R48" s="4">
        <f>IF((R12&gt;0),(R6/R12),"")</f>
      </c>
      <c r="S48" s="4">
        <f>IF((S12&gt;0),(S6/S12),"")</f>
      </c>
      <c r="T48" s="4">
        <f>IF((T12&gt;0),(T6/T12),"")</f>
      </c>
      <c r="U48" s="4">
        <f>IF((U12&gt;0),(U6/U12),"")</f>
      </c>
      <c r="V48" s="4">
        <f>IF((V12&gt;0),(V6/V12),"")</f>
      </c>
      <c r="W48" s="4">
        <f>IF((W12&gt;0),(W6/W12),"")</f>
      </c>
    </row>
    <row r="49">
      <c r="A49" s="0" t="inlineStr">
        <is>
          <t xml:space="preserve">Cost per lead</t>
        </is>
      </c>
      <c r="B49" s="0" t="inlineStr">
        <is>
          <t xml:space="preserve">Customer referral</t>
        </is>
      </c>
      <c r="C49" s="4">
        <f>IF((C13&gt;0),(C7/C13),"")</f>
      </c>
      <c r="D49" s="4">
        <f>IF((D13&gt;0),(D7/D13),"")</f>
      </c>
      <c r="E49" s="4">
        <f>IF((E13&gt;0),(E7/E13),"")</f>
      </c>
      <c r="F49" s="4">
        <f>IF((F13&gt;0),(F7/F13),"")</f>
      </c>
      <c r="G49" s="4">
        <f>IF((G13&gt;0),(G7/G13),"")</f>
      </c>
      <c r="H49" s="4">
        <f>IF((H13&gt;0),(H7/H13),"")</f>
      </c>
      <c r="I49" s="4">
        <f>IF((I13&gt;0),(I7/I13),"")</f>
      </c>
      <c r="J49" s="4">
        <f>IF((J13&gt;0),(J7/J13),"")</f>
      </c>
      <c r="K49" s="4">
        <f>IF((K13&gt;0),(K7/K13),"")</f>
      </c>
      <c r="L49" s="4">
        <f>IF((L13&gt;0),(L7/L13),"")</f>
      </c>
      <c r="M49" s="4">
        <f>IF((M13&gt;0),(M7/M13),"")</f>
      </c>
      <c r="N49" s="4">
        <f>IF((N13&gt;0),(N7/N13),"")</f>
      </c>
      <c r="O49" s="4">
        <f>IF((O13&gt;0),(O7/O13),"")</f>
      </c>
      <c r="P49" s="4">
        <f>IF((P13&gt;0),(P7/P13),"")</f>
      </c>
      <c r="Q49" s="4">
        <f>IF((Q13&gt;0),(Q7/Q13),"")</f>
      </c>
      <c r="R49" s="4">
        <f>IF((R13&gt;0),(R7/R13),"")</f>
      </c>
      <c r="S49" s="4">
        <f>IF((S13&gt;0),(S7/S13),"")</f>
      </c>
      <c r="T49" s="4">
        <f>IF((T13&gt;0),(T7/T13),"")</f>
      </c>
      <c r="U49" s="4">
        <f>IF((U13&gt;0),(U7/U13),"")</f>
      </c>
      <c r="V49" s="4">
        <f>IF((V13&gt;0),(V7/V13),"")</f>
      </c>
      <c r="W49" s="4">
        <f>IF((W13&gt;0),(W7/W13),"")</f>
      </c>
    </row>
    <row r="50">
      <c r="A50" s="0" t="inlineStr">
        <is>
          <t xml:space="preserve">Lead to MQL</t>
        </is>
      </c>
      <c r="B50" s="0" t="inlineStr">
        <is>
          <t xml:space="preserve">Inbound (web &amp; content)</t>
        </is>
      </c>
      <c r="C50" s="12">
        <f>IF((C8&gt;0),(C14/C8),"")</f>
        <v>0.13911472448057813</v>
      </c>
      <c r="D50" s="12">
        <f>IF((D8&gt;0),(D14/D8),"")</f>
        <v>0.15754001684919966</v>
      </c>
      <c r="E50" s="12">
        <f>IF((E8&gt;0),(E14/E8),"")</f>
        <v>0.15955766192733017</v>
      </c>
      <c r="F50" s="12">
        <f>IF((F8&gt;0),(F14/F8),"")</f>
        <v>0.1731940818102698</v>
      </c>
      <c r="G50" s="12">
        <f>IF((G8&gt;0),(G14/G8),"")</f>
        <v>0.15273477812177502</v>
      </c>
      <c r="H50" s="12">
        <f>IF((H8&gt;0),(H14/H8),"")</f>
        <v>0.16158536585365854</v>
      </c>
      <c r="I50" s="12">
        <f>IF((I8&gt;0),(I14/I8),"")</f>
        <v>0.1643243243243243</v>
      </c>
      <c r="J50" s="12">
        <f>IF((J8&gt;0),(J14/J8),"")</f>
        <v>0.1596244131455399</v>
      </c>
      <c r="K50" s="12">
        <f>IF((K8&gt;0),(K14/K8),"")</f>
        <v>0.16016260162601625</v>
      </c>
      <c r="L50" s="12">
        <f>IF((L8&gt;0),(L14/L8),"")</f>
        <v>0.1510859301227573</v>
      </c>
      <c r="M50" s="12">
        <f>IF((M8&gt;0),(M14/M8),"")</f>
        <v>0.1627450980392157</v>
      </c>
      <c r="N50" s="12">
        <f>IF((N8&gt;0),(N14/N8),"")</f>
        <v>0.16677653263019115</v>
      </c>
      <c r="O50" s="12">
        <f>IF((O8&gt;0),(O14/O8),"")</f>
        <v>0.1597069597069597</v>
      </c>
      <c r="P50" s="12">
        <f>IF((P8&gt;0),(P14/P8),"")</f>
        <v>0.15496575342465754</v>
      </c>
      <c r="Q50" s="12">
        <f>IF((Q8&gt;0),(Q14/Q8),"")</f>
        <v>0.17117903930131004</v>
      </c>
      <c r="R50" s="12">
        <f>IF((R8&gt;0),(R14/R8),"")</f>
        <v>0.18530020703933747</v>
      </c>
      <c r="S50" s="12">
        <f>IF((S8&gt;0),(S14/S8),"")</f>
        <v>0.17252396166134185</v>
      </c>
      <c r="T50" s="12">
        <f>IF((T8&gt;0),(T14/T8),"")</f>
        <v>0.1579330422125182</v>
      </c>
      <c r="U50" s="12">
        <f>IF((U8&gt;0),(U14/U8),"")</f>
        <v>0.17591499409681227</v>
      </c>
      <c r="V50" s="12">
        <f>IF((V8&gt;0),(V14/V8),"")</f>
        <v>0.1652267818574514</v>
      </c>
      <c r="W50" s="12">
        <f>IF((W8&gt;0),(W14/W8),"")</f>
        <v>0.17518939393939395</v>
      </c>
    </row>
    <row r="51">
      <c r="A51" s="0" t="inlineStr">
        <is>
          <t xml:space="preserve">Lead to MQL</t>
        </is>
      </c>
      <c r="B51" s="0" t="inlineStr">
        <is>
          <t xml:space="preserve">Paid digital</t>
        </is>
      </c>
      <c r="C51" s="12">
        <f>IF((C9&gt;0),(C15/C9),"")</f>
        <v>0.11856617647058823</v>
      </c>
      <c r="D51" s="12">
        <f>IF((D9&gt;0),(D15/D9),"")</f>
        <v>0.09935897435897435</v>
      </c>
      <c r="E51" s="12">
        <f>IF((E9&gt;0),(E15/E9),"")</f>
        <v>0.12668463611859837</v>
      </c>
      <c r="F51" s="12">
        <f>IF((F9&gt;0),(F15/F9),"")</f>
        <v>0.0935483870967742</v>
      </c>
      <c r="G51" s="12">
        <f>IF((G9&gt;0),(G15/G9),"")</f>
        <v>0.11534276387377584</v>
      </c>
      <c r="H51" s="12">
        <f>IF((H9&gt;0),(H15/H9),"")</f>
        <v>0.0963855421686747</v>
      </c>
      <c r="I51" s="12">
        <f>IF((I9&gt;0),(I15/I9),"")</f>
        <v>0.12307692307692308</v>
      </c>
      <c r="J51" s="12">
        <f>IF((J9&gt;0),(J15/J9),"")</f>
        <v>0.08558558558558559</v>
      </c>
      <c r="K51" s="12">
        <f>IF((K9&gt;0),(K15/K9),"")</f>
        <v>0.12289395441030723</v>
      </c>
      <c r="L51" s="12">
        <f>IF((L9&gt;0),(L15/L9),"")</f>
        <v>0.11219512195121951</v>
      </c>
      <c r="M51" s="12">
        <f>IF((M9&gt;0),(M15/M9),"")</f>
        <v>0.10295616717635066</v>
      </c>
      <c r="N51" s="12">
        <f>IF((N9&gt;0),(N15/N9),"")</f>
        <v>0.09942004971002485</v>
      </c>
      <c r="O51" s="12">
        <f>IF((O9&gt;0),(O15/O9),"")</f>
        <v>0.09827115559599636</v>
      </c>
      <c r="P51" s="12">
        <f>IF((P9&gt;0),(P15/P9),"")</f>
        <v>0.11525704809286899</v>
      </c>
      <c r="Q51" s="12">
        <f>IF((Q9&gt;0),(Q15/Q9),"")</f>
        <v>0.12432065217391304</v>
      </c>
      <c r="R51" s="12">
        <f>IF((R9&gt;0),(R15/R9),"")</f>
        <v>0.11562224183583407</v>
      </c>
      <c r="S51" s="12">
        <f>IF((S9&gt;0),(S15/S9),"")</f>
        <v>0.10451977401129943</v>
      </c>
      <c r="T51" s="12">
        <f>IF((T9&gt;0),(T15/T9),"")</f>
        <v>0.11609756097560976</v>
      </c>
      <c r="U51" s="12">
        <f>IF((U9&gt;0),(U15/U9),"")</f>
        <v>0.10053475935828877</v>
      </c>
      <c r="V51" s="12">
        <f>IF((V9&gt;0),(V15/V9),"")</f>
        <v>0.10861759425493717</v>
      </c>
      <c r="W51" s="12">
        <f>IF((W9&gt;0),(W15/W9),"")</f>
        <v>0.1018935978358882</v>
      </c>
    </row>
    <row r="52">
      <c r="A52" s="0" t="inlineStr">
        <is>
          <t xml:space="preserve">Lead to MQL</t>
        </is>
      </c>
      <c r="B52" s="0" t="inlineStr">
        <is>
          <t xml:space="preserve">Events &amp; field</t>
        </is>
      </c>
      <c r="C52" s="12">
        <f>IF((C10&gt;0),(C16/C10),"")</f>
        <v>0.2558139534883721</v>
      </c>
      <c r="D52" s="12">
        <f>IF((D10&gt;0),(D16/D10),"")</f>
        <v>0.3421750663129973</v>
      </c>
      <c r="E52" s="12">
        <f>IF((E10&gt;0),(E16/E10),"")</f>
        <v>0.34710743801652894</v>
      </c>
      <c r="F52" s="12">
        <f>IF((F10&gt;0),(F16/F10),"")</f>
        <v>0.37209302325581395</v>
      </c>
      <c r="G52" s="12">
        <f>IF((G10&gt;0),(G16/G10),"")</f>
        <v>0.391304347826087</v>
      </c>
      <c r="H52" s="12">
        <f>IF((H10&gt;0),(H16/H10),"")</f>
        <v>0.32941176470588235</v>
      </c>
      <c r="I52" s="12">
        <f>IF((I10&gt;0),(I16/I10),"")</f>
        <v>0.32786885245901637</v>
      </c>
      <c r="J52" s="12">
        <f>IF((J10&gt;0),(J16/J10),"")</f>
        <v>0.3116883116883117</v>
      </c>
      <c r="K52" s="12">
        <f>IF((K10&gt;0),(K16/K10),"")</f>
        <v>0.3125</v>
      </c>
      <c r="L52" s="12">
        <f>IF((L10&gt;0),(L16/L10),"")</f>
        <v>0.2988505747126437</v>
      </c>
      <c r="M52" s="12">
        <f>IF((M10&gt;0),(M16/M10),"")</f>
        <v>0.3763440860215054</v>
      </c>
      <c r="N52" s="12">
        <f>IF((N10&gt;0),(N16/N10),"")</f>
        <v>0.31490384615384615</v>
      </c>
      <c r="O52" s="12">
        <f>IF((O10&gt;0),(O16/O10),"")</f>
        <v>0.35789473684210527</v>
      </c>
      <c r="P52" s="12">
        <f>IF((P10&gt;0),(P16/P10),"")</f>
        <v>0.3445378151260504</v>
      </c>
      <c r="Q52" s="12">
        <f>IF((Q10&gt;0),(Q16/Q10),"")</f>
        <v>0.34352941176470586</v>
      </c>
      <c r="R52" s="12">
        <f>IF((R10&gt;0),(R16/R10),"")</f>
        <v>0.3673469387755102</v>
      </c>
      <c r="S52" s="12">
        <f>IF((S10&gt;0),(S16/S10),"")</f>
        <v>0.2839506172839506</v>
      </c>
      <c r="T52" s="12">
        <f>IF((T10&gt;0),(T16/T10),"")</f>
        <v>0.30927835051546393</v>
      </c>
      <c r="U52" s="12">
        <f>IF((U10&gt;0),(U16/U10),"")</f>
        <v>0.3268156424581006</v>
      </c>
      <c r="V52" s="12">
        <f>IF((V10&gt;0),(V16/V10),"")</f>
        <v>0.40454545454545454</v>
      </c>
      <c r="W52" s="12">
        <f>IF((W10&gt;0),(W16/W10),"")</f>
        <v>0.4188034188034188</v>
      </c>
    </row>
    <row r="53">
      <c r="A53" s="0" t="inlineStr">
        <is>
          <t xml:space="preserve">Lead to MQL</t>
        </is>
      </c>
      <c r="B53" s="0" t="inlineStr">
        <is>
          <t xml:space="preserve">Partner</t>
        </is>
      </c>
      <c r="C53" s="12">
        <f>IF((C11&gt;0),(C17/C11),"")</f>
        <v>0.4725274725274725</v>
      </c>
      <c r="D53" s="12">
        <f>IF((D11&gt;0),(D17/D11),"")</f>
        <v>0.4794520547945205</v>
      </c>
      <c r="E53" s="12">
        <f>IF((E11&gt;0),(E17/E11),"")</f>
        <v>0.4222222222222222</v>
      </c>
      <c r="F53" s="12">
        <f>IF((F11&gt;0),(F17/F11),"")</f>
        <v>0.375</v>
      </c>
      <c r="G53" s="12">
        <f>IF((G11&gt;0),(G17/G11),"")</f>
        <v>0.38461538461538464</v>
      </c>
      <c r="H53" s="12">
        <f>IF((H11&gt;0),(H17/H11),"")</f>
        <v>0.4084507042253521</v>
      </c>
      <c r="I53" s="12">
        <f>IF((I11&gt;0),(I17/I11),"")</f>
        <v>0.26666666666666666</v>
      </c>
      <c r="J53" s="12">
        <f>IF((J11&gt;0),(J17/J11),"")</f>
        <v>0.42592592592592593</v>
      </c>
      <c r="K53" s="12">
        <f>IF((K11&gt;0),(K17/K11),"")</f>
        <v>0.4044943820224719</v>
      </c>
      <c r="L53" s="12">
        <f>IF((L11&gt;0),(L17/L11),"")</f>
        <v>0.2463768115942029</v>
      </c>
      <c r="M53" s="12">
        <f>IF((M11&gt;0),(M17/M11),"")</f>
        <v>0.45614035087719296</v>
      </c>
      <c r="N53" s="12">
        <f>IF((N11&gt;0),(N17/N11),"")</f>
        <v>0.33695652173913043</v>
      </c>
      <c r="O53" s="12">
        <f>IF((O11&gt;0),(O17/O11),"")</f>
        <v>0.4492753623188406</v>
      </c>
      <c r="P53" s="12">
        <f>IF((P11&gt;0),(P17/P11),"")</f>
        <v>0.4050632911392405</v>
      </c>
      <c r="Q53" s="12">
        <f>IF((Q11&gt;0),(Q17/Q11),"")</f>
        <v>0.3894736842105263</v>
      </c>
      <c r="R53" s="12">
        <f>IF((R11&gt;0),(R17/R11),"")</f>
        <v>0.296875</v>
      </c>
      <c r="S53" s="12">
        <f>IF((S11&gt;0),(S17/S11),"")</f>
        <v>0.26666666666666666</v>
      </c>
      <c r="T53" s="12">
        <f>IF((T11&gt;0),(T17/T11),"")</f>
        <v>0.3466666666666667</v>
      </c>
      <c r="U53" s="12">
        <f>IF((U11&gt;0),(U17/U11),"")</f>
        <v>0.3898305084745763</v>
      </c>
      <c r="V53" s="12">
        <f>IF((V11&gt;0),(V17/V11),"")</f>
        <v>0.40540540540540543</v>
      </c>
      <c r="W53" s="12">
        <f>IF((W11&gt;0),(W17/W11),"")</f>
        <v>0.4266666666666667</v>
      </c>
    </row>
    <row r="54">
      <c r="A54" s="0" t="inlineStr">
        <is>
          <t xml:space="preserve">Lead to MQL</t>
        </is>
      </c>
      <c r="B54" s="0" t="inlineStr">
        <is>
          <t xml:space="preserve">Outbound (BDR)</t>
        </is>
      </c>
      <c r="C54" s="12">
        <f>IF((C12&gt;0),(C18/C12),"")</f>
      </c>
      <c r="D54" s="12">
        <f>IF((D12&gt;0),(D18/D12),"")</f>
      </c>
      <c r="E54" s="12">
        <f>IF((E12&gt;0),(E18/E12),"")</f>
      </c>
      <c r="F54" s="12">
        <f>IF((F12&gt;0),(F18/F12),"")</f>
      </c>
      <c r="G54" s="12">
        <f>IF((G12&gt;0),(G18/G12),"")</f>
      </c>
      <c r="H54" s="12">
        <f>IF((H12&gt;0),(H18/H12),"")</f>
      </c>
      <c r="I54" s="12">
        <f>IF((I12&gt;0),(I18/I12),"")</f>
      </c>
      <c r="J54" s="12">
        <f>IF((J12&gt;0),(J18/J12),"")</f>
      </c>
      <c r="K54" s="12">
        <f>IF((K12&gt;0),(K18/K12),"")</f>
      </c>
      <c r="L54" s="12">
        <f>IF((L12&gt;0),(L18/L12),"")</f>
      </c>
      <c r="M54" s="12">
        <f>IF((M12&gt;0),(M18/M12),"")</f>
      </c>
      <c r="N54" s="12">
        <f>IF((N12&gt;0),(N18/N12),"")</f>
      </c>
      <c r="O54" s="12">
        <f>IF((O12&gt;0),(O18/O12),"")</f>
      </c>
      <c r="P54" s="12">
        <f>IF((P12&gt;0),(P18/P12),"")</f>
      </c>
      <c r="Q54" s="12">
        <f>IF((Q12&gt;0),(Q18/Q12),"")</f>
      </c>
      <c r="R54" s="12">
        <f>IF((R12&gt;0),(R18/R12),"")</f>
      </c>
      <c r="S54" s="12">
        <f>IF((S12&gt;0),(S18/S12),"")</f>
      </c>
      <c r="T54" s="12">
        <f>IF((T12&gt;0),(T18/T12),"")</f>
      </c>
      <c r="U54" s="12">
        <f>IF((U12&gt;0),(U18/U12),"")</f>
      </c>
      <c r="V54" s="12">
        <f>IF((V12&gt;0),(V18/V12),"")</f>
      </c>
      <c r="W54" s="12">
        <f>IF((W12&gt;0),(W18/W12),"")</f>
      </c>
    </row>
    <row r="55">
      <c r="A55" s="0" t="inlineStr">
        <is>
          <t xml:space="preserve">Lead to MQL</t>
        </is>
      </c>
      <c r="B55" s="0" t="inlineStr">
        <is>
          <t xml:space="preserve">Customer referral</t>
        </is>
      </c>
      <c r="C55" s="12">
        <f>IF((C13&gt;0),(C19/C13),"")</f>
      </c>
      <c r="D55" s="12">
        <f>IF((D13&gt;0),(D19/D13),"")</f>
      </c>
      <c r="E55" s="12">
        <f>IF((E13&gt;0),(E19/E13),"")</f>
      </c>
      <c r="F55" s="12">
        <f>IF((F13&gt;0),(F19/F13),"")</f>
      </c>
      <c r="G55" s="12">
        <f>IF((G13&gt;0),(G19/G13),"")</f>
      </c>
      <c r="H55" s="12">
        <f>IF((H13&gt;0),(H19/H13),"")</f>
      </c>
      <c r="I55" s="12">
        <f>IF((I13&gt;0),(I19/I13),"")</f>
      </c>
      <c r="J55" s="12">
        <f>IF((J13&gt;0),(J19/J13),"")</f>
      </c>
      <c r="K55" s="12">
        <f>IF((K13&gt;0),(K19/K13),"")</f>
      </c>
      <c r="L55" s="12">
        <f>IF((L13&gt;0),(L19/L13),"")</f>
      </c>
      <c r="M55" s="12">
        <f>IF((M13&gt;0),(M19/M13),"")</f>
      </c>
      <c r="N55" s="12">
        <f>IF((N13&gt;0),(N19/N13),"")</f>
      </c>
      <c r="O55" s="12">
        <f>IF((O13&gt;0),(O19/O13),"")</f>
      </c>
      <c r="P55" s="12">
        <f>IF((P13&gt;0),(P19/P13),"")</f>
      </c>
      <c r="Q55" s="12">
        <f>IF((Q13&gt;0),(Q19/Q13),"")</f>
      </c>
      <c r="R55" s="12">
        <f>IF((R13&gt;0),(R19/R13),"")</f>
      </c>
      <c r="S55" s="12">
        <f>IF((S13&gt;0),(S19/S13),"")</f>
      </c>
      <c r="T55" s="12">
        <f>IF((T13&gt;0),(T19/T13),"")</f>
      </c>
      <c r="U55" s="12">
        <f>IF((U13&gt;0),(U19/U13),"")</f>
      </c>
      <c r="V55" s="12">
        <f>IF((V13&gt;0),(V19/V13),"")</f>
      </c>
      <c r="W55" s="12">
        <f>IF((W13&gt;0),(W19/W13),"")</f>
      </c>
    </row>
    <row r="56">
      <c r="A56" s="0" t="inlineStr">
        <is>
          <t xml:space="preserve">MQL to SQL</t>
        </is>
      </c>
      <c r="B56" s="0" t="inlineStr">
        <is>
          <t xml:space="preserve">Inbound (web &amp; content)</t>
        </is>
      </c>
      <c r="C56" s="12">
        <f>IF((C14&gt;0),(C20/C14),"")</f>
        <v>0.21428571428571427</v>
      </c>
      <c r="D56" s="12">
        <f>IF((D14&gt;0),(D20/D14),"")</f>
        <v>0.18716577540106952</v>
      </c>
      <c r="E56" s="12">
        <f>IF((E14&gt;0),(E20/E14),"")</f>
        <v>0.1782178217821782</v>
      </c>
      <c r="F56" s="12">
        <f>IF((F14&gt;0),(F20/F14),"")</f>
        <v>0.21608040201005024</v>
      </c>
      <c r="G56" s="12">
        <f>IF((G14&gt;0),(G20/G14),"")</f>
        <v>0.23648648648648649</v>
      </c>
      <c r="H56" s="12">
        <f>IF((H14&gt;0),(H20/H14),"")</f>
        <v>0.16981132075471697</v>
      </c>
      <c r="I56" s="12">
        <f>IF((I14&gt;0),(I20/I14),"")</f>
        <v>0.13815789473684212</v>
      </c>
      <c r="J56" s="12">
        <f>IF((J14&gt;0),(J20/J14),"")</f>
        <v>0.21323529411764705</v>
      </c>
      <c r="K56" s="12">
        <f>IF((K14&gt;0),(K20/K14),"")</f>
        <v>0.18781725888324874</v>
      </c>
      <c r="L56" s="12">
        <f>IF((L14&gt;0),(L20/L14),"")</f>
        <v>0.2</v>
      </c>
      <c r="M56" s="12">
        <f>IF((M14&gt;0),(M20/M14),"")</f>
        <v>0.1927710843373494</v>
      </c>
      <c r="N56" s="12">
        <f>IF((N14&gt;0),(N20/N14),"")</f>
        <v>0.14624505928853754</v>
      </c>
      <c r="O56" s="12">
        <f>IF((O14&gt;0),(O20/O14),"")</f>
        <v>0.22018348623853212</v>
      </c>
      <c r="P56" s="12">
        <f>IF((P14&gt;0),(P20/P14),"")</f>
        <v>0.15469613259668508</v>
      </c>
      <c r="Q56" s="12">
        <f>IF((Q14&gt;0),(Q20/Q14),"")</f>
        <v>0.22448979591836735</v>
      </c>
      <c r="R56" s="12">
        <f>IF((R14&gt;0),(R20/R14),"")</f>
        <v>0.24581005586592178</v>
      </c>
      <c r="S56" s="12">
        <f>IF((S14&gt;0),(S20/S14),"")</f>
        <v>0.19135802469135801</v>
      </c>
      <c r="T56" s="12">
        <f>IF((T14&gt;0),(T20/T14),"")</f>
        <v>0.1336405529953917</v>
      </c>
      <c r="U56" s="12">
        <f>IF((U14&gt;0),(U20/U14),"")</f>
        <v>0</v>
      </c>
      <c r="V56" s="12">
        <f>IF((V14&gt;0),(V20/V14),"")</f>
        <v>0</v>
      </c>
      <c r="W56" s="12">
        <f>IF((W14&gt;0),(W20/W14),"")</f>
        <v>0</v>
      </c>
    </row>
    <row r="57">
      <c r="A57" s="0" t="inlineStr">
        <is>
          <t xml:space="preserve">MQL to SQL</t>
        </is>
      </c>
      <c r="B57" s="0" t="inlineStr">
        <is>
          <t xml:space="preserve">Paid digital</t>
        </is>
      </c>
      <c r="C57" s="12">
        <f>IF((C15&gt;0),(C21/C15),"")</f>
        <v>0.10852713178294573</v>
      </c>
      <c r="D57" s="12">
        <f>IF((D15&gt;0),(D21/D15),"")</f>
        <v>0.15053763440860216</v>
      </c>
      <c r="E57" s="12">
        <f>IF((E15&gt;0),(E21/E15),"")</f>
        <v>0.1702127659574468</v>
      </c>
      <c r="F57" s="12">
        <f>IF((F15&gt;0),(F21/F15),"")</f>
        <v>0.12643678160919541</v>
      </c>
      <c r="G57" s="12">
        <f>IF((G15&gt;0),(G21/G15),"")</f>
        <v>0.07547169811320754</v>
      </c>
      <c r="H57" s="12">
        <f>IF((H15&gt;0),(H21/H15),"")</f>
        <v>0.13636363636363635</v>
      </c>
      <c r="I57" s="12">
        <f>IF((I15&gt;0),(I21/I15),"")</f>
        <v>0.16666666666666666</v>
      </c>
      <c r="J57" s="12">
        <f>IF((J15&gt;0),(J21/J15),"")</f>
        <v>0.15789473684210525</v>
      </c>
      <c r="K57" s="12">
        <f>IF((K15&gt;0),(K21/K15),"")</f>
        <v>0.11290322580645161</v>
      </c>
      <c r="L57" s="12">
        <f>IF((L15&gt;0),(L21/L15),"")</f>
        <v>0.16304347826086957</v>
      </c>
      <c r="M57" s="12">
        <f>IF((M15&gt;0),(M21/M15),"")</f>
        <v>0.09900990099009901</v>
      </c>
      <c r="N57" s="12">
        <f>IF((N15&gt;0),(N21/N15),"")</f>
        <v>0.175</v>
      </c>
      <c r="O57" s="12">
        <f>IF((O15&gt;0),(O21/O15),"")</f>
        <v>0.16666666666666666</v>
      </c>
      <c r="P57" s="12">
        <f>IF((P15&gt;0),(P21/P15),"")</f>
        <v>0.1510791366906475</v>
      </c>
      <c r="Q57" s="12">
        <f>IF((Q15&gt;0),(Q21/Q15),"")</f>
        <v>0.1092896174863388</v>
      </c>
      <c r="R57" s="12">
        <f>IF((R15&gt;0),(R21/R15),"")</f>
        <v>0.13740458015267176</v>
      </c>
      <c r="S57" s="12">
        <f>IF((S15&gt;0),(S21/S15),"")</f>
        <v>0.2072072072072072</v>
      </c>
      <c r="T57" s="12">
        <f>IF((T15&gt;0),(T21/T15),"")</f>
        <v>0.08403361344537816</v>
      </c>
      <c r="U57" s="12">
        <f>IF((U15&gt;0),(U21/U15),"")</f>
        <v>0</v>
      </c>
      <c r="V57" s="12">
        <f>IF((V15&gt;0),(V21/V15),"")</f>
        <v>0</v>
      </c>
      <c r="W57" s="12">
        <f>IF((W15&gt;0),(W21/W15),"")</f>
        <v>0</v>
      </c>
    </row>
    <row r="58">
      <c r="A58" s="0" t="inlineStr">
        <is>
          <t xml:space="preserve">MQL to SQL</t>
        </is>
      </c>
      <c r="B58" s="0" t="inlineStr">
        <is>
          <t xml:space="preserve">Events &amp; field</t>
        </is>
      </c>
      <c r="C58" s="12">
        <f>IF((C16&gt;0),(C22/C16),"")</f>
        <v>0.22727272727272727</v>
      </c>
      <c r="D58" s="12">
        <f>IF((D16&gt;0),(D22/D16),"")</f>
        <v>0.26356589147286824</v>
      </c>
      <c r="E58" s="12">
        <f>IF((E16&gt;0),(E22/E16),"")</f>
        <v>0.42857142857142855</v>
      </c>
      <c r="F58" s="12">
        <f>IF((F16&gt;0),(F22/F16),"")</f>
        <v>0.25</v>
      </c>
      <c r="G58" s="12">
        <f>IF((G16&gt;0),(G22/G16),"")</f>
        <v>0.16666666666666666</v>
      </c>
      <c r="H58" s="12">
        <f>IF((H16&gt;0),(H22/H16),"")</f>
        <v>0.17857142857142858</v>
      </c>
      <c r="I58" s="12">
        <f>IF((I16&gt;0),(I22/I16),"")</f>
        <v>0.24</v>
      </c>
      <c r="J58" s="12">
        <f>IF((J16&gt;0),(J22/J16),"")</f>
        <v>0.20833333333333334</v>
      </c>
      <c r="K58" s="12">
        <f>IF((K16&gt;0),(K22/K16),"")</f>
        <v>0.16666666666666666</v>
      </c>
      <c r="L58" s="12">
        <f>IF((L16&gt;0),(L22/L16),"")</f>
        <v>0.23076923076923078</v>
      </c>
      <c r="M58" s="12">
        <f>IF((M16&gt;0),(M22/M16),"")</f>
        <v>0.2571428571428571</v>
      </c>
      <c r="N58" s="12">
        <f>IF((N16&gt;0),(N22/N16),"")</f>
        <v>0.2366412213740458</v>
      </c>
      <c r="O58" s="12">
        <f>IF((O16&gt;0),(O22/O16),"")</f>
        <v>0.20588235294117646</v>
      </c>
      <c r="P58" s="12">
        <f>IF((P16&gt;0),(P22/P16),"")</f>
        <v>0.1951219512195122</v>
      </c>
      <c r="Q58" s="12">
        <f>IF((Q16&gt;0),(Q22/Q16),"")</f>
        <v>0.2876712328767123</v>
      </c>
      <c r="R58" s="12">
        <f>IF((R16&gt;0),(R22/R16),"")</f>
        <v>0.2777777777777778</v>
      </c>
      <c r="S58" s="12">
        <f>IF((S16&gt;0),(S22/S16),"")</f>
        <v>0.2608695652173913</v>
      </c>
      <c r="T58" s="12">
        <f>IF((T16&gt;0),(T22/T16),"")</f>
        <v>0.1</v>
      </c>
      <c r="U58" s="12">
        <f>IF((U16&gt;0),(U22/U16),"")</f>
        <v>0</v>
      </c>
      <c r="V58" s="12">
        <f>IF((V16&gt;0),(V22/V16),"")</f>
        <v>0</v>
      </c>
      <c r="W58" s="12">
        <f>IF((W16&gt;0),(W22/W16),"")</f>
        <v>0</v>
      </c>
    </row>
    <row r="59">
      <c r="A59" s="0" t="inlineStr">
        <is>
          <t xml:space="preserve">MQL to SQL</t>
        </is>
      </c>
      <c r="B59" s="0" t="inlineStr">
        <is>
          <t xml:space="preserve">Partner</t>
        </is>
      </c>
      <c r="C59" s="12">
        <f>IF((C17&gt;0),(C23/C17),"")</f>
        <v>0.32558139534883723</v>
      </c>
      <c r="D59" s="12">
        <f>IF((D17&gt;0),(D23/D17),"")</f>
        <v>0.2571428571428571</v>
      </c>
      <c r="E59" s="12">
        <f>IF((E17&gt;0),(E23/E17),"")</f>
        <v>0.3684210526315789</v>
      </c>
      <c r="F59" s="12">
        <f>IF((F17&gt;0),(F23/F17),"")</f>
        <v>0.375</v>
      </c>
      <c r="G59" s="12">
        <f>IF((G17&gt;0),(G23/G17),"")</f>
        <v>0.3</v>
      </c>
      <c r="H59" s="12">
        <f>IF((H17&gt;0),(H23/H17),"")</f>
        <v>0.3448275862068966</v>
      </c>
      <c r="I59" s="12">
        <f>IF((I17&gt;0),(I23/I17),"")</f>
        <v>0.4</v>
      </c>
      <c r="J59" s="12">
        <f>IF((J17&gt;0),(J23/J17),"")</f>
        <v>0.391304347826087</v>
      </c>
      <c r="K59" s="12">
        <f>IF((K17&gt;0),(K23/K17),"")</f>
        <v>0.4166666666666667</v>
      </c>
      <c r="L59" s="12">
        <f>IF((L17&gt;0),(L23/L17),"")</f>
        <v>0.17647058823529413</v>
      </c>
      <c r="M59" s="12">
        <f>IF((M17&gt;0),(M23/M17),"")</f>
        <v>0.5</v>
      </c>
      <c r="N59" s="12">
        <f>IF((N17&gt;0),(N23/N17),"")</f>
        <v>0.2903225806451613</v>
      </c>
      <c r="O59" s="12">
        <f>IF((O17&gt;0),(O23/O17),"")</f>
        <v>0.3870967741935484</v>
      </c>
      <c r="P59" s="12">
        <f>IF((P17&gt;0),(P23/P17),"")</f>
        <v>0.375</v>
      </c>
      <c r="Q59" s="12">
        <f>IF((Q17&gt;0),(Q23/Q17),"")</f>
        <v>0.4864864864864865</v>
      </c>
      <c r="R59" s="12">
        <f>IF((R17&gt;0),(R23/R17),"")</f>
        <v>0.21052631578947367</v>
      </c>
      <c r="S59" s="12">
        <f>IF((S17&gt;0),(S23/S17),"")</f>
        <v>0.45</v>
      </c>
      <c r="T59" s="12">
        <f>IF((T17&gt;0),(T23/T17),"")</f>
        <v>0.19230769230769232</v>
      </c>
      <c r="U59" s="12">
        <f>IF((U17&gt;0),(U23/U17),"")</f>
        <v>0</v>
      </c>
      <c r="V59" s="12">
        <f>IF((V17&gt;0),(V23/V17),"")</f>
        <v>0</v>
      </c>
      <c r="W59" s="12">
        <f>IF((W17&gt;0),(W23/W17),"")</f>
        <v>0</v>
      </c>
    </row>
    <row r="60">
      <c r="A60" s="0" t="inlineStr">
        <is>
          <t xml:space="preserve">MQL to SQL</t>
        </is>
      </c>
      <c r="B60" s="0" t="inlineStr">
        <is>
          <t xml:space="preserve">Outbound (BDR)</t>
        </is>
      </c>
      <c r="C60" s="12">
        <f>IF((C18&gt;0),(C24/C18),"")</f>
      </c>
      <c r="D60" s="12">
        <f>IF((D18&gt;0),(D24/D18),"")</f>
      </c>
      <c r="E60" s="12">
        <f>IF((E18&gt;0),(E24/E18),"")</f>
      </c>
      <c r="F60" s="12">
        <f>IF((F18&gt;0),(F24/F18),"")</f>
      </c>
      <c r="G60" s="12">
        <f>IF((G18&gt;0),(G24/G18),"")</f>
      </c>
      <c r="H60" s="12">
        <f>IF((H18&gt;0),(H24/H18),"")</f>
      </c>
      <c r="I60" s="12">
        <f>IF((I18&gt;0),(I24/I18),"")</f>
      </c>
      <c r="J60" s="12">
        <f>IF((J18&gt;0),(J24/J18),"")</f>
      </c>
      <c r="K60" s="12">
        <f>IF((K18&gt;0),(K24/K18),"")</f>
      </c>
      <c r="L60" s="12">
        <f>IF((L18&gt;0),(L24/L18),"")</f>
      </c>
      <c r="M60" s="12">
        <f>IF((M18&gt;0),(M24/M18),"")</f>
      </c>
      <c r="N60" s="12">
        <f>IF((N18&gt;0),(N24/N18),"")</f>
      </c>
      <c r="O60" s="12">
        <f>IF((O18&gt;0),(O24/O18),"")</f>
      </c>
      <c r="P60" s="12">
        <f>IF((P18&gt;0),(P24/P18),"")</f>
      </c>
      <c r="Q60" s="12">
        <f>IF((Q18&gt;0),(Q24/Q18),"")</f>
      </c>
      <c r="R60" s="12">
        <f>IF((R18&gt;0),(R24/R18),"")</f>
      </c>
      <c r="S60" s="12">
        <f>IF((S18&gt;0),(S24/S18),"")</f>
      </c>
      <c r="T60" s="12">
        <f>IF((T18&gt;0),(T24/T18),"")</f>
      </c>
      <c r="U60" s="12">
        <f>IF((U18&gt;0),(U24/U18),"")</f>
      </c>
      <c r="V60" s="12">
        <f>IF((V18&gt;0),(V24/V18),"")</f>
      </c>
      <c r="W60" s="12">
        <f>IF((W18&gt;0),(W24/W18),"")</f>
      </c>
    </row>
    <row r="61">
      <c r="A61" s="0" t="inlineStr">
        <is>
          <t xml:space="preserve">MQL to SQL</t>
        </is>
      </c>
      <c r="B61" s="0" t="inlineStr">
        <is>
          <t xml:space="preserve">Customer referral</t>
        </is>
      </c>
      <c r="C61" s="12">
        <f>IF((C19&gt;0),(C25/C19),"")</f>
      </c>
      <c r="D61" s="12">
        <f>IF((D19&gt;0),(D25/D19),"")</f>
      </c>
      <c r="E61" s="12">
        <f>IF((E19&gt;0),(E25/E19),"")</f>
      </c>
      <c r="F61" s="12">
        <f>IF((F19&gt;0),(F25/F19),"")</f>
      </c>
      <c r="G61" s="12">
        <f>IF((G19&gt;0),(G25/G19),"")</f>
      </c>
      <c r="H61" s="12">
        <f>IF((H19&gt;0),(H25/H19),"")</f>
      </c>
      <c r="I61" s="12">
        <f>IF((I19&gt;0),(I25/I19),"")</f>
      </c>
      <c r="J61" s="12">
        <f>IF((J19&gt;0),(J25/J19),"")</f>
      </c>
      <c r="K61" s="12">
        <f>IF((K19&gt;0),(K25/K19),"")</f>
      </c>
      <c r="L61" s="12">
        <f>IF((L19&gt;0),(L25/L19),"")</f>
      </c>
      <c r="M61" s="12">
        <f>IF((M19&gt;0),(M25/M19),"")</f>
      </c>
      <c r="N61" s="12">
        <f>IF((N19&gt;0),(N25/N19),"")</f>
      </c>
      <c r="O61" s="12">
        <f>IF((O19&gt;0),(O25/O19),"")</f>
      </c>
      <c r="P61" s="12">
        <f>IF((P19&gt;0),(P25/P19),"")</f>
      </c>
      <c r="Q61" s="12">
        <f>IF((Q19&gt;0),(Q25/Q19),"")</f>
      </c>
      <c r="R61" s="12">
        <f>IF((R19&gt;0),(R25/R19),"")</f>
      </c>
      <c r="S61" s="12">
        <f>IF((S19&gt;0),(S25/S19),"")</f>
      </c>
      <c r="T61" s="12">
        <f>IF((T19&gt;0),(T25/T19),"")</f>
      </c>
      <c r="U61" s="12">
        <f>IF((U19&gt;0),(U25/U19),"")</f>
      </c>
      <c r="V61" s="12">
        <f>IF((V19&gt;0),(V25/V19),"")</f>
      </c>
      <c r="W61" s="12">
        <f>IF((W19&gt;0),(W25/W19),"")</f>
      </c>
    </row>
    <row r="62">
      <c r="A62" s="0" t="inlineStr">
        <is>
          <t xml:space="preserve">SQL to won</t>
        </is>
      </c>
      <c r="B62" s="0" t="inlineStr">
        <is>
          <t xml:space="preserve">Inbound (web &amp; content)</t>
        </is>
      </c>
      <c r="C62" s="12">
        <f>IF((C20&gt;0),(C32/C20),"")</f>
        <v>0.030303030303030304</v>
      </c>
      <c r="D62" s="12">
        <f>IF((D20&gt;0),(D32/D20),"")</f>
        <v>0.2</v>
      </c>
      <c r="E62" s="12">
        <f>IF((E20&gt;0),(E32/E20),"")</f>
        <v>0.25</v>
      </c>
      <c r="F62" s="12">
        <f>IF((F20&gt;0),(F32/F20),"")</f>
        <v>0.32558139534883723</v>
      </c>
      <c r="G62" s="12">
        <f>IF((G20&gt;0),(G32/G20),"")</f>
        <v>0.22857142857142856</v>
      </c>
      <c r="H62" s="12">
        <f>IF((H20&gt;0),(H32/H20),"")</f>
        <v>0.7407407407407407</v>
      </c>
      <c r="I62" s="12">
        <f>IF((I20&gt;0),(I32/I20),"")</f>
        <v>0.2857142857142857</v>
      </c>
      <c r="J62" s="12">
        <f>IF((J20&gt;0),(J32/J20),"")</f>
        <v>0.27586206896551724</v>
      </c>
      <c r="K62" s="12">
        <f>IF((K20&gt;0),(K32/K20),"")</f>
        <v>0.5405405405405406</v>
      </c>
      <c r="L62" s="12">
        <f>IF((L20&gt;0),(L32/L20),"")</f>
        <v>0.46875</v>
      </c>
      <c r="M62" s="12">
        <f>IF((M20&gt;0),(M32/M20),"")</f>
        <v>0.34375</v>
      </c>
      <c r="N62" s="12">
        <f>IF((N20&gt;0),(N32/N20),"")</f>
        <v>0.35135135135135137</v>
      </c>
      <c r="O62" s="12">
        <f>IF((O20&gt;0),(O32/O20),"")</f>
        <v>0.22916666666666666</v>
      </c>
      <c r="P62" s="12">
        <f>IF((P20&gt;0),(P32/P20),"")</f>
        <v>0.5</v>
      </c>
      <c r="Q62" s="12">
        <f>IF((Q20&gt;0),(Q32/Q20),"")</f>
        <v>0.5227272727272727</v>
      </c>
      <c r="R62" s="12">
        <f>IF((R20&gt;0),(R32/R20),"")</f>
        <v>0.25</v>
      </c>
      <c r="S62" s="12">
        <f>IF((S20&gt;0),(S32/S20),"")</f>
        <v>0.3870967741935484</v>
      </c>
      <c r="T62" s="12">
        <f>IF((T20&gt;0),(T32/T20),"")</f>
        <v>0.4827586206896552</v>
      </c>
      <c r="U62" s="12">
        <f>IF((U20&gt;0),(U32/U20),"")</f>
      </c>
      <c r="V62" s="12">
        <f>IF((V20&gt;0),(V32/V20),"")</f>
      </c>
      <c r="W62" s="12">
        <f>IF((W20&gt;0),(W32/W20),"")</f>
      </c>
    </row>
    <row r="63">
      <c r="A63" s="0" t="inlineStr">
        <is>
          <t xml:space="preserve">SQL to won</t>
        </is>
      </c>
      <c r="B63" s="0" t="inlineStr">
        <is>
          <t xml:space="preserve">Paid digital</t>
        </is>
      </c>
      <c r="C63" s="12">
        <f>IF((C21&gt;0),(C33/C21),"")</f>
        <v>0.07142857142857142</v>
      </c>
      <c r="D63" s="12">
        <f>IF((D21&gt;0),(D33/D21),"")</f>
        <v>0.2857142857142857</v>
      </c>
      <c r="E63" s="12">
        <f>IF((E21&gt;0),(E33/E21),"")</f>
        <v>0.16666666666666666</v>
      </c>
      <c r="F63" s="12">
        <f>IF((F21&gt;0),(F33/F21),"")</f>
        <v>0.18181818181818182</v>
      </c>
      <c r="G63" s="12">
        <f>IF((G21&gt;0),(G33/G21),"")</f>
        <v>0</v>
      </c>
      <c r="H63" s="12">
        <f>IF((H21&gt;0),(H33/H21),"")</f>
        <v>0.6666666666666666</v>
      </c>
      <c r="I63" s="12">
        <f>IF((I21&gt;0),(I33/I21),"")</f>
        <v>0.125</v>
      </c>
      <c r="J63" s="12">
        <f>IF((J21&gt;0),(J33/J21),"")</f>
        <v>0.4166666666666667</v>
      </c>
      <c r="K63" s="12">
        <f>IF((K21&gt;0),(K33/K21),"")</f>
        <v>0.07142857142857142</v>
      </c>
      <c r="L63" s="12">
        <f>IF((L21&gt;0),(L33/L21),"")</f>
        <v>0.06666666666666667</v>
      </c>
      <c r="M63" s="12">
        <f>IF((M21&gt;0),(M33/M21),"")</f>
        <v>0.1</v>
      </c>
      <c r="N63" s="12">
        <f>IF((N21&gt;0),(N33/N21),"")</f>
        <v>0.3333333333333333</v>
      </c>
      <c r="O63" s="12">
        <f>IF((O21&gt;0),(O33/O21),"")</f>
        <v>0.2222222222222222</v>
      </c>
      <c r="P63" s="12">
        <f>IF((P21&gt;0),(P33/P21),"")</f>
        <v>0.09523809523809523</v>
      </c>
      <c r="Q63" s="12">
        <f>IF((Q21&gt;0),(Q33/Q21),"")</f>
        <v>0.35</v>
      </c>
      <c r="R63" s="12">
        <f>IF((R21&gt;0),(R33/R21),"")</f>
        <v>0.2222222222222222</v>
      </c>
      <c r="S63" s="12">
        <f>IF((S21&gt;0),(S33/S21),"")</f>
        <v>0.13043478260869565</v>
      </c>
      <c r="T63" s="12">
        <f>IF((T21&gt;0),(T33/T21),"")</f>
        <v>0.5</v>
      </c>
      <c r="U63" s="12">
        <f>IF((U21&gt;0),(U33/U21),"")</f>
      </c>
      <c r="V63" s="12">
        <f>IF((V21&gt;0),(V33/V21),"")</f>
      </c>
      <c r="W63" s="12">
        <f>IF((W21&gt;0),(W33/W21),"")</f>
      </c>
    </row>
    <row r="64">
      <c r="A64" s="0" t="inlineStr">
        <is>
          <t xml:space="preserve">SQL to won</t>
        </is>
      </c>
      <c r="B64" s="0" t="inlineStr">
        <is>
          <t xml:space="preserve">Events &amp; field</t>
        </is>
      </c>
      <c r="C64" s="12">
        <f>IF((C22&gt;0),(C34/C22),"")</f>
        <v>0</v>
      </c>
      <c r="D64" s="12">
        <f>IF((D22&gt;0),(D34/D22),"")</f>
        <v>0.058823529411764705</v>
      </c>
      <c r="E64" s="12">
        <f>IF((E22&gt;0),(E34/E22),"")</f>
        <v>0.2777777777777778</v>
      </c>
      <c r="F64" s="12">
        <f>IF((F22&gt;0),(F34/F22),"")</f>
        <v>0.5</v>
      </c>
      <c r="G64" s="12">
        <f>IF((G22&gt;0),(G34/G22),"")</f>
        <v>1.3333333333333333</v>
      </c>
      <c r="H64" s="12">
        <f>IF((H22&gt;0),(H34/H22),"")</f>
        <v>0.6</v>
      </c>
      <c r="I64" s="12">
        <f>IF((I22&gt;0),(I34/I22),"")</f>
        <v>0.20833333333333334</v>
      </c>
      <c r="J64" s="12">
        <f>IF((J22&gt;0),(J34/J22),"")</f>
        <v>0.6</v>
      </c>
      <c r="K64" s="12">
        <f>IF((K22&gt;0),(K34/K22),"")</f>
        <v>2</v>
      </c>
      <c r="L64" s="12">
        <f>IF((L22&gt;0),(L34/L22),"")</f>
        <v>0.16666666666666666</v>
      </c>
      <c r="M64" s="12">
        <f>IF((M22&gt;0),(M34/M22),"")</f>
        <v>0.3333333333333333</v>
      </c>
      <c r="N64" s="12">
        <f>IF((N22&gt;0),(N34/N22),"")</f>
        <v>0.06451612903225806</v>
      </c>
      <c r="O64" s="12">
        <f>IF((O22&gt;0),(O34/O22),"")</f>
        <v>0.8571428571428571</v>
      </c>
      <c r="P64" s="12">
        <f>IF((P22&gt;0),(P34/P22),"")</f>
        <v>0.625</v>
      </c>
      <c r="Q64" s="12">
        <f>IF((Q22&gt;0),(Q34/Q22),"")</f>
        <v>0.14285714285714285</v>
      </c>
      <c r="R64" s="12">
        <f>IF((R22&gt;0),(R34/R22),"")</f>
        <v>1.1</v>
      </c>
      <c r="S64" s="12">
        <f>IF((S22&gt;0),(S34/S22),"")</f>
        <v>0.16666666666666666</v>
      </c>
      <c r="T64" s="12">
        <f>IF((T22&gt;0),(T34/T22),"")</f>
        <v>1.6666666666666667</v>
      </c>
      <c r="U64" s="12">
        <f>IF((U22&gt;0),(U34/U22),"")</f>
      </c>
      <c r="V64" s="12">
        <f>IF((V22&gt;0),(V34/V22),"")</f>
      </c>
      <c r="W64" s="12">
        <f>IF((W22&gt;0),(W34/W22),"")</f>
      </c>
    </row>
    <row r="65">
      <c r="A65" s="0" t="inlineStr">
        <is>
          <t xml:space="preserve">SQL to won</t>
        </is>
      </c>
      <c r="B65" s="0" t="inlineStr">
        <is>
          <t xml:space="preserve">Partner</t>
        </is>
      </c>
      <c r="C65" s="12">
        <f>IF((C23&gt;0),(C35/C23),"")</f>
        <v>0.07142857142857142</v>
      </c>
      <c r="D65" s="12">
        <f>IF((D23&gt;0),(D35/D23),"")</f>
        <v>0.1111111111111111</v>
      </c>
      <c r="E65" s="12">
        <f>IF((E23&gt;0),(E35/E23),"")</f>
        <v>0.35714285714285715</v>
      </c>
      <c r="F65" s="12">
        <f>IF((F23&gt;0),(F35/F23),"")</f>
        <v>0.2222222222222222</v>
      </c>
      <c r="G65" s="12">
        <f>IF((G23&gt;0),(G35/G23),"")</f>
        <v>0.3333333333333333</v>
      </c>
      <c r="H65" s="12">
        <f>IF((H23&gt;0),(H35/H23),"")</f>
        <v>1.1</v>
      </c>
      <c r="I65" s="12">
        <f>IF((I23&gt;0),(I35/I23),"")</f>
        <v>0.25</v>
      </c>
      <c r="J65" s="12">
        <f>IF((J23&gt;0),(J35/J23),"")</f>
        <v>0.3333333333333333</v>
      </c>
      <c r="K65" s="12">
        <f>IF((K23&gt;0),(K35/K23),"")</f>
        <v>0.4</v>
      </c>
      <c r="L65" s="12">
        <f>IF((L23&gt;0),(L35/L23),"")</f>
        <v>0.3333333333333333</v>
      </c>
      <c r="M65" s="12">
        <f>IF((M23&gt;0),(M35/M23),"")</f>
        <v>0.07692307692307693</v>
      </c>
      <c r="N65" s="12">
        <f>IF((N23&gt;0),(N35/N23),"")</f>
        <v>0.5555555555555556</v>
      </c>
      <c r="O65" s="12">
        <f>IF((O23&gt;0),(O35/O23),"")</f>
        <v>0.16666666666666666</v>
      </c>
      <c r="P65" s="12">
        <f>IF((P23&gt;0),(P35/P23),"")</f>
        <v>0.08333333333333333</v>
      </c>
      <c r="Q65" s="12">
        <f>IF((Q23&gt;0),(Q35/Q23),"")</f>
        <v>0.3333333333333333</v>
      </c>
      <c r="R65" s="12">
        <f>IF((R23&gt;0),(R35/R23),"")</f>
        <v>2.25</v>
      </c>
      <c r="S65" s="12">
        <f>IF((S23&gt;0),(S35/S23),"")</f>
        <v>0.2222222222222222</v>
      </c>
      <c r="T65" s="12">
        <f>IF((T23&gt;0),(T35/T23),"")</f>
        <v>0.8</v>
      </c>
      <c r="U65" s="12">
        <f>IF((U23&gt;0),(U35/U23),"")</f>
      </c>
      <c r="V65" s="12">
        <f>IF((V23&gt;0),(V35/V23),"")</f>
      </c>
      <c r="W65" s="12">
        <f>IF((W23&gt;0),(W35/W23),"")</f>
      </c>
    </row>
    <row r="66">
      <c r="A66" s="0" t="inlineStr">
        <is>
          <t xml:space="preserve">SQL to won</t>
        </is>
      </c>
      <c r="B66" s="0" t="inlineStr">
        <is>
          <t xml:space="preserve">Outbound (BDR)</t>
        </is>
      </c>
      <c r="C66" s="12">
        <f>IF((C24&gt;0),(C36/C24),"")</f>
        <v>0</v>
      </c>
      <c r="D66" s="12">
        <f>IF((D24&gt;0),(D36/D24),"")</f>
        <v>0.07142857142857142</v>
      </c>
      <c r="E66" s="12">
        <f>IF((E24&gt;0),(E36/E24),"")</f>
        <v>0.125</v>
      </c>
      <c r="F66" s="12">
        <f>IF((F24&gt;0),(F36/F24),"")</f>
        <v>0.15</v>
      </c>
      <c r="G66" s="12">
        <f>IF((G24&gt;0),(G36/G24),"")</f>
        <v>0.16666666666666666</v>
      </c>
      <c r="H66" s="12">
        <f>IF((H24&gt;0),(H36/H24),"")</f>
        <v>0.375</v>
      </c>
      <c r="I66" s="12">
        <f>IF((I24&gt;0),(I36/I24),"")</f>
        <v>0.1875</v>
      </c>
      <c r="J66" s="12">
        <f>IF((J24&gt;0),(J36/J24),"")</f>
        <v>0.3125</v>
      </c>
      <c r="K66" s="12">
        <f>IF((K24&gt;0),(K36/K24),"")</f>
        <v>0.42105263157894735</v>
      </c>
      <c r="L66" s="12">
        <f>IF((L24&gt;0),(L36/L24),"")</f>
        <v>0.3333333333333333</v>
      </c>
      <c r="M66" s="12">
        <f>IF((M24&gt;0),(M36/M24),"")</f>
        <v>0.08</v>
      </c>
      <c r="N66" s="12">
        <f>IF((N24&gt;0),(N36/N24),"")</f>
        <v>0.7142857142857143</v>
      </c>
      <c r="O66" s="12">
        <f>IF((O24&gt;0),(O36/O24),"")</f>
        <v>0.1111111111111111</v>
      </c>
      <c r="P66" s="12">
        <f>IF((P24&gt;0),(P36/P24),"")</f>
        <v>0.15789473684210525</v>
      </c>
      <c r="Q66" s="12">
        <f>IF((Q24&gt;0),(Q36/Q24),"")</f>
        <v>0.47368421052631576</v>
      </c>
      <c r="R66" s="12">
        <f>IF((R24&gt;0),(R36/R24),"")</f>
        <v>0.21052631578947367</v>
      </c>
      <c r="S66" s="12">
        <f>IF((S24&gt;0),(S36/S24),"")</f>
        <v>0.2</v>
      </c>
      <c r="T66" s="12">
        <f>IF((T24&gt;0),(T36/T24),"")</f>
        <v>0.2</v>
      </c>
      <c r="U66" s="12">
        <f>IF((U24&gt;0),(U36/U24),"")</f>
      </c>
      <c r="V66" s="12">
        <f>IF((V24&gt;0),(V36/V24),"")</f>
      </c>
      <c r="W66" s="12">
        <f>IF((W24&gt;0),(W36/W24),"")</f>
      </c>
    </row>
    <row r="67">
      <c r="A67" s="0" t="inlineStr">
        <is>
          <t xml:space="preserve">SQL to won</t>
        </is>
      </c>
      <c r="B67" s="0" t="inlineStr">
        <is>
          <t xml:space="preserve">Customer referral</t>
        </is>
      </c>
      <c r="C67" s="12">
        <f>IF((C25&gt;0),(C37/C25),"")</f>
        <v>0</v>
      </c>
      <c r="D67" s="12">
        <f>IF((D25&gt;0),(D37/D25),"")</f>
        <v>0.5</v>
      </c>
      <c r="E67" s="12">
        <f>IF((E25&gt;0),(E37/E25),"")</f>
        <v>0.5714285714285714</v>
      </c>
      <c r="F67" s="12">
        <f>IF((F25&gt;0),(F37/F25),"")</f>
        <v>0.18181818181818182</v>
      </c>
      <c r="G67" s="12">
        <f>IF((G25&gt;0),(G37/G25),"")</f>
        <v>0.5</v>
      </c>
      <c r="H67" s="12">
        <f>IF((H25&gt;0),(H37/H25),"")</f>
        <v>0.5555555555555556</v>
      </c>
      <c r="I67" s="12">
        <f>IF((I25&gt;0),(I37/I25),"")</f>
        <v>0.2</v>
      </c>
      <c r="J67" s="12">
        <f>IF((J25&gt;0),(J37/J25),"")</f>
        <v>0.42857142857142855</v>
      </c>
      <c r="K67" s="12">
        <f>IF((K25&gt;0),(K37/K25),"")</f>
        <v>0.25</v>
      </c>
      <c r="L67" s="12">
        <f>IF((L25&gt;0),(L37/L25),"")</f>
        <v>0.2</v>
      </c>
      <c r="M67" s="12">
        <f>IF((M25&gt;0),(M37/M25),"")</f>
        <v>0.3333333333333333</v>
      </c>
      <c r="N67" s="12">
        <f>IF((N25&gt;0),(N37/N25),"")</f>
        <v>2</v>
      </c>
      <c r="O67" s="12">
        <f>IF((O25&gt;0),(O37/O25),"")</f>
        <v>0</v>
      </c>
      <c r="P67" s="12">
        <f>IF((P25&gt;0),(P37/P25),"")</f>
        <v>0.3</v>
      </c>
      <c r="Q67" s="12">
        <f>IF((Q25&gt;0),(Q37/Q25),"")</f>
        <v>0.8333333333333334</v>
      </c>
      <c r="R67" s="12">
        <f>IF((R25&gt;0),(R37/R25),"")</f>
        <v>0.5714285714285714</v>
      </c>
      <c r="S67" s="12">
        <f>IF((S25&gt;0),(S37/S25),"")</f>
        <v>0.6666666666666666</v>
      </c>
      <c r="T67" s="12">
        <f>IF((T25&gt;0),(T37/T25),"")</f>
        <v>0.25</v>
      </c>
      <c r="U67" s="12">
        <f>IF((U25&gt;0),(U37/U25),"")</f>
      </c>
      <c r="V67" s="12">
        <f>IF((V25&gt;0),(V37/V25),"")</f>
      </c>
      <c r="W67" s="12">
        <f>IF((W25&gt;0),(W37/W25),"")</f>
      </c>
    </row>
    <row r="68">
      <c r="A68" s="0" t="inlineStr">
        <is>
          <t xml:space="preserve">Cost per opportunity</t>
        </is>
      </c>
      <c r="B68" s="0" t="inlineStr">
        <is>
          <t xml:space="preserve">Inbound (web &amp; content)</t>
        </is>
      </c>
      <c r="C68" s="8">
        <f>IF((C20&gt;0),(C2/C20),"")</f>
        <v>1517.2727272727273</v>
      </c>
      <c r="D68" s="8">
        <f>IF((D20&gt;0),(D2/D20),"")</f>
        <v>1504.857142857143</v>
      </c>
      <c r="E68" s="8">
        <f>IF((E20&gt;0),(E2/E20),"")</f>
        <v>1604.7222222222222</v>
      </c>
      <c r="F68" s="8">
        <f>IF((F20&gt;0),(F2/F20),"")</f>
        <v>1108.139534883721</v>
      </c>
      <c r="G68" s="8">
        <f>IF((G20&gt;0),(G2/G20),"")</f>
        <v>1288.857142857143</v>
      </c>
      <c r="H68" s="8">
        <f>IF((H20&gt;0),(H2/H20),"")</f>
        <v>1890.3703703703704</v>
      </c>
      <c r="I68" s="8">
        <f>IF((I20&gt;0),(I2/I20),"")</f>
        <v>1950.4761904761904</v>
      </c>
      <c r="J68" s="8">
        <f>IF((J20&gt;0),(J2/J20),"")</f>
        <v>1414.8275862068965</v>
      </c>
      <c r="K68" s="8">
        <f>IF((K20&gt;0),(K2/K20),"")</f>
        <v>1353.7837837837837</v>
      </c>
      <c r="L68" s="8">
        <f>IF((L20&gt;0),(L2/L20),"")</f>
        <v>1396.5625</v>
      </c>
      <c r="M68" s="8">
        <f>IF((M20&gt;0),(M2/M20),"")</f>
        <v>1583.4375</v>
      </c>
      <c r="N68" s="8">
        <f>IF((N20&gt;0),(N2/N20),"")</f>
        <v>1638.918918918919</v>
      </c>
      <c r="O68" s="8">
        <f>IF((O20&gt;0),(O2/O20),"")</f>
        <v>1034.375</v>
      </c>
      <c r="P68" s="8">
        <f>IF((P20&gt;0),(P2/P20),"")</f>
        <v>1754.2857142857142</v>
      </c>
      <c r="Q68" s="8">
        <f>IF((Q20&gt;0),(Q2/Q20),"")</f>
        <v>1233.409090909091</v>
      </c>
      <c r="R68" s="8">
        <f>IF((R20&gt;0),(R2/R20),"")</f>
        <v>1007.2727272727273</v>
      </c>
      <c r="S68" s="8">
        <f>IF((S20&gt;0),(S2/S20),"")</f>
        <v>1331.2903225806451</v>
      </c>
      <c r="T68" s="8">
        <f>IF((T20&gt;0),(T2/T20),"")</f>
        <v>1907.2413793103449</v>
      </c>
      <c r="U68" s="8">
        <f>IF((U20&gt;0),(U2/U20),"")</f>
      </c>
      <c r="V68" s="8">
        <f>IF((V20&gt;0),(V2/V20),"")</f>
      </c>
      <c r="W68" s="8">
        <f>IF((W20&gt;0),(W2/W20),"")</f>
      </c>
    </row>
    <row r="69">
      <c r="A69" s="0" t="inlineStr">
        <is>
          <t xml:space="preserve">Cost per opportunity</t>
        </is>
      </c>
      <c r="B69" s="0" t="inlineStr">
        <is>
          <t xml:space="preserve">Paid digital</t>
        </is>
      </c>
      <c r="C69" s="8">
        <f>IF((C21&gt;0),(C3/C21),"")</f>
        <v>11132.142857142857</v>
      </c>
      <c r="D69" s="8">
        <f>IF((D21&gt;0),(D3/D21),"")</f>
        <v>11322.857142857143</v>
      </c>
      <c r="E69" s="8">
        <f>IF((E21&gt;0),(E3/E21),"")</f>
        <v>6896.25</v>
      </c>
      <c r="F69" s="8">
        <f>IF((F21&gt;0),(F3/F21),"")</f>
        <v>12093.636363636364</v>
      </c>
      <c r="G69" s="8">
        <f>IF((G21&gt;0),(G3/G21),"")</f>
        <v>15917.5</v>
      </c>
      <c r="H69" s="8">
        <f>IF((H21&gt;0),(H3/H21),"")</f>
        <v>12451.666666666666</v>
      </c>
      <c r="I69" s="8">
        <f>IF((I21&gt;0),(I3/I21),"")</f>
        <v>7690</v>
      </c>
      <c r="J69" s="8">
        <f>IF((J21&gt;0),(J3/J21),"")</f>
        <v>10543.333333333334</v>
      </c>
      <c r="K69" s="8">
        <f>IF((K21&gt;0),(K3/K21),"")</f>
        <v>11272.142857142857</v>
      </c>
      <c r="L69" s="8">
        <f>IF((L21&gt;0),(L3/L21),"")</f>
        <v>8698</v>
      </c>
      <c r="M69" s="8">
        <f>IF((M21&gt;0),(M3/M21),"")</f>
        <v>15305</v>
      </c>
      <c r="N69" s="8">
        <f>IF((N21&gt;0),(N3/N21),"")</f>
        <v>7900.952380952381</v>
      </c>
      <c r="O69" s="8">
        <f>IF((O21&gt;0),(O3/O21),"")</f>
        <v>8584.444444444445</v>
      </c>
      <c r="P69" s="8">
        <f>IF((P21&gt;0),(P3/P21),"")</f>
        <v>7807.619047619048</v>
      </c>
      <c r="Q69" s="8">
        <f>IF((Q21&gt;0),(Q3/Q21),"")</f>
        <v>10274</v>
      </c>
      <c r="R69" s="8">
        <f>IF((R21&gt;0),(R3/R21),"")</f>
        <v>8579.444444444445</v>
      </c>
      <c r="S69" s="8">
        <f>IF((S21&gt;0),(S3/S21),"")</f>
        <v>6874.782608695652</v>
      </c>
      <c r="T69" s="8">
        <f>IF((T21&gt;0),(T3/T21),"")</f>
        <v>14911</v>
      </c>
      <c r="U69" s="8">
        <f>IF((U21&gt;0),(U3/U21),"")</f>
      </c>
      <c r="V69" s="8">
        <f>IF((V21&gt;0),(V3/V21),"")</f>
      </c>
      <c r="W69" s="8">
        <f>IF((W21&gt;0),(W3/W21),"")</f>
      </c>
    </row>
    <row r="70">
      <c r="A70" s="0" t="inlineStr">
        <is>
          <t xml:space="preserve">Cost per opportunity</t>
        </is>
      </c>
      <c r="B70" s="0" t="inlineStr">
        <is>
          <t xml:space="preserve">Events &amp; field</t>
        </is>
      </c>
      <c r="C70" s="8">
        <f>IF((C22&gt;0),(C4/C22),"")</f>
        <v>7944</v>
      </c>
      <c r="D70" s="8">
        <f>IF((D22&gt;0),(D4/D22),"")</f>
        <v>4135.588235294118</v>
      </c>
      <c r="E70" s="8">
        <f>IF((E22&gt;0),(E4/E22),"")</f>
        <v>2770</v>
      </c>
      <c r="F70" s="8">
        <f>IF((F22&gt;0),(F4/F22),"")</f>
        <v>4838.75</v>
      </c>
      <c r="G70" s="8">
        <f>IF((G22&gt;0),(G4/G22),"")</f>
        <v>5913.333333333333</v>
      </c>
      <c r="H70" s="8">
        <f>IF((H22&gt;0),(H4/H22),"")</f>
        <v>7966</v>
      </c>
      <c r="I70" s="8">
        <f>IF((I22&gt;0),(I4/I22),"")</f>
        <v>4701.666666666667</v>
      </c>
      <c r="J70" s="8">
        <f>IF((J22&gt;0),(J4/J22),"")</f>
        <v>6446</v>
      </c>
      <c r="K70" s="8">
        <f>IF((K22&gt;0),(K4/K22),"")</f>
        <v>7978</v>
      </c>
      <c r="L70" s="8">
        <f>IF((L22&gt;0),(L4/L22),"")</f>
        <v>5888.333333333333</v>
      </c>
      <c r="M70" s="8">
        <f>IF((M22&gt;0),(M4/M22),"")</f>
        <v>4403.333333333333</v>
      </c>
      <c r="N70" s="8">
        <f>IF((N22&gt;0),(N4/N22),"")</f>
        <v>5462.580645161291</v>
      </c>
      <c r="O70" s="8">
        <f>IF((O22&gt;0),(O4/O22),"")</f>
        <v>5632.857142857143</v>
      </c>
      <c r="P70" s="8">
        <f>IF((P22&gt;0),(P4/P22),"")</f>
        <v>5401.25</v>
      </c>
      <c r="Q70" s="8">
        <f>IF((Q22&gt;0),(Q4/Q22),"")</f>
        <v>3818.3333333333335</v>
      </c>
      <c r="R70" s="8">
        <f>IF((R22&gt;0),(R4/R22),"")</f>
        <v>3940</v>
      </c>
      <c r="S70" s="8">
        <f>IF((S22&gt;0),(S4/S22),"")</f>
        <v>6183.333333333333</v>
      </c>
      <c r="T70" s="8">
        <f>IF((T22&gt;0),(T4/T22),"")</f>
        <v>13583.333333333334</v>
      </c>
      <c r="U70" s="8">
        <f>IF((U22&gt;0),(U4/U22),"")</f>
      </c>
      <c r="V70" s="8">
        <f>IF((V22&gt;0),(V4/V22),"")</f>
      </c>
      <c r="W70" s="8">
        <f>IF((W22&gt;0),(W4/W22),"")</f>
      </c>
    </row>
    <row r="71">
      <c r="A71" s="0" t="inlineStr">
        <is>
          <t xml:space="preserve">Cost per opportunity</t>
        </is>
      </c>
      <c r="B71" s="0" t="inlineStr">
        <is>
          <t xml:space="preserve">Partner</t>
        </is>
      </c>
      <c r="C71" s="8">
        <f>IF((C23&gt;0),(C5/C23),"")</f>
        <v>1557.142857142857</v>
      </c>
      <c r="D71" s="8">
        <f>IF((D23&gt;0),(D5/D23),"")</f>
        <v>2154.4444444444443</v>
      </c>
      <c r="E71" s="8">
        <f>IF((E23&gt;0),(E5/E23),"")</f>
        <v>1543.5714285714287</v>
      </c>
      <c r="F71" s="8">
        <f>IF((F23&gt;0),(F5/F23),"")</f>
        <v>2052.222222222222</v>
      </c>
      <c r="G71" s="8">
        <f>IF((G23&gt;0),(G5/G23),"")</f>
        <v>1888.888888888889</v>
      </c>
      <c r="H71" s="8">
        <f>IF((H23&gt;0),(H5/H23),"")</f>
        <v>1736</v>
      </c>
      <c r="I71" s="8">
        <f>IF((I23&gt;0),(I5/I23),"")</f>
        <v>2022.5</v>
      </c>
      <c r="J71" s="8">
        <f>IF((J23&gt;0),(J5/J23),"")</f>
        <v>1820</v>
      </c>
      <c r="K71" s="8">
        <f>IF((K23&gt;0),(K5/K23),"")</f>
        <v>1348</v>
      </c>
      <c r="L71" s="8">
        <f>IF((L23&gt;0),(L5/L23),"")</f>
        <v>6396.666666666667</v>
      </c>
      <c r="M71" s="8">
        <f>IF((M23&gt;0),(M5/M23),"")</f>
        <v>1468.4615384615386</v>
      </c>
      <c r="N71" s="8">
        <f>IF((N23&gt;0),(N5/N23),"")</f>
        <v>2536.6666666666665</v>
      </c>
      <c r="O71" s="8">
        <f>IF((O23&gt;0),(O5/O23),"")</f>
        <v>1713.3333333333333</v>
      </c>
      <c r="P71" s="8">
        <f>IF((P23&gt;0),(P5/P23),"")</f>
        <v>1670</v>
      </c>
      <c r="Q71" s="8">
        <f>IF((Q23&gt;0),(Q5/Q23),"")</f>
        <v>1235.5555555555557</v>
      </c>
      <c r="R71" s="8">
        <f>IF((R23&gt;0),(R5/R23),"")</f>
        <v>4640</v>
      </c>
      <c r="S71" s="8">
        <f>IF((S23&gt;0),(S5/S23),"")</f>
        <v>2018.888888888889</v>
      </c>
      <c r="T71" s="8">
        <f>IF((T23&gt;0),(T5/T23),"")</f>
        <v>3808</v>
      </c>
      <c r="U71" s="8">
        <f>IF((U23&gt;0),(U5/U23),"")</f>
      </c>
      <c r="V71" s="8">
        <f>IF((V23&gt;0),(V5/V23),"")</f>
      </c>
      <c r="W71" s="8">
        <f>IF((W23&gt;0),(W5/W23),"")</f>
      </c>
    </row>
    <row r="72">
      <c r="A72" s="0" t="inlineStr">
        <is>
          <t xml:space="preserve">Cost per opportunity</t>
        </is>
      </c>
      <c r="B72" s="0" t="inlineStr">
        <is>
          <t xml:space="preserve">Outbound (BDR)</t>
        </is>
      </c>
      <c r="C72" s="4">
        <f>IF((C24&gt;0),(C6/C24),"")</f>
        <v>0</v>
      </c>
      <c r="D72" s="4">
        <f>IF((D24&gt;0),(D6/D24),"")</f>
        <v>0</v>
      </c>
      <c r="E72" s="4">
        <f>IF((E24&gt;0),(E6/E24),"")</f>
        <v>0</v>
      </c>
      <c r="F72" s="4">
        <f>IF((F24&gt;0),(F6/F24),"")</f>
        <v>0</v>
      </c>
      <c r="G72" s="4">
        <f>IF((G24&gt;0),(G6/G24),"")</f>
        <v>0</v>
      </c>
      <c r="H72" s="4">
        <f>IF((H24&gt;0),(H6/H24),"")</f>
        <v>0</v>
      </c>
      <c r="I72" s="4">
        <f>IF((I24&gt;0),(I6/I24),"")</f>
        <v>0</v>
      </c>
      <c r="J72" s="4">
        <f>IF((J24&gt;0),(J6/J24),"")</f>
        <v>0</v>
      </c>
      <c r="K72" s="4">
        <f>IF((K24&gt;0),(K6/K24),"")</f>
        <v>0</v>
      </c>
      <c r="L72" s="4">
        <f>IF((L24&gt;0),(L6/L24),"")</f>
        <v>0</v>
      </c>
      <c r="M72" s="4">
        <f>IF((M24&gt;0),(M6/M24),"")</f>
        <v>0</v>
      </c>
      <c r="N72" s="4">
        <f>IF((N24&gt;0),(N6/N24),"")</f>
        <v>0</v>
      </c>
      <c r="O72" s="4">
        <f>IF((O24&gt;0),(O6/O24),"")</f>
        <v>0</v>
      </c>
      <c r="P72" s="4">
        <f>IF((P24&gt;0),(P6/P24),"")</f>
        <v>0</v>
      </c>
      <c r="Q72" s="4">
        <f>IF((Q24&gt;0),(Q6/Q24),"")</f>
        <v>0</v>
      </c>
      <c r="R72" s="4">
        <f>IF((R24&gt;0),(R6/R24),"")</f>
        <v>0</v>
      </c>
      <c r="S72" s="4">
        <f>IF((S24&gt;0),(S6/S24),"")</f>
        <v>0</v>
      </c>
      <c r="T72" s="4">
        <f>IF((T24&gt;0),(T6/T24),"")</f>
        <v>0</v>
      </c>
      <c r="U72" s="4">
        <f>IF((U24&gt;0),(U6/U24),"")</f>
      </c>
      <c r="V72" s="4">
        <f>IF((V24&gt;0),(V6/V24),"")</f>
      </c>
      <c r="W72" s="4">
        <f>IF((W24&gt;0),(W6/W24),"")</f>
      </c>
    </row>
    <row r="73">
      <c r="A73" s="0" t="inlineStr">
        <is>
          <t xml:space="preserve">Cost per opportunity</t>
        </is>
      </c>
      <c r="B73" s="0" t="inlineStr">
        <is>
          <t xml:space="preserve">Customer referral</t>
        </is>
      </c>
      <c r="C73" s="4">
        <f>IF((C25&gt;0),(C7/C25),"")</f>
        <v>0</v>
      </c>
      <c r="D73" s="4">
        <f>IF((D25&gt;0),(D7/D25),"")</f>
        <v>0</v>
      </c>
      <c r="E73" s="4">
        <f>IF((E25&gt;0),(E7/E25),"")</f>
        <v>0</v>
      </c>
      <c r="F73" s="4">
        <f>IF((F25&gt;0),(F7/F25),"")</f>
        <v>0</v>
      </c>
      <c r="G73" s="4">
        <f>IF((G25&gt;0),(G7/G25),"")</f>
        <v>0</v>
      </c>
      <c r="H73" s="4">
        <f>IF((H25&gt;0),(H7/H25),"")</f>
        <v>0</v>
      </c>
      <c r="I73" s="4">
        <f>IF((I25&gt;0),(I7/I25),"")</f>
        <v>0</v>
      </c>
      <c r="J73" s="4">
        <f>IF((J25&gt;0),(J7/J25),"")</f>
        <v>0</v>
      </c>
      <c r="K73" s="4">
        <f>IF((K25&gt;0),(K7/K25),"")</f>
        <v>0</v>
      </c>
      <c r="L73" s="4">
        <f>IF((L25&gt;0),(L7/L25),"")</f>
        <v>0</v>
      </c>
      <c r="M73" s="4">
        <f>IF((M25&gt;0),(M7/M25),"")</f>
        <v>0</v>
      </c>
      <c r="N73" s="4">
        <f>IF((N25&gt;0),(N7/N25),"")</f>
        <v>0</v>
      </c>
      <c r="O73" s="4">
        <f>IF((O25&gt;0),(O7/O25),"")</f>
        <v>0</v>
      </c>
      <c r="P73" s="4">
        <f>IF((P25&gt;0),(P7/P25),"")</f>
        <v>0</v>
      </c>
      <c r="Q73" s="4">
        <f>IF((Q25&gt;0),(Q7/Q25),"")</f>
        <v>0</v>
      </c>
      <c r="R73" s="4">
        <f>IF((R25&gt;0),(R7/R25),"")</f>
        <v>0</v>
      </c>
      <c r="S73" s="4">
        <f>IF((S25&gt;0),(S7/S25),"")</f>
        <v>0</v>
      </c>
      <c r="T73" s="4">
        <f>IF((T25&gt;0),(T7/T25),"")</f>
        <v>0</v>
      </c>
      <c r="U73" s="4">
        <f>IF((U25&gt;0),(U7/U25),"")</f>
      </c>
      <c r="V73" s="4">
        <f>IF((V25&gt;0),(V7/V25),"")</f>
      </c>
      <c r="W73" s="4">
        <f>IF((W25&gt;0),(W7/W25),"")</f>
      </c>
    </row>
    <row r="74">
      <c r="A74" s="0" t="inlineStr">
        <is>
          <t xml:space="preserve">Pipeline per $ of spend</t>
        </is>
      </c>
      <c r="B74" s="0" t="inlineStr">
        <is>
          <t xml:space="preserve">Inbound (web &amp; content)</t>
        </is>
      </c>
      <c r="C74" s="8">
        <f>IF((C2&gt;0),(C26/C2),"")</f>
        <v>23.261433992410627</v>
      </c>
      <c r="D74" s="8">
        <f>IF((D2&gt;0),(D26/D2),"")</f>
        <v>20.075944560470855</v>
      </c>
      <c r="E74" s="8">
        <f>IF((E2&gt;0),(E26/E2),"")</f>
        <v>30.49160463908603</v>
      </c>
      <c r="F74" s="8">
        <f>IF((F2&gt;0),(F26/F2),"")</f>
        <v>33.464847848898216</v>
      </c>
      <c r="G74" s="8">
        <f>IF((G2&gt;0),(G26/G2),"")</f>
        <v>33.03480381290179</v>
      </c>
      <c r="H74" s="8">
        <f>IF((H2&gt;0),(H26/H2),"")</f>
        <v>19.098746081504704</v>
      </c>
      <c r="I74" s="8">
        <f>IF((I2&gt;0),(I26/I2),"")</f>
        <v>52.4365234375</v>
      </c>
      <c r="J74" s="8">
        <f>IF((J2&gt;0),(J26/J2),"")</f>
        <v>36.427004630757985</v>
      </c>
      <c r="K74" s="8">
        <f>IF((K2&gt;0),(K26/K2),"")</f>
        <v>29.766420443202236</v>
      </c>
      <c r="L74" s="8">
        <f>IF((L2&gt;0),(L26/L2),"")</f>
        <v>31.749832177220856</v>
      </c>
      <c r="M74" s="8">
        <f>IF((M2&gt;0),(M26/M2),"")</f>
        <v>30.77955397671206</v>
      </c>
      <c r="N74" s="8">
        <f>IF((N2&gt;0),(N26/N2),"")</f>
        <v>21.400065963060687</v>
      </c>
      <c r="O74" s="8">
        <f>IF((O2&gt;0),(O26/O2),"")</f>
        <v>45.637462235649544</v>
      </c>
      <c r="P74" s="8">
        <f>IF((P2&gt;0),(P26/P2),"")</f>
        <v>26.4128664495114</v>
      </c>
      <c r="Q74" s="8">
        <f>IF((Q2&gt;0),(Q26/Q2),"")</f>
        <v>43.38676985443155</v>
      </c>
      <c r="R74" s="8">
        <f>IF((R2&gt;0),(R26/R2),"")</f>
        <v>36.58167870036101</v>
      </c>
      <c r="S74" s="8">
        <f>IF((S2&gt;0),(S26/S2),"")</f>
        <v>37.40004846135207</v>
      </c>
      <c r="T74" s="8">
        <f>IF((T2&gt;0),(T26/T2),"")</f>
        <v>22.89459410594829</v>
      </c>
      <c r="U74" s="8">
        <f>IF((U2&gt;0),(U26/U2),"")</f>
        <v>0</v>
      </c>
      <c r="V74" s="8">
        <f>IF((V2&gt;0),(V26/V2),"")</f>
        <v>0</v>
      </c>
      <c r="W74" s="8">
        <f>IF((W2&gt;0),(W26/W2),"")</f>
        <v>0</v>
      </c>
    </row>
    <row r="75">
      <c r="A75" s="0" t="inlineStr">
        <is>
          <t xml:space="preserve">Pipeline per $ of spend</t>
        </is>
      </c>
      <c r="B75" s="0" t="inlineStr">
        <is>
          <t xml:space="preserve">Paid digital</t>
        </is>
      </c>
      <c r="C75" s="8">
        <f>IF((C3&gt;0),(C27/C3),"")</f>
        <v>3.716393968559512</v>
      </c>
      <c r="D75" s="8">
        <f>IF((D3&gt;0),(D27/D3),"")</f>
        <v>3.32260913449407</v>
      </c>
      <c r="E75" s="8">
        <f>IF((E3&gt;0),(E27/E3),"")</f>
        <v>6.383300102712827</v>
      </c>
      <c r="F75" s="8">
        <f>IF((F3&gt;0),(F27/F3),"")</f>
        <v>2.6362474629782757</v>
      </c>
      <c r="G75" s="8">
        <f>IF((G3&gt;0),(G27/G3),"")</f>
        <v>2.0378514213915504</v>
      </c>
      <c r="H75" s="8">
        <f>IF((H3&gt;0),(H27/H3),"")</f>
        <v>2.889840717440771</v>
      </c>
      <c r="I75" s="8">
        <f>IF((I3&gt;0),(I27/I3),"")</f>
        <v>3.8117685305591675</v>
      </c>
      <c r="J75" s="8">
        <f>IF((J3&gt;0),(J27/J3),"")</f>
        <v>5.654441985456844</v>
      </c>
      <c r="K75" s="8">
        <f>IF((K3&gt;0),(K27/K3),"")</f>
        <v>2.7254293137317025</v>
      </c>
      <c r="L75" s="8">
        <f>IF((L3&gt;0),(L27/L3),"")</f>
        <v>6.17843182340768</v>
      </c>
      <c r="M75" s="8">
        <f>IF((M3&gt;0),(M27/M3),"")</f>
        <v>3.606011107481215</v>
      </c>
      <c r="N75" s="8">
        <f>IF((N3&gt;0),(N27/N3),"")</f>
        <v>5.4839681774349085</v>
      </c>
      <c r="O75" s="8">
        <f>IF((O3&gt;0),(O27/O3),"")</f>
        <v>4.701009578048149</v>
      </c>
      <c r="P75" s="8">
        <f>IF((P3&gt;0),(P27/P3),"")</f>
        <v>8.049524274213223</v>
      </c>
      <c r="Q75" s="8">
        <f>IF((Q3&gt;0),(Q27/Q3),"")</f>
        <v>4.090422425540199</v>
      </c>
      <c r="R75" s="8">
        <f>IF((R3&gt;0),(R27/R3),"")</f>
        <v>5.939908048954218</v>
      </c>
      <c r="S75" s="8">
        <f>IF((S3&gt;0),(S27/S3),"")</f>
        <v>9.151277510751328</v>
      </c>
      <c r="T75" s="8">
        <f>IF((T3&gt;0),(T27/T3),"")</f>
        <v>4.565086177989404</v>
      </c>
      <c r="U75" s="8">
        <f>IF((U3&gt;0),(U27/U3),"")</f>
        <v>0</v>
      </c>
      <c r="V75" s="8">
        <f>IF((V3&gt;0),(V27/V3),"")</f>
        <v>0</v>
      </c>
      <c r="W75" s="8">
        <f>IF((W3&gt;0),(W27/W3),"")</f>
        <v>0</v>
      </c>
    </row>
    <row r="76">
      <c r="A76" s="0" t="inlineStr">
        <is>
          <t xml:space="preserve">Pipeline per $ of spend</t>
        </is>
      </c>
      <c r="B76" s="0" t="inlineStr">
        <is>
          <t xml:space="preserve">Events &amp; field</t>
        </is>
      </c>
      <c r="C76" s="8">
        <f>IF((C4&gt;0),(C28/C4),"")</f>
        <v>6.563444108761329</v>
      </c>
      <c r="D76" s="8">
        <f>IF((D4&gt;0),(D28/D4),"")</f>
        <v>11.041177725624067</v>
      </c>
      <c r="E76" s="8">
        <f>IF((E4&gt;0),(E28/E4),"")</f>
        <v>25.174488567990373</v>
      </c>
      <c r="F76" s="8">
        <f>IF((F4&gt;0),(F28/F4),"")</f>
        <v>6.150865409454921</v>
      </c>
      <c r="G76" s="8">
        <f>IF((G4&gt;0),(G28/G4),"")</f>
        <v>3.322998872604284</v>
      </c>
      <c r="H76" s="8">
        <f>IF((H4&gt;0),(H28/H4),"")</f>
        <v>3.627918654280693</v>
      </c>
      <c r="I76" s="8">
        <f>IF((I4&gt;0),(I28/I4),"")</f>
        <v>6.869018078695498</v>
      </c>
      <c r="J76" s="8">
        <f>IF((J4&gt;0),(J28/J4),"")</f>
        <v>7.871548246974868</v>
      </c>
      <c r="K76" s="8">
        <f>IF((K4&gt;0),(K28/K4),"")</f>
        <v>3.8480822261218353</v>
      </c>
      <c r="L76" s="8">
        <f>IF((L4&gt;0),(L28/L4),"")</f>
        <v>4.4919332012454</v>
      </c>
      <c r="M76" s="8">
        <f>IF((M4&gt;0),(M28/M4),"")</f>
        <v>11.867272268483472</v>
      </c>
      <c r="N76" s="8">
        <f>IF((N4&gt;0),(N28/N4),"")</f>
        <v>7.638478800047242</v>
      </c>
      <c r="O76" s="8">
        <f>IF((O4&gt;0),(O28/O4),"")</f>
        <v>5.138219629723561</v>
      </c>
      <c r="P76" s="8">
        <f>IF((P4&gt;0),(P28/P4),"")</f>
        <v>3.9967600092571165</v>
      </c>
      <c r="Q76" s="8">
        <f>IF((Q4&gt;0),(Q28/Q4),"")</f>
        <v>9.744964768971753</v>
      </c>
      <c r="R76" s="8">
        <f>IF((R4&gt;0),(R28/R4),"")</f>
        <v>10.845177664974619</v>
      </c>
      <c r="S76" s="8">
        <f>IF((S4&gt;0),(S28/S4),"")</f>
        <v>5.126684636118599</v>
      </c>
      <c r="T76" s="8">
        <f>IF((T4&gt;0),(T28/T4),"")</f>
        <v>2.169325153374233</v>
      </c>
      <c r="U76" s="8">
        <f>IF((U4&gt;0),(U28/U4),"")</f>
        <v>0</v>
      </c>
      <c r="V76" s="8">
        <f>IF((V4&gt;0),(V28/V4),"")</f>
        <v>0</v>
      </c>
      <c r="W76" s="8">
        <f>IF((W4&gt;0),(W28/W4),"")</f>
        <v>0</v>
      </c>
    </row>
    <row r="77">
      <c r="A77" s="0" t="inlineStr">
        <is>
          <t xml:space="preserve">Pipeline per $ of spend</t>
        </is>
      </c>
      <c r="B77" s="0" t="inlineStr">
        <is>
          <t xml:space="preserve">Partner</t>
        </is>
      </c>
      <c r="C77" s="8">
        <f>IF((C5&gt;0),(C29/C5),"")</f>
        <v>22.889908256880734</v>
      </c>
      <c r="D77" s="8">
        <f>IF((D5&gt;0),(D29/D5),"")</f>
        <v>27.117070654976793</v>
      </c>
      <c r="E77" s="8">
        <f>IF((E5&gt;0),(E29/E5),"")</f>
        <v>22.591392873669598</v>
      </c>
      <c r="F77" s="8">
        <f>IF((F5&gt;0),(F29/F5),"")</f>
        <v>31.45100162425555</v>
      </c>
      <c r="G77" s="8">
        <f>IF((G5&gt;0),(G29/G5),"")</f>
        <v>9.711764705882352</v>
      </c>
      <c r="H77" s="8">
        <f>IF((H5&gt;0),(H29/H5),"")</f>
        <v>65.86981566820276</v>
      </c>
      <c r="I77" s="8">
        <f>IF((I5&gt;0),(I29/I5),"")</f>
        <v>5.587144622991348</v>
      </c>
      <c r="J77" s="8">
        <f>IF((J5&gt;0),(J29/J5),"")</f>
        <v>36.80708180708181</v>
      </c>
      <c r="K77" s="8">
        <f>IF((K5&gt;0),(K29/K5),"")</f>
        <v>24.812067260138477</v>
      </c>
      <c r="L77" s="8">
        <f>IF((L5&gt;0),(L29/L5),"")</f>
        <v>5.184992183428869</v>
      </c>
      <c r="M77" s="8">
        <f>IF((M5&gt;0),(M29/M5),"")</f>
        <v>21.760083813514928</v>
      </c>
      <c r="N77" s="8">
        <f>IF((N5&gt;0),(N29/N5),"")</f>
        <v>25.69426193604906</v>
      </c>
      <c r="O77" s="8">
        <f>IF((O5&gt;0),(O29/O5),"")</f>
        <v>15.311284046692608</v>
      </c>
      <c r="P77" s="8">
        <f>IF((P5&gt;0),(P29/P5),"")</f>
        <v>19.216566866267463</v>
      </c>
      <c r="Q77" s="8">
        <f>IF((Q5&gt;0),(Q29/Q5),"")</f>
        <v>40.080935251798564</v>
      </c>
      <c r="R77" s="8">
        <f>IF((R5&gt;0),(R29/R5),"")</f>
        <v>7.834051724137931</v>
      </c>
      <c r="S77" s="8">
        <f>IF((S5&gt;0),(S29/S5),"")</f>
        <v>11.882223445239406</v>
      </c>
      <c r="T77" s="8">
        <f>IF((T5&gt;0),(T29/T5),"")</f>
        <v>12.820378151260504</v>
      </c>
      <c r="U77" s="8">
        <f>IF((U5&gt;0),(U29/U5),"")</f>
        <v>0</v>
      </c>
      <c r="V77" s="8">
        <f>IF((V5&gt;0),(V29/V5),"")</f>
        <v>0</v>
      </c>
      <c r="W77" s="8">
        <f>IF((W5&gt;0),(W29/W5),"")</f>
        <v>0</v>
      </c>
    </row>
    <row r="78">
      <c r="A78" s="0" t="inlineStr">
        <is>
          <t xml:space="preserve">Pipeline per $ of spend</t>
        </is>
      </c>
      <c r="B78" s="0" t="inlineStr">
        <is>
          <t xml:space="preserve">Outbound (BDR)</t>
        </is>
      </c>
      <c r="C78" s="4">
        <f>IF((C6&gt;0),(C30/C6),"")</f>
      </c>
      <c r="D78" s="4">
        <f>IF((D6&gt;0),(D30/D6),"")</f>
      </c>
      <c r="E78" s="4">
        <f>IF((E6&gt;0),(E30/E6),"")</f>
      </c>
      <c r="F78" s="4">
        <f>IF((F6&gt;0),(F30/F6),"")</f>
      </c>
      <c r="G78" s="4">
        <f>IF((G6&gt;0),(G30/G6),"")</f>
      </c>
      <c r="H78" s="4">
        <f>IF((H6&gt;0),(H30/H6),"")</f>
      </c>
      <c r="I78" s="4">
        <f>IF((I6&gt;0),(I30/I6),"")</f>
      </c>
      <c r="J78" s="4">
        <f>IF((J6&gt;0),(J30/J6),"")</f>
      </c>
      <c r="K78" s="4">
        <f>IF((K6&gt;0),(K30/K6),"")</f>
      </c>
      <c r="L78" s="4">
        <f>IF((L6&gt;0),(L30/L6),"")</f>
      </c>
      <c r="M78" s="4">
        <f>IF((M6&gt;0),(M30/M6),"")</f>
      </c>
      <c r="N78" s="4">
        <f>IF((N6&gt;0),(N30/N6),"")</f>
      </c>
      <c r="O78" s="4">
        <f>IF((O6&gt;0),(O30/O6),"")</f>
      </c>
      <c r="P78" s="4">
        <f>IF((P6&gt;0),(P30/P6),"")</f>
      </c>
      <c r="Q78" s="4">
        <f>IF((Q6&gt;0),(Q30/Q6),"")</f>
      </c>
      <c r="R78" s="4">
        <f>IF((R6&gt;0),(R30/R6),"")</f>
      </c>
      <c r="S78" s="4">
        <f>IF((S6&gt;0),(S30/S6),"")</f>
      </c>
      <c r="T78" s="4">
        <f>IF((T6&gt;0),(T30/T6),"")</f>
      </c>
      <c r="U78" s="4">
        <f>IF((U6&gt;0),(U30/U6),"")</f>
      </c>
      <c r="V78" s="4">
        <f>IF((V6&gt;0),(V30/V6),"")</f>
      </c>
      <c r="W78" s="4">
        <f>IF((W6&gt;0),(W30/W6),"")</f>
      </c>
    </row>
    <row r="79">
      <c r="A79" s="0" t="inlineStr">
        <is>
          <t xml:space="preserve">Pipeline per $ of spend</t>
        </is>
      </c>
      <c r="B79" s="0" t="inlineStr">
        <is>
          <t xml:space="preserve">Customer referral</t>
        </is>
      </c>
      <c r="C79" s="4">
        <f>IF((C7&gt;0),(C31/C7),"")</f>
      </c>
      <c r="D79" s="4">
        <f>IF((D7&gt;0),(D31/D7),"")</f>
      </c>
      <c r="E79" s="4">
        <f>IF((E7&gt;0),(E31/E7),"")</f>
      </c>
      <c r="F79" s="4">
        <f>IF((F7&gt;0),(F31/F7),"")</f>
      </c>
      <c r="G79" s="4">
        <f>IF((G7&gt;0),(G31/G7),"")</f>
      </c>
      <c r="H79" s="4">
        <f>IF((H7&gt;0),(H31/H7),"")</f>
      </c>
      <c r="I79" s="4">
        <f>IF((I7&gt;0),(I31/I7),"")</f>
      </c>
      <c r="J79" s="4">
        <f>IF((J7&gt;0),(J31/J7),"")</f>
      </c>
      <c r="K79" s="4">
        <f>IF((K7&gt;0),(K31/K7),"")</f>
      </c>
      <c r="L79" s="4">
        <f>IF((L7&gt;0),(L31/L7),"")</f>
      </c>
      <c r="M79" s="4">
        <f>IF((M7&gt;0),(M31/M7),"")</f>
      </c>
      <c r="N79" s="4">
        <f>IF((N7&gt;0),(N31/N7),"")</f>
      </c>
      <c r="O79" s="4">
        <f>IF((O7&gt;0),(O31/O7),"")</f>
      </c>
      <c r="P79" s="4">
        <f>IF((P7&gt;0),(P31/P7),"")</f>
      </c>
      <c r="Q79" s="4">
        <f>IF((Q7&gt;0),(Q31/Q7),"")</f>
      </c>
      <c r="R79" s="4">
        <f>IF((R7&gt;0),(R31/R7),"")</f>
      </c>
      <c r="S79" s="4">
        <f>IF((S7&gt;0),(S31/S7),"")</f>
      </c>
      <c r="T79" s="4">
        <f>IF((T7&gt;0),(T31/T7),"")</f>
      </c>
      <c r="U79" s="4">
        <f>IF((U7&gt;0),(U31/U7),"")</f>
      </c>
      <c r="V79" s="4">
        <f>IF((V7&gt;0),(V31/V7),"")</f>
      </c>
      <c r="W79" s="4">
        <f>IF((W7&gt;0),(W31/W7),"")</f>
      </c>
    </row>
    <row r="80">
      <c r="A80" s="0" t="inlineStr">
        <is>
          <t xml:space="preserve">Bookings per $ of spend</t>
        </is>
      </c>
      <c r="B80" s="0" t="inlineStr">
        <is>
          <t xml:space="preserve">Inbound (web &amp; content)</t>
        </is>
      </c>
      <c r="C80" s="8">
        <f>IF((C2&gt;0),(C38/C2),"")</f>
        <v>0.13580986618733773</v>
      </c>
      <c r="D80" s="8">
        <f>IF((D2&gt;0),(D38/D2),"")</f>
        <v>2.6656540725270554</v>
      </c>
      <c r="E80" s="8">
        <f>IF((E2&gt;0),(E38/E2),"")</f>
        <v>4.192487450233686</v>
      </c>
      <c r="F80" s="8">
        <f>IF((F2&gt;0),(F38/F2),"")</f>
        <v>7.124868835257083</v>
      </c>
      <c r="G80" s="8">
        <f>IF((G2&gt;0),(G38/G2),"")</f>
        <v>2.2722234537796497</v>
      </c>
      <c r="H80" s="8">
        <f>IF((H2&gt;0),(H38/H2),"")</f>
        <v>21.96512539184953</v>
      </c>
      <c r="I80" s="8">
        <f>IF((I2&gt;0),(I38/I2),"")</f>
        <v>4.44091796875</v>
      </c>
      <c r="J80" s="8">
        <f>IF((J2&gt;0),(J38/J2),"")</f>
        <v>6.2905191323421885</v>
      </c>
      <c r="K80" s="8">
        <f>IF((K2&gt;0),(K38/K2),"")</f>
        <v>11.461369534837292</v>
      </c>
      <c r="L80" s="8">
        <f>IF((L2&gt;0),(L38/L2),"")</f>
        <v>17.030655627657193</v>
      </c>
      <c r="M80" s="8">
        <f>IF((M2&gt;0),(M38/M2),"")</f>
        <v>19.97829090191435</v>
      </c>
      <c r="N80" s="8">
        <f>IF((N2&gt;0),(N38/N2),"")</f>
        <v>11.147757255936675</v>
      </c>
      <c r="O80" s="8">
        <f>IF((O2&gt;0),(O38/O2),"")</f>
        <v>6.83987915407855</v>
      </c>
      <c r="P80" s="8">
        <f>IF((P2&gt;0),(P38/P2),"")</f>
        <v>6.431188925081433</v>
      </c>
      <c r="Q80" s="8">
        <f>IF((Q2&gt;0),(Q38/Q2),"")</f>
        <v>19.683066150727843</v>
      </c>
      <c r="R80" s="8">
        <f>IF((R2&gt;0),(R38/R2),"")</f>
        <v>9.87138989169675</v>
      </c>
      <c r="S80" s="8">
        <f>IF((S2&gt;0),(S38/S2),"")</f>
        <v>11.003149987884662</v>
      </c>
      <c r="T80" s="8">
        <f>IF((T2&gt;0),(T38/T2),"")</f>
        <v>18.616886638944134</v>
      </c>
      <c r="U80" s="8">
        <f>IF((U2&gt;0),(U38/U2),"")</f>
        <v>0</v>
      </c>
      <c r="V80" s="8">
        <f>IF((V2&gt;0),(V38/V2),"")</f>
        <v>0</v>
      </c>
      <c r="W80" s="8">
        <f>IF((W2&gt;0),(W38/W2),"")</f>
        <v>0</v>
      </c>
    </row>
    <row r="81">
      <c r="A81" s="0" t="inlineStr">
        <is>
          <t xml:space="preserve">Bookings per $ of spend</t>
        </is>
      </c>
      <c r="B81" s="0" t="inlineStr">
        <is>
          <t xml:space="preserve">Paid digital</t>
        </is>
      </c>
      <c r="C81" s="8">
        <f>IF((C3&gt;0),(C39/C3),"")</f>
        <v>0.2085338466474174</v>
      </c>
      <c r="D81" s="8">
        <f>IF((D3&gt;0),(D39/D3),"")</f>
        <v>0.7159979813272773</v>
      </c>
      <c r="E81" s="8">
        <f>IF((E3&gt;0),(E39/E3),"")</f>
        <v>1.6240710531085736</v>
      </c>
      <c r="F81" s="8">
        <f>IF((F3&gt;0),(F39/F3),"")</f>
        <v>0.35180034578666464</v>
      </c>
      <c r="G81" s="8">
        <f>IF((G3&gt;0),(G39/G3),"")</f>
        <v>0</v>
      </c>
      <c r="H81" s="8">
        <f>IF((H3&gt;0),(H39/H3),"")</f>
        <v>1.705929594431803</v>
      </c>
      <c r="I81" s="8">
        <f>IF((I3&gt;0),(I39/I3),"")</f>
        <v>0.2893368010403121</v>
      </c>
      <c r="J81" s="8">
        <f>IF((J3&gt;0),(J39/J3),"")</f>
        <v>1.055959532089788</v>
      </c>
      <c r="K81" s="8">
        <f>IF((K3&gt;0),(K39/K3),"")</f>
        <v>0.08237754261453646</v>
      </c>
      <c r="L81" s="8">
        <f>IF((L3&gt;0),(L39/L3),"")</f>
        <v>0.04752050279757799</v>
      </c>
      <c r="M81" s="8">
        <f>IF((M3&gt;0),(M39/M3),"")</f>
        <v>0.02352172492649461</v>
      </c>
      <c r="N81" s="8">
        <f>IF((N3&gt;0),(N39/N3),"")</f>
        <v>3.557738669238187</v>
      </c>
      <c r="O81" s="8">
        <f>IF((O3&gt;0),(O39/O3),"")</f>
        <v>1.7376391405643283</v>
      </c>
      <c r="P81" s="8">
        <f>IF((P3&gt;0),(P39/P3),"")</f>
        <v>0.13295925835569652</v>
      </c>
      <c r="Q81" s="8">
        <f>IF((Q3&gt;0),(Q39/Q3),"")</f>
        <v>1.3339497761339303</v>
      </c>
      <c r="R81" s="8">
        <f>IF((R3&gt;0),(R39/R3),"")</f>
        <v>0.29398432946966263</v>
      </c>
      <c r="S81" s="8">
        <f>IF((S3&gt;0),(S39/S3),"")</f>
        <v>0.39716670882873767</v>
      </c>
      <c r="T81" s="8">
        <f>IF((T3&gt;0),(T39/T3),"")</f>
        <v>3.237878076587754</v>
      </c>
      <c r="U81" s="8">
        <f>IF((U3&gt;0),(U39/U3),"")</f>
        <v>0</v>
      </c>
      <c r="V81" s="8">
        <f>IF((V3&gt;0),(V39/V3),"")</f>
        <v>0</v>
      </c>
      <c r="W81" s="8">
        <f>IF((W3&gt;0),(W39/W3),"")</f>
        <v>0</v>
      </c>
    </row>
    <row r="82">
      <c r="A82" s="0" t="inlineStr">
        <is>
          <t xml:space="preserve">Bookings per $ of spend</t>
        </is>
      </c>
      <c r="B82" s="0" t="inlineStr">
        <is>
          <t xml:space="preserve">Events &amp; field</t>
        </is>
      </c>
      <c r="C82" s="8">
        <f>IF((C4&gt;0),(C40/C4),"")</f>
        <v>0</v>
      </c>
      <c r="D82" s="8">
        <f>IF((D4&gt;0),(D40/D4),"")</f>
        <v>0.13441433752933646</v>
      </c>
      <c r="E82" s="8">
        <f>IF((E4&gt;0),(E40/E4),"")</f>
        <v>1.307661452065784</v>
      </c>
      <c r="F82" s="8">
        <f>IF((F4&gt;0),(F40/F4),"")</f>
        <v>1.9297339188840092</v>
      </c>
      <c r="G82" s="8">
        <f>IF((G4&gt;0),(G40/G4),"")</f>
        <v>7.66347237880496</v>
      </c>
      <c r="H82" s="8">
        <f>IF((H4&gt;0),(H40/H4),"")</f>
        <v>4.4212904845593775</v>
      </c>
      <c r="I82" s="8">
        <f>IF((I4&gt;0),(I40/I4),"")</f>
        <v>1.4507266926621765</v>
      </c>
      <c r="J82" s="8">
        <f>IF((J4&gt;0),(J40/J4),"")</f>
        <v>2.2928948184920883</v>
      </c>
      <c r="K82" s="8">
        <f>IF((K4&gt;0),(K40/K4),"")</f>
        <v>8.896966658310353</v>
      </c>
      <c r="L82" s="8">
        <f>IF((L4&gt;0),(L40/L4),"")</f>
        <v>1.5510897254457967</v>
      </c>
      <c r="M82" s="8">
        <f>IF((M4&gt;0),(M40/M4),"")</f>
        <v>3.184456220035327</v>
      </c>
      <c r="N82" s="8">
        <f>IF((N4&gt;0),(N40/N4),"")</f>
        <v>0.20904688791779852</v>
      </c>
      <c r="O82" s="8">
        <f>IF((O4&gt;0),(O40/O4),"")</f>
        <v>2.1430382957139233</v>
      </c>
      <c r="P82" s="8">
        <f>IF((P4&gt;0),(P40/P4),"")</f>
        <v>4.825271927794492</v>
      </c>
      <c r="Q82" s="8">
        <f>IF((Q4&gt;0),(Q40/Q4),"")</f>
        <v>0.7576229968198541</v>
      </c>
      <c r="R82" s="8">
        <f>IF((R4&gt;0),(R40/R4),"")</f>
        <v>5.299492385786802</v>
      </c>
      <c r="S82" s="8">
        <f>IF((S4&gt;0),(S40/S4),"")</f>
        <v>0.42318059299191374</v>
      </c>
      <c r="T82" s="8">
        <f>IF((T4&gt;0),(T40/T4),"")</f>
        <v>2.6895705521472393</v>
      </c>
      <c r="U82" s="8">
        <f>IF((U4&gt;0),(U40/U4),"")</f>
        <v>0</v>
      </c>
      <c r="V82" s="8">
        <f>IF((V4&gt;0),(V40/V4),"")</f>
        <v>0</v>
      </c>
      <c r="W82" s="8">
        <f>IF((W4&gt;0),(W40/W4),"")</f>
        <v>0</v>
      </c>
    </row>
    <row r="83">
      <c r="A83" s="0" t="inlineStr">
        <is>
          <t xml:space="preserve">Bookings per $ of spend</t>
        </is>
      </c>
      <c r="B83" s="0" t="inlineStr">
        <is>
          <t xml:space="preserve">Partner</t>
        </is>
      </c>
      <c r="C83" s="8">
        <f>IF((C5&gt;0),(C41/C5),"")</f>
        <v>0.4541284403669725</v>
      </c>
      <c r="D83" s="8">
        <f>IF((D5&gt;0),(D41/D5),"")</f>
        <v>0.3506962351727695</v>
      </c>
      <c r="E83" s="8">
        <f>IF((E5&gt;0),(E41/E5),"")</f>
        <v>11.059694585839889</v>
      </c>
      <c r="F83" s="8">
        <f>IF((F5&gt;0),(F41/F5),"")</f>
        <v>4.807796426637791</v>
      </c>
      <c r="G83" s="8">
        <f>IF((G5&gt;0),(G41/G5),"")</f>
        <v>2.5352941176470587</v>
      </c>
      <c r="H83" s="8">
        <f>IF((H5&gt;0),(H41/H5),"")</f>
        <v>14.360599078341014</v>
      </c>
      <c r="I83" s="8">
        <f>IF((I5&gt;0),(I41/I5),"")</f>
        <v>4.011124845488257</v>
      </c>
      <c r="J83" s="8">
        <f>IF((J5&gt;0),(J41/J5),"")</f>
        <v>3.3028083028083026</v>
      </c>
      <c r="K83" s="8">
        <f>IF((K5&gt;0),(K41/K5),"")</f>
        <v>8.452027695351138</v>
      </c>
      <c r="L83" s="8">
        <f>IF((L5&gt;0),(L41/L5),"")</f>
        <v>2.1990620114643042</v>
      </c>
      <c r="M83" s="8">
        <f>IF((M5&gt;0),(M41/M5),"")</f>
        <v>1.7967522262964903</v>
      </c>
      <c r="N83" s="8">
        <f>IF((N5&gt;0),(N41/N5),"")</f>
        <v>17.42444152431012</v>
      </c>
      <c r="O83" s="8">
        <f>IF((O5&gt;0),(O41/O5),"")</f>
        <v>4.28988326848249</v>
      </c>
      <c r="P83" s="8">
        <f>IF((P5&gt;0),(P41/P5),"")</f>
        <v>0.2994011976047904</v>
      </c>
      <c r="Q83" s="8">
        <f>IF((Q5&gt;0),(Q41/Q5),"")</f>
        <v>8.736510791366907</v>
      </c>
      <c r="R83" s="8">
        <f>IF((R5&gt;0),(R41/R5),"")</f>
        <v>19.525862068965516</v>
      </c>
      <c r="S83" s="8">
        <f>IF((S5&gt;0),(S41/S5),"")</f>
        <v>8.734177215189874</v>
      </c>
      <c r="T83" s="8">
        <f>IF((T5&gt;0),(T41/T5),"")</f>
        <v>4.375</v>
      </c>
      <c r="U83" s="8">
        <f>IF((U5&gt;0),(U41/U5),"")</f>
        <v>0</v>
      </c>
      <c r="V83" s="8">
        <f>IF((V5&gt;0),(V41/V5),"")</f>
        <v>0</v>
      </c>
      <c r="W83" s="8">
        <f>IF((W5&gt;0),(W41/W5),"")</f>
        <v>0</v>
      </c>
    </row>
    <row r="84">
      <c r="A84" s="0" t="inlineStr">
        <is>
          <t xml:space="preserve">Bookings per $ of spend</t>
        </is>
      </c>
      <c r="B84" s="0" t="inlineStr">
        <is>
          <t xml:space="preserve">Outbound (BDR)</t>
        </is>
      </c>
      <c r="C84" s="4">
        <f>IF((C6&gt;0),(C42/C6),"")</f>
      </c>
      <c r="D84" s="4">
        <f>IF((D6&gt;0),(D42/D6),"")</f>
      </c>
      <c r="E84" s="4">
        <f>IF((E6&gt;0),(E42/E6),"")</f>
      </c>
      <c r="F84" s="4">
        <f>IF((F6&gt;0),(F42/F6),"")</f>
      </c>
      <c r="G84" s="4">
        <f>IF((G6&gt;0),(G42/G6),"")</f>
      </c>
      <c r="H84" s="4">
        <f>IF((H6&gt;0),(H42/H6),"")</f>
      </c>
      <c r="I84" s="4">
        <f>IF((I6&gt;0),(I42/I6),"")</f>
      </c>
      <c r="J84" s="4">
        <f>IF((J6&gt;0),(J42/J6),"")</f>
      </c>
      <c r="K84" s="4">
        <f>IF((K6&gt;0),(K42/K6),"")</f>
      </c>
      <c r="L84" s="4">
        <f>IF((L6&gt;0),(L42/L6),"")</f>
      </c>
      <c r="M84" s="4">
        <f>IF((M6&gt;0),(M42/M6),"")</f>
      </c>
      <c r="N84" s="4">
        <f>IF((N6&gt;0),(N42/N6),"")</f>
      </c>
      <c r="O84" s="4">
        <f>IF((O6&gt;0),(O42/O6),"")</f>
      </c>
      <c r="P84" s="4">
        <f>IF((P6&gt;0),(P42/P6),"")</f>
      </c>
      <c r="Q84" s="4">
        <f>IF((Q6&gt;0),(Q42/Q6),"")</f>
      </c>
      <c r="R84" s="4">
        <f>IF((R6&gt;0),(R42/R6),"")</f>
      </c>
      <c r="S84" s="4">
        <f>IF((S6&gt;0),(S42/S6),"")</f>
      </c>
      <c r="T84" s="4">
        <f>IF((T6&gt;0),(T42/T6),"")</f>
      </c>
      <c r="U84" s="4">
        <f>IF((U6&gt;0),(U42/U6),"")</f>
      </c>
      <c r="V84" s="4">
        <f>IF((V6&gt;0),(V42/V6),"")</f>
      </c>
      <c r="W84" s="4">
        <f>IF((W6&gt;0),(W42/W6),"")</f>
      </c>
    </row>
    <row r="85">
      <c r="A85" s="0" t="inlineStr">
        <is>
          <t xml:space="preserve">Bookings per $ of spend</t>
        </is>
      </c>
      <c r="B85" s="0" t="inlineStr">
        <is>
          <t xml:space="preserve">Customer referral</t>
        </is>
      </c>
      <c r="C85" s="4">
        <f>IF((C7&gt;0),(C43/C7),"")</f>
      </c>
      <c r="D85" s="4">
        <f>IF((D7&gt;0),(D43/D7),"")</f>
      </c>
      <c r="E85" s="4">
        <f>IF((E7&gt;0),(E43/E7),"")</f>
      </c>
      <c r="F85" s="4">
        <f>IF((F7&gt;0),(F43/F7),"")</f>
      </c>
      <c r="G85" s="4">
        <f>IF((G7&gt;0),(G43/G7),"")</f>
      </c>
      <c r="H85" s="4">
        <f>IF((H7&gt;0),(H43/H7),"")</f>
      </c>
      <c r="I85" s="4">
        <f>IF((I7&gt;0),(I43/I7),"")</f>
      </c>
      <c r="J85" s="4">
        <f>IF((J7&gt;0),(J43/J7),"")</f>
      </c>
      <c r="K85" s="4">
        <f>IF((K7&gt;0),(K43/K7),"")</f>
      </c>
      <c r="L85" s="4">
        <f>IF((L7&gt;0),(L43/L7),"")</f>
      </c>
      <c r="M85" s="4">
        <f>IF((M7&gt;0),(M43/M7),"")</f>
      </c>
      <c r="N85" s="4">
        <f>IF((N7&gt;0),(N43/N7),"")</f>
      </c>
      <c r="O85" s="4">
        <f>IF((O7&gt;0),(O43/O7),"")</f>
      </c>
      <c r="P85" s="4">
        <f>IF((P7&gt;0),(P43/P7),"")</f>
      </c>
      <c r="Q85" s="4">
        <f>IF((Q7&gt;0),(Q43/Q7),"")</f>
      </c>
      <c r="R85" s="4">
        <f>IF((R7&gt;0),(R43/R7),"")</f>
      </c>
      <c r="S85" s="4">
        <f>IF((S7&gt;0),(S43/S7),"")</f>
      </c>
      <c r="T85" s="4">
        <f>IF((T7&gt;0),(T43/T7),"")</f>
      </c>
      <c r="U85" s="4">
        <f>IF((U7&gt;0),(U43/U7),"")</f>
      </c>
      <c r="V85" s="4">
        <f>IF((V7&gt;0),(V43/V7),"")</f>
      </c>
      <c r="W85" s="4">
        <f>IF((W7&gt;0),(W43/W7),"")</f>
      </c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cols>
    <col min="1" max="1" width="18" customWidth="1"/>
    <col min="2" max="2" width="3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</cols>
  <sheetData>
    <row r="1">
      <c r="A1" s="1" t="inlineStr">
        <is>
          <t xml:space="preserve">line</t>
        </is>
      </c>
      <c r="B1" s="1" t="inlineStr">
        <is>
          <t xml:space="preserve">sdr</t>
        </is>
      </c>
      <c r="C1" s="1" t="inlineStr">
        <is>
          <t xml:space="preserve">Apr-25</t>
        </is>
      </c>
      <c r="D1" s="1" t="inlineStr">
        <is>
          <t xml:space="preserve">May-25</t>
        </is>
      </c>
      <c r="E1" s="1" t="inlineStr">
        <is>
          <t xml:space="preserve">Jun-25</t>
        </is>
      </c>
      <c r="F1" s="1" t="inlineStr">
        <is>
          <t xml:space="preserve">Jul-25</t>
        </is>
      </c>
      <c r="G1" s="1" t="inlineStr">
        <is>
          <t xml:space="preserve">Aug-25</t>
        </is>
      </c>
      <c r="H1" s="1" t="inlineStr">
        <is>
          <t xml:space="preserve">Sep-25</t>
        </is>
      </c>
      <c r="I1" s="1" t="inlineStr">
        <is>
          <t xml:space="preserve">Oct-25</t>
        </is>
      </c>
      <c r="J1" s="1" t="inlineStr">
        <is>
          <t xml:space="preserve">Nov-25</t>
        </is>
      </c>
      <c r="K1" s="1" t="inlineStr">
        <is>
          <t xml:space="preserve">Dec-25</t>
        </is>
      </c>
      <c r="L1" s="1" t="inlineStr">
        <is>
          <t xml:space="preserve">Jan-26</t>
        </is>
      </c>
      <c r="M1" s="1" t="inlineStr">
        <is>
          <t xml:space="preserve">Feb-26</t>
        </is>
      </c>
      <c r="N1" s="1" t="inlineStr">
        <is>
          <t xml:space="preserve">Mar-26</t>
        </is>
      </c>
      <c r="O1" s="1" t="inlineStr">
        <is>
          <t xml:space="preserve">Apr-26</t>
        </is>
      </c>
      <c r="P1" s="1" t="inlineStr">
        <is>
          <t xml:space="preserve">May-26</t>
        </is>
      </c>
      <c r="Q1" s="1" t="inlineStr">
        <is>
          <t xml:space="preserve">Jun-26</t>
        </is>
      </c>
      <c r="R1" s="1" t="inlineStr">
        <is>
          <t xml:space="preserve">Jul-26</t>
        </is>
      </c>
      <c r="S1" s="1" t="inlineStr">
        <is>
          <t xml:space="preserve">Aug-26</t>
        </is>
      </c>
      <c r="T1" s="1" t="inlineStr">
        <is>
          <t xml:space="preserve">Sep-26</t>
        </is>
      </c>
      <c r="U1" s="1" t="inlineStr">
        <is>
          <t xml:space="preserve">Oct-26</t>
        </is>
      </c>
      <c r="V1" s="1" t="inlineStr">
        <is>
          <t xml:space="preserve">Nov-26</t>
        </is>
      </c>
      <c r="W1" s="1" t="inlineStr">
        <is>
          <t xml:space="preserve">Dec-26</t>
        </is>
      </c>
    </row>
    <row r="2">
      <c r="A2" s="0" t="inlineStr">
        <is>
          <t xml:space="preserve">Calls</t>
        </is>
      </c>
      <c r="B2" s="0" t="inlineStr">
        <is>
          <t xml:space="preserve">Zara Kowalski</t>
        </is>
      </c>
      <c r="C2" s="4">
        <f>SUMIFS('SDR activity'!$D$2:$D$169,'SDR activity'!$B$2:$B$169,"s_amer_east_in",'SDR activity'!$C$2:$C$169,"apr25")</f>
        <v>647</v>
      </c>
      <c r="D2" s="4">
        <f>SUMIFS('SDR activity'!$D$2:$D$169,'SDR activity'!$B$2:$B$169,"s_amer_east_in",'SDR activity'!$C$2:$C$169,"may25")</f>
        <v>652</v>
      </c>
      <c r="E2" s="4">
        <f>SUMIFS('SDR activity'!$D$2:$D$169,'SDR activity'!$B$2:$B$169,"s_amer_east_in",'SDR activity'!$C$2:$C$169,"jun25")</f>
        <v>1438</v>
      </c>
      <c r="F2" s="4">
        <f>SUMIFS('SDR activity'!$D$2:$D$169,'SDR activity'!$B$2:$B$169,"s_amer_east_in",'SDR activity'!$C$2:$C$169,"jul25")</f>
        <v>1039</v>
      </c>
      <c r="G2" s="4">
        <f>SUMIFS('SDR activity'!$D$2:$D$169,'SDR activity'!$B$2:$B$169,"s_amer_east_in",'SDR activity'!$C$2:$C$169,"aug25")</f>
        <v>1010</v>
      </c>
      <c r="H2" s="4">
        <f>SUMIFS('SDR activity'!$D$2:$D$169,'SDR activity'!$B$2:$B$169,"s_amer_east_in",'SDR activity'!$C$2:$C$169,"sep25")</f>
        <v>327</v>
      </c>
      <c r="I2" s="4">
        <f>SUMIFS('SDR activity'!$D$2:$D$169,'SDR activity'!$B$2:$B$169,"s_amer_east_in",'SDR activity'!$C$2:$C$169,"oct25")</f>
        <v>423</v>
      </c>
      <c r="J2" s="4">
        <f>SUMIFS('SDR activity'!$D$2:$D$169,'SDR activity'!$B$2:$B$169,"s_amer_east_in",'SDR activity'!$C$2:$C$169,"nov25")</f>
        <v>419</v>
      </c>
      <c r="K2" s="4">
        <f>SUMIFS('SDR activity'!$D$2:$D$169,'SDR activity'!$B$2:$B$169,"s_amer_east_in",'SDR activity'!$C$2:$C$169,"dec25")</f>
        <v>697</v>
      </c>
      <c r="L2" s="4">
        <f>SUMIFS('SDR activity'!$D$2:$D$169,'SDR activity'!$B$2:$B$169,"s_amer_east_in",'SDR activity'!$C$2:$C$169,"jan26")</f>
        <v>712</v>
      </c>
      <c r="M2" s="4">
        <f>SUMIFS('SDR activity'!$D$2:$D$169,'SDR activity'!$B$2:$B$169,"s_amer_east_in",'SDR activity'!$C$2:$C$169,"feb26")</f>
        <v>450</v>
      </c>
      <c r="N2" s="4">
        <f>SUMIFS('SDR activity'!$D$2:$D$169,'SDR activity'!$B$2:$B$169,"s_amer_east_in",'SDR activity'!$C$2:$C$169,"mar26")</f>
        <v>726</v>
      </c>
      <c r="O2" s="4">
        <f>SUMIFS('SDR activity'!$D$2:$D$169,'SDR activity'!$B$2:$B$169,"s_amer_east_in",'SDR activity'!$C$2:$C$169,"apr26")</f>
        <v>2026</v>
      </c>
      <c r="P2" s="4">
        <f>SUMIFS('SDR activity'!$D$2:$D$169,'SDR activity'!$B$2:$B$169,"s_amer_east_in",'SDR activity'!$C$2:$C$169,"may26")</f>
        <v>1528</v>
      </c>
      <c r="Q2" s="4">
        <f>SUMIFS('SDR activity'!$D$2:$D$169,'SDR activity'!$B$2:$B$169,"s_amer_east_in",'SDR activity'!$C$2:$C$169,"jun26")</f>
        <v>702</v>
      </c>
      <c r="R2" s="4">
        <f>SUMIFS('SDR activity'!$D$2:$D$169,'SDR activity'!$B$2:$B$169,"s_amer_east_in",'SDR activity'!$C$2:$C$169,"jul26")</f>
        <v>1285</v>
      </c>
      <c r="S2" s="4">
        <f>SUMIFS('SDR activity'!$D$2:$D$169,'SDR activity'!$B$2:$B$169,"s_amer_east_in",'SDR activity'!$C$2:$C$169,"aug26")</f>
        <v>1055</v>
      </c>
      <c r="T2" s="4">
        <f>SUMIFS('SDR activity'!$D$2:$D$169,'SDR activity'!$B$2:$B$169,"s_amer_east_in",'SDR activity'!$C$2:$C$169,"sep26")</f>
        <v>1154</v>
      </c>
      <c r="U2" s="4">
        <f>SUMIFS('SDR activity'!$D$2:$D$169,'SDR activity'!$B$2:$B$169,"s_amer_east_in",'SDR activity'!$C$2:$C$169,"oct26")</f>
        <v>790</v>
      </c>
      <c r="V2" s="4">
        <f>SUMIFS('SDR activity'!$D$2:$D$169,'SDR activity'!$B$2:$B$169,"s_amer_east_in",'SDR activity'!$C$2:$C$169,"nov26")</f>
        <v>697</v>
      </c>
      <c r="W2" s="4">
        <f>SUMIFS('SDR activity'!$D$2:$D$169,'SDR activity'!$B$2:$B$169,"s_amer_east_in",'SDR activity'!$C$2:$C$169,"dec26")</f>
        <v>836</v>
      </c>
    </row>
    <row r="3">
      <c r="A3" s="0" t="inlineStr">
        <is>
          <t xml:space="preserve">Calls</t>
        </is>
      </c>
      <c r="B3" s="0" t="inlineStr">
        <is>
          <t xml:space="preserve">Kenji Kowalski</t>
        </is>
      </c>
      <c r="C3" s="4">
        <f>SUMIFS('SDR activity'!$D$2:$D$169,'SDR activity'!$B$2:$B$169,"s_amer_east_out",'SDR activity'!$C$2:$C$169,"apr25")</f>
        <v>764</v>
      </c>
      <c r="D3" s="4">
        <f>SUMIFS('SDR activity'!$D$2:$D$169,'SDR activity'!$B$2:$B$169,"s_amer_east_out",'SDR activity'!$C$2:$C$169,"may25")</f>
        <v>602</v>
      </c>
      <c r="E3" s="4">
        <f>SUMIFS('SDR activity'!$D$2:$D$169,'SDR activity'!$B$2:$B$169,"s_amer_east_out",'SDR activity'!$C$2:$C$169,"jun25")</f>
        <v>579</v>
      </c>
      <c r="F3" s="4">
        <f>SUMIFS('SDR activity'!$D$2:$D$169,'SDR activity'!$B$2:$B$169,"s_amer_east_out",'SDR activity'!$C$2:$C$169,"jul25")</f>
        <v>877</v>
      </c>
      <c r="G3" s="4">
        <f>SUMIFS('SDR activity'!$D$2:$D$169,'SDR activity'!$B$2:$B$169,"s_amer_east_out",'SDR activity'!$C$2:$C$169,"aug25")</f>
        <v>456</v>
      </c>
      <c r="H3" s="4">
        <f>SUMIFS('SDR activity'!$D$2:$D$169,'SDR activity'!$B$2:$B$169,"s_amer_east_out",'SDR activity'!$C$2:$C$169,"sep25")</f>
        <v>711</v>
      </c>
      <c r="I3" s="4">
        <f>SUMIFS('SDR activity'!$D$2:$D$169,'SDR activity'!$B$2:$B$169,"s_amer_east_out",'SDR activity'!$C$2:$C$169,"oct25")</f>
        <v>693</v>
      </c>
      <c r="J3" s="4">
        <f>SUMIFS('SDR activity'!$D$2:$D$169,'SDR activity'!$B$2:$B$169,"s_amer_east_out",'SDR activity'!$C$2:$C$169,"nov25")</f>
        <v>550</v>
      </c>
      <c r="K3" s="4">
        <f>SUMIFS('SDR activity'!$D$2:$D$169,'SDR activity'!$B$2:$B$169,"s_amer_east_out",'SDR activity'!$C$2:$C$169,"dec25")</f>
        <v>481</v>
      </c>
      <c r="L3" s="4">
        <f>SUMIFS('SDR activity'!$D$2:$D$169,'SDR activity'!$B$2:$B$169,"s_amer_east_out",'SDR activity'!$C$2:$C$169,"jan26")</f>
        <v>784</v>
      </c>
      <c r="M3" s="4">
        <f>SUMIFS('SDR activity'!$D$2:$D$169,'SDR activity'!$B$2:$B$169,"s_amer_east_out",'SDR activity'!$C$2:$C$169,"feb26")</f>
        <v>669</v>
      </c>
      <c r="N3" s="4">
        <f>SUMIFS('SDR activity'!$D$2:$D$169,'SDR activity'!$B$2:$B$169,"s_amer_east_out",'SDR activity'!$C$2:$C$169,"mar26")</f>
        <v>626</v>
      </c>
      <c r="O3" s="4">
        <f>SUMIFS('SDR activity'!$D$2:$D$169,'SDR activity'!$B$2:$B$169,"s_amer_east_out",'SDR activity'!$C$2:$C$169,"apr26")</f>
        <v>581</v>
      </c>
      <c r="P3" s="4">
        <f>SUMIFS('SDR activity'!$D$2:$D$169,'SDR activity'!$B$2:$B$169,"s_amer_east_out",'SDR activity'!$C$2:$C$169,"may26")</f>
        <v>645</v>
      </c>
      <c r="Q3" s="4">
        <f>SUMIFS('SDR activity'!$D$2:$D$169,'SDR activity'!$B$2:$B$169,"s_amer_east_out",'SDR activity'!$C$2:$C$169,"jun26")</f>
        <v>636</v>
      </c>
      <c r="R3" s="4">
        <f>SUMIFS('SDR activity'!$D$2:$D$169,'SDR activity'!$B$2:$B$169,"s_amer_east_out",'SDR activity'!$C$2:$C$169,"jul26")</f>
        <v>532</v>
      </c>
      <c r="S3" s="4">
        <f>SUMIFS('SDR activity'!$D$2:$D$169,'SDR activity'!$B$2:$B$169,"s_amer_east_out",'SDR activity'!$C$2:$C$169,"aug26")</f>
        <v>677</v>
      </c>
      <c r="T3" s="4">
        <f>SUMIFS('SDR activity'!$D$2:$D$169,'SDR activity'!$B$2:$B$169,"s_amer_east_out",'SDR activity'!$C$2:$C$169,"sep26")</f>
        <v>715</v>
      </c>
      <c r="U3" s="4">
        <f>SUMIFS('SDR activity'!$D$2:$D$169,'SDR activity'!$B$2:$B$169,"s_amer_east_out",'SDR activity'!$C$2:$C$169,"oct26")</f>
        <v>610</v>
      </c>
      <c r="V3" s="4">
        <f>SUMIFS('SDR activity'!$D$2:$D$169,'SDR activity'!$B$2:$B$169,"s_amer_east_out",'SDR activity'!$C$2:$C$169,"nov26")</f>
        <v>733</v>
      </c>
      <c r="W3" s="4">
        <f>SUMIFS('SDR activity'!$D$2:$D$169,'SDR activity'!$B$2:$B$169,"s_amer_east_out",'SDR activity'!$C$2:$C$169,"dec26")</f>
        <v>414</v>
      </c>
    </row>
    <row r="4">
      <c r="A4" s="0" t="inlineStr">
        <is>
          <t xml:space="preserve">Calls</t>
        </is>
      </c>
      <c r="B4" s="0" t="inlineStr">
        <is>
          <t xml:space="preserve">Marcus Nair</t>
        </is>
      </c>
      <c r="C4" s="4">
        <f>SUMIFS('SDR activity'!$D$2:$D$169,'SDR activity'!$B$2:$B$169,"s_amer_west_in",'SDR activity'!$C$2:$C$169,"apr25")</f>
        <v>992</v>
      </c>
      <c r="D4" s="4">
        <f>SUMIFS('SDR activity'!$D$2:$D$169,'SDR activity'!$B$2:$B$169,"s_amer_west_in",'SDR activity'!$C$2:$C$169,"may25")</f>
        <v>552</v>
      </c>
      <c r="E4" s="4">
        <f>SUMIFS('SDR activity'!$D$2:$D$169,'SDR activity'!$B$2:$B$169,"s_amer_west_in",'SDR activity'!$C$2:$C$169,"jun25")</f>
        <v>694</v>
      </c>
      <c r="F4" s="4">
        <f>SUMIFS('SDR activity'!$D$2:$D$169,'SDR activity'!$B$2:$B$169,"s_amer_west_in",'SDR activity'!$C$2:$C$169,"jul25")</f>
        <v>449</v>
      </c>
      <c r="G4" s="4">
        <f>SUMIFS('SDR activity'!$D$2:$D$169,'SDR activity'!$B$2:$B$169,"s_amer_west_in",'SDR activity'!$C$2:$C$169,"aug25")</f>
        <v>393</v>
      </c>
      <c r="H4" s="4">
        <f>SUMIFS('SDR activity'!$D$2:$D$169,'SDR activity'!$B$2:$B$169,"s_amer_west_in",'SDR activity'!$C$2:$C$169,"sep25")</f>
        <v>989</v>
      </c>
      <c r="I4" s="4">
        <f>SUMIFS('SDR activity'!$D$2:$D$169,'SDR activity'!$B$2:$B$169,"s_amer_west_in",'SDR activity'!$C$2:$C$169,"oct25")</f>
        <v>570</v>
      </c>
      <c r="J4" s="4">
        <f>SUMIFS('SDR activity'!$D$2:$D$169,'SDR activity'!$B$2:$B$169,"s_amer_west_in",'SDR activity'!$C$2:$C$169,"nov25")</f>
        <v>683</v>
      </c>
      <c r="K4" s="4">
        <f>SUMIFS('SDR activity'!$D$2:$D$169,'SDR activity'!$B$2:$B$169,"s_amer_west_in",'SDR activity'!$C$2:$C$169,"dec25")</f>
        <v>1416</v>
      </c>
      <c r="L4" s="4">
        <f>SUMIFS('SDR activity'!$D$2:$D$169,'SDR activity'!$B$2:$B$169,"s_amer_west_in",'SDR activity'!$C$2:$C$169,"jan26")</f>
        <v>720</v>
      </c>
      <c r="M4" s="4">
        <f>SUMIFS('SDR activity'!$D$2:$D$169,'SDR activity'!$B$2:$B$169,"s_amer_west_in",'SDR activity'!$C$2:$C$169,"feb26")</f>
        <v>1078</v>
      </c>
      <c r="N4" s="4">
        <f>SUMIFS('SDR activity'!$D$2:$D$169,'SDR activity'!$B$2:$B$169,"s_amer_west_in",'SDR activity'!$C$2:$C$169,"mar26")</f>
        <v>511</v>
      </c>
      <c r="O4" s="4">
        <f>SUMIFS('SDR activity'!$D$2:$D$169,'SDR activity'!$B$2:$B$169,"s_amer_west_in",'SDR activity'!$C$2:$C$169,"apr26")</f>
        <v>596</v>
      </c>
      <c r="P4" s="4">
        <f>SUMIFS('SDR activity'!$D$2:$D$169,'SDR activity'!$B$2:$B$169,"s_amer_west_in",'SDR activity'!$C$2:$C$169,"may26")</f>
        <v>649</v>
      </c>
      <c r="Q4" s="4">
        <f>SUMIFS('SDR activity'!$D$2:$D$169,'SDR activity'!$B$2:$B$169,"s_amer_west_in",'SDR activity'!$C$2:$C$169,"jun26")</f>
        <v>1125</v>
      </c>
      <c r="R4" s="4">
        <f>SUMIFS('SDR activity'!$D$2:$D$169,'SDR activity'!$B$2:$B$169,"s_amer_west_in",'SDR activity'!$C$2:$C$169,"jul26")</f>
        <v>1334</v>
      </c>
      <c r="S4" s="4">
        <f>SUMIFS('SDR activity'!$D$2:$D$169,'SDR activity'!$B$2:$B$169,"s_amer_west_in",'SDR activity'!$C$2:$C$169,"aug26")</f>
        <v>684</v>
      </c>
      <c r="T4" s="4">
        <f>SUMIFS('SDR activity'!$D$2:$D$169,'SDR activity'!$B$2:$B$169,"s_amer_west_in",'SDR activity'!$C$2:$C$169,"sep26")</f>
        <v>899</v>
      </c>
      <c r="U4" s="4">
        <f>SUMIFS('SDR activity'!$D$2:$D$169,'SDR activity'!$B$2:$B$169,"s_amer_west_in",'SDR activity'!$C$2:$C$169,"oct26")</f>
        <v>610</v>
      </c>
      <c r="V4" s="4">
        <f>SUMIFS('SDR activity'!$D$2:$D$169,'SDR activity'!$B$2:$B$169,"s_amer_west_in",'SDR activity'!$C$2:$C$169,"nov26")</f>
        <v>328</v>
      </c>
      <c r="W4" s="4">
        <f>SUMIFS('SDR activity'!$D$2:$D$169,'SDR activity'!$B$2:$B$169,"s_amer_west_in",'SDR activity'!$C$2:$C$169,"dec26")</f>
        <v>510</v>
      </c>
    </row>
    <row r="5">
      <c r="A5" s="0" t="inlineStr">
        <is>
          <t xml:space="preserve">Calls</t>
        </is>
      </c>
      <c r="B5" s="0" t="inlineStr">
        <is>
          <t xml:space="preserve">Yuki Rahman</t>
        </is>
      </c>
      <c r="C5" s="4">
        <f>SUMIFS('SDR activity'!$D$2:$D$169,'SDR activity'!$B$2:$B$169,"s_amer_west_out",'SDR activity'!$C$2:$C$169,"apr25")</f>
        <v>639</v>
      </c>
      <c r="D5" s="4">
        <f>SUMIFS('SDR activity'!$D$2:$D$169,'SDR activity'!$B$2:$B$169,"s_amer_west_out",'SDR activity'!$C$2:$C$169,"may25")</f>
        <v>722</v>
      </c>
      <c r="E5" s="4">
        <f>SUMIFS('SDR activity'!$D$2:$D$169,'SDR activity'!$B$2:$B$169,"s_amer_west_out",'SDR activity'!$C$2:$C$169,"jun25")</f>
        <v>527</v>
      </c>
      <c r="F5" s="4">
        <f>SUMIFS('SDR activity'!$D$2:$D$169,'SDR activity'!$B$2:$B$169,"s_amer_west_out",'SDR activity'!$C$2:$C$169,"jul25")</f>
        <v>789</v>
      </c>
      <c r="G5" s="4">
        <f>SUMIFS('SDR activity'!$D$2:$D$169,'SDR activity'!$B$2:$B$169,"s_amer_west_out",'SDR activity'!$C$2:$C$169,"aug25")</f>
        <v>551</v>
      </c>
      <c r="H5" s="4">
        <f>SUMIFS('SDR activity'!$D$2:$D$169,'SDR activity'!$B$2:$B$169,"s_amer_west_out",'SDR activity'!$C$2:$C$169,"sep25")</f>
        <v>392</v>
      </c>
      <c r="I5" s="4">
        <f>SUMIFS('SDR activity'!$D$2:$D$169,'SDR activity'!$B$2:$B$169,"s_amer_west_out",'SDR activity'!$C$2:$C$169,"oct25")</f>
        <v>625</v>
      </c>
      <c r="J5" s="4">
        <f>SUMIFS('SDR activity'!$D$2:$D$169,'SDR activity'!$B$2:$B$169,"s_amer_west_out",'SDR activity'!$C$2:$C$169,"nov25")</f>
        <v>653</v>
      </c>
      <c r="K5" s="4">
        <f>SUMIFS('SDR activity'!$D$2:$D$169,'SDR activity'!$B$2:$B$169,"s_amer_west_out",'SDR activity'!$C$2:$C$169,"dec25")</f>
        <v>696</v>
      </c>
      <c r="L5" s="4">
        <f>SUMIFS('SDR activity'!$D$2:$D$169,'SDR activity'!$B$2:$B$169,"s_amer_west_out",'SDR activity'!$C$2:$C$169,"jan26")</f>
        <v>653</v>
      </c>
      <c r="M5" s="4">
        <f>SUMIFS('SDR activity'!$D$2:$D$169,'SDR activity'!$B$2:$B$169,"s_amer_west_out",'SDR activity'!$C$2:$C$169,"feb26")</f>
        <v>669</v>
      </c>
      <c r="N5" s="4">
        <f>SUMIFS('SDR activity'!$D$2:$D$169,'SDR activity'!$B$2:$B$169,"s_amer_west_out",'SDR activity'!$C$2:$C$169,"mar26")</f>
        <v>653</v>
      </c>
      <c r="O5" s="4">
        <f>SUMIFS('SDR activity'!$D$2:$D$169,'SDR activity'!$B$2:$B$169,"s_amer_west_out",'SDR activity'!$C$2:$C$169,"apr26")</f>
        <v>637</v>
      </c>
      <c r="P5" s="4">
        <f>SUMIFS('SDR activity'!$D$2:$D$169,'SDR activity'!$B$2:$B$169,"s_amer_west_out",'SDR activity'!$C$2:$C$169,"may26")</f>
        <v>649</v>
      </c>
      <c r="Q5" s="4">
        <f>SUMIFS('SDR activity'!$D$2:$D$169,'SDR activity'!$B$2:$B$169,"s_amer_west_out",'SDR activity'!$C$2:$C$169,"jun26")</f>
        <v>561</v>
      </c>
      <c r="R5" s="4">
        <f>SUMIFS('SDR activity'!$D$2:$D$169,'SDR activity'!$B$2:$B$169,"s_amer_west_out",'SDR activity'!$C$2:$C$169,"jul26")</f>
        <v>712</v>
      </c>
      <c r="S5" s="4">
        <f>SUMIFS('SDR activity'!$D$2:$D$169,'SDR activity'!$B$2:$B$169,"s_amer_west_out",'SDR activity'!$C$2:$C$169,"aug26")</f>
        <v>610</v>
      </c>
      <c r="T5" s="4">
        <f>SUMIFS('SDR activity'!$D$2:$D$169,'SDR activity'!$B$2:$B$169,"s_amer_west_out",'SDR activity'!$C$2:$C$169,"sep26")</f>
        <v>676</v>
      </c>
      <c r="U5" s="4">
        <f>SUMIFS('SDR activity'!$D$2:$D$169,'SDR activity'!$B$2:$B$169,"s_amer_west_out",'SDR activity'!$C$2:$C$169,"oct26")</f>
        <v>436</v>
      </c>
      <c r="V5" s="4">
        <f>SUMIFS('SDR activity'!$D$2:$D$169,'SDR activity'!$B$2:$B$169,"s_amer_west_out",'SDR activity'!$C$2:$C$169,"nov26")</f>
        <v>549</v>
      </c>
      <c r="W5" s="4">
        <f>SUMIFS('SDR activity'!$D$2:$D$169,'SDR activity'!$B$2:$B$169,"s_amer_west_out",'SDR activity'!$C$2:$C$169,"dec26")</f>
        <v>641</v>
      </c>
    </row>
    <row r="6">
      <c r="A6" s="0" t="inlineStr">
        <is>
          <t xml:space="preserve">Calls</t>
        </is>
      </c>
      <c r="B6" s="0" t="inlineStr">
        <is>
          <t xml:space="preserve">Chloe Patel</t>
        </is>
      </c>
      <c r="C6" s="4">
        <f>SUMIFS('SDR activity'!$D$2:$D$169,'SDR activity'!$B$2:$B$169,"s_emea_in",'SDR activity'!$C$2:$C$169,"apr25")</f>
        <v>991</v>
      </c>
      <c r="D6" s="4">
        <f>SUMIFS('SDR activity'!$D$2:$D$169,'SDR activity'!$B$2:$B$169,"s_emea_in",'SDR activity'!$C$2:$C$169,"may25")</f>
        <v>1245</v>
      </c>
      <c r="E6" s="4">
        <f>SUMIFS('SDR activity'!$D$2:$D$169,'SDR activity'!$B$2:$B$169,"s_emea_in",'SDR activity'!$C$2:$C$169,"jun25")</f>
        <v>1248</v>
      </c>
      <c r="F6" s="4">
        <f>SUMIFS('SDR activity'!$D$2:$D$169,'SDR activity'!$B$2:$B$169,"s_emea_in",'SDR activity'!$C$2:$C$169,"jul25")</f>
        <v>1273</v>
      </c>
      <c r="G6" s="4">
        <f>SUMIFS('SDR activity'!$D$2:$D$169,'SDR activity'!$B$2:$B$169,"s_emea_in",'SDR activity'!$C$2:$C$169,"aug25")</f>
        <v>579</v>
      </c>
      <c r="H6" s="4">
        <f>SUMIFS('SDR activity'!$D$2:$D$169,'SDR activity'!$B$2:$B$169,"s_emea_in",'SDR activity'!$C$2:$C$169,"sep25")</f>
        <v>500</v>
      </c>
      <c r="I6" s="4">
        <f>SUMIFS('SDR activity'!$D$2:$D$169,'SDR activity'!$B$2:$B$169,"s_emea_in",'SDR activity'!$C$2:$C$169,"oct25")</f>
        <v>684</v>
      </c>
      <c r="J6" s="4">
        <f>SUMIFS('SDR activity'!$D$2:$D$169,'SDR activity'!$B$2:$B$169,"s_emea_in",'SDR activity'!$C$2:$C$169,"nov25")</f>
        <v>1442</v>
      </c>
      <c r="K6" s="4">
        <f>SUMIFS('SDR activity'!$D$2:$D$169,'SDR activity'!$B$2:$B$169,"s_emea_in",'SDR activity'!$C$2:$C$169,"dec25")</f>
        <v>670</v>
      </c>
      <c r="L6" s="4">
        <f>SUMIFS('SDR activity'!$D$2:$D$169,'SDR activity'!$B$2:$B$169,"s_emea_in",'SDR activity'!$C$2:$C$169,"jan26")</f>
        <v>1637</v>
      </c>
      <c r="M6" s="4">
        <f>SUMIFS('SDR activity'!$D$2:$D$169,'SDR activity'!$B$2:$B$169,"s_emea_in",'SDR activity'!$C$2:$C$169,"feb26")</f>
        <v>327</v>
      </c>
      <c r="N6" s="4">
        <f>SUMIFS('SDR activity'!$D$2:$D$169,'SDR activity'!$B$2:$B$169,"s_emea_in",'SDR activity'!$C$2:$C$169,"mar26")</f>
        <v>1230</v>
      </c>
      <c r="O6" s="4">
        <f>SUMIFS('SDR activity'!$D$2:$D$169,'SDR activity'!$B$2:$B$169,"s_emea_in",'SDR activity'!$C$2:$C$169,"apr26")</f>
        <v>1243</v>
      </c>
      <c r="P6" s="4">
        <f>SUMIFS('SDR activity'!$D$2:$D$169,'SDR activity'!$B$2:$B$169,"s_emea_in",'SDR activity'!$C$2:$C$169,"may26")</f>
        <v>457</v>
      </c>
      <c r="Q6" s="4">
        <f>SUMIFS('SDR activity'!$D$2:$D$169,'SDR activity'!$B$2:$B$169,"s_emea_in",'SDR activity'!$C$2:$C$169,"jun26")</f>
        <v>1043</v>
      </c>
      <c r="R6" s="4">
        <f>SUMIFS('SDR activity'!$D$2:$D$169,'SDR activity'!$B$2:$B$169,"s_emea_in",'SDR activity'!$C$2:$C$169,"jul26")</f>
        <v>957</v>
      </c>
      <c r="S6" s="4">
        <f>SUMIFS('SDR activity'!$D$2:$D$169,'SDR activity'!$B$2:$B$169,"s_emea_in",'SDR activity'!$C$2:$C$169,"aug26")</f>
        <v>794</v>
      </c>
      <c r="T6" s="4">
        <f>SUMIFS('SDR activity'!$D$2:$D$169,'SDR activity'!$B$2:$B$169,"s_emea_in",'SDR activity'!$C$2:$C$169,"sep26")</f>
        <v>392</v>
      </c>
      <c r="U6" s="4">
        <f>SUMIFS('SDR activity'!$D$2:$D$169,'SDR activity'!$B$2:$B$169,"s_emea_in",'SDR activity'!$C$2:$C$169,"oct26")</f>
        <v>554</v>
      </c>
      <c r="V6" s="4">
        <f>SUMIFS('SDR activity'!$D$2:$D$169,'SDR activity'!$B$2:$B$169,"s_emea_in",'SDR activity'!$C$2:$C$169,"nov26")</f>
        <v>2726</v>
      </c>
      <c r="W6" s="4">
        <f>SUMIFS('SDR activity'!$D$2:$D$169,'SDR activity'!$B$2:$B$169,"s_emea_in",'SDR activity'!$C$2:$C$169,"dec26")</f>
        <v>537</v>
      </c>
    </row>
    <row r="7">
      <c r="A7" s="0" t="inlineStr">
        <is>
          <t xml:space="preserve">Calls</t>
        </is>
      </c>
      <c r="B7" s="0" t="inlineStr">
        <is>
          <t xml:space="preserve">Samuel Kowalski</t>
        </is>
      </c>
      <c r="C7" s="4">
        <f>SUMIFS('SDR activity'!$D$2:$D$169,'SDR activity'!$B$2:$B$169,"s_emea_out",'SDR activity'!$C$2:$C$169,"apr25")</f>
        <v>618</v>
      </c>
      <c r="D7" s="4">
        <f>SUMIFS('SDR activity'!$D$2:$D$169,'SDR activity'!$B$2:$B$169,"s_emea_out",'SDR activity'!$C$2:$C$169,"may25")</f>
        <v>598</v>
      </c>
      <c r="E7" s="4">
        <f>SUMIFS('SDR activity'!$D$2:$D$169,'SDR activity'!$B$2:$B$169,"s_emea_out",'SDR activity'!$C$2:$C$169,"jun25")</f>
        <v>641</v>
      </c>
      <c r="F7" s="4">
        <f>SUMIFS('SDR activity'!$D$2:$D$169,'SDR activity'!$B$2:$B$169,"s_emea_out",'SDR activity'!$C$2:$C$169,"jul25")</f>
        <v>560</v>
      </c>
      <c r="G7" s="4">
        <f>SUMIFS('SDR activity'!$D$2:$D$169,'SDR activity'!$B$2:$B$169,"s_emea_out",'SDR activity'!$C$2:$C$169,"aug25")</f>
        <v>475</v>
      </c>
      <c r="H7" s="4">
        <f>SUMIFS('SDR activity'!$D$2:$D$169,'SDR activity'!$B$2:$B$169,"s_emea_out",'SDR activity'!$C$2:$C$169,"sep25")</f>
        <v>586</v>
      </c>
      <c r="I7" s="4">
        <f>SUMIFS('SDR activity'!$D$2:$D$169,'SDR activity'!$B$2:$B$169,"s_emea_out",'SDR activity'!$C$2:$C$169,"oct25")</f>
        <v>641</v>
      </c>
      <c r="J7" s="4">
        <f>SUMIFS('SDR activity'!$D$2:$D$169,'SDR activity'!$B$2:$B$169,"s_emea_out",'SDR activity'!$C$2:$C$169,"nov25")</f>
        <v>626</v>
      </c>
      <c r="K7" s="4">
        <f>SUMIFS('SDR activity'!$D$2:$D$169,'SDR activity'!$B$2:$B$169,"s_emea_out",'SDR activity'!$C$2:$C$169,"dec25")</f>
        <v>448</v>
      </c>
      <c r="L7" s="4">
        <f>SUMIFS('SDR activity'!$D$2:$D$169,'SDR activity'!$B$2:$B$169,"s_emea_out",'SDR activity'!$C$2:$C$169,"jan26")</f>
        <v>684</v>
      </c>
      <c r="M7" s="4">
        <f>SUMIFS('SDR activity'!$D$2:$D$169,'SDR activity'!$B$2:$B$169,"s_emea_out",'SDR activity'!$C$2:$C$169,"feb26")</f>
        <v>598</v>
      </c>
      <c r="N7" s="4">
        <f>SUMIFS('SDR activity'!$D$2:$D$169,'SDR activity'!$B$2:$B$169,"s_emea_out",'SDR activity'!$C$2:$C$169,"mar26")</f>
        <v>523</v>
      </c>
      <c r="O7" s="4">
        <f>SUMIFS('SDR activity'!$D$2:$D$169,'SDR activity'!$B$2:$B$169,"s_emea_out",'SDR activity'!$C$2:$C$169,"apr26")</f>
        <v>596</v>
      </c>
      <c r="P7" s="4">
        <f>SUMIFS('SDR activity'!$D$2:$D$169,'SDR activity'!$B$2:$B$169,"s_emea_out",'SDR activity'!$C$2:$C$169,"may26")</f>
        <v>548</v>
      </c>
      <c r="Q7" s="4">
        <f>SUMIFS('SDR activity'!$D$2:$D$169,'SDR activity'!$B$2:$B$169,"s_emea_out",'SDR activity'!$C$2:$C$169,"jun26")</f>
        <v>493</v>
      </c>
      <c r="R7" s="4">
        <f>SUMIFS('SDR activity'!$D$2:$D$169,'SDR activity'!$B$2:$B$169,"s_emea_out",'SDR activity'!$C$2:$C$169,"jul26")</f>
        <v>701</v>
      </c>
      <c r="S7" s="4">
        <f>SUMIFS('SDR activity'!$D$2:$D$169,'SDR activity'!$B$2:$B$169,"s_emea_out",'SDR activity'!$C$2:$C$169,"aug26")</f>
        <v>548</v>
      </c>
      <c r="T7" s="4">
        <f>SUMIFS('SDR activity'!$D$2:$D$169,'SDR activity'!$B$2:$B$169,"s_emea_out",'SDR activity'!$C$2:$C$169,"sep26")</f>
        <v>586</v>
      </c>
      <c r="U7" s="4">
        <f>SUMIFS('SDR activity'!$D$2:$D$169,'SDR activity'!$B$2:$B$169,"s_emea_out",'SDR activity'!$C$2:$C$169,"oct26")</f>
        <v>655</v>
      </c>
      <c r="V7" s="4">
        <f>SUMIFS('SDR activity'!$D$2:$D$169,'SDR activity'!$B$2:$B$169,"s_emea_out",'SDR activity'!$C$2:$C$169,"nov26")</f>
        <v>542</v>
      </c>
      <c r="W7" s="4">
        <f>SUMIFS('SDR activity'!$D$2:$D$169,'SDR activity'!$B$2:$B$169,"s_emea_out",'SDR activity'!$C$2:$C$169,"dec26")</f>
        <v>588</v>
      </c>
    </row>
    <row r="8">
      <c r="A8" s="0" t="inlineStr">
        <is>
          <t xml:space="preserve">Calls</t>
        </is>
      </c>
      <c r="B8" s="0" t="inlineStr">
        <is>
          <t xml:space="preserve">Rafael Ivanova</t>
        </is>
      </c>
      <c r="C8" s="4">
        <f>SUMIFS('SDR activity'!$D$2:$D$169,'SDR activity'!$B$2:$B$169,"s_apac_in",'SDR activity'!$C$2:$C$169,"apr25")</f>
        <v>148</v>
      </c>
      <c r="D8" s="4">
        <f>SUMIFS('SDR activity'!$D$2:$D$169,'SDR activity'!$B$2:$B$169,"s_apac_in",'SDR activity'!$C$2:$C$169,"may25")</f>
        <v>266</v>
      </c>
      <c r="E8" s="4">
        <f>SUMIFS('SDR activity'!$D$2:$D$169,'SDR activity'!$B$2:$B$169,"s_apac_in",'SDR activity'!$C$2:$C$169,"jun25")</f>
        <v>382</v>
      </c>
      <c r="F8" s="4">
        <f>SUMIFS('SDR activity'!$D$2:$D$169,'SDR activity'!$B$2:$B$169,"s_apac_in",'SDR activity'!$C$2:$C$169,"jul25")</f>
        <v>1165</v>
      </c>
      <c r="G8" s="4">
        <f>SUMIFS('SDR activity'!$D$2:$D$169,'SDR activity'!$B$2:$B$169,"s_apac_in",'SDR activity'!$C$2:$C$169,"aug25")</f>
        <v>282</v>
      </c>
      <c r="H8" s="4">
        <f>SUMIFS('SDR activity'!$D$2:$D$169,'SDR activity'!$B$2:$B$169,"s_apac_in",'SDR activity'!$C$2:$C$169,"sep25")</f>
        <v>470</v>
      </c>
      <c r="I8" s="4">
        <f>SUMIFS('SDR activity'!$D$2:$D$169,'SDR activity'!$B$2:$B$169,"s_apac_in",'SDR activity'!$C$2:$C$169,"oct25")</f>
        <v>454</v>
      </c>
      <c r="J8" s="4">
        <f>SUMIFS('SDR activity'!$D$2:$D$169,'SDR activity'!$B$2:$B$169,"s_apac_in",'SDR activity'!$C$2:$C$169,"nov25")</f>
        <v>26</v>
      </c>
      <c r="K8" s="4">
        <f>SUMIFS('SDR activity'!$D$2:$D$169,'SDR activity'!$B$2:$B$169,"s_apac_in",'SDR activity'!$C$2:$C$169,"dec25")</f>
        <v>123</v>
      </c>
      <c r="L8" s="4">
        <f>SUMIFS('SDR activity'!$D$2:$D$169,'SDR activity'!$B$2:$B$169,"s_apac_in",'SDR activity'!$C$2:$C$169,"jan26")</f>
        <v>81</v>
      </c>
      <c r="M8" s="4">
        <f>SUMIFS('SDR activity'!$D$2:$D$169,'SDR activity'!$B$2:$B$169,"s_apac_in",'SDR activity'!$C$2:$C$169,"feb26")</f>
        <v>344</v>
      </c>
      <c r="N8" s="4">
        <f>SUMIFS('SDR activity'!$D$2:$D$169,'SDR activity'!$B$2:$B$169,"s_apac_in",'SDR activity'!$C$2:$C$169,"mar26")</f>
        <v>693</v>
      </c>
      <c r="O8" s="4">
        <f>SUMIFS('SDR activity'!$D$2:$D$169,'SDR activity'!$B$2:$B$169,"s_apac_in",'SDR activity'!$C$2:$C$169,"apr26")</f>
        <v>346</v>
      </c>
      <c r="P8" s="4">
        <f>SUMIFS('SDR activity'!$D$2:$D$169,'SDR activity'!$B$2:$B$169,"s_apac_in",'SDR activity'!$C$2:$C$169,"may26")</f>
        <v>484</v>
      </c>
      <c r="Q8" s="4">
        <f>SUMIFS('SDR activity'!$D$2:$D$169,'SDR activity'!$B$2:$B$169,"s_apac_in",'SDR activity'!$C$2:$C$169,"jun26")</f>
        <v>788</v>
      </c>
      <c r="R8" s="4">
        <f>SUMIFS('SDR activity'!$D$2:$D$169,'SDR activity'!$B$2:$B$169,"s_apac_in",'SDR activity'!$C$2:$C$169,"jul26")</f>
        <v>280</v>
      </c>
      <c r="S8" s="4">
        <f>SUMIFS('SDR activity'!$D$2:$D$169,'SDR activity'!$B$2:$B$169,"s_apac_in",'SDR activity'!$C$2:$C$169,"aug26")</f>
        <v>588</v>
      </c>
      <c r="T8" s="4">
        <f>SUMIFS('SDR activity'!$D$2:$D$169,'SDR activity'!$B$2:$B$169,"s_apac_in",'SDR activity'!$C$2:$C$169,"sep26")</f>
        <v>604</v>
      </c>
      <c r="U8" s="4">
        <f>SUMIFS('SDR activity'!$D$2:$D$169,'SDR activity'!$B$2:$B$169,"s_apac_in",'SDR activity'!$C$2:$C$169,"oct26")</f>
        <v>133</v>
      </c>
      <c r="V8" s="4">
        <f>SUMIFS('SDR activity'!$D$2:$D$169,'SDR activity'!$B$2:$B$169,"s_apac_in",'SDR activity'!$C$2:$C$169,"nov26")</f>
        <v>602</v>
      </c>
      <c r="W8" s="4">
        <f>SUMIFS('SDR activity'!$D$2:$D$169,'SDR activity'!$B$2:$B$169,"s_apac_in",'SDR activity'!$C$2:$C$169,"dec26")</f>
        <v>434</v>
      </c>
    </row>
    <row r="9">
      <c r="A9" s="0" t="inlineStr">
        <is>
          <t xml:space="preserve">Calls</t>
        </is>
      </c>
      <c r="B9" s="0" t="inlineStr">
        <is>
          <t xml:space="preserve">Wei Kowalski</t>
        </is>
      </c>
      <c r="C9" s="4">
        <f>SUMIFS('SDR activity'!$D$2:$D$169,'SDR activity'!$B$2:$B$169,"s_apac_out",'SDR activity'!$C$2:$C$169,"apr25")</f>
        <v>633</v>
      </c>
      <c r="D9" s="4">
        <f>SUMIFS('SDR activity'!$D$2:$D$169,'SDR activity'!$B$2:$B$169,"s_apac_out",'SDR activity'!$C$2:$C$169,"may25")</f>
        <v>697</v>
      </c>
      <c r="E9" s="4">
        <f>SUMIFS('SDR activity'!$D$2:$D$169,'SDR activity'!$B$2:$B$169,"s_apac_out",'SDR activity'!$C$2:$C$169,"jun25")</f>
        <v>500</v>
      </c>
      <c r="F9" s="4">
        <f>SUMIFS('SDR activity'!$D$2:$D$169,'SDR activity'!$B$2:$B$169,"s_apac_out",'SDR activity'!$C$2:$C$169,"jul25")</f>
        <v>572</v>
      </c>
      <c r="G9" s="4">
        <f>SUMIFS('SDR activity'!$D$2:$D$169,'SDR activity'!$B$2:$B$169,"s_apac_out",'SDR activity'!$C$2:$C$169,"aug25")</f>
        <v>703</v>
      </c>
      <c r="H9" s="4">
        <f>SUMIFS('SDR activity'!$D$2:$D$169,'SDR activity'!$B$2:$B$169,"s_apac_out",'SDR activity'!$C$2:$C$169,"sep25")</f>
        <v>610</v>
      </c>
      <c r="I9" s="4">
        <f>SUMIFS('SDR activity'!$D$2:$D$169,'SDR activity'!$B$2:$B$169,"s_apac_out",'SDR activity'!$C$2:$C$169,"oct25")</f>
        <v>704</v>
      </c>
      <c r="J9" s="4">
        <f>SUMIFS('SDR activity'!$D$2:$D$169,'SDR activity'!$B$2:$B$169,"s_apac_out",'SDR activity'!$C$2:$C$169,"nov25")</f>
        <v>685</v>
      </c>
      <c r="K9" s="4">
        <f>SUMIFS('SDR activity'!$D$2:$D$169,'SDR activity'!$B$2:$B$169,"s_apac_out",'SDR activity'!$C$2:$C$169,"dec25")</f>
        <v>440</v>
      </c>
      <c r="L9" s="4">
        <f>SUMIFS('SDR activity'!$D$2:$D$169,'SDR activity'!$B$2:$B$169,"s_apac_out",'SDR activity'!$C$2:$C$169,"jan26")</f>
        <v>614</v>
      </c>
      <c r="M9" s="4">
        <f>SUMIFS('SDR activity'!$D$2:$D$169,'SDR activity'!$B$2:$B$169,"s_apac_out",'SDR activity'!$C$2:$C$169,"feb26")</f>
        <v>748</v>
      </c>
      <c r="N9" s="4">
        <f>SUMIFS('SDR activity'!$D$2:$D$169,'SDR activity'!$B$2:$B$169,"s_apac_out",'SDR activity'!$C$2:$C$169,"mar26")</f>
        <v>792</v>
      </c>
      <c r="O9" s="4">
        <f>SUMIFS('SDR activity'!$D$2:$D$169,'SDR activity'!$B$2:$B$169,"s_apac_out",'SDR activity'!$C$2:$C$169,"apr26")</f>
        <v>592</v>
      </c>
      <c r="P9" s="4">
        <f>SUMIFS('SDR activity'!$D$2:$D$169,'SDR activity'!$B$2:$B$169,"s_apac_out",'SDR activity'!$C$2:$C$169,"may26")</f>
        <v>701</v>
      </c>
      <c r="Q9" s="4">
        <f>SUMIFS('SDR activity'!$D$2:$D$169,'SDR activity'!$B$2:$B$169,"s_apac_out",'SDR activity'!$C$2:$C$169,"jun26")</f>
        <v>659</v>
      </c>
      <c r="R9" s="4">
        <f>SUMIFS('SDR activity'!$D$2:$D$169,'SDR activity'!$B$2:$B$169,"s_apac_out",'SDR activity'!$C$2:$C$169,"jul26")</f>
        <v>589</v>
      </c>
      <c r="S9" s="4">
        <f>SUMIFS('SDR activity'!$D$2:$D$169,'SDR activity'!$B$2:$B$169,"s_apac_out",'SDR activity'!$C$2:$C$169,"aug26")</f>
        <v>589</v>
      </c>
      <c r="T9" s="4">
        <f>SUMIFS('SDR activity'!$D$2:$D$169,'SDR activity'!$B$2:$B$169,"s_apac_out",'SDR activity'!$C$2:$C$169,"sep26")</f>
        <v>621</v>
      </c>
      <c r="U9" s="4">
        <f>SUMIFS('SDR activity'!$D$2:$D$169,'SDR activity'!$B$2:$B$169,"s_apac_out",'SDR activity'!$C$2:$C$169,"oct26")</f>
        <v>651</v>
      </c>
      <c r="V9" s="4">
        <f>SUMIFS('SDR activity'!$D$2:$D$169,'SDR activity'!$B$2:$B$169,"s_apac_out",'SDR activity'!$C$2:$C$169,"nov26")</f>
        <v>548</v>
      </c>
      <c r="W9" s="4">
        <f>SUMIFS('SDR activity'!$D$2:$D$169,'SDR activity'!$B$2:$B$169,"s_apac_out",'SDR activity'!$C$2:$C$169,"dec26")</f>
        <v>593</v>
      </c>
    </row>
    <row r="10">
      <c r="A10" s="0" t="inlineStr">
        <is>
          <t xml:space="preserve">Emails</t>
        </is>
      </c>
      <c r="B10" s="0" t="inlineStr">
        <is>
          <t xml:space="preserve">Zara Kowalski</t>
        </is>
      </c>
      <c r="C10" s="4">
        <f>SUMIFS('SDR activity'!$E$2:$E$169,'SDR activity'!$B$2:$B$169,"s_amer_east_in",'SDR activity'!$C$2:$C$169,"apr25")</f>
        <v>814</v>
      </c>
      <c r="D10" s="4">
        <f>SUMIFS('SDR activity'!$E$2:$E$169,'SDR activity'!$B$2:$B$169,"s_amer_east_in",'SDR activity'!$C$2:$C$169,"may25")</f>
        <v>1252</v>
      </c>
      <c r="E10" s="4">
        <f>SUMIFS('SDR activity'!$E$2:$E$169,'SDR activity'!$B$2:$B$169,"s_amer_east_in",'SDR activity'!$C$2:$C$169,"jun25")</f>
        <v>2431</v>
      </c>
      <c r="F10" s="4">
        <f>SUMIFS('SDR activity'!$E$2:$E$169,'SDR activity'!$B$2:$B$169,"s_amer_east_in",'SDR activity'!$C$2:$C$169,"jul25")</f>
        <v>1216</v>
      </c>
      <c r="G10" s="4">
        <f>SUMIFS('SDR activity'!$E$2:$E$169,'SDR activity'!$B$2:$B$169,"s_amer_east_in",'SDR activity'!$C$2:$C$169,"aug25")</f>
        <v>1414</v>
      </c>
      <c r="H10" s="4">
        <f>SUMIFS('SDR activity'!$E$2:$E$169,'SDR activity'!$B$2:$B$169,"s_amer_east_in",'SDR activity'!$C$2:$C$169,"sep25")</f>
        <v>509</v>
      </c>
      <c r="I10" s="4">
        <f>SUMIFS('SDR activity'!$E$2:$E$169,'SDR activity'!$B$2:$B$169,"s_amer_east_in",'SDR activity'!$C$2:$C$169,"oct25")</f>
        <v>776</v>
      </c>
      <c r="J10" s="4">
        <f>SUMIFS('SDR activity'!$E$2:$E$169,'SDR activity'!$B$2:$B$169,"s_amer_east_in",'SDR activity'!$C$2:$C$169,"nov25")</f>
        <v>667</v>
      </c>
      <c r="K10" s="4">
        <f>SUMIFS('SDR activity'!$E$2:$E$169,'SDR activity'!$B$2:$B$169,"s_amer_east_in",'SDR activity'!$C$2:$C$169,"dec25")</f>
        <v>868</v>
      </c>
      <c r="L10" s="4">
        <f>SUMIFS('SDR activity'!$E$2:$E$169,'SDR activity'!$B$2:$B$169,"s_amer_east_in",'SDR activity'!$C$2:$C$169,"jan26")</f>
        <v>1484</v>
      </c>
      <c r="M10" s="4">
        <f>SUMIFS('SDR activity'!$E$2:$E$169,'SDR activity'!$B$2:$B$169,"s_amer_east_in",'SDR activity'!$C$2:$C$169,"feb26")</f>
        <v>754</v>
      </c>
      <c r="N10" s="4">
        <f>SUMIFS('SDR activity'!$E$2:$E$169,'SDR activity'!$B$2:$B$169,"s_amer_east_in",'SDR activity'!$C$2:$C$169,"mar26")</f>
        <v>1149</v>
      </c>
      <c r="O10" s="4">
        <f>SUMIFS('SDR activity'!$E$2:$E$169,'SDR activity'!$B$2:$B$169,"s_amer_east_in",'SDR activity'!$C$2:$C$169,"apr26")</f>
        <v>3171</v>
      </c>
      <c r="P10" s="4">
        <f>SUMIFS('SDR activity'!$E$2:$E$169,'SDR activity'!$B$2:$B$169,"s_amer_east_in",'SDR activity'!$C$2:$C$169,"may26")</f>
        <v>1971</v>
      </c>
      <c r="Q10" s="4">
        <f>SUMIFS('SDR activity'!$E$2:$E$169,'SDR activity'!$B$2:$B$169,"s_amer_east_in",'SDR activity'!$C$2:$C$169,"jun26")</f>
        <v>1152</v>
      </c>
      <c r="R10" s="4">
        <f>SUMIFS('SDR activity'!$E$2:$E$169,'SDR activity'!$B$2:$B$169,"s_amer_east_in",'SDR activity'!$C$2:$C$169,"jul26")</f>
        <v>1988</v>
      </c>
      <c r="S10" s="4">
        <f>SUMIFS('SDR activity'!$E$2:$E$169,'SDR activity'!$B$2:$B$169,"s_amer_east_in",'SDR activity'!$C$2:$C$169,"aug26")</f>
        <v>1534</v>
      </c>
      <c r="T10" s="4">
        <f>SUMIFS('SDR activity'!$E$2:$E$169,'SDR activity'!$B$2:$B$169,"s_amer_east_in",'SDR activity'!$C$2:$C$169,"sep26")</f>
        <v>2071</v>
      </c>
      <c r="U10" s="4">
        <f>SUMIFS('SDR activity'!$E$2:$E$169,'SDR activity'!$B$2:$B$169,"s_amer_east_in",'SDR activity'!$C$2:$C$169,"oct26")</f>
        <v>921</v>
      </c>
      <c r="V10" s="4">
        <f>SUMIFS('SDR activity'!$E$2:$E$169,'SDR activity'!$B$2:$B$169,"s_amer_east_in",'SDR activity'!$C$2:$C$169,"nov26")</f>
        <v>948</v>
      </c>
      <c r="W10" s="4">
        <f>SUMIFS('SDR activity'!$E$2:$E$169,'SDR activity'!$B$2:$B$169,"s_amer_east_in",'SDR activity'!$C$2:$C$169,"dec26")</f>
        <v>1305</v>
      </c>
    </row>
    <row r="11">
      <c r="A11" s="0" t="inlineStr">
        <is>
          <t xml:space="preserve">Emails</t>
        </is>
      </c>
      <c r="B11" s="0" t="inlineStr">
        <is>
          <t xml:space="preserve">Kenji Kowalski</t>
        </is>
      </c>
      <c r="C11" s="4">
        <f>SUMIFS('SDR activity'!$E$2:$E$169,'SDR activity'!$B$2:$B$169,"s_amer_east_out",'SDR activity'!$C$2:$C$169,"apr25")</f>
        <v>1195</v>
      </c>
      <c r="D11" s="4">
        <f>SUMIFS('SDR activity'!$E$2:$E$169,'SDR activity'!$B$2:$B$169,"s_amer_east_out",'SDR activity'!$C$2:$C$169,"may25")</f>
        <v>1329</v>
      </c>
      <c r="E11" s="4">
        <f>SUMIFS('SDR activity'!$E$2:$E$169,'SDR activity'!$B$2:$B$169,"s_amer_east_out",'SDR activity'!$C$2:$C$169,"jun25")</f>
        <v>1181</v>
      </c>
      <c r="F11" s="4">
        <f>SUMIFS('SDR activity'!$E$2:$E$169,'SDR activity'!$B$2:$B$169,"s_amer_east_out",'SDR activity'!$C$2:$C$169,"jul25")</f>
        <v>1111</v>
      </c>
      <c r="G11" s="4">
        <f>SUMIFS('SDR activity'!$E$2:$E$169,'SDR activity'!$B$2:$B$169,"s_amer_east_out",'SDR activity'!$C$2:$C$169,"aug25")</f>
        <v>1175</v>
      </c>
      <c r="H11" s="4">
        <f>SUMIFS('SDR activity'!$E$2:$E$169,'SDR activity'!$B$2:$B$169,"s_amer_east_out",'SDR activity'!$C$2:$C$169,"sep25")</f>
        <v>1742</v>
      </c>
      <c r="I11" s="4">
        <f>SUMIFS('SDR activity'!$E$2:$E$169,'SDR activity'!$B$2:$B$169,"s_amer_east_out",'SDR activity'!$C$2:$C$169,"oct25")</f>
        <v>1379</v>
      </c>
      <c r="J11" s="4">
        <f>SUMIFS('SDR activity'!$E$2:$E$169,'SDR activity'!$B$2:$B$169,"s_amer_east_out",'SDR activity'!$C$2:$C$169,"nov25")</f>
        <v>1236</v>
      </c>
      <c r="K11" s="4">
        <f>SUMIFS('SDR activity'!$E$2:$E$169,'SDR activity'!$B$2:$B$169,"s_amer_east_out",'SDR activity'!$C$2:$C$169,"dec25")</f>
        <v>1147</v>
      </c>
      <c r="L11" s="4">
        <f>SUMIFS('SDR activity'!$E$2:$E$169,'SDR activity'!$B$2:$B$169,"s_amer_east_out",'SDR activity'!$C$2:$C$169,"jan26")</f>
        <v>1366</v>
      </c>
      <c r="M11" s="4">
        <f>SUMIFS('SDR activity'!$E$2:$E$169,'SDR activity'!$B$2:$B$169,"s_amer_east_out",'SDR activity'!$C$2:$C$169,"feb26")</f>
        <v>1513</v>
      </c>
      <c r="N11" s="4">
        <f>SUMIFS('SDR activity'!$E$2:$E$169,'SDR activity'!$B$2:$B$169,"s_amer_east_out",'SDR activity'!$C$2:$C$169,"mar26")</f>
        <v>1627</v>
      </c>
      <c r="O11" s="4">
        <f>SUMIFS('SDR activity'!$E$2:$E$169,'SDR activity'!$B$2:$B$169,"s_amer_east_out",'SDR activity'!$C$2:$C$169,"apr26")</f>
        <v>1100</v>
      </c>
      <c r="P11" s="4">
        <f>SUMIFS('SDR activity'!$E$2:$E$169,'SDR activity'!$B$2:$B$169,"s_amer_east_out",'SDR activity'!$C$2:$C$169,"may26")</f>
        <v>1026</v>
      </c>
      <c r="Q11" s="4">
        <f>SUMIFS('SDR activity'!$E$2:$E$169,'SDR activity'!$B$2:$B$169,"s_amer_east_out",'SDR activity'!$C$2:$C$169,"jun26")</f>
        <v>1392</v>
      </c>
      <c r="R11" s="4">
        <f>SUMIFS('SDR activity'!$E$2:$E$169,'SDR activity'!$B$2:$B$169,"s_amer_east_out",'SDR activity'!$C$2:$C$169,"jul26")</f>
        <v>1428</v>
      </c>
      <c r="S11" s="4">
        <f>SUMIFS('SDR activity'!$E$2:$E$169,'SDR activity'!$B$2:$B$169,"s_amer_east_out",'SDR activity'!$C$2:$C$169,"aug26")</f>
        <v>1162</v>
      </c>
      <c r="T11" s="4">
        <f>SUMIFS('SDR activity'!$E$2:$E$169,'SDR activity'!$B$2:$B$169,"s_amer_east_out",'SDR activity'!$C$2:$C$169,"sep26")</f>
        <v>1373</v>
      </c>
      <c r="U11" s="4">
        <f>SUMIFS('SDR activity'!$E$2:$E$169,'SDR activity'!$B$2:$B$169,"s_amer_east_out",'SDR activity'!$C$2:$C$169,"oct26")</f>
        <v>1803</v>
      </c>
      <c r="V11" s="4">
        <f>SUMIFS('SDR activity'!$E$2:$E$169,'SDR activity'!$B$2:$B$169,"s_amer_east_out",'SDR activity'!$C$2:$C$169,"nov26")</f>
        <v>1798</v>
      </c>
      <c r="W11" s="4">
        <f>SUMIFS('SDR activity'!$E$2:$E$169,'SDR activity'!$B$2:$B$169,"s_amer_east_out",'SDR activity'!$C$2:$C$169,"dec26")</f>
        <v>1203</v>
      </c>
    </row>
    <row r="12">
      <c r="A12" s="0" t="inlineStr">
        <is>
          <t xml:space="preserve">Emails</t>
        </is>
      </c>
      <c r="B12" s="0" t="inlineStr">
        <is>
          <t xml:space="preserve">Marcus Nair</t>
        </is>
      </c>
      <c r="C12" s="4">
        <f>SUMIFS('SDR activity'!$E$2:$E$169,'SDR activity'!$B$2:$B$169,"s_amer_west_in",'SDR activity'!$C$2:$C$169,"apr25")</f>
        <v>1487</v>
      </c>
      <c r="D12" s="4">
        <f>SUMIFS('SDR activity'!$E$2:$E$169,'SDR activity'!$B$2:$B$169,"s_amer_west_in",'SDR activity'!$C$2:$C$169,"may25")</f>
        <v>974</v>
      </c>
      <c r="E12" s="4">
        <f>SUMIFS('SDR activity'!$E$2:$E$169,'SDR activity'!$B$2:$B$169,"s_amer_west_in",'SDR activity'!$C$2:$C$169,"jun25")</f>
        <v>756</v>
      </c>
      <c r="F12" s="4">
        <f>SUMIFS('SDR activity'!$E$2:$E$169,'SDR activity'!$B$2:$B$169,"s_amer_west_in",'SDR activity'!$C$2:$C$169,"jul25")</f>
        <v>656</v>
      </c>
      <c r="G12" s="4">
        <f>SUMIFS('SDR activity'!$E$2:$E$169,'SDR activity'!$B$2:$B$169,"s_amer_west_in",'SDR activity'!$C$2:$C$169,"aug25")</f>
        <v>637</v>
      </c>
      <c r="H12" s="4">
        <f>SUMIFS('SDR activity'!$E$2:$E$169,'SDR activity'!$B$2:$B$169,"s_amer_west_in",'SDR activity'!$C$2:$C$169,"sep25")</f>
        <v>1768</v>
      </c>
      <c r="I12" s="4">
        <f>SUMIFS('SDR activity'!$E$2:$E$169,'SDR activity'!$B$2:$B$169,"s_amer_west_in",'SDR activity'!$C$2:$C$169,"oct25")</f>
        <v>844</v>
      </c>
      <c r="J12" s="4">
        <f>SUMIFS('SDR activity'!$E$2:$E$169,'SDR activity'!$B$2:$B$169,"s_amer_west_in",'SDR activity'!$C$2:$C$169,"nov25")</f>
        <v>1073</v>
      </c>
      <c r="K12" s="4">
        <f>SUMIFS('SDR activity'!$E$2:$E$169,'SDR activity'!$B$2:$B$169,"s_amer_west_in",'SDR activity'!$C$2:$C$169,"dec25")</f>
        <v>2492</v>
      </c>
      <c r="L12" s="4">
        <f>SUMIFS('SDR activity'!$E$2:$E$169,'SDR activity'!$B$2:$B$169,"s_amer_west_in",'SDR activity'!$C$2:$C$169,"jan26")</f>
        <v>1405</v>
      </c>
      <c r="M12" s="4">
        <f>SUMIFS('SDR activity'!$E$2:$E$169,'SDR activity'!$B$2:$B$169,"s_amer_west_in",'SDR activity'!$C$2:$C$169,"feb26")</f>
        <v>1812</v>
      </c>
      <c r="N12" s="4">
        <f>SUMIFS('SDR activity'!$E$2:$E$169,'SDR activity'!$B$2:$B$169,"s_amer_west_in",'SDR activity'!$C$2:$C$169,"mar26")</f>
        <v>969</v>
      </c>
      <c r="O12" s="4">
        <f>SUMIFS('SDR activity'!$E$2:$E$169,'SDR activity'!$B$2:$B$169,"s_amer_west_in",'SDR activity'!$C$2:$C$169,"apr26")</f>
        <v>960</v>
      </c>
      <c r="P12" s="4">
        <f>SUMIFS('SDR activity'!$E$2:$E$169,'SDR activity'!$B$2:$B$169,"s_amer_west_in",'SDR activity'!$C$2:$C$169,"may26")</f>
        <v>1214</v>
      </c>
      <c r="Q12" s="4">
        <f>SUMIFS('SDR activity'!$E$2:$E$169,'SDR activity'!$B$2:$B$169,"s_amer_west_in",'SDR activity'!$C$2:$C$169,"jun26")</f>
        <v>2096</v>
      </c>
      <c r="R12" s="4">
        <f>SUMIFS('SDR activity'!$E$2:$E$169,'SDR activity'!$B$2:$B$169,"s_amer_west_in",'SDR activity'!$C$2:$C$169,"jul26")</f>
        <v>1895</v>
      </c>
      <c r="S12" s="4">
        <f>SUMIFS('SDR activity'!$E$2:$E$169,'SDR activity'!$B$2:$B$169,"s_amer_west_in",'SDR activity'!$C$2:$C$169,"aug26")</f>
        <v>1115</v>
      </c>
      <c r="T12" s="4">
        <f>SUMIFS('SDR activity'!$E$2:$E$169,'SDR activity'!$B$2:$B$169,"s_amer_west_in",'SDR activity'!$C$2:$C$169,"sep26")</f>
        <v>903</v>
      </c>
      <c r="U12" s="4">
        <f>SUMIFS('SDR activity'!$E$2:$E$169,'SDR activity'!$B$2:$B$169,"s_amer_west_in",'SDR activity'!$C$2:$C$169,"oct26")</f>
        <v>1009</v>
      </c>
      <c r="V12" s="4">
        <f>SUMIFS('SDR activity'!$E$2:$E$169,'SDR activity'!$B$2:$B$169,"s_amer_west_in",'SDR activity'!$C$2:$C$169,"nov26")</f>
        <v>495</v>
      </c>
      <c r="W12" s="4">
        <f>SUMIFS('SDR activity'!$E$2:$E$169,'SDR activity'!$B$2:$B$169,"s_amer_west_in",'SDR activity'!$C$2:$C$169,"dec26")</f>
        <v>808</v>
      </c>
    </row>
    <row r="13">
      <c r="A13" s="0" t="inlineStr">
        <is>
          <t xml:space="preserve">Emails</t>
        </is>
      </c>
      <c r="B13" s="0" t="inlineStr">
        <is>
          <t xml:space="preserve">Yuki Rahman</t>
        </is>
      </c>
      <c r="C13" s="4">
        <f>SUMIFS('SDR activity'!$E$2:$E$169,'SDR activity'!$B$2:$B$169,"s_amer_west_out",'SDR activity'!$C$2:$C$169,"apr25")</f>
        <v>1320</v>
      </c>
      <c r="D13" s="4">
        <f>SUMIFS('SDR activity'!$E$2:$E$169,'SDR activity'!$B$2:$B$169,"s_amer_west_out",'SDR activity'!$C$2:$C$169,"may25")</f>
        <v>1346</v>
      </c>
      <c r="E13" s="4">
        <f>SUMIFS('SDR activity'!$E$2:$E$169,'SDR activity'!$B$2:$B$169,"s_amer_west_out",'SDR activity'!$C$2:$C$169,"jun25")</f>
        <v>1557</v>
      </c>
      <c r="F13" s="4">
        <f>SUMIFS('SDR activity'!$E$2:$E$169,'SDR activity'!$B$2:$B$169,"s_amer_west_out",'SDR activity'!$C$2:$C$169,"jul25")</f>
        <v>1160</v>
      </c>
      <c r="G13" s="4">
        <f>SUMIFS('SDR activity'!$E$2:$E$169,'SDR activity'!$B$2:$B$169,"s_amer_west_out",'SDR activity'!$C$2:$C$169,"aug25")</f>
        <v>1151</v>
      </c>
      <c r="H13" s="4">
        <f>SUMIFS('SDR activity'!$E$2:$E$169,'SDR activity'!$B$2:$B$169,"s_amer_west_out",'SDR activity'!$C$2:$C$169,"sep25")</f>
        <v>1122</v>
      </c>
      <c r="I13" s="4">
        <f>SUMIFS('SDR activity'!$E$2:$E$169,'SDR activity'!$B$2:$B$169,"s_amer_west_out",'SDR activity'!$C$2:$C$169,"oct25")</f>
        <v>1316</v>
      </c>
      <c r="J13" s="4">
        <f>SUMIFS('SDR activity'!$E$2:$E$169,'SDR activity'!$B$2:$B$169,"s_amer_west_out",'SDR activity'!$C$2:$C$169,"nov25")</f>
        <v>1416</v>
      </c>
      <c r="K13" s="4">
        <f>SUMIFS('SDR activity'!$E$2:$E$169,'SDR activity'!$B$2:$B$169,"s_amer_west_out",'SDR activity'!$C$2:$C$169,"dec25")</f>
        <v>1104</v>
      </c>
      <c r="L13" s="4">
        <f>SUMIFS('SDR activity'!$E$2:$E$169,'SDR activity'!$B$2:$B$169,"s_amer_west_out",'SDR activity'!$C$2:$C$169,"jan26")</f>
        <v>1805</v>
      </c>
      <c r="M13" s="4">
        <f>SUMIFS('SDR activity'!$E$2:$E$169,'SDR activity'!$B$2:$B$169,"s_amer_west_out",'SDR activity'!$C$2:$C$169,"feb26")</f>
        <v>1150</v>
      </c>
      <c r="N13" s="4">
        <f>SUMIFS('SDR activity'!$E$2:$E$169,'SDR activity'!$B$2:$B$169,"s_amer_west_out",'SDR activity'!$C$2:$C$169,"mar26")</f>
        <v>1161</v>
      </c>
      <c r="O13" s="4">
        <f>SUMIFS('SDR activity'!$E$2:$E$169,'SDR activity'!$B$2:$B$169,"s_amer_west_out",'SDR activity'!$C$2:$C$169,"apr26")</f>
        <v>797</v>
      </c>
      <c r="P13" s="4">
        <f>SUMIFS('SDR activity'!$E$2:$E$169,'SDR activity'!$B$2:$B$169,"s_amer_west_out",'SDR activity'!$C$2:$C$169,"may26")</f>
        <v>1103</v>
      </c>
      <c r="Q13" s="4">
        <f>SUMIFS('SDR activity'!$E$2:$E$169,'SDR activity'!$B$2:$B$169,"s_amer_west_out",'SDR activity'!$C$2:$C$169,"jun26")</f>
        <v>1713</v>
      </c>
      <c r="R13" s="4">
        <f>SUMIFS('SDR activity'!$E$2:$E$169,'SDR activity'!$B$2:$B$169,"s_amer_west_out",'SDR activity'!$C$2:$C$169,"jul26")</f>
        <v>981</v>
      </c>
      <c r="S13" s="4">
        <f>SUMIFS('SDR activity'!$E$2:$E$169,'SDR activity'!$B$2:$B$169,"s_amer_west_out",'SDR activity'!$C$2:$C$169,"aug26")</f>
        <v>1348</v>
      </c>
      <c r="T13" s="4">
        <f>SUMIFS('SDR activity'!$E$2:$E$169,'SDR activity'!$B$2:$B$169,"s_amer_west_out",'SDR activity'!$C$2:$C$169,"sep26")</f>
        <v>1376</v>
      </c>
      <c r="U13" s="4">
        <f>SUMIFS('SDR activity'!$E$2:$E$169,'SDR activity'!$B$2:$B$169,"s_amer_west_out",'SDR activity'!$C$2:$C$169,"oct26")</f>
        <v>1713</v>
      </c>
      <c r="V13" s="4">
        <f>SUMIFS('SDR activity'!$E$2:$E$169,'SDR activity'!$B$2:$B$169,"s_amer_west_out",'SDR activity'!$C$2:$C$169,"nov26")</f>
        <v>1545</v>
      </c>
      <c r="W13" s="4">
        <f>SUMIFS('SDR activity'!$E$2:$E$169,'SDR activity'!$B$2:$B$169,"s_amer_west_out",'SDR activity'!$C$2:$C$169,"dec26")</f>
        <v>1214</v>
      </c>
    </row>
    <row r="14">
      <c r="A14" s="0" t="inlineStr">
        <is>
          <t xml:space="preserve">Emails</t>
        </is>
      </c>
      <c r="B14" s="0" t="inlineStr">
        <is>
          <t xml:space="preserve">Chloe Patel</t>
        </is>
      </c>
      <c r="C14" s="4">
        <f>SUMIFS('SDR activity'!$E$2:$E$169,'SDR activity'!$B$2:$B$169,"s_emea_in",'SDR activity'!$C$2:$C$169,"apr25")</f>
        <v>1791</v>
      </c>
      <c r="D14" s="4">
        <f>SUMIFS('SDR activity'!$E$2:$E$169,'SDR activity'!$B$2:$B$169,"s_emea_in",'SDR activity'!$C$2:$C$169,"may25")</f>
        <v>2029</v>
      </c>
      <c r="E14" s="4">
        <f>SUMIFS('SDR activity'!$E$2:$E$169,'SDR activity'!$B$2:$B$169,"s_emea_in",'SDR activity'!$C$2:$C$169,"jun25")</f>
        <v>1702</v>
      </c>
      <c r="F14" s="4">
        <f>SUMIFS('SDR activity'!$E$2:$E$169,'SDR activity'!$B$2:$B$169,"s_emea_in",'SDR activity'!$C$2:$C$169,"jul25")</f>
        <v>2326</v>
      </c>
      <c r="G14" s="4">
        <f>SUMIFS('SDR activity'!$E$2:$E$169,'SDR activity'!$B$2:$B$169,"s_emea_in",'SDR activity'!$C$2:$C$169,"aug25")</f>
        <v>930</v>
      </c>
      <c r="H14" s="4">
        <f>SUMIFS('SDR activity'!$E$2:$E$169,'SDR activity'!$B$2:$B$169,"s_emea_in",'SDR activity'!$C$2:$C$169,"sep25")</f>
        <v>751</v>
      </c>
      <c r="I14" s="4">
        <f>SUMIFS('SDR activity'!$E$2:$E$169,'SDR activity'!$B$2:$B$169,"s_emea_in",'SDR activity'!$C$2:$C$169,"oct25")</f>
        <v>982</v>
      </c>
      <c r="J14" s="4">
        <f>SUMIFS('SDR activity'!$E$2:$E$169,'SDR activity'!$B$2:$B$169,"s_emea_in",'SDR activity'!$C$2:$C$169,"nov25")</f>
        <v>2255</v>
      </c>
      <c r="K14" s="4">
        <f>SUMIFS('SDR activity'!$E$2:$E$169,'SDR activity'!$B$2:$B$169,"s_emea_in",'SDR activity'!$C$2:$C$169,"dec25")</f>
        <v>1195</v>
      </c>
      <c r="L14" s="4">
        <f>SUMIFS('SDR activity'!$E$2:$E$169,'SDR activity'!$B$2:$B$169,"s_emea_in",'SDR activity'!$C$2:$C$169,"jan26")</f>
        <v>2504</v>
      </c>
      <c r="M14" s="4">
        <f>SUMIFS('SDR activity'!$E$2:$E$169,'SDR activity'!$B$2:$B$169,"s_emea_in",'SDR activity'!$C$2:$C$169,"feb26")</f>
        <v>533</v>
      </c>
      <c r="N14" s="4">
        <f>SUMIFS('SDR activity'!$E$2:$E$169,'SDR activity'!$B$2:$B$169,"s_emea_in",'SDR activity'!$C$2:$C$169,"mar26")</f>
        <v>2281</v>
      </c>
      <c r="O14" s="4">
        <f>SUMIFS('SDR activity'!$E$2:$E$169,'SDR activity'!$B$2:$B$169,"s_emea_in",'SDR activity'!$C$2:$C$169,"apr26")</f>
        <v>2297</v>
      </c>
      <c r="P14" s="4">
        <f>SUMIFS('SDR activity'!$E$2:$E$169,'SDR activity'!$B$2:$B$169,"s_emea_in",'SDR activity'!$C$2:$C$169,"may26")</f>
        <v>676</v>
      </c>
      <c r="Q14" s="4">
        <f>SUMIFS('SDR activity'!$E$2:$E$169,'SDR activity'!$B$2:$B$169,"s_emea_in",'SDR activity'!$C$2:$C$169,"jun26")</f>
        <v>1461</v>
      </c>
      <c r="R14" s="4">
        <f>SUMIFS('SDR activity'!$E$2:$E$169,'SDR activity'!$B$2:$B$169,"s_emea_in",'SDR activity'!$C$2:$C$169,"jul26")</f>
        <v>1368</v>
      </c>
      <c r="S14" s="4">
        <f>SUMIFS('SDR activity'!$E$2:$E$169,'SDR activity'!$B$2:$B$169,"s_emea_in",'SDR activity'!$C$2:$C$169,"aug26")</f>
        <v>1241</v>
      </c>
      <c r="T14" s="4">
        <f>SUMIFS('SDR activity'!$E$2:$E$169,'SDR activity'!$B$2:$B$169,"s_emea_in",'SDR activity'!$C$2:$C$169,"sep26")</f>
        <v>558</v>
      </c>
      <c r="U14" s="4">
        <f>SUMIFS('SDR activity'!$E$2:$E$169,'SDR activity'!$B$2:$B$169,"s_emea_in",'SDR activity'!$C$2:$C$169,"oct26")</f>
        <v>1015</v>
      </c>
      <c r="V14" s="4">
        <f>SUMIFS('SDR activity'!$E$2:$E$169,'SDR activity'!$B$2:$B$169,"s_emea_in",'SDR activity'!$C$2:$C$169,"nov26")</f>
        <v>5045</v>
      </c>
      <c r="W14" s="4">
        <f>SUMIFS('SDR activity'!$E$2:$E$169,'SDR activity'!$B$2:$B$169,"s_emea_in",'SDR activity'!$C$2:$C$169,"dec26")</f>
        <v>834</v>
      </c>
    </row>
    <row r="15">
      <c r="A15" s="0" t="inlineStr">
        <is>
          <t xml:space="preserve">Emails</t>
        </is>
      </c>
      <c r="B15" s="0" t="inlineStr">
        <is>
          <t xml:space="preserve">Samuel Kowalski</t>
        </is>
      </c>
      <c r="C15" s="4">
        <f>SUMIFS('SDR activity'!$E$2:$E$169,'SDR activity'!$B$2:$B$169,"s_emea_out",'SDR activity'!$C$2:$C$169,"apr25")</f>
        <v>1407</v>
      </c>
      <c r="D15" s="4">
        <f>SUMIFS('SDR activity'!$E$2:$E$169,'SDR activity'!$B$2:$B$169,"s_emea_out",'SDR activity'!$C$2:$C$169,"may25")</f>
        <v>1369</v>
      </c>
      <c r="E15" s="4">
        <f>SUMIFS('SDR activity'!$E$2:$E$169,'SDR activity'!$B$2:$B$169,"s_emea_out",'SDR activity'!$C$2:$C$169,"jun25")</f>
        <v>1636</v>
      </c>
      <c r="F15" s="4">
        <f>SUMIFS('SDR activity'!$E$2:$E$169,'SDR activity'!$B$2:$B$169,"s_emea_out",'SDR activity'!$C$2:$C$169,"jul25")</f>
        <v>1527</v>
      </c>
      <c r="G15" s="4">
        <f>SUMIFS('SDR activity'!$E$2:$E$169,'SDR activity'!$B$2:$B$169,"s_emea_out",'SDR activity'!$C$2:$C$169,"aug25")</f>
        <v>1011</v>
      </c>
      <c r="H15" s="4">
        <f>SUMIFS('SDR activity'!$E$2:$E$169,'SDR activity'!$B$2:$B$169,"s_emea_out",'SDR activity'!$C$2:$C$169,"sep25")</f>
        <v>1563</v>
      </c>
      <c r="I15" s="4">
        <f>SUMIFS('SDR activity'!$E$2:$E$169,'SDR activity'!$B$2:$B$169,"s_emea_out",'SDR activity'!$C$2:$C$169,"oct25")</f>
        <v>1294</v>
      </c>
      <c r="J15" s="4">
        <f>SUMIFS('SDR activity'!$E$2:$E$169,'SDR activity'!$B$2:$B$169,"s_emea_out",'SDR activity'!$C$2:$C$169,"nov25")</f>
        <v>1123</v>
      </c>
      <c r="K15" s="4">
        <f>SUMIFS('SDR activity'!$E$2:$E$169,'SDR activity'!$B$2:$B$169,"s_emea_out",'SDR activity'!$C$2:$C$169,"dec25")</f>
        <v>1051</v>
      </c>
      <c r="L15" s="4">
        <f>SUMIFS('SDR activity'!$E$2:$E$169,'SDR activity'!$B$2:$B$169,"s_emea_out",'SDR activity'!$C$2:$C$169,"jan26")</f>
        <v>1730</v>
      </c>
      <c r="M15" s="4">
        <f>SUMIFS('SDR activity'!$E$2:$E$169,'SDR activity'!$B$2:$B$169,"s_emea_out",'SDR activity'!$C$2:$C$169,"feb26")</f>
        <v>1328</v>
      </c>
      <c r="N15" s="4">
        <f>SUMIFS('SDR activity'!$E$2:$E$169,'SDR activity'!$B$2:$B$169,"s_emea_out",'SDR activity'!$C$2:$C$169,"mar26")</f>
        <v>1578</v>
      </c>
      <c r="O15" s="4">
        <f>SUMIFS('SDR activity'!$E$2:$E$169,'SDR activity'!$B$2:$B$169,"s_emea_out",'SDR activity'!$C$2:$C$169,"apr26")</f>
        <v>1640</v>
      </c>
      <c r="P15" s="4">
        <f>SUMIFS('SDR activity'!$E$2:$E$169,'SDR activity'!$B$2:$B$169,"s_emea_out",'SDR activity'!$C$2:$C$169,"may26")</f>
        <v>1519</v>
      </c>
      <c r="Q15" s="4">
        <f>SUMIFS('SDR activity'!$E$2:$E$169,'SDR activity'!$B$2:$B$169,"s_emea_out",'SDR activity'!$C$2:$C$169,"jun26")</f>
        <v>1031</v>
      </c>
      <c r="R15" s="4">
        <f>SUMIFS('SDR activity'!$E$2:$E$169,'SDR activity'!$B$2:$B$169,"s_emea_out",'SDR activity'!$C$2:$C$169,"jul26")</f>
        <v>1177</v>
      </c>
      <c r="S15" s="4">
        <f>SUMIFS('SDR activity'!$E$2:$E$169,'SDR activity'!$B$2:$B$169,"s_emea_out",'SDR activity'!$C$2:$C$169,"aug26")</f>
        <v>1180</v>
      </c>
      <c r="T15" s="4">
        <f>SUMIFS('SDR activity'!$E$2:$E$169,'SDR activity'!$B$2:$B$169,"s_emea_out",'SDR activity'!$C$2:$C$169,"sep26")</f>
        <v>1564</v>
      </c>
      <c r="U15" s="4">
        <f>SUMIFS('SDR activity'!$E$2:$E$169,'SDR activity'!$B$2:$B$169,"s_emea_out",'SDR activity'!$C$2:$C$169,"oct26")</f>
        <v>1539</v>
      </c>
      <c r="V15" s="4">
        <f>SUMIFS('SDR activity'!$E$2:$E$169,'SDR activity'!$B$2:$B$169,"s_emea_out",'SDR activity'!$C$2:$C$169,"nov26")</f>
        <v>1587</v>
      </c>
      <c r="W15" s="4">
        <f>SUMIFS('SDR activity'!$E$2:$E$169,'SDR activity'!$B$2:$B$169,"s_emea_out",'SDR activity'!$C$2:$C$169,"dec26")</f>
        <v>1036</v>
      </c>
    </row>
    <row r="16">
      <c r="A16" s="0" t="inlineStr">
        <is>
          <t xml:space="preserve">Emails</t>
        </is>
      </c>
      <c r="B16" s="0" t="inlineStr">
        <is>
          <t xml:space="preserve">Rafael Ivanova</t>
        </is>
      </c>
      <c r="C16" s="4">
        <f>SUMIFS('SDR activity'!$E$2:$E$169,'SDR activity'!$B$2:$B$169,"s_apac_in",'SDR activity'!$C$2:$C$169,"apr25")</f>
        <v>270</v>
      </c>
      <c r="D16" s="4">
        <f>SUMIFS('SDR activity'!$E$2:$E$169,'SDR activity'!$B$2:$B$169,"s_apac_in",'SDR activity'!$C$2:$C$169,"may25")</f>
        <v>466</v>
      </c>
      <c r="E16" s="4">
        <f>SUMIFS('SDR activity'!$E$2:$E$169,'SDR activity'!$B$2:$B$169,"s_apac_in",'SDR activity'!$C$2:$C$169,"jun25")</f>
        <v>569</v>
      </c>
      <c r="F16" s="4">
        <f>SUMIFS('SDR activity'!$E$2:$E$169,'SDR activity'!$B$2:$B$169,"s_apac_in",'SDR activity'!$C$2:$C$169,"jul25")</f>
        <v>1921</v>
      </c>
      <c r="G16" s="4">
        <f>SUMIFS('SDR activity'!$E$2:$E$169,'SDR activity'!$B$2:$B$169,"s_apac_in",'SDR activity'!$C$2:$C$169,"aug25")</f>
        <v>555</v>
      </c>
      <c r="H16" s="4">
        <f>SUMIFS('SDR activity'!$E$2:$E$169,'SDR activity'!$B$2:$B$169,"s_apac_in",'SDR activity'!$C$2:$C$169,"sep25")</f>
        <v>518</v>
      </c>
      <c r="I16" s="4">
        <f>SUMIFS('SDR activity'!$E$2:$E$169,'SDR activity'!$B$2:$B$169,"s_apac_in",'SDR activity'!$C$2:$C$169,"oct25")</f>
        <v>873</v>
      </c>
      <c r="J16" s="4">
        <f>SUMIFS('SDR activity'!$E$2:$E$169,'SDR activity'!$B$2:$B$169,"s_apac_in",'SDR activity'!$C$2:$C$169,"nov25")</f>
        <v>34</v>
      </c>
      <c r="K16" s="4">
        <f>SUMIFS('SDR activity'!$E$2:$E$169,'SDR activity'!$B$2:$B$169,"s_apac_in",'SDR activity'!$C$2:$C$169,"dec25")</f>
        <v>176</v>
      </c>
      <c r="L16" s="4">
        <f>SUMIFS('SDR activity'!$E$2:$E$169,'SDR activity'!$B$2:$B$169,"s_apac_in",'SDR activity'!$C$2:$C$169,"jan26")</f>
        <v>162</v>
      </c>
      <c r="M16" s="4">
        <f>SUMIFS('SDR activity'!$E$2:$E$169,'SDR activity'!$B$2:$B$169,"s_apac_in",'SDR activity'!$C$2:$C$169,"feb26")</f>
        <v>449</v>
      </c>
      <c r="N16" s="4">
        <f>SUMIFS('SDR activity'!$E$2:$E$169,'SDR activity'!$B$2:$B$169,"s_apac_in",'SDR activity'!$C$2:$C$169,"mar26")</f>
        <v>1001</v>
      </c>
      <c r="O16" s="4">
        <f>SUMIFS('SDR activity'!$E$2:$E$169,'SDR activity'!$B$2:$B$169,"s_apac_in",'SDR activity'!$C$2:$C$169,"apr26")</f>
        <v>583</v>
      </c>
      <c r="P16" s="4">
        <f>SUMIFS('SDR activity'!$E$2:$E$169,'SDR activity'!$B$2:$B$169,"s_apac_in",'SDR activity'!$C$2:$C$169,"may26")</f>
        <v>658</v>
      </c>
      <c r="Q16" s="4">
        <f>SUMIFS('SDR activity'!$E$2:$E$169,'SDR activity'!$B$2:$B$169,"s_apac_in",'SDR activity'!$C$2:$C$169,"jun26")</f>
        <v>1133</v>
      </c>
      <c r="R16" s="4">
        <f>SUMIFS('SDR activity'!$E$2:$E$169,'SDR activity'!$B$2:$B$169,"s_apac_in",'SDR activity'!$C$2:$C$169,"jul26")</f>
        <v>460</v>
      </c>
      <c r="S16" s="4">
        <f>SUMIFS('SDR activity'!$E$2:$E$169,'SDR activity'!$B$2:$B$169,"s_apac_in",'SDR activity'!$C$2:$C$169,"aug26")</f>
        <v>988</v>
      </c>
      <c r="T16" s="4">
        <f>SUMIFS('SDR activity'!$E$2:$E$169,'SDR activity'!$B$2:$B$169,"s_apac_in",'SDR activity'!$C$2:$C$169,"sep26")</f>
        <v>1047</v>
      </c>
      <c r="U16" s="4">
        <f>SUMIFS('SDR activity'!$E$2:$E$169,'SDR activity'!$B$2:$B$169,"s_apac_in",'SDR activity'!$C$2:$C$169,"oct26")</f>
        <v>197</v>
      </c>
      <c r="V16" s="4">
        <f>SUMIFS('SDR activity'!$E$2:$E$169,'SDR activity'!$B$2:$B$169,"s_apac_in",'SDR activity'!$C$2:$C$169,"nov26")</f>
        <v>975</v>
      </c>
      <c r="W16" s="4">
        <f>SUMIFS('SDR activity'!$E$2:$E$169,'SDR activity'!$B$2:$B$169,"s_apac_in",'SDR activity'!$C$2:$C$169,"dec26")</f>
        <v>720</v>
      </c>
    </row>
    <row r="17">
      <c r="A17" s="0" t="inlineStr">
        <is>
          <t xml:space="preserve">Emails</t>
        </is>
      </c>
      <c r="B17" s="0" t="inlineStr">
        <is>
          <t xml:space="preserve">Wei Kowalski</t>
        </is>
      </c>
      <c r="C17" s="4">
        <f>SUMIFS('SDR activity'!$E$2:$E$169,'SDR activity'!$B$2:$B$169,"s_apac_out",'SDR activity'!$C$2:$C$169,"apr25")</f>
        <v>1396</v>
      </c>
      <c r="D17" s="4">
        <f>SUMIFS('SDR activity'!$E$2:$E$169,'SDR activity'!$B$2:$B$169,"s_apac_out",'SDR activity'!$C$2:$C$169,"may25")</f>
        <v>1597</v>
      </c>
      <c r="E17" s="4">
        <f>SUMIFS('SDR activity'!$E$2:$E$169,'SDR activity'!$B$2:$B$169,"s_apac_out",'SDR activity'!$C$2:$C$169,"jun25")</f>
        <v>1195</v>
      </c>
      <c r="F17" s="4">
        <f>SUMIFS('SDR activity'!$E$2:$E$169,'SDR activity'!$B$2:$B$169,"s_apac_out",'SDR activity'!$C$2:$C$169,"jul25")</f>
        <v>1119</v>
      </c>
      <c r="G17" s="4">
        <f>SUMIFS('SDR activity'!$E$2:$E$169,'SDR activity'!$B$2:$B$169,"s_apac_out",'SDR activity'!$C$2:$C$169,"aug25")</f>
        <v>1213</v>
      </c>
      <c r="H17" s="4">
        <f>SUMIFS('SDR activity'!$E$2:$E$169,'SDR activity'!$B$2:$B$169,"s_apac_out",'SDR activity'!$C$2:$C$169,"sep25")</f>
        <v>1472</v>
      </c>
      <c r="I17" s="4">
        <f>SUMIFS('SDR activity'!$E$2:$E$169,'SDR activity'!$B$2:$B$169,"s_apac_out",'SDR activity'!$C$2:$C$169,"oct25")</f>
        <v>1221</v>
      </c>
      <c r="J17" s="4">
        <f>SUMIFS('SDR activity'!$E$2:$E$169,'SDR activity'!$B$2:$B$169,"s_apac_out",'SDR activity'!$C$2:$C$169,"nov25")</f>
        <v>1612</v>
      </c>
      <c r="K17" s="4">
        <f>SUMIFS('SDR activity'!$E$2:$E$169,'SDR activity'!$B$2:$B$169,"s_apac_out",'SDR activity'!$C$2:$C$169,"dec25")</f>
        <v>906</v>
      </c>
      <c r="L17" s="4">
        <f>SUMIFS('SDR activity'!$E$2:$E$169,'SDR activity'!$B$2:$B$169,"s_apac_out",'SDR activity'!$C$2:$C$169,"jan26")</f>
        <v>1230</v>
      </c>
      <c r="M17" s="4">
        <f>SUMIFS('SDR activity'!$E$2:$E$169,'SDR activity'!$B$2:$B$169,"s_apac_out",'SDR activity'!$C$2:$C$169,"feb26")</f>
        <v>1069</v>
      </c>
      <c r="N17" s="4">
        <f>SUMIFS('SDR activity'!$E$2:$E$169,'SDR activity'!$B$2:$B$169,"s_apac_out",'SDR activity'!$C$2:$C$169,"mar26")</f>
        <v>1296</v>
      </c>
      <c r="O17" s="4">
        <f>SUMIFS('SDR activity'!$E$2:$E$169,'SDR activity'!$B$2:$B$169,"s_apac_out",'SDR activity'!$C$2:$C$169,"apr26")</f>
        <v>1247</v>
      </c>
      <c r="P17" s="4">
        <f>SUMIFS('SDR activity'!$E$2:$E$169,'SDR activity'!$B$2:$B$169,"s_apac_out",'SDR activity'!$C$2:$C$169,"may26")</f>
        <v>1558</v>
      </c>
      <c r="Q17" s="4">
        <f>SUMIFS('SDR activity'!$E$2:$E$169,'SDR activity'!$B$2:$B$169,"s_apac_out",'SDR activity'!$C$2:$C$169,"jun26")</f>
        <v>1543</v>
      </c>
      <c r="R17" s="4">
        <f>SUMIFS('SDR activity'!$E$2:$E$169,'SDR activity'!$B$2:$B$169,"s_apac_out",'SDR activity'!$C$2:$C$169,"jul26")</f>
        <v>1853</v>
      </c>
      <c r="S17" s="4">
        <f>SUMIFS('SDR activity'!$E$2:$E$169,'SDR activity'!$B$2:$B$169,"s_apac_out",'SDR activity'!$C$2:$C$169,"aug26")</f>
        <v>1158</v>
      </c>
      <c r="T17" s="4">
        <f>SUMIFS('SDR activity'!$E$2:$E$169,'SDR activity'!$B$2:$B$169,"s_apac_out",'SDR activity'!$C$2:$C$169,"sep26")</f>
        <v>1206</v>
      </c>
      <c r="U17" s="4">
        <f>SUMIFS('SDR activity'!$E$2:$E$169,'SDR activity'!$B$2:$B$169,"s_apac_out",'SDR activity'!$C$2:$C$169,"oct26")</f>
        <v>1085</v>
      </c>
      <c r="V17" s="4">
        <f>SUMIFS('SDR activity'!$E$2:$E$169,'SDR activity'!$B$2:$B$169,"s_apac_out",'SDR activity'!$C$2:$C$169,"nov26")</f>
        <v>1586</v>
      </c>
      <c r="W17" s="4">
        <f>SUMIFS('SDR activity'!$E$2:$E$169,'SDR activity'!$B$2:$B$169,"s_apac_out",'SDR activity'!$C$2:$C$169,"dec26")</f>
        <v>1332</v>
      </c>
    </row>
    <row r="18">
      <c r="A18" s="0" t="inlineStr">
        <is>
          <t xml:space="preserve">Connects</t>
        </is>
      </c>
      <c r="B18" s="0" t="inlineStr">
        <is>
          <t xml:space="preserve">Zara Kowalski</t>
        </is>
      </c>
      <c r="C18" s="4">
        <f>SUMIFS('SDR activity'!$F$2:$F$169,'SDR activity'!$B$2:$B$169,"s_amer_east_in",'SDR activity'!$C$2:$C$169,"apr25")</f>
        <v>166</v>
      </c>
      <c r="D18" s="4">
        <f>SUMIFS('SDR activity'!$F$2:$F$169,'SDR activity'!$B$2:$B$169,"s_amer_east_in",'SDR activity'!$C$2:$C$169,"may25")</f>
        <v>120</v>
      </c>
      <c r="E18" s="4">
        <f>SUMIFS('SDR activity'!$F$2:$F$169,'SDR activity'!$B$2:$B$169,"s_amer_east_in",'SDR activity'!$C$2:$C$169,"jun25")</f>
        <v>237</v>
      </c>
      <c r="F18" s="4">
        <f>SUMIFS('SDR activity'!$F$2:$F$169,'SDR activity'!$B$2:$B$169,"s_amer_east_in",'SDR activity'!$C$2:$C$169,"jul25")</f>
        <v>195</v>
      </c>
      <c r="G18" s="4">
        <f>SUMIFS('SDR activity'!$F$2:$F$169,'SDR activity'!$B$2:$B$169,"s_amer_east_in",'SDR activity'!$C$2:$C$169,"aug25")</f>
        <v>167</v>
      </c>
      <c r="H18" s="4">
        <f>SUMIFS('SDR activity'!$F$2:$F$169,'SDR activity'!$B$2:$B$169,"s_amer_east_in",'SDR activity'!$C$2:$C$169,"sep25")</f>
        <v>66</v>
      </c>
      <c r="I18" s="4">
        <f>SUMIFS('SDR activity'!$F$2:$F$169,'SDR activity'!$B$2:$B$169,"s_amer_east_in",'SDR activity'!$C$2:$C$169,"oct25")</f>
        <v>90</v>
      </c>
      <c r="J18" s="4">
        <f>SUMIFS('SDR activity'!$F$2:$F$169,'SDR activity'!$B$2:$B$169,"s_amer_east_in",'SDR activity'!$C$2:$C$169,"nov25")</f>
        <v>80</v>
      </c>
      <c r="K18" s="4">
        <f>SUMIFS('SDR activity'!$F$2:$F$169,'SDR activity'!$B$2:$B$169,"s_amer_east_in",'SDR activity'!$C$2:$C$169,"dec25")</f>
        <v>124</v>
      </c>
      <c r="L18" s="4">
        <f>SUMIFS('SDR activity'!$F$2:$F$169,'SDR activity'!$B$2:$B$169,"s_amer_east_in",'SDR activity'!$C$2:$C$169,"jan26")</f>
        <v>133</v>
      </c>
      <c r="M18" s="4">
        <f>SUMIFS('SDR activity'!$F$2:$F$169,'SDR activity'!$B$2:$B$169,"s_amer_east_in",'SDR activity'!$C$2:$C$169,"feb26")</f>
        <v>86</v>
      </c>
      <c r="N18" s="4">
        <f>SUMIFS('SDR activity'!$F$2:$F$169,'SDR activity'!$B$2:$B$169,"s_amer_east_in",'SDR activity'!$C$2:$C$169,"mar26")</f>
        <v>151</v>
      </c>
      <c r="O18" s="4">
        <f>SUMIFS('SDR activity'!$F$2:$F$169,'SDR activity'!$B$2:$B$169,"s_amer_east_in",'SDR activity'!$C$2:$C$169,"apr26")</f>
        <v>319</v>
      </c>
      <c r="P18" s="4">
        <f>SUMIFS('SDR activity'!$F$2:$F$169,'SDR activity'!$B$2:$B$169,"s_amer_east_in",'SDR activity'!$C$2:$C$169,"may26")</f>
        <v>262</v>
      </c>
      <c r="Q18" s="4">
        <f>SUMIFS('SDR activity'!$F$2:$F$169,'SDR activity'!$B$2:$B$169,"s_amer_east_in",'SDR activity'!$C$2:$C$169,"jun26")</f>
        <v>145</v>
      </c>
      <c r="R18" s="4">
        <f>SUMIFS('SDR activity'!$F$2:$F$169,'SDR activity'!$B$2:$B$169,"s_amer_east_in",'SDR activity'!$C$2:$C$169,"jul26")</f>
        <v>223</v>
      </c>
      <c r="S18" s="4">
        <f>SUMIFS('SDR activity'!$F$2:$F$169,'SDR activity'!$B$2:$B$169,"s_amer_east_in",'SDR activity'!$C$2:$C$169,"aug26")</f>
        <v>261</v>
      </c>
      <c r="T18" s="4">
        <f>SUMIFS('SDR activity'!$F$2:$F$169,'SDR activity'!$B$2:$B$169,"s_amer_east_in",'SDR activity'!$C$2:$C$169,"sep26")</f>
        <v>156</v>
      </c>
      <c r="U18" s="4">
        <f>SUMIFS('SDR activity'!$F$2:$F$169,'SDR activity'!$B$2:$B$169,"s_amer_east_in",'SDR activity'!$C$2:$C$169,"oct26")</f>
        <v>173</v>
      </c>
      <c r="V18" s="4">
        <f>SUMIFS('SDR activity'!$F$2:$F$169,'SDR activity'!$B$2:$B$169,"s_amer_east_in",'SDR activity'!$C$2:$C$169,"nov26")</f>
        <v>143</v>
      </c>
      <c r="W18" s="4">
        <f>SUMIFS('SDR activity'!$F$2:$F$169,'SDR activity'!$B$2:$B$169,"s_amer_east_in",'SDR activity'!$C$2:$C$169,"dec26")</f>
        <v>168</v>
      </c>
    </row>
    <row r="19">
      <c r="A19" s="0" t="inlineStr">
        <is>
          <t xml:space="preserve">Connects</t>
        </is>
      </c>
      <c r="B19" s="0" t="inlineStr">
        <is>
          <t xml:space="preserve">Kenji Kowalski</t>
        </is>
      </c>
      <c r="C19" s="4">
        <f>SUMIFS('SDR activity'!$F$2:$F$169,'SDR activity'!$B$2:$B$169,"s_amer_east_out",'SDR activity'!$C$2:$C$169,"apr25")</f>
        <v>63</v>
      </c>
      <c r="D19" s="4">
        <f>SUMIFS('SDR activity'!$F$2:$F$169,'SDR activity'!$B$2:$B$169,"s_amer_east_out",'SDR activity'!$C$2:$C$169,"may25")</f>
        <v>48</v>
      </c>
      <c r="E19" s="4">
        <f>SUMIFS('SDR activity'!$F$2:$F$169,'SDR activity'!$B$2:$B$169,"s_amer_east_out",'SDR activity'!$C$2:$C$169,"jun25")</f>
        <v>46</v>
      </c>
      <c r="F19" s="4">
        <f>SUMIFS('SDR activity'!$F$2:$F$169,'SDR activity'!$B$2:$B$169,"s_amer_east_out",'SDR activity'!$C$2:$C$169,"jul25")</f>
        <v>87</v>
      </c>
      <c r="G19" s="4">
        <f>SUMIFS('SDR activity'!$F$2:$F$169,'SDR activity'!$B$2:$B$169,"s_amer_east_out",'SDR activity'!$C$2:$C$169,"aug25")</f>
        <v>40</v>
      </c>
      <c r="H19" s="4">
        <f>SUMIFS('SDR activity'!$F$2:$F$169,'SDR activity'!$B$2:$B$169,"s_amer_east_out",'SDR activity'!$C$2:$C$169,"sep25")</f>
        <v>60</v>
      </c>
      <c r="I19" s="4">
        <f>SUMIFS('SDR activity'!$F$2:$F$169,'SDR activity'!$B$2:$B$169,"s_amer_east_out",'SDR activity'!$C$2:$C$169,"oct25")</f>
        <v>47</v>
      </c>
      <c r="J19" s="4">
        <f>SUMIFS('SDR activity'!$F$2:$F$169,'SDR activity'!$B$2:$B$169,"s_amer_east_out",'SDR activity'!$C$2:$C$169,"nov25")</f>
        <v>52</v>
      </c>
      <c r="K19" s="4">
        <f>SUMIFS('SDR activity'!$F$2:$F$169,'SDR activity'!$B$2:$B$169,"s_amer_east_out",'SDR activity'!$C$2:$C$169,"dec25")</f>
        <v>46</v>
      </c>
      <c r="L19" s="4">
        <f>SUMIFS('SDR activity'!$F$2:$F$169,'SDR activity'!$B$2:$B$169,"s_amer_east_out",'SDR activity'!$C$2:$C$169,"jan26")</f>
        <v>69</v>
      </c>
      <c r="M19" s="4">
        <f>SUMIFS('SDR activity'!$F$2:$F$169,'SDR activity'!$B$2:$B$169,"s_amer_east_out",'SDR activity'!$C$2:$C$169,"feb26")</f>
        <v>58</v>
      </c>
      <c r="N19" s="4">
        <f>SUMIFS('SDR activity'!$F$2:$F$169,'SDR activity'!$B$2:$B$169,"s_amer_east_out",'SDR activity'!$C$2:$C$169,"mar26")</f>
        <v>45</v>
      </c>
      <c r="O19" s="4">
        <f>SUMIFS('SDR activity'!$F$2:$F$169,'SDR activity'!$B$2:$B$169,"s_amer_east_out",'SDR activity'!$C$2:$C$169,"apr26")</f>
        <v>50</v>
      </c>
      <c r="P19" s="4">
        <f>SUMIFS('SDR activity'!$F$2:$F$169,'SDR activity'!$B$2:$B$169,"s_amer_east_out",'SDR activity'!$C$2:$C$169,"may26")</f>
        <v>58</v>
      </c>
      <c r="Q19" s="4">
        <f>SUMIFS('SDR activity'!$F$2:$F$169,'SDR activity'!$B$2:$B$169,"s_amer_east_out",'SDR activity'!$C$2:$C$169,"jun26")</f>
        <v>49</v>
      </c>
      <c r="R19" s="4">
        <f>SUMIFS('SDR activity'!$F$2:$F$169,'SDR activity'!$B$2:$B$169,"s_amer_east_out",'SDR activity'!$C$2:$C$169,"jul26")</f>
        <v>59</v>
      </c>
      <c r="S19" s="4">
        <f>SUMIFS('SDR activity'!$F$2:$F$169,'SDR activity'!$B$2:$B$169,"s_amer_east_out",'SDR activity'!$C$2:$C$169,"aug26")</f>
        <v>48</v>
      </c>
      <c r="T19" s="4">
        <f>SUMIFS('SDR activity'!$F$2:$F$169,'SDR activity'!$B$2:$B$169,"s_amer_east_out",'SDR activity'!$C$2:$C$169,"sep26")</f>
        <v>63</v>
      </c>
      <c r="U19" s="4">
        <f>SUMIFS('SDR activity'!$F$2:$F$169,'SDR activity'!$B$2:$B$169,"s_amer_east_out",'SDR activity'!$C$2:$C$169,"oct26")</f>
        <v>51</v>
      </c>
      <c r="V19" s="4">
        <f>SUMIFS('SDR activity'!$F$2:$F$169,'SDR activity'!$B$2:$B$169,"s_amer_east_out",'SDR activity'!$C$2:$C$169,"nov26")</f>
        <v>59</v>
      </c>
      <c r="W19" s="4">
        <f>SUMIFS('SDR activity'!$F$2:$F$169,'SDR activity'!$B$2:$B$169,"s_amer_east_out",'SDR activity'!$C$2:$C$169,"dec26")</f>
        <v>48</v>
      </c>
    </row>
    <row r="20">
      <c r="A20" s="0" t="inlineStr">
        <is>
          <t xml:space="preserve">Connects</t>
        </is>
      </c>
      <c r="B20" s="0" t="inlineStr">
        <is>
          <t xml:space="preserve">Marcus Nair</t>
        </is>
      </c>
      <c r="C20" s="4">
        <f>SUMIFS('SDR activity'!$F$2:$F$169,'SDR activity'!$B$2:$B$169,"s_amer_west_in",'SDR activity'!$C$2:$C$169,"apr25")</f>
        <v>167</v>
      </c>
      <c r="D20" s="4">
        <f>SUMIFS('SDR activity'!$F$2:$F$169,'SDR activity'!$B$2:$B$169,"s_amer_west_in",'SDR activity'!$C$2:$C$169,"may25")</f>
        <v>109</v>
      </c>
      <c r="E20" s="4">
        <f>SUMIFS('SDR activity'!$F$2:$F$169,'SDR activity'!$B$2:$B$169,"s_amer_west_in",'SDR activity'!$C$2:$C$169,"jun25")</f>
        <v>125</v>
      </c>
      <c r="F20" s="4">
        <f>SUMIFS('SDR activity'!$F$2:$F$169,'SDR activity'!$B$2:$B$169,"s_amer_west_in",'SDR activity'!$C$2:$C$169,"jul25")</f>
        <v>106</v>
      </c>
      <c r="G20" s="4">
        <f>SUMIFS('SDR activity'!$F$2:$F$169,'SDR activity'!$B$2:$B$169,"s_amer_west_in",'SDR activity'!$C$2:$C$169,"aug25")</f>
        <v>95</v>
      </c>
      <c r="H20" s="4">
        <f>SUMIFS('SDR activity'!$F$2:$F$169,'SDR activity'!$B$2:$B$169,"s_amer_west_in",'SDR activity'!$C$2:$C$169,"sep25")</f>
        <v>158</v>
      </c>
      <c r="I20" s="4">
        <f>SUMIFS('SDR activity'!$F$2:$F$169,'SDR activity'!$B$2:$B$169,"s_amer_west_in",'SDR activity'!$C$2:$C$169,"oct25")</f>
        <v>111</v>
      </c>
      <c r="J20" s="4">
        <f>SUMIFS('SDR activity'!$F$2:$F$169,'SDR activity'!$B$2:$B$169,"s_amer_west_in",'SDR activity'!$C$2:$C$169,"nov25")</f>
        <v>157</v>
      </c>
      <c r="K20" s="4">
        <f>SUMIFS('SDR activity'!$F$2:$F$169,'SDR activity'!$B$2:$B$169,"s_amer_west_in",'SDR activity'!$C$2:$C$169,"dec25")</f>
        <v>191</v>
      </c>
      <c r="L20" s="4">
        <f>SUMIFS('SDR activity'!$F$2:$F$169,'SDR activity'!$B$2:$B$169,"s_amer_west_in",'SDR activity'!$C$2:$C$169,"jan26")</f>
        <v>110</v>
      </c>
      <c r="M20" s="4">
        <f>SUMIFS('SDR activity'!$F$2:$F$169,'SDR activity'!$B$2:$B$169,"s_amer_west_in",'SDR activity'!$C$2:$C$169,"feb26")</f>
        <v>181</v>
      </c>
      <c r="N20" s="4">
        <f>SUMIFS('SDR activity'!$F$2:$F$169,'SDR activity'!$B$2:$B$169,"s_amer_west_in",'SDR activity'!$C$2:$C$169,"mar26")</f>
        <v>104</v>
      </c>
      <c r="O20" s="4">
        <f>SUMIFS('SDR activity'!$F$2:$F$169,'SDR activity'!$B$2:$B$169,"s_amer_west_in",'SDR activity'!$C$2:$C$169,"apr26")</f>
        <v>107</v>
      </c>
      <c r="P20" s="4">
        <f>SUMIFS('SDR activity'!$F$2:$F$169,'SDR activity'!$B$2:$B$169,"s_amer_west_in",'SDR activity'!$C$2:$C$169,"may26")</f>
        <v>129</v>
      </c>
      <c r="Q20" s="4">
        <f>SUMIFS('SDR activity'!$F$2:$F$169,'SDR activity'!$B$2:$B$169,"s_amer_west_in",'SDR activity'!$C$2:$C$169,"jun26")</f>
        <v>204</v>
      </c>
      <c r="R20" s="4">
        <f>SUMIFS('SDR activity'!$F$2:$F$169,'SDR activity'!$B$2:$B$169,"s_amer_west_in",'SDR activity'!$C$2:$C$169,"jul26")</f>
        <v>230</v>
      </c>
      <c r="S20" s="4">
        <f>SUMIFS('SDR activity'!$F$2:$F$169,'SDR activity'!$B$2:$B$169,"s_amer_west_in",'SDR activity'!$C$2:$C$169,"aug26")</f>
        <v>122</v>
      </c>
      <c r="T20" s="4">
        <f>SUMIFS('SDR activity'!$F$2:$F$169,'SDR activity'!$B$2:$B$169,"s_amer_west_in",'SDR activity'!$C$2:$C$169,"sep26")</f>
        <v>172</v>
      </c>
      <c r="U20" s="4">
        <f>SUMIFS('SDR activity'!$F$2:$F$169,'SDR activity'!$B$2:$B$169,"s_amer_west_in",'SDR activity'!$C$2:$C$169,"oct26")</f>
        <v>102</v>
      </c>
      <c r="V20" s="4">
        <f>SUMIFS('SDR activity'!$F$2:$F$169,'SDR activity'!$B$2:$B$169,"s_amer_west_in",'SDR activity'!$C$2:$C$169,"nov26")</f>
        <v>70</v>
      </c>
      <c r="W20" s="4">
        <f>SUMIFS('SDR activity'!$F$2:$F$169,'SDR activity'!$B$2:$B$169,"s_amer_west_in",'SDR activity'!$C$2:$C$169,"dec26")</f>
        <v>105</v>
      </c>
    </row>
    <row r="21">
      <c r="A21" s="0" t="inlineStr">
        <is>
          <t xml:space="preserve">Connects</t>
        </is>
      </c>
      <c r="B21" s="0" t="inlineStr">
        <is>
          <t xml:space="preserve">Yuki Rahman</t>
        </is>
      </c>
      <c r="C21" s="4">
        <f>SUMIFS('SDR activity'!$F$2:$F$169,'SDR activity'!$B$2:$B$169,"s_amer_west_out",'SDR activity'!$C$2:$C$169,"apr25")</f>
        <v>49</v>
      </c>
      <c r="D21" s="4">
        <f>SUMIFS('SDR activity'!$F$2:$F$169,'SDR activity'!$B$2:$B$169,"s_amer_west_out",'SDR activity'!$C$2:$C$169,"may25")</f>
        <v>68</v>
      </c>
      <c r="E21" s="4">
        <f>SUMIFS('SDR activity'!$F$2:$F$169,'SDR activity'!$B$2:$B$169,"s_amer_west_out",'SDR activity'!$C$2:$C$169,"jun25")</f>
        <v>46</v>
      </c>
      <c r="F21" s="4">
        <f>SUMIFS('SDR activity'!$F$2:$F$169,'SDR activity'!$B$2:$B$169,"s_amer_west_out",'SDR activity'!$C$2:$C$169,"jul25")</f>
        <v>73</v>
      </c>
      <c r="G21" s="4">
        <f>SUMIFS('SDR activity'!$F$2:$F$169,'SDR activity'!$B$2:$B$169,"s_amer_west_out",'SDR activity'!$C$2:$C$169,"aug25")</f>
        <v>49</v>
      </c>
      <c r="H21" s="4">
        <f>SUMIFS('SDR activity'!$F$2:$F$169,'SDR activity'!$B$2:$B$169,"s_amer_west_out",'SDR activity'!$C$2:$C$169,"sep25")</f>
        <v>44</v>
      </c>
      <c r="I21" s="4">
        <f>SUMIFS('SDR activity'!$F$2:$F$169,'SDR activity'!$B$2:$B$169,"s_amer_west_out",'SDR activity'!$C$2:$C$169,"oct25")</f>
        <v>53</v>
      </c>
      <c r="J21" s="4">
        <f>SUMIFS('SDR activity'!$F$2:$F$169,'SDR activity'!$B$2:$B$169,"s_amer_west_out",'SDR activity'!$C$2:$C$169,"nov25")</f>
        <v>71</v>
      </c>
      <c r="K21" s="4">
        <f>SUMIFS('SDR activity'!$F$2:$F$169,'SDR activity'!$B$2:$B$169,"s_amer_west_out",'SDR activity'!$C$2:$C$169,"dec25")</f>
        <v>57</v>
      </c>
      <c r="L21" s="4">
        <f>SUMIFS('SDR activity'!$F$2:$F$169,'SDR activity'!$B$2:$B$169,"s_amer_west_out",'SDR activity'!$C$2:$C$169,"jan26")</f>
        <v>59</v>
      </c>
      <c r="M21" s="4">
        <f>SUMIFS('SDR activity'!$F$2:$F$169,'SDR activity'!$B$2:$B$169,"s_amer_west_out",'SDR activity'!$C$2:$C$169,"feb26")</f>
        <v>52</v>
      </c>
      <c r="N21" s="4">
        <f>SUMIFS('SDR activity'!$F$2:$F$169,'SDR activity'!$B$2:$B$169,"s_amer_west_out",'SDR activity'!$C$2:$C$169,"mar26")</f>
        <v>53</v>
      </c>
      <c r="O21" s="4">
        <f>SUMIFS('SDR activity'!$F$2:$F$169,'SDR activity'!$B$2:$B$169,"s_amer_west_out",'SDR activity'!$C$2:$C$169,"apr26")</f>
        <v>50</v>
      </c>
      <c r="P21" s="4">
        <f>SUMIFS('SDR activity'!$F$2:$F$169,'SDR activity'!$B$2:$B$169,"s_amer_west_out",'SDR activity'!$C$2:$C$169,"may26")</f>
        <v>46</v>
      </c>
      <c r="Q21" s="4">
        <f>SUMIFS('SDR activity'!$F$2:$F$169,'SDR activity'!$B$2:$B$169,"s_amer_west_out",'SDR activity'!$C$2:$C$169,"jun26")</f>
        <v>54</v>
      </c>
      <c r="R21" s="4">
        <f>SUMIFS('SDR activity'!$F$2:$F$169,'SDR activity'!$B$2:$B$169,"s_amer_west_out",'SDR activity'!$C$2:$C$169,"jul26")</f>
        <v>66</v>
      </c>
      <c r="S21" s="4">
        <f>SUMIFS('SDR activity'!$F$2:$F$169,'SDR activity'!$B$2:$B$169,"s_amer_west_out",'SDR activity'!$C$2:$C$169,"aug26")</f>
        <v>54</v>
      </c>
      <c r="T21" s="4">
        <f>SUMIFS('SDR activity'!$F$2:$F$169,'SDR activity'!$B$2:$B$169,"s_amer_west_out",'SDR activity'!$C$2:$C$169,"sep26")</f>
        <v>71</v>
      </c>
      <c r="U21" s="4">
        <f>SUMIFS('SDR activity'!$F$2:$F$169,'SDR activity'!$B$2:$B$169,"s_amer_west_out",'SDR activity'!$C$2:$C$169,"oct26")</f>
        <v>43</v>
      </c>
      <c r="V21" s="4">
        <f>SUMIFS('SDR activity'!$F$2:$F$169,'SDR activity'!$B$2:$B$169,"s_amer_west_out",'SDR activity'!$C$2:$C$169,"nov26")</f>
        <v>47</v>
      </c>
      <c r="W21" s="4">
        <f>SUMIFS('SDR activity'!$F$2:$F$169,'SDR activity'!$B$2:$B$169,"s_amer_west_out",'SDR activity'!$C$2:$C$169,"dec26")</f>
        <v>52</v>
      </c>
    </row>
    <row r="22">
      <c r="A22" s="0" t="inlineStr">
        <is>
          <t xml:space="preserve">Connects</t>
        </is>
      </c>
      <c r="B22" s="0" t="inlineStr">
        <is>
          <t xml:space="preserve">Chloe Patel</t>
        </is>
      </c>
      <c r="C22" s="4">
        <f>SUMIFS('SDR activity'!$F$2:$F$169,'SDR activity'!$B$2:$B$169,"s_emea_in",'SDR activity'!$C$2:$C$169,"apr25")</f>
        <v>203</v>
      </c>
      <c r="D22" s="4">
        <f>SUMIFS('SDR activity'!$F$2:$F$169,'SDR activity'!$B$2:$B$169,"s_emea_in",'SDR activity'!$C$2:$C$169,"may25")</f>
        <v>135</v>
      </c>
      <c r="E22" s="4">
        <f>SUMIFS('SDR activity'!$F$2:$F$169,'SDR activity'!$B$2:$B$169,"s_emea_in",'SDR activity'!$C$2:$C$169,"jun25")</f>
        <v>144</v>
      </c>
      <c r="F22" s="4">
        <f>SUMIFS('SDR activity'!$F$2:$F$169,'SDR activity'!$B$2:$B$169,"s_emea_in",'SDR activity'!$C$2:$C$169,"jul25")</f>
        <v>191</v>
      </c>
      <c r="G22" s="4">
        <f>SUMIFS('SDR activity'!$F$2:$F$169,'SDR activity'!$B$2:$B$169,"s_emea_in",'SDR activity'!$C$2:$C$169,"aug25")</f>
        <v>98</v>
      </c>
      <c r="H22" s="4">
        <f>SUMIFS('SDR activity'!$F$2:$F$169,'SDR activity'!$B$2:$B$169,"s_emea_in",'SDR activity'!$C$2:$C$169,"sep25")</f>
        <v>99</v>
      </c>
      <c r="I22" s="4">
        <f>SUMIFS('SDR activity'!$F$2:$F$169,'SDR activity'!$B$2:$B$169,"s_emea_in",'SDR activity'!$C$2:$C$169,"oct25")</f>
        <v>119</v>
      </c>
      <c r="J22" s="4">
        <f>SUMIFS('SDR activity'!$F$2:$F$169,'SDR activity'!$B$2:$B$169,"s_emea_in",'SDR activity'!$C$2:$C$169,"nov25")</f>
        <v>226</v>
      </c>
      <c r="K22" s="4">
        <f>SUMIFS('SDR activity'!$F$2:$F$169,'SDR activity'!$B$2:$B$169,"s_emea_in",'SDR activity'!$C$2:$C$169,"dec25")</f>
        <v>120</v>
      </c>
      <c r="L22" s="4">
        <f>SUMIFS('SDR activity'!$F$2:$F$169,'SDR activity'!$B$2:$B$169,"s_emea_in",'SDR activity'!$C$2:$C$169,"jan26")</f>
        <v>242</v>
      </c>
      <c r="M22" s="4">
        <f>SUMIFS('SDR activity'!$F$2:$F$169,'SDR activity'!$B$2:$B$169,"s_emea_in",'SDR activity'!$C$2:$C$169,"feb26")</f>
        <v>65</v>
      </c>
      <c r="N22" s="4">
        <f>SUMIFS('SDR activity'!$F$2:$F$169,'SDR activity'!$B$2:$B$169,"s_emea_in",'SDR activity'!$C$2:$C$169,"mar26")</f>
        <v>183</v>
      </c>
      <c r="O22" s="4">
        <f>SUMIFS('SDR activity'!$F$2:$F$169,'SDR activity'!$B$2:$B$169,"s_emea_in",'SDR activity'!$C$2:$C$169,"apr26")</f>
        <v>149</v>
      </c>
      <c r="P22" s="4">
        <f>SUMIFS('SDR activity'!$F$2:$F$169,'SDR activity'!$B$2:$B$169,"s_emea_in",'SDR activity'!$C$2:$C$169,"may26")</f>
        <v>88</v>
      </c>
      <c r="Q22" s="4">
        <f>SUMIFS('SDR activity'!$F$2:$F$169,'SDR activity'!$B$2:$B$169,"s_emea_in",'SDR activity'!$C$2:$C$169,"jun26")</f>
        <v>163</v>
      </c>
      <c r="R22" s="4">
        <f>SUMIFS('SDR activity'!$F$2:$F$169,'SDR activity'!$B$2:$B$169,"s_emea_in",'SDR activity'!$C$2:$C$169,"jul26")</f>
        <v>126</v>
      </c>
      <c r="S22" s="4">
        <f>SUMIFS('SDR activity'!$F$2:$F$169,'SDR activity'!$B$2:$B$169,"s_emea_in",'SDR activity'!$C$2:$C$169,"aug26")</f>
        <v>170</v>
      </c>
      <c r="T22" s="4">
        <f>SUMIFS('SDR activity'!$F$2:$F$169,'SDR activity'!$B$2:$B$169,"s_emea_in",'SDR activity'!$C$2:$C$169,"sep26")</f>
        <v>73</v>
      </c>
      <c r="U22" s="4">
        <f>SUMIFS('SDR activity'!$F$2:$F$169,'SDR activity'!$B$2:$B$169,"s_emea_in",'SDR activity'!$C$2:$C$169,"oct26")</f>
        <v>125</v>
      </c>
      <c r="V22" s="4">
        <f>SUMIFS('SDR activity'!$F$2:$F$169,'SDR activity'!$B$2:$B$169,"s_emea_in",'SDR activity'!$C$2:$C$169,"nov26")</f>
        <v>270</v>
      </c>
      <c r="W22" s="4">
        <f>SUMIFS('SDR activity'!$F$2:$F$169,'SDR activity'!$B$2:$B$169,"s_emea_in",'SDR activity'!$C$2:$C$169,"dec26")</f>
        <v>127</v>
      </c>
    </row>
    <row r="23">
      <c r="A23" s="0" t="inlineStr">
        <is>
          <t xml:space="preserve">Connects</t>
        </is>
      </c>
      <c r="B23" s="0" t="inlineStr">
        <is>
          <t xml:space="preserve">Samuel Kowalski</t>
        </is>
      </c>
      <c r="C23" s="4">
        <f>SUMIFS('SDR activity'!$F$2:$F$169,'SDR activity'!$B$2:$B$169,"s_emea_out",'SDR activity'!$C$2:$C$169,"apr25")</f>
        <v>37</v>
      </c>
      <c r="D23" s="4">
        <f>SUMIFS('SDR activity'!$F$2:$F$169,'SDR activity'!$B$2:$B$169,"s_emea_out",'SDR activity'!$C$2:$C$169,"may25")</f>
        <v>57</v>
      </c>
      <c r="E23" s="4">
        <f>SUMIFS('SDR activity'!$F$2:$F$169,'SDR activity'!$B$2:$B$169,"s_emea_out",'SDR activity'!$C$2:$C$169,"jun25")</f>
        <v>48</v>
      </c>
      <c r="F23" s="4">
        <f>SUMIFS('SDR activity'!$F$2:$F$169,'SDR activity'!$B$2:$B$169,"s_emea_out",'SDR activity'!$C$2:$C$169,"jul25")</f>
        <v>41</v>
      </c>
      <c r="G23" s="4">
        <f>SUMIFS('SDR activity'!$F$2:$F$169,'SDR activity'!$B$2:$B$169,"s_emea_out",'SDR activity'!$C$2:$C$169,"aug25")</f>
        <v>39</v>
      </c>
      <c r="H23" s="4">
        <f>SUMIFS('SDR activity'!$F$2:$F$169,'SDR activity'!$B$2:$B$169,"s_emea_out",'SDR activity'!$C$2:$C$169,"sep25")</f>
        <v>55</v>
      </c>
      <c r="I23" s="4">
        <f>SUMIFS('SDR activity'!$F$2:$F$169,'SDR activity'!$B$2:$B$169,"s_emea_out",'SDR activity'!$C$2:$C$169,"oct25")</f>
        <v>62</v>
      </c>
      <c r="J23" s="4">
        <f>SUMIFS('SDR activity'!$F$2:$F$169,'SDR activity'!$B$2:$B$169,"s_emea_out",'SDR activity'!$C$2:$C$169,"nov25")</f>
        <v>52</v>
      </c>
      <c r="K23" s="4">
        <f>SUMIFS('SDR activity'!$F$2:$F$169,'SDR activity'!$B$2:$B$169,"s_emea_out",'SDR activity'!$C$2:$C$169,"dec25")</f>
        <v>41</v>
      </c>
      <c r="L23" s="4">
        <f>SUMIFS('SDR activity'!$F$2:$F$169,'SDR activity'!$B$2:$B$169,"s_emea_out",'SDR activity'!$C$2:$C$169,"jan26")</f>
        <v>46</v>
      </c>
      <c r="M23" s="4">
        <f>SUMIFS('SDR activity'!$F$2:$F$169,'SDR activity'!$B$2:$B$169,"s_emea_out",'SDR activity'!$C$2:$C$169,"feb26")</f>
        <v>48</v>
      </c>
      <c r="N23" s="4">
        <f>SUMIFS('SDR activity'!$F$2:$F$169,'SDR activity'!$B$2:$B$169,"s_emea_out",'SDR activity'!$C$2:$C$169,"mar26")</f>
        <v>43</v>
      </c>
      <c r="O23" s="4">
        <f>SUMIFS('SDR activity'!$F$2:$F$169,'SDR activity'!$B$2:$B$169,"s_emea_out",'SDR activity'!$C$2:$C$169,"apr26")</f>
        <v>40</v>
      </c>
      <c r="P23" s="4">
        <f>SUMIFS('SDR activity'!$F$2:$F$169,'SDR activity'!$B$2:$B$169,"s_emea_out",'SDR activity'!$C$2:$C$169,"may26")</f>
        <v>54</v>
      </c>
      <c r="Q23" s="4">
        <f>SUMIFS('SDR activity'!$F$2:$F$169,'SDR activity'!$B$2:$B$169,"s_emea_out",'SDR activity'!$C$2:$C$169,"jun26")</f>
        <v>41</v>
      </c>
      <c r="R23" s="4">
        <f>SUMIFS('SDR activity'!$F$2:$F$169,'SDR activity'!$B$2:$B$169,"s_emea_out",'SDR activity'!$C$2:$C$169,"jul26")</f>
        <v>45</v>
      </c>
      <c r="S23" s="4">
        <f>SUMIFS('SDR activity'!$F$2:$F$169,'SDR activity'!$B$2:$B$169,"s_emea_out",'SDR activity'!$C$2:$C$169,"aug26")</f>
        <v>49</v>
      </c>
      <c r="T23" s="4">
        <f>SUMIFS('SDR activity'!$F$2:$F$169,'SDR activity'!$B$2:$B$169,"s_emea_out",'SDR activity'!$C$2:$C$169,"sep26")</f>
        <v>41</v>
      </c>
      <c r="U23" s="4">
        <f>SUMIFS('SDR activity'!$F$2:$F$169,'SDR activity'!$B$2:$B$169,"s_emea_out",'SDR activity'!$C$2:$C$169,"oct26")</f>
        <v>62</v>
      </c>
      <c r="V23" s="4">
        <f>SUMIFS('SDR activity'!$F$2:$F$169,'SDR activity'!$B$2:$B$169,"s_emea_out",'SDR activity'!$C$2:$C$169,"nov26")</f>
        <v>47</v>
      </c>
      <c r="W23" s="4">
        <f>SUMIFS('SDR activity'!$F$2:$F$169,'SDR activity'!$B$2:$B$169,"s_emea_out",'SDR activity'!$C$2:$C$169,"dec26")</f>
        <v>59</v>
      </c>
    </row>
    <row r="24">
      <c r="A24" s="0" t="inlineStr">
        <is>
          <t xml:space="preserve">Connects</t>
        </is>
      </c>
      <c r="B24" s="0" t="inlineStr">
        <is>
          <t xml:space="preserve">Rafael Ivanova</t>
        </is>
      </c>
      <c r="C24" s="4">
        <f>SUMIFS('SDR activity'!$F$2:$F$169,'SDR activity'!$B$2:$B$169,"s_apac_in",'SDR activity'!$C$2:$C$169,"apr25")</f>
        <v>23</v>
      </c>
      <c r="D24" s="4">
        <f>SUMIFS('SDR activity'!$F$2:$F$169,'SDR activity'!$B$2:$B$169,"s_apac_in",'SDR activity'!$C$2:$C$169,"may25")</f>
        <v>48</v>
      </c>
      <c r="E24" s="4">
        <f>SUMIFS('SDR activity'!$F$2:$F$169,'SDR activity'!$B$2:$B$169,"s_apac_in",'SDR activity'!$C$2:$C$169,"jun25")</f>
        <v>77</v>
      </c>
      <c r="F24" s="4">
        <f>SUMIFS('SDR activity'!$F$2:$F$169,'SDR activity'!$B$2:$B$169,"s_apac_in",'SDR activity'!$C$2:$C$169,"jul25")</f>
        <v>123</v>
      </c>
      <c r="G24" s="4">
        <f>SUMIFS('SDR activity'!$F$2:$F$169,'SDR activity'!$B$2:$B$169,"s_apac_in",'SDR activity'!$C$2:$C$169,"aug25")</f>
        <v>73</v>
      </c>
      <c r="H24" s="4">
        <f>SUMIFS('SDR activity'!$F$2:$F$169,'SDR activity'!$B$2:$B$169,"s_apac_in",'SDR activity'!$C$2:$C$169,"sep25")</f>
        <v>70</v>
      </c>
      <c r="I24" s="4">
        <f>SUMIFS('SDR activity'!$F$2:$F$169,'SDR activity'!$B$2:$B$169,"s_apac_in",'SDR activity'!$C$2:$C$169,"oct25")</f>
        <v>92</v>
      </c>
      <c r="J24" s="4">
        <f>SUMIFS('SDR activity'!$F$2:$F$169,'SDR activity'!$B$2:$B$169,"s_apac_in",'SDR activity'!$C$2:$C$169,"nov25")</f>
        <v>5</v>
      </c>
      <c r="K24" s="4">
        <f>SUMIFS('SDR activity'!$F$2:$F$169,'SDR activity'!$B$2:$B$169,"s_apac_in",'SDR activity'!$C$2:$C$169,"dec25")</f>
        <v>22</v>
      </c>
      <c r="L24" s="4">
        <f>SUMIFS('SDR activity'!$F$2:$F$169,'SDR activity'!$B$2:$B$169,"s_apac_in",'SDR activity'!$C$2:$C$169,"jan26")</f>
        <v>16</v>
      </c>
      <c r="M24" s="4">
        <f>SUMIFS('SDR activity'!$F$2:$F$169,'SDR activity'!$B$2:$B$169,"s_apac_in",'SDR activity'!$C$2:$C$169,"feb26")</f>
        <v>61</v>
      </c>
      <c r="N24" s="4">
        <f>SUMIFS('SDR activity'!$F$2:$F$169,'SDR activity'!$B$2:$B$169,"s_apac_in",'SDR activity'!$C$2:$C$169,"mar26")</f>
        <v>141</v>
      </c>
      <c r="O24" s="4">
        <f>SUMIFS('SDR activity'!$F$2:$F$169,'SDR activity'!$B$2:$B$169,"s_apac_in",'SDR activity'!$C$2:$C$169,"apr26")</f>
        <v>67</v>
      </c>
      <c r="P24" s="4">
        <f>SUMIFS('SDR activity'!$F$2:$F$169,'SDR activity'!$B$2:$B$169,"s_apac_in",'SDR activity'!$C$2:$C$169,"may26")</f>
        <v>52</v>
      </c>
      <c r="Q24" s="4">
        <f>SUMIFS('SDR activity'!$F$2:$F$169,'SDR activity'!$B$2:$B$169,"s_apac_in",'SDR activity'!$C$2:$C$169,"jun26")</f>
        <v>126</v>
      </c>
      <c r="R24" s="4">
        <f>SUMIFS('SDR activity'!$F$2:$F$169,'SDR activity'!$B$2:$B$169,"s_apac_in",'SDR activity'!$C$2:$C$169,"jul26")</f>
        <v>56</v>
      </c>
      <c r="S24" s="4">
        <f>SUMIFS('SDR activity'!$F$2:$F$169,'SDR activity'!$B$2:$B$169,"s_apac_in",'SDR activity'!$C$2:$C$169,"aug26")</f>
        <v>91</v>
      </c>
      <c r="T24" s="4">
        <f>SUMIFS('SDR activity'!$F$2:$F$169,'SDR activity'!$B$2:$B$169,"s_apac_in",'SDR activity'!$C$2:$C$169,"sep26")</f>
        <v>112</v>
      </c>
      <c r="U24" s="4">
        <f>SUMIFS('SDR activity'!$F$2:$F$169,'SDR activity'!$B$2:$B$169,"s_apac_in",'SDR activity'!$C$2:$C$169,"oct26")</f>
        <v>24</v>
      </c>
      <c r="V24" s="4">
        <f>SUMIFS('SDR activity'!$F$2:$F$169,'SDR activity'!$B$2:$B$169,"s_apac_in",'SDR activity'!$C$2:$C$169,"nov26")</f>
        <v>78</v>
      </c>
      <c r="W24" s="4">
        <f>SUMIFS('SDR activity'!$F$2:$F$169,'SDR activity'!$B$2:$B$169,"s_apac_in",'SDR activity'!$C$2:$C$169,"dec26")</f>
        <v>59</v>
      </c>
    </row>
    <row r="25">
      <c r="A25" s="0" t="inlineStr">
        <is>
          <t xml:space="preserve">Connects</t>
        </is>
      </c>
      <c r="B25" s="0" t="inlineStr">
        <is>
          <t xml:space="preserve">Wei Kowalski</t>
        </is>
      </c>
      <c r="C25" s="4">
        <f>SUMIFS('SDR activity'!$F$2:$F$169,'SDR activity'!$B$2:$B$169,"s_apac_out",'SDR activity'!$C$2:$C$169,"apr25")</f>
        <v>56</v>
      </c>
      <c r="D25" s="4">
        <f>SUMIFS('SDR activity'!$F$2:$F$169,'SDR activity'!$B$2:$B$169,"s_apac_out",'SDR activity'!$C$2:$C$169,"may25")</f>
        <v>55</v>
      </c>
      <c r="E25" s="4">
        <f>SUMIFS('SDR activity'!$F$2:$F$169,'SDR activity'!$B$2:$B$169,"s_apac_out",'SDR activity'!$C$2:$C$169,"jun25")</f>
        <v>44</v>
      </c>
      <c r="F25" s="4">
        <f>SUMIFS('SDR activity'!$F$2:$F$169,'SDR activity'!$B$2:$B$169,"s_apac_out",'SDR activity'!$C$2:$C$169,"jul25")</f>
        <v>50</v>
      </c>
      <c r="G25" s="4">
        <f>SUMIFS('SDR activity'!$F$2:$F$169,'SDR activity'!$B$2:$B$169,"s_apac_out",'SDR activity'!$C$2:$C$169,"aug25")</f>
        <v>52</v>
      </c>
      <c r="H25" s="4">
        <f>SUMIFS('SDR activity'!$F$2:$F$169,'SDR activity'!$B$2:$B$169,"s_apac_out",'SDR activity'!$C$2:$C$169,"sep25")</f>
        <v>58</v>
      </c>
      <c r="I25" s="4">
        <f>SUMIFS('SDR activity'!$F$2:$F$169,'SDR activity'!$B$2:$B$169,"s_apac_out",'SDR activity'!$C$2:$C$169,"oct25")</f>
        <v>63</v>
      </c>
      <c r="J25" s="4">
        <f>SUMIFS('SDR activity'!$F$2:$F$169,'SDR activity'!$B$2:$B$169,"s_apac_out",'SDR activity'!$C$2:$C$169,"nov25")</f>
        <v>63</v>
      </c>
      <c r="K25" s="4">
        <f>SUMIFS('SDR activity'!$F$2:$F$169,'SDR activity'!$B$2:$B$169,"s_apac_out",'SDR activity'!$C$2:$C$169,"dec25")</f>
        <v>40</v>
      </c>
      <c r="L25" s="4">
        <f>SUMIFS('SDR activity'!$F$2:$F$169,'SDR activity'!$B$2:$B$169,"s_apac_out",'SDR activity'!$C$2:$C$169,"jan26")</f>
        <v>55</v>
      </c>
      <c r="M25" s="4">
        <f>SUMIFS('SDR activity'!$F$2:$F$169,'SDR activity'!$B$2:$B$169,"s_apac_out",'SDR activity'!$C$2:$C$169,"feb26")</f>
        <v>64</v>
      </c>
      <c r="N25" s="4">
        <f>SUMIFS('SDR activity'!$F$2:$F$169,'SDR activity'!$B$2:$B$169,"s_apac_out",'SDR activity'!$C$2:$C$169,"mar26")</f>
        <v>79</v>
      </c>
      <c r="O25" s="4">
        <f>SUMIFS('SDR activity'!$F$2:$F$169,'SDR activity'!$B$2:$B$169,"s_apac_out",'SDR activity'!$C$2:$C$169,"apr26")</f>
        <v>51</v>
      </c>
      <c r="P25" s="4">
        <f>SUMIFS('SDR activity'!$F$2:$F$169,'SDR activity'!$B$2:$B$169,"s_apac_out",'SDR activity'!$C$2:$C$169,"may26")</f>
        <v>60</v>
      </c>
      <c r="Q25" s="4">
        <f>SUMIFS('SDR activity'!$F$2:$F$169,'SDR activity'!$B$2:$B$169,"s_apac_out",'SDR activity'!$C$2:$C$169,"jun26")</f>
        <v>67</v>
      </c>
      <c r="R25" s="4">
        <f>SUMIFS('SDR activity'!$F$2:$F$169,'SDR activity'!$B$2:$B$169,"s_apac_out",'SDR activity'!$C$2:$C$169,"jul26")</f>
        <v>62</v>
      </c>
      <c r="S25" s="4">
        <f>SUMIFS('SDR activity'!$F$2:$F$169,'SDR activity'!$B$2:$B$169,"s_apac_out",'SDR activity'!$C$2:$C$169,"aug26")</f>
        <v>55</v>
      </c>
      <c r="T25" s="4">
        <f>SUMIFS('SDR activity'!$F$2:$F$169,'SDR activity'!$B$2:$B$169,"s_apac_out",'SDR activity'!$C$2:$C$169,"sep26")</f>
        <v>49</v>
      </c>
      <c r="U25" s="4">
        <f>SUMIFS('SDR activity'!$F$2:$F$169,'SDR activity'!$B$2:$B$169,"s_apac_out",'SDR activity'!$C$2:$C$169,"oct26")</f>
        <v>65</v>
      </c>
      <c r="V25" s="4">
        <f>SUMIFS('SDR activity'!$F$2:$F$169,'SDR activity'!$B$2:$B$169,"s_apac_out",'SDR activity'!$C$2:$C$169,"nov26")</f>
        <v>57</v>
      </c>
      <c r="W25" s="4">
        <f>SUMIFS('SDR activity'!$F$2:$F$169,'SDR activity'!$B$2:$B$169,"s_apac_out",'SDR activity'!$C$2:$C$169,"dec26")</f>
        <v>50</v>
      </c>
    </row>
    <row r="26">
      <c r="A26" s="0" t="inlineStr">
        <is>
          <t xml:space="preserve">Meetings set</t>
        </is>
      </c>
      <c r="B26" s="0" t="inlineStr">
        <is>
          <t xml:space="preserve">Zara Kowalski</t>
        </is>
      </c>
      <c r="C26" s="4">
        <f>SUMIFS('SDR activity'!$G$2:$G$169,'SDR activity'!$B$2:$B$169,"s_amer_east_in",'SDR activity'!$C$2:$C$169,"apr25")</f>
        <v>30</v>
      </c>
      <c r="D26" s="4">
        <f>SUMIFS('SDR activity'!$G$2:$G$169,'SDR activity'!$B$2:$B$169,"s_amer_east_in",'SDR activity'!$C$2:$C$169,"may25")</f>
        <v>26</v>
      </c>
      <c r="E26" s="4">
        <f>SUMIFS('SDR activity'!$G$2:$G$169,'SDR activity'!$B$2:$B$169,"s_amer_east_in",'SDR activity'!$C$2:$C$169,"jun25")</f>
        <v>46</v>
      </c>
      <c r="F26" s="4">
        <f>SUMIFS('SDR activity'!$G$2:$G$169,'SDR activity'!$B$2:$B$169,"s_amer_east_in",'SDR activity'!$C$2:$C$169,"jul25")</f>
        <v>34</v>
      </c>
      <c r="G26" s="4">
        <f>SUMIFS('SDR activity'!$G$2:$G$169,'SDR activity'!$B$2:$B$169,"s_amer_east_in",'SDR activity'!$C$2:$C$169,"aug25")</f>
        <v>27</v>
      </c>
      <c r="H26" s="4">
        <f>SUMIFS('SDR activity'!$G$2:$G$169,'SDR activity'!$B$2:$B$169,"s_amer_east_in",'SDR activity'!$C$2:$C$169,"sep25")</f>
        <v>11</v>
      </c>
      <c r="I26" s="4">
        <f>SUMIFS('SDR activity'!$G$2:$G$169,'SDR activity'!$B$2:$B$169,"s_amer_east_in",'SDR activity'!$C$2:$C$169,"oct25")</f>
        <v>16</v>
      </c>
      <c r="J26" s="4">
        <f>SUMIFS('SDR activity'!$G$2:$G$169,'SDR activity'!$B$2:$B$169,"s_amer_east_in",'SDR activity'!$C$2:$C$169,"nov25")</f>
        <v>18</v>
      </c>
      <c r="K26" s="4">
        <f>SUMIFS('SDR activity'!$G$2:$G$169,'SDR activity'!$B$2:$B$169,"s_amer_east_in",'SDR activity'!$C$2:$C$169,"dec25")</f>
        <v>30</v>
      </c>
      <c r="L26" s="4">
        <f>SUMIFS('SDR activity'!$G$2:$G$169,'SDR activity'!$B$2:$B$169,"s_amer_east_in",'SDR activity'!$C$2:$C$169,"jan26")</f>
        <v>28</v>
      </c>
      <c r="M26" s="4">
        <f>SUMIFS('SDR activity'!$G$2:$G$169,'SDR activity'!$B$2:$B$169,"s_amer_east_in",'SDR activity'!$C$2:$C$169,"feb26")</f>
        <v>18</v>
      </c>
      <c r="N26" s="4">
        <f>SUMIFS('SDR activity'!$G$2:$G$169,'SDR activity'!$B$2:$B$169,"s_amer_east_in",'SDR activity'!$C$2:$C$169,"mar26")</f>
        <v>29</v>
      </c>
      <c r="O26" s="4">
        <f>SUMIFS('SDR activity'!$G$2:$G$169,'SDR activity'!$B$2:$B$169,"s_amer_east_in",'SDR activity'!$C$2:$C$169,"apr26")</f>
        <v>60</v>
      </c>
      <c r="P26" s="4">
        <f>SUMIFS('SDR activity'!$G$2:$G$169,'SDR activity'!$B$2:$B$169,"s_amer_east_in",'SDR activity'!$C$2:$C$169,"may26")</f>
        <v>40</v>
      </c>
      <c r="Q26" s="4">
        <f>SUMIFS('SDR activity'!$G$2:$G$169,'SDR activity'!$B$2:$B$169,"s_amer_east_in",'SDR activity'!$C$2:$C$169,"jun26")</f>
        <v>31</v>
      </c>
      <c r="R26" s="4">
        <f>SUMIFS('SDR activity'!$G$2:$G$169,'SDR activity'!$B$2:$B$169,"s_amer_east_in",'SDR activity'!$C$2:$C$169,"jul26")</f>
        <v>37</v>
      </c>
      <c r="S26" s="4">
        <f>SUMIFS('SDR activity'!$G$2:$G$169,'SDR activity'!$B$2:$B$169,"s_amer_east_in",'SDR activity'!$C$2:$C$169,"aug26")</f>
        <v>35</v>
      </c>
      <c r="T26" s="4">
        <f>SUMIFS('SDR activity'!$G$2:$G$169,'SDR activity'!$B$2:$B$169,"s_amer_east_in",'SDR activity'!$C$2:$C$169,"sep26")</f>
        <v>33</v>
      </c>
      <c r="U26" s="4">
        <f>SUMIFS('SDR activity'!$G$2:$G$169,'SDR activity'!$B$2:$B$169,"s_amer_east_in",'SDR activity'!$C$2:$C$169,"oct26")</f>
        <v>29</v>
      </c>
      <c r="V26" s="4">
        <f>SUMIFS('SDR activity'!$G$2:$G$169,'SDR activity'!$B$2:$B$169,"s_amer_east_in",'SDR activity'!$C$2:$C$169,"nov26")</f>
        <v>29</v>
      </c>
      <c r="W26" s="4">
        <f>SUMIFS('SDR activity'!$G$2:$G$169,'SDR activity'!$B$2:$B$169,"s_amer_east_in",'SDR activity'!$C$2:$C$169,"dec26")</f>
        <v>36</v>
      </c>
    </row>
    <row r="27">
      <c r="A27" s="0" t="inlineStr">
        <is>
          <t xml:space="preserve">Meetings set</t>
        </is>
      </c>
      <c r="B27" s="0" t="inlineStr">
        <is>
          <t xml:space="preserve">Kenji Kowalski</t>
        </is>
      </c>
      <c r="C27" s="4">
        <f>SUMIFS('SDR activity'!$G$2:$G$169,'SDR activity'!$B$2:$B$169,"s_amer_east_out",'SDR activity'!$C$2:$C$169,"apr25")</f>
        <v>9</v>
      </c>
      <c r="D27" s="4">
        <f>SUMIFS('SDR activity'!$G$2:$G$169,'SDR activity'!$B$2:$B$169,"s_amer_east_out",'SDR activity'!$C$2:$C$169,"may25")</f>
        <v>9</v>
      </c>
      <c r="E27" s="4">
        <f>SUMIFS('SDR activity'!$G$2:$G$169,'SDR activity'!$B$2:$B$169,"s_amer_east_out",'SDR activity'!$C$2:$C$169,"jun25")</f>
        <v>5</v>
      </c>
      <c r="F27" s="4">
        <f>SUMIFS('SDR activity'!$G$2:$G$169,'SDR activity'!$B$2:$B$169,"s_amer_east_out",'SDR activity'!$C$2:$C$169,"jul25")</f>
        <v>17</v>
      </c>
      <c r="G27" s="4">
        <f>SUMIFS('SDR activity'!$G$2:$G$169,'SDR activity'!$B$2:$B$169,"s_amer_east_out",'SDR activity'!$C$2:$C$169,"aug25")</f>
        <v>5</v>
      </c>
      <c r="H27" s="4">
        <f>SUMIFS('SDR activity'!$G$2:$G$169,'SDR activity'!$B$2:$B$169,"s_amer_east_out",'SDR activity'!$C$2:$C$169,"sep25")</f>
        <v>5</v>
      </c>
      <c r="I27" s="4">
        <f>SUMIFS('SDR activity'!$G$2:$G$169,'SDR activity'!$B$2:$B$169,"s_amer_east_out",'SDR activity'!$C$2:$C$169,"oct25")</f>
        <v>7</v>
      </c>
      <c r="J27" s="4">
        <f>SUMIFS('SDR activity'!$G$2:$G$169,'SDR activity'!$B$2:$B$169,"s_amer_east_out",'SDR activity'!$C$2:$C$169,"nov25")</f>
        <v>5</v>
      </c>
      <c r="K27" s="4">
        <f>SUMIFS('SDR activity'!$G$2:$G$169,'SDR activity'!$B$2:$B$169,"s_amer_east_out",'SDR activity'!$C$2:$C$169,"dec25")</f>
        <v>11</v>
      </c>
      <c r="L27" s="4">
        <f>SUMIFS('SDR activity'!$G$2:$G$169,'SDR activity'!$B$2:$B$169,"s_amer_east_out",'SDR activity'!$C$2:$C$169,"jan26")</f>
        <v>12</v>
      </c>
      <c r="M27" s="4">
        <f>SUMIFS('SDR activity'!$G$2:$G$169,'SDR activity'!$B$2:$B$169,"s_amer_east_out",'SDR activity'!$C$2:$C$169,"feb26")</f>
        <v>13</v>
      </c>
      <c r="N27" s="4">
        <f>SUMIFS('SDR activity'!$G$2:$G$169,'SDR activity'!$B$2:$B$169,"s_amer_east_out",'SDR activity'!$C$2:$C$169,"mar26")</f>
        <v>8</v>
      </c>
      <c r="O27" s="4">
        <f>SUMIFS('SDR activity'!$G$2:$G$169,'SDR activity'!$B$2:$B$169,"s_amer_east_out",'SDR activity'!$C$2:$C$169,"apr26")</f>
        <v>11</v>
      </c>
      <c r="P27" s="4">
        <f>SUMIFS('SDR activity'!$G$2:$G$169,'SDR activity'!$B$2:$B$169,"s_amer_east_out",'SDR activity'!$C$2:$C$169,"may26")</f>
        <v>4</v>
      </c>
      <c r="Q27" s="4">
        <f>SUMIFS('SDR activity'!$G$2:$G$169,'SDR activity'!$B$2:$B$169,"s_amer_east_out",'SDR activity'!$C$2:$C$169,"jun26")</f>
        <v>11</v>
      </c>
      <c r="R27" s="4">
        <f>SUMIFS('SDR activity'!$G$2:$G$169,'SDR activity'!$B$2:$B$169,"s_amer_east_out",'SDR activity'!$C$2:$C$169,"jul26")</f>
        <v>10</v>
      </c>
      <c r="S27" s="4">
        <f>SUMIFS('SDR activity'!$G$2:$G$169,'SDR activity'!$B$2:$B$169,"s_amer_east_out",'SDR activity'!$C$2:$C$169,"aug26")</f>
        <v>7</v>
      </c>
      <c r="T27" s="4">
        <f>SUMIFS('SDR activity'!$G$2:$G$169,'SDR activity'!$B$2:$B$169,"s_amer_east_out",'SDR activity'!$C$2:$C$169,"sep26")</f>
        <v>12</v>
      </c>
      <c r="U27" s="4">
        <f>SUMIFS('SDR activity'!$G$2:$G$169,'SDR activity'!$B$2:$B$169,"s_amer_east_out",'SDR activity'!$C$2:$C$169,"oct26")</f>
        <v>6</v>
      </c>
      <c r="V27" s="4">
        <f>SUMIFS('SDR activity'!$G$2:$G$169,'SDR activity'!$B$2:$B$169,"s_amer_east_out",'SDR activity'!$C$2:$C$169,"nov26")</f>
        <v>7</v>
      </c>
      <c r="W27" s="4">
        <f>SUMIFS('SDR activity'!$G$2:$G$169,'SDR activity'!$B$2:$B$169,"s_amer_east_out",'SDR activity'!$C$2:$C$169,"dec26")</f>
        <v>7</v>
      </c>
    </row>
    <row r="28">
      <c r="A28" s="0" t="inlineStr">
        <is>
          <t xml:space="preserve">Meetings set</t>
        </is>
      </c>
      <c r="B28" s="0" t="inlineStr">
        <is>
          <t xml:space="preserve">Marcus Nair</t>
        </is>
      </c>
      <c r="C28" s="4">
        <f>SUMIFS('SDR activity'!$G$2:$G$169,'SDR activity'!$B$2:$B$169,"s_amer_west_in",'SDR activity'!$C$2:$C$169,"apr25")</f>
        <v>26</v>
      </c>
      <c r="D28" s="4">
        <f>SUMIFS('SDR activity'!$G$2:$G$169,'SDR activity'!$B$2:$B$169,"s_amer_west_in",'SDR activity'!$C$2:$C$169,"may25")</f>
        <v>22</v>
      </c>
      <c r="E28" s="4">
        <f>SUMIFS('SDR activity'!$G$2:$G$169,'SDR activity'!$B$2:$B$169,"s_amer_west_in",'SDR activity'!$C$2:$C$169,"jun25")</f>
        <v>19</v>
      </c>
      <c r="F28" s="4">
        <f>SUMIFS('SDR activity'!$G$2:$G$169,'SDR activity'!$B$2:$B$169,"s_amer_west_in",'SDR activity'!$C$2:$C$169,"jul25")</f>
        <v>19</v>
      </c>
      <c r="G28" s="4">
        <f>SUMIFS('SDR activity'!$G$2:$G$169,'SDR activity'!$B$2:$B$169,"s_amer_west_in",'SDR activity'!$C$2:$C$169,"aug25")</f>
        <v>21</v>
      </c>
      <c r="H28" s="4">
        <f>SUMIFS('SDR activity'!$G$2:$G$169,'SDR activity'!$B$2:$B$169,"s_amer_west_in",'SDR activity'!$C$2:$C$169,"sep25")</f>
        <v>28</v>
      </c>
      <c r="I28" s="4">
        <f>SUMIFS('SDR activity'!$G$2:$G$169,'SDR activity'!$B$2:$B$169,"s_amer_west_in",'SDR activity'!$C$2:$C$169,"oct25")</f>
        <v>19</v>
      </c>
      <c r="J28" s="4">
        <f>SUMIFS('SDR activity'!$G$2:$G$169,'SDR activity'!$B$2:$B$169,"s_amer_west_in",'SDR activity'!$C$2:$C$169,"nov25")</f>
        <v>26</v>
      </c>
      <c r="K28" s="4">
        <f>SUMIFS('SDR activity'!$G$2:$G$169,'SDR activity'!$B$2:$B$169,"s_amer_west_in",'SDR activity'!$C$2:$C$169,"dec25")</f>
        <v>31</v>
      </c>
      <c r="L28" s="4">
        <f>SUMIFS('SDR activity'!$G$2:$G$169,'SDR activity'!$B$2:$B$169,"s_amer_west_in",'SDR activity'!$C$2:$C$169,"jan26")</f>
        <v>18</v>
      </c>
      <c r="M28" s="4">
        <f>SUMIFS('SDR activity'!$G$2:$G$169,'SDR activity'!$B$2:$B$169,"s_amer_west_in",'SDR activity'!$C$2:$C$169,"feb26")</f>
        <v>29</v>
      </c>
      <c r="N28" s="4">
        <f>SUMIFS('SDR activity'!$G$2:$G$169,'SDR activity'!$B$2:$B$169,"s_amer_west_in",'SDR activity'!$C$2:$C$169,"mar26")</f>
        <v>21</v>
      </c>
      <c r="O28" s="4">
        <f>SUMIFS('SDR activity'!$G$2:$G$169,'SDR activity'!$B$2:$B$169,"s_amer_west_in",'SDR activity'!$C$2:$C$169,"apr26")</f>
        <v>27</v>
      </c>
      <c r="P28" s="4">
        <f>SUMIFS('SDR activity'!$G$2:$G$169,'SDR activity'!$B$2:$B$169,"s_amer_west_in",'SDR activity'!$C$2:$C$169,"may26")</f>
        <v>27</v>
      </c>
      <c r="Q28" s="4">
        <f>SUMIFS('SDR activity'!$G$2:$G$169,'SDR activity'!$B$2:$B$169,"s_amer_west_in",'SDR activity'!$C$2:$C$169,"jun26")</f>
        <v>43</v>
      </c>
      <c r="R28" s="4">
        <f>SUMIFS('SDR activity'!$G$2:$G$169,'SDR activity'!$B$2:$B$169,"s_amer_west_in",'SDR activity'!$C$2:$C$169,"jul26")</f>
        <v>42</v>
      </c>
      <c r="S28" s="4">
        <f>SUMIFS('SDR activity'!$G$2:$G$169,'SDR activity'!$B$2:$B$169,"s_amer_west_in",'SDR activity'!$C$2:$C$169,"aug26")</f>
        <v>20</v>
      </c>
      <c r="T28" s="4">
        <f>SUMIFS('SDR activity'!$G$2:$G$169,'SDR activity'!$B$2:$B$169,"s_amer_west_in",'SDR activity'!$C$2:$C$169,"sep26")</f>
        <v>30</v>
      </c>
      <c r="U28" s="4">
        <f>SUMIFS('SDR activity'!$G$2:$G$169,'SDR activity'!$B$2:$B$169,"s_amer_west_in",'SDR activity'!$C$2:$C$169,"oct26")</f>
        <v>18</v>
      </c>
      <c r="V28" s="4">
        <f>SUMIFS('SDR activity'!$G$2:$G$169,'SDR activity'!$B$2:$B$169,"s_amer_west_in",'SDR activity'!$C$2:$C$169,"nov26")</f>
        <v>12</v>
      </c>
      <c r="W28" s="4">
        <f>SUMIFS('SDR activity'!$G$2:$G$169,'SDR activity'!$B$2:$B$169,"s_amer_west_in",'SDR activity'!$C$2:$C$169,"dec26")</f>
        <v>29</v>
      </c>
    </row>
    <row r="29">
      <c r="A29" s="0" t="inlineStr">
        <is>
          <t xml:space="preserve">Meetings set</t>
        </is>
      </c>
      <c r="B29" s="0" t="inlineStr">
        <is>
          <t xml:space="preserve">Yuki Rahman</t>
        </is>
      </c>
      <c r="C29" s="4">
        <f>SUMIFS('SDR activity'!$G$2:$G$169,'SDR activity'!$B$2:$B$169,"s_amer_west_out",'SDR activity'!$C$2:$C$169,"apr25")</f>
        <v>8</v>
      </c>
      <c r="D29" s="4">
        <f>SUMIFS('SDR activity'!$G$2:$G$169,'SDR activity'!$B$2:$B$169,"s_amer_west_out",'SDR activity'!$C$2:$C$169,"may25")</f>
        <v>18</v>
      </c>
      <c r="E29" s="4">
        <f>SUMIFS('SDR activity'!$G$2:$G$169,'SDR activity'!$B$2:$B$169,"s_amer_west_out",'SDR activity'!$C$2:$C$169,"jun25")</f>
        <v>7</v>
      </c>
      <c r="F29" s="4">
        <f>SUMIFS('SDR activity'!$G$2:$G$169,'SDR activity'!$B$2:$B$169,"s_amer_west_out",'SDR activity'!$C$2:$C$169,"jul25")</f>
        <v>18</v>
      </c>
      <c r="G29" s="4">
        <f>SUMIFS('SDR activity'!$G$2:$G$169,'SDR activity'!$B$2:$B$169,"s_amer_west_out",'SDR activity'!$C$2:$C$169,"aug25")</f>
        <v>10</v>
      </c>
      <c r="H29" s="4">
        <f>SUMIFS('SDR activity'!$G$2:$G$169,'SDR activity'!$B$2:$B$169,"s_amer_west_out",'SDR activity'!$C$2:$C$169,"sep25")</f>
        <v>8</v>
      </c>
      <c r="I29" s="4">
        <f>SUMIFS('SDR activity'!$G$2:$G$169,'SDR activity'!$B$2:$B$169,"s_amer_west_out",'SDR activity'!$C$2:$C$169,"oct25")</f>
        <v>6</v>
      </c>
      <c r="J29" s="4">
        <f>SUMIFS('SDR activity'!$G$2:$G$169,'SDR activity'!$B$2:$B$169,"s_amer_west_out",'SDR activity'!$C$2:$C$169,"nov25")</f>
        <v>11</v>
      </c>
      <c r="K29" s="4">
        <f>SUMIFS('SDR activity'!$G$2:$G$169,'SDR activity'!$B$2:$B$169,"s_amer_west_out",'SDR activity'!$C$2:$C$169,"dec25")</f>
        <v>8</v>
      </c>
      <c r="L29" s="4">
        <f>SUMIFS('SDR activity'!$G$2:$G$169,'SDR activity'!$B$2:$B$169,"s_amer_west_out",'SDR activity'!$C$2:$C$169,"jan26")</f>
        <v>11</v>
      </c>
      <c r="M29" s="4">
        <f>SUMIFS('SDR activity'!$G$2:$G$169,'SDR activity'!$B$2:$B$169,"s_amer_west_out",'SDR activity'!$C$2:$C$169,"feb26")</f>
        <v>8</v>
      </c>
      <c r="N29" s="4">
        <f>SUMIFS('SDR activity'!$G$2:$G$169,'SDR activity'!$B$2:$B$169,"s_amer_west_out",'SDR activity'!$C$2:$C$169,"mar26")</f>
        <v>8</v>
      </c>
      <c r="O29" s="4">
        <f>SUMIFS('SDR activity'!$G$2:$G$169,'SDR activity'!$B$2:$B$169,"s_amer_west_out",'SDR activity'!$C$2:$C$169,"apr26")</f>
        <v>7</v>
      </c>
      <c r="P29" s="4">
        <f>SUMIFS('SDR activity'!$G$2:$G$169,'SDR activity'!$B$2:$B$169,"s_amer_west_out",'SDR activity'!$C$2:$C$169,"may26")</f>
        <v>10</v>
      </c>
      <c r="Q29" s="4">
        <f>SUMIFS('SDR activity'!$G$2:$G$169,'SDR activity'!$B$2:$B$169,"s_amer_west_out",'SDR activity'!$C$2:$C$169,"jun26")</f>
        <v>11</v>
      </c>
      <c r="R29" s="4">
        <f>SUMIFS('SDR activity'!$G$2:$G$169,'SDR activity'!$B$2:$B$169,"s_amer_west_out",'SDR activity'!$C$2:$C$169,"jul26")</f>
        <v>9</v>
      </c>
      <c r="S29" s="4">
        <f>SUMIFS('SDR activity'!$G$2:$G$169,'SDR activity'!$B$2:$B$169,"s_amer_west_out",'SDR activity'!$C$2:$C$169,"aug26")</f>
        <v>12</v>
      </c>
      <c r="T29" s="4">
        <f>SUMIFS('SDR activity'!$G$2:$G$169,'SDR activity'!$B$2:$B$169,"s_amer_west_out",'SDR activity'!$C$2:$C$169,"sep26")</f>
        <v>16</v>
      </c>
      <c r="U29" s="4">
        <f>SUMIFS('SDR activity'!$G$2:$G$169,'SDR activity'!$B$2:$B$169,"s_amer_west_out",'SDR activity'!$C$2:$C$169,"oct26")</f>
        <v>7</v>
      </c>
      <c r="V29" s="4">
        <f>SUMIFS('SDR activity'!$G$2:$G$169,'SDR activity'!$B$2:$B$169,"s_amer_west_out",'SDR activity'!$C$2:$C$169,"nov26")</f>
        <v>10</v>
      </c>
      <c r="W29" s="4">
        <f>SUMIFS('SDR activity'!$G$2:$G$169,'SDR activity'!$B$2:$B$169,"s_amer_west_out",'SDR activity'!$C$2:$C$169,"dec26")</f>
        <v>12</v>
      </c>
    </row>
    <row r="30">
      <c r="A30" s="0" t="inlineStr">
        <is>
          <t xml:space="preserve">Meetings set</t>
        </is>
      </c>
      <c r="B30" s="0" t="inlineStr">
        <is>
          <t xml:space="preserve">Chloe Patel</t>
        </is>
      </c>
      <c r="C30" s="4">
        <f>SUMIFS('SDR activity'!$G$2:$G$169,'SDR activity'!$B$2:$B$169,"s_emea_in",'SDR activity'!$C$2:$C$169,"apr25")</f>
        <v>33</v>
      </c>
      <c r="D30" s="4">
        <f>SUMIFS('SDR activity'!$G$2:$G$169,'SDR activity'!$B$2:$B$169,"s_emea_in",'SDR activity'!$C$2:$C$169,"may25")</f>
        <v>25</v>
      </c>
      <c r="E30" s="4">
        <f>SUMIFS('SDR activity'!$G$2:$G$169,'SDR activity'!$B$2:$B$169,"s_emea_in",'SDR activity'!$C$2:$C$169,"jun25")</f>
        <v>29</v>
      </c>
      <c r="F30" s="4">
        <f>SUMIFS('SDR activity'!$G$2:$G$169,'SDR activity'!$B$2:$B$169,"s_emea_in",'SDR activity'!$C$2:$C$169,"jul25")</f>
        <v>35</v>
      </c>
      <c r="G30" s="4">
        <f>SUMIFS('SDR activity'!$G$2:$G$169,'SDR activity'!$B$2:$B$169,"s_emea_in",'SDR activity'!$C$2:$C$169,"aug25")</f>
        <v>16</v>
      </c>
      <c r="H30" s="4">
        <f>SUMIFS('SDR activity'!$G$2:$G$169,'SDR activity'!$B$2:$B$169,"s_emea_in",'SDR activity'!$C$2:$C$169,"sep25")</f>
        <v>18</v>
      </c>
      <c r="I30" s="4">
        <f>SUMIFS('SDR activity'!$G$2:$G$169,'SDR activity'!$B$2:$B$169,"s_emea_in",'SDR activity'!$C$2:$C$169,"oct25")</f>
        <v>20</v>
      </c>
      <c r="J30" s="4">
        <f>SUMIFS('SDR activity'!$G$2:$G$169,'SDR activity'!$B$2:$B$169,"s_emea_in",'SDR activity'!$C$2:$C$169,"nov25")</f>
        <v>32</v>
      </c>
      <c r="K30" s="4">
        <f>SUMIFS('SDR activity'!$G$2:$G$169,'SDR activity'!$B$2:$B$169,"s_emea_in",'SDR activity'!$C$2:$C$169,"dec25")</f>
        <v>29</v>
      </c>
      <c r="L30" s="4">
        <f>SUMIFS('SDR activity'!$G$2:$G$169,'SDR activity'!$B$2:$B$169,"s_emea_in",'SDR activity'!$C$2:$C$169,"jan26")</f>
        <v>35</v>
      </c>
      <c r="M30" s="4">
        <f>SUMIFS('SDR activity'!$G$2:$G$169,'SDR activity'!$B$2:$B$169,"s_emea_in",'SDR activity'!$C$2:$C$169,"feb26")</f>
        <v>18</v>
      </c>
      <c r="N30" s="4">
        <f>SUMIFS('SDR activity'!$G$2:$G$169,'SDR activity'!$B$2:$B$169,"s_emea_in",'SDR activity'!$C$2:$C$169,"mar26")</f>
        <v>28</v>
      </c>
      <c r="O30" s="4">
        <f>SUMIFS('SDR activity'!$G$2:$G$169,'SDR activity'!$B$2:$B$169,"s_emea_in",'SDR activity'!$C$2:$C$169,"apr26")</f>
        <v>26</v>
      </c>
      <c r="P30" s="4">
        <f>SUMIFS('SDR activity'!$G$2:$G$169,'SDR activity'!$B$2:$B$169,"s_emea_in",'SDR activity'!$C$2:$C$169,"may26")</f>
        <v>14</v>
      </c>
      <c r="Q30" s="4">
        <f>SUMIFS('SDR activity'!$G$2:$G$169,'SDR activity'!$B$2:$B$169,"s_emea_in",'SDR activity'!$C$2:$C$169,"jun26")</f>
        <v>32</v>
      </c>
      <c r="R30" s="4">
        <f>SUMIFS('SDR activity'!$G$2:$G$169,'SDR activity'!$B$2:$B$169,"s_emea_in",'SDR activity'!$C$2:$C$169,"jul26")</f>
        <v>25</v>
      </c>
      <c r="S30" s="4">
        <f>SUMIFS('SDR activity'!$G$2:$G$169,'SDR activity'!$B$2:$B$169,"s_emea_in",'SDR activity'!$C$2:$C$169,"aug26")</f>
        <v>30</v>
      </c>
      <c r="T30" s="4">
        <f>SUMIFS('SDR activity'!$G$2:$G$169,'SDR activity'!$B$2:$B$169,"s_emea_in",'SDR activity'!$C$2:$C$169,"sep26")</f>
        <v>13</v>
      </c>
      <c r="U30" s="4">
        <f>SUMIFS('SDR activity'!$G$2:$G$169,'SDR activity'!$B$2:$B$169,"s_emea_in",'SDR activity'!$C$2:$C$169,"oct26")</f>
        <v>26</v>
      </c>
      <c r="V30" s="4">
        <f>SUMIFS('SDR activity'!$G$2:$G$169,'SDR activity'!$B$2:$B$169,"s_emea_in",'SDR activity'!$C$2:$C$169,"nov26")</f>
        <v>45</v>
      </c>
      <c r="W30" s="4">
        <f>SUMIFS('SDR activity'!$G$2:$G$169,'SDR activity'!$B$2:$B$169,"s_emea_in",'SDR activity'!$C$2:$C$169,"dec26")</f>
        <v>20</v>
      </c>
    </row>
    <row r="31">
      <c r="A31" s="0" t="inlineStr">
        <is>
          <t xml:space="preserve">Meetings set</t>
        </is>
      </c>
      <c r="B31" s="0" t="inlineStr">
        <is>
          <t xml:space="preserve">Samuel Kowalski</t>
        </is>
      </c>
      <c r="C31" s="4">
        <f>SUMIFS('SDR activity'!$G$2:$G$169,'SDR activity'!$B$2:$B$169,"s_emea_out",'SDR activity'!$C$2:$C$169,"apr25")</f>
        <v>4</v>
      </c>
      <c r="D31" s="4">
        <f>SUMIFS('SDR activity'!$G$2:$G$169,'SDR activity'!$B$2:$B$169,"s_emea_out",'SDR activity'!$C$2:$C$169,"may25")</f>
        <v>13</v>
      </c>
      <c r="E31" s="4">
        <f>SUMIFS('SDR activity'!$G$2:$G$169,'SDR activity'!$B$2:$B$169,"s_emea_out",'SDR activity'!$C$2:$C$169,"jun25")</f>
        <v>10</v>
      </c>
      <c r="F31" s="4">
        <f>SUMIFS('SDR activity'!$G$2:$G$169,'SDR activity'!$B$2:$B$169,"s_emea_out",'SDR activity'!$C$2:$C$169,"jul25")</f>
        <v>7</v>
      </c>
      <c r="G31" s="4">
        <f>SUMIFS('SDR activity'!$G$2:$G$169,'SDR activity'!$B$2:$B$169,"s_emea_out",'SDR activity'!$C$2:$C$169,"aug25")</f>
        <v>7</v>
      </c>
      <c r="H31" s="4">
        <f>SUMIFS('SDR activity'!$G$2:$G$169,'SDR activity'!$B$2:$B$169,"s_emea_out",'SDR activity'!$C$2:$C$169,"sep25")</f>
        <v>9</v>
      </c>
      <c r="I31" s="4">
        <f>SUMIFS('SDR activity'!$G$2:$G$169,'SDR activity'!$B$2:$B$169,"s_emea_out",'SDR activity'!$C$2:$C$169,"oct25")</f>
        <v>11</v>
      </c>
      <c r="J31" s="4">
        <f>SUMIFS('SDR activity'!$G$2:$G$169,'SDR activity'!$B$2:$B$169,"s_emea_out",'SDR activity'!$C$2:$C$169,"nov25")</f>
        <v>6</v>
      </c>
      <c r="K31" s="4">
        <f>SUMIFS('SDR activity'!$G$2:$G$169,'SDR activity'!$B$2:$B$169,"s_emea_out",'SDR activity'!$C$2:$C$169,"dec25")</f>
        <v>9</v>
      </c>
      <c r="L31" s="4">
        <f>SUMIFS('SDR activity'!$G$2:$G$169,'SDR activity'!$B$2:$B$169,"s_emea_out",'SDR activity'!$C$2:$C$169,"jan26")</f>
        <v>12</v>
      </c>
      <c r="M31" s="4">
        <f>SUMIFS('SDR activity'!$G$2:$G$169,'SDR activity'!$B$2:$B$169,"s_emea_out",'SDR activity'!$C$2:$C$169,"feb26")</f>
        <v>13</v>
      </c>
      <c r="N31" s="4">
        <f>SUMIFS('SDR activity'!$G$2:$G$169,'SDR activity'!$B$2:$B$169,"s_emea_out",'SDR activity'!$C$2:$C$169,"mar26")</f>
        <v>4</v>
      </c>
      <c r="O31" s="4">
        <f>SUMIFS('SDR activity'!$G$2:$G$169,'SDR activity'!$B$2:$B$169,"s_emea_out",'SDR activity'!$C$2:$C$169,"apr26")</f>
        <v>7</v>
      </c>
      <c r="P31" s="4">
        <f>SUMIFS('SDR activity'!$G$2:$G$169,'SDR activity'!$B$2:$B$169,"s_emea_out",'SDR activity'!$C$2:$C$169,"may26")</f>
        <v>11</v>
      </c>
      <c r="Q31" s="4">
        <f>SUMIFS('SDR activity'!$G$2:$G$169,'SDR activity'!$B$2:$B$169,"s_emea_out",'SDR activity'!$C$2:$C$169,"jun26")</f>
        <v>5</v>
      </c>
      <c r="R31" s="4">
        <f>SUMIFS('SDR activity'!$G$2:$G$169,'SDR activity'!$B$2:$B$169,"s_emea_out",'SDR activity'!$C$2:$C$169,"jul26")</f>
        <v>12</v>
      </c>
      <c r="S31" s="4">
        <f>SUMIFS('SDR activity'!$G$2:$G$169,'SDR activity'!$B$2:$B$169,"s_emea_out",'SDR activity'!$C$2:$C$169,"aug26")</f>
        <v>9</v>
      </c>
      <c r="T31" s="4">
        <f>SUMIFS('SDR activity'!$G$2:$G$169,'SDR activity'!$B$2:$B$169,"s_emea_out",'SDR activity'!$C$2:$C$169,"sep26")</f>
        <v>2</v>
      </c>
      <c r="U31" s="4">
        <f>SUMIFS('SDR activity'!$G$2:$G$169,'SDR activity'!$B$2:$B$169,"s_emea_out",'SDR activity'!$C$2:$C$169,"oct26")</f>
        <v>11</v>
      </c>
      <c r="V31" s="4">
        <f>SUMIFS('SDR activity'!$G$2:$G$169,'SDR activity'!$B$2:$B$169,"s_emea_out",'SDR activity'!$C$2:$C$169,"nov26")</f>
        <v>7</v>
      </c>
      <c r="W31" s="4">
        <f>SUMIFS('SDR activity'!$G$2:$G$169,'SDR activity'!$B$2:$B$169,"s_emea_out",'SDR activity'!$C$2:$C$169,"dec26")</f>
        <v>9</v>
      </c>
    </row>
    <row r="32">
      <c r="A32" s="0" t="inlineStr">
        <is>
          <t xml:space="preserve">Meetings set</t>
        </is>
      </c>
      <c r="B32" s="0" t="inlineStr">
        <is>
          <t xml:space="preserve">Rafael Ivanova</t>
        </is>
      </c>
      <c r="C32" s="4">
        <f>SUMIFS('SDR activity'!$G$2:$G$169,'SDR activity'!$B$2:$B$169,"s_apac_in",'SDR activity'!$C$2:$C$169,"apr25")</f>
        <v>4</v>
      </c>
      <c r="D32" s="4">
        <f>SUMIFS('SDR activity'!$G$2:$G$169,'SDR activity'!$B$2:$B$169,"s_apac_in",'SDR activity'!$C$2:$C$169,"may25")</f>
        <v>8</v>
      </c>
      <c r="E32" s="4">
        <f>SUMIFS('SDR activity'!$G$2:$G$169,'SDR activity'!$B$2:$B$169,"s_apac_in",'SDR activity'!$C$2:$C$169,"jun25")</f>
        <v>14</v>
      </c>
      <c r="F32" s="4">
        <f>SUMIFS('SDR activity'!$G$2:$G$169,'SDR activity'!$B$2:$B$169,"s_apac_in",'SDR activity'!$C$2:$C$169,"jul25")</f>
        <v>21</v>
      </c>
      <c r="G32" s="4">
        <f>SUMIFS('SDR activity'!$G$2:$G$169,'SDR activity'!$B$2:$B$169,"s_apac_in",'SDR activity'!$C$2:$C$169,"aug25")</f>
        <v>16</v>
      </c>
      <c r="H32" s="4">
        <f>SUMIFS('SDR activity'!$G$2:$G$169,'SDR activity'!$B$2:$B$169,"s_apac_in",'SDR activity'!$C$2:$C$169,"sep25")</f>
        <v>13</v>
      </c>
      <c r="I32" s="4">
        <f>SUMIFS('SDR activity'!$G$2:$G$169,'SDR activity'!$B$2:$B$169,"s_apac_in",'SDR activity'!$C$2:$C$169,"oct25")</f>
        <v>13</v>
      </c>
      <c r="J32" s="4">
        <f>SUMIFS('SDR activity'!$G$2:$G$169,'SDR activity'!$B$2:$B$169,"s_apac_in",'SDR activity'!$C$2:$C$169,"nov25")</f>
        <v>1</v>
      </c>
      <c r="K32" s="4">
        <f>SUMIFS('SDR activity'!$G$2:$G$169,'SDR activity'!$B$2:$B$169,"s_apac_in",'SDR activity'!$C$2:$C$169,"dec25")</f>
        <v>4</v>
      </c>
      <c r="L32" s="4">
        <f>SUMIFS('SDR activity'!$G$2:$G$169,'SDR activity'!$B$2:$B$169,"s_apac_in",'SDR activity'!$C$2:$C$169,"jan26")</f>
        <v>3</v>
      </c>
      <c r="M32" s="4">
        <f>SUMIFS('SDR activity'!$G$2:$G$169,'SDR activity'!$B$2:$B$169,"s_apac_in",'SDR activity'!$C$2:$C$169,"feb26")</f>
        <v>12</v>
      </c>
      <c r="N32" s="4">
        <f>SUMIFS('SDR activity'!$G$2:$G$169,'SDR activity'!$B$2:$B$169,"s_apac_in",'SDR activity'!$C$2:$C$169,"mar26")</f>
        <v>29</v>
      </c>
      <c r="O32" s="4">
        <f>SUMIFS('SDR activity'!$G$2:$G$169,'SDR activity'!$B$2:$B$169,"s_apac_in",'SDR activity'!$C$2:$C$169,"apr26")</f>
        <v>12</v>
      </c>
      <c r="P32" s="4">
        <f>SUMIFS('SDR activity'!$G$2:$G$169,'SDR activity'!$B$2:$B$169,"s_apac_in",'SDR activity'!$C$2:$C$169,"may26")</f>
        <v>10</v>
      </c>
      <c r="Q32" s="4">
        <f>SUMIFS('SDR activity'!$G$2:$G$169,'SDR activity'!$B$2:$B$169,"s_apac_in",'SDR activity'!$C$2:$C$169,"jun26")</f>
        <v>24</v>
      </c>
      <c r="R32" s="4">
        <f>SUMIFS('SDR activity'!$G$2:$G$169,'SDR activity'!$B$2:$B$169,"s_apac_in",'SDR activity'!$C$2:$C$169,"jul26")</f>
        <v>10</v>
      </c>
      <c r="S32" s="4">
        <f>SUMIFS('SDR activity'!$G$2:$G$169,'SDR activity'!$B$2:$B$169,"s_apac_in",'SDR activity'!$C$2:$C$169,"aug26")</f>
        <v>16</v>
      </c>
      <c r="T32" s="4">
        <f>SUMIFS('SDR activity'!$G$2:$G$169,'SDR activity'!$B$2:$B$169,"s_apac_in",'SDR activity'!$C$2:$C$169,"sep26")</f>
        <v>19</v>
      </c>
      <c r="U32" s="4">
        <f>SUMIFS('SDR activity'!$G$2:$G$169,'SDR activity'!$B$2:$B$169,"s_apac_in",'SDR activity'!$C$2:$C$169,"oct26")</f>
        <v>6</v>
      </c>
      <c r="V32" s="4">
        <f>SUMIFS('SDR activity'!$G$2:$G$169,'SDR activity'!$B$2:$B$169,"s_apac_in",'SDR activity'!$C$2:$C$169,"nov26")</f>
        <v>15</v>
      </c>
      <c r="W32" s="4">
        <f>SUMIFS('SDR activity'!$G$2:$G$169,'SDR activity'!$B$2:$B$169,"s_apac_in",'SDR activity'!$C$2:$C$169,"dec26")</f>
        <v>12</v>
      </c>
    </row>
    <row r="33">
      <c r="A33" s="0" t="inlineStr">
        <is>
          <t xml:space="preserve">Meetings set</t>
        </is>
      </c>
      <c r="B33" s="0" t="inlineStr">
        <is>
          <t xml:space="preserve">Wei Kowalski</t>
        </is>
      </c>
      <c r="C33" s="4">
        <f>SUMIFS('SDR activity'!$G$2:$G$169,'SDR activity'!$B$2:$B$169,"s_apac_out",'SDR activity'!$C$2:$C$169,"apr25")</f>
        <v>11</v>
      </c>
      <c r="D33" s="4">
        <f>SUMIFS('SDR activity'!$G$2:$G$169,'SDR activity'!$B$2:$B$169,"s_apac_out",'SDR activity'!$C$2:$C$169,"may25")</f>
        <v>10</v>
      </c>
      <c r="E33" s="4">
        <f>SUMIFS('SDR activity'!$G$2:$G$169,'SDR activity'!$B$2:$B$169,"s_apac_out",'SDR activity'!$C$2:$C$169,"jun25")</f>
        <v>6</v>
      </c>
      <c r="F33" s="4">
        <f>SUMIFS('SDR activity'!$G$2:$G$169,'SDR activity'!$B$2:$B$169,"s_apac_out",'SDR activity'!$C$2:$C$169,"jul25")</f>
        <v>9</v>
      </c>
      <c r="G33" s="4">
        <f>SUMIFS('SDR activity'!$G$2:$G$169,'SDR activity'!$B$2:$B$169,"s_apac_out",'SDR activity'!$C$2:$C$169,"aug25")</f>
        <v>8</v>
      </c>
      <c r="H33" s="4">
        <f>SUMIFS('SDR activity'!$G$2:$G$169,'SDR activity'!$B$2:$B$169,"s_apac_out",'SDR activity'!$C$2:$C$169,"sep25")</f>
        <v>9</v>
      </c>
      <c r="I33" s="4">
        <f>SUMIFS('SDR activity'!$G$2:$G$169,'SDR activity'!$B$2:$B$169,"s_apac_out",'SDR activity'!$C$2:$C$169,"oct25")</f>
        <v>10</v>
      </c>
      <c r="J33" s="4">
        <f>SUMIFS('SDR activity'!$G$2:$G$169,'SDR activity'!$B$2:$B$169,"s_apac_out",'SDR activity'!$C$2:$C$169,"nov25")</f>
        <v>15</v>
      </c>
      <c r="K33" s="4">
        <f>SUMIFS('SDR activity'!$G$2:$G$169,'SDR activity'!$B$2:$B$169,"s_apac_out",'SDR activity'!$C$2:$C$169,"dec25")</f>
        <v>7</v>
      </c>
      <c r="L33" s="4">
        <f>SUMIFS('SDR activity'!$G$2:$G$169,'SDR activity'!$B$2:$B$169,"s_apac_out",'SDR activity'!$C$2:$C$169,"jan26")</f>
        <v>5</v>
      </c>
      <c r="M33" s="4">
        <f>SUMIFS('SDR activity'!$G$2:$G$169,'SDR activity'!$B$2:$B$169,"s_apac_out",'SDR activity'!$C$2:$C$169,"feb26")</f>
        <v>8</v>
      </c>
      <c r="N33" s="4">
        <f>SUMIFS('SDR activity'!$G$2:$G$169,'SDR activity'!$B$2:$B$169,"s_apac_out",'SDR activity'!$C$2:$C$169,"mar26")</f>
        <v>16</v>
      </c>
      <c r="O33" s="4">
        <f>SUMIFS('SDR activity'!$G$2:$G$169,'SDR activity'!$B$2:$B$169,"s_apac_out",'SDR activity'!$C$2:$C$169,"apr26")</f>
        <v>13</v>
      </c>
      <c r="P33" s="4">
        <f>SUMIFS('SDR activity'!$G$2:$G$169,'SDR activity'!$B$2:$B$169,"s_apac_out",'SDR activity'!$C$2:$C$169,"may26")</f>
        <v>10</v>
      </c>
      <c r="Q33" s="4">
        <f>SUMIFS('SDR activity'!$G$2:$G$169,'SDR activity'!$B$2:$B$169,"s_apac_out",'SDR activity'!$C$2:$C$169,"jun26")</f>
        <v>13</v>
      </c>
      <c r="R33" s="4">
        <f>SUMIFS('SDR activity'!$G$2:$G$169,'SDR activity'!$B$2:$B$169,"s_apac_out",'SDR activity'!$C$2:$C$169,"jul26")</f>
        <v>9</v>
      </c>
      <c r="S33" s="4">
        <f>SUMIFS('SDR activity'!$G$2:$G$169,'SDR activity'!$B$2:$B$169,"s_apac_out",'SDR activity'!$C$2:$C$169,"aug26")</f>
        <v>7</v>
      </c>
      <c r="T33" s="4">
        <f>SUMIFS('SDR activity'!$G$2:$G$169,'SDR activity'!$B$2:$B$169,"s_apac_out",'SDR activity'!$C$2:$C$169,"sep26")</f>
        <v>11</v>
      </c>
      <c r="U33" s="4">
        <f>SUMIFS('SDR activity'!$G$2:$G$169,'SDR activity'!$B$2:$B$169,"s_apac_out",'SDR activity'!$C$2:$C$169,"oct26")</f>
        <v>12</v>
      </c>
      <c r="V33" s="4">
        <f>SUMIFS('SDR activity'!$G$2:$G$169,'SDR activity'!$B$2:$B$169,"s_apac_out",'SDR activity'!$C$2:$C$169,"nov26")</f>
        <v>12</v>
      </c>
      <c r="W33" s="4">
        <f>SUMIFS('SDR activity'!$G$2:$G$169,'SDR activity'!$B$2:$B$169,"s_apac_out",'SDR activity'!$C$2:$C$169,"dec26")</f>
        <v>8</v>
      </c>
    </row>
    <row r="34">
      <c r="A34" s="0" t="inlineStr">
        <is>
          <t xml:space="preserve">Meetings held</t>
        </is>
      </c>
      <c r="B34" s="0" t="inlineStr">
        <is>
          <t xml:space="preserve">Zara Kowalski</t>
        </is>
      </c>
      <c r="C34" s="4">
        <f>SUMIFS('SDR activity'!$H$2:$H$169,'SDR activity'!$B$2:$B$169,"s_amer_east_in",'SDR activity'!$C$2:$C$169,"apr25")</f>
        <v>26</v>
      </c>
      <c r="D34" s="4">
        <f>SUMIFS('SDR activity'!$H$2:$H$169,'SDR activity'!$B$2:$B$169,"s_amer_east_in",'SDR activity'!$C$2:$C$169,"may25")</f>
        <v>21</v>
      </c>
      <c r="E34" s="4">
        <f>SUMIFS('SDR activity'!$H$2:$H$169,'SDR activity'!$B$2:$B$169,"s_amer_east_in",'SDR activity'!$C$2:$C$169,"jun25")</f>
        <v>38</v>
      </c>
      <c r="F34" s="4">
        <f>SUMIFS('SDR activity'!$H$2:$H$169,'SDR activity'!$B$2:$B$169,"s_amer_east_in",'SDR activity'!$C$2:$C$169,"jul25")</f>
        <v>24</v>
      </c>
      <c r="G34" s="4">
        <f>SUMIFS('SDR activity'!$H$2:$H$169,'SDR activity'!$B$2:$B$169,"s_amer_east_in",'SDR activity'!$C$2:$C$169,"aug25")</f>
        <v>20</v>
      </c>
      <c r="H34" s="4">
        <f>SUMIFS('SDR activity'!$H$2:$H$169,'SDR activity'!$B$2:$B$169,"s_amer_east_in",'SDR activity'!$C$2:$C$169,"sep25")</f>
        <v>10</v>
      </c>
      <c r="I34" s="4">
        <f>SUMIFS('SDR activity'!$H$2:$H$169,'SDR activity'!$B$2:$B$169,"s_amer_east_in",'SDR activity'!$C$2:$C$169,"oct25")</f>
        <v>13</v>
      </c>
      <c r="J34" s="4">
        <f>SUMIFS('SDR activity'!$H$2:$H$169,'SDR activity'!$B$2:$B$169,"s_amer_east_in",'SDR activity'!$C$2:$C$169,"nov25")</f>
        <v>15</v>
      </c>
      <c r="K34" s="4">
        <f>SUMIFS('SDR activity'!$H$2:$H$169,'SDR activity'!$B$2:$B$169,"s_amer_east_in",'SDR activity'!$C$2:$C$169,"dec25")</f>
        <v>24</v>
      </c>
      <c r="L34" s="4">
        <f>SUMIFS('SDR activity'!$H$2:$H$169,'SDR activity'!$B$2:$B$169,"s_amer_east_in",'SDR activity'!$C$2:$C$169,"jan26")</f>
        <v>21</v>
      </c>
      <c r="M34" s="4">
        <f>SUMIFS('SDR activity'!$H$2:$H$169,'SDR activity'!$B$2:$B$169,"s_amer_east_in",'SDR activity'!$C$2:$C$169,"feb26")</f>
        <v>13</v>
      </c>
      <c r="N34" s="4">
        <f>SUMIFS('SDR activity'!$H$2:$H$169,'SDR activity'!$B$2:$B$169,"s_amer_east_in",'SDR activity'!$C$2:$C$169,"mar26")</f>
        <v>24</v>
      </c>
      <c r="O34" s="4">
        <f>SUMIFS('SDR activity'!$H$2:$H$169,'SDR activity'!$B$2:$B$169,"s_amer_east_in",'SDR activity'!$C$2:$C$169,"apr26")</f>
        <v>44</v>
      </c>
      <c r="P34" s="4">
        <f>SUMIFS('SDR activity'!$H$2:$H$169,'SDR activity'!$B$2:$B$169,"s_amer_east_in",'SDR activity'!$C$2:$C$169,"may26")</f>
        <v>31</v>
      </c>
      <c r="Q34" s="4">
        <f>SUMIFS('SDR activity'!$H$2:$H$169,'SDR activity'!$B$2:$B$169,"s_amer_east_in",'SDR activity'!$C$2:$C$169,"jun26")</f>
        <v>25</v>
      </c>
      <c r="R34" s="4">
        <f>SUMIFS('SDR activity'!$H$2:$H$169,'SDR activity'!$B$2:$B$169,"s_amer_east_in",'SDR activity'!$C$2:$C$169,"jul26")</f>
        <v>29</v>
      </c>
      <c r="S34" s="4">
        <f>SUMIFS('SDR activity'!$H$2:$H$169,'SDR activity'!$B$2:$B$169,"s_amer_east_in",'SDR activity'!$C$2:$C$169,"aug26")</f>
        <v>26</v>
      </c>
      <c r="T34" s="4">
        <f>SUMIFS('SDR activity'!$H$2:$H$169,'SDR activity'!$B$2:$B$169,"s_amer_east_in",'SDR activity'!$C$2:$C$169,"sep26")</f>
        <v>26</v>
      </c>
      <c r="U34" s="4">
        <f>SUMIFS('SDR activity'!$H$2:$H$169,'SDR activity'!$B$2:$B$169,"s_amer_east_in",'SDR activity'!$C$2:$C$169,"oct26")</f>
        <v>25</v>
      </c>
      <c r="V34" s="4">
        <f>SUMIFS('SDR activity'!$H$2:$H$169,'SDR activity'!$B$2:$B$169,"s_amer_east_in",'SDR activity'!$C$2:$C$169,"nov26")</f>
        <v>25</v>
      </c>
      <c r="W34" s="4">
        <f>SUMIFS('SDR activity'!$H$2:$H$169,'SDR activity'!$B$2:$B$169,"s_amer_east_in",'SDR activity'!$C$2:$C$169,"dec26")</f>
        <v>27</v>
      </c>
    </row>
    <row r="35">
      <c r="A35" s="0" t="inlineStr">
        <is>
          <t xml:space="preserve">Meetings held</t>
        </is>
      </c>
      <c r="B35" s="0" t="inlineStr">
        <is>
          <t xml:space="preserve">Kenji Kowalski</t>
        </is>
      </c>
      <c r="C35" s="4">
        <f>SUMIFS('SDR activity'!$H$2:$H$169,'SDR activity'!$B$2:$B$169,"s_amer_east_out",'SDR activity'!$C$2:$C$169,"apr25")</f>
        <v>7</v>
      </c>
      <c r="D35" s="4">
        <f>SUMIFS('SDR activity'!$H$2:$H$169,'SDR activity'!$B$2:$B$169,"s_amer_east_out",'SDR activity'!$C$2:$C$169,"may25")</f>
        <v>7</v>
      </c>
      <c r="E35" s="4">
        <f>SUMIFS('SDR activity'!$H$2:$H$169,'SDR activity'!$B$2:$B$169,"s_amer_east_out",'SDR activity'!$C$2:$C$169,"jun25")</f>
        <v>3</v>
      </c>
      <c r="F35" s="4">
        <f>SUMIFS('SDR activity'!$H$2:$H$169,'SDR activity'!$B$2:$B$169,"s_amer_east_out",'SDR activity'!$C$2:$C$169,"jul25")</f>
        <v>10</v>
      </c>
      <c r="G35" s="4">
        <f>SUMIFS('SDR activity'!$H$2:$H$169,'SDR activity'!$B$2:$B$169,"s_amer_east_out",'SDR activity'!$C$2:$C$169,"aug25")</f>
        <v>3</v>
      </c>
      <c r="H35" s="4">
        <f>SUMIFS('SDR activity'!$H$2:$H$169,'SDR activity'!$B$2:$B$169,"s_amer_east_out",'SDR activity'!$C$2:$C$169,"sep25")</f>
        <v>4</v>
      </c>
      <c r="I35" s="4">
        <f>SUMIFS('SDR activity'!$H$2:$H$169,'SDR activity'!$B$2:$B$169,"s_amer_east_out",'SDR activity'!$C$2:$C$169,"oct25")</f>
        <v>6</v>
      </c>
      <c r="J35" s="4">
        <f>SUMIFS('SDR activity'!$H$2:$H$169,'SDR activity'!$B$2:$B$169,"s_amer_east_out",'SDR activity'!$C$2:$C$169,"nov25")</f>
        <v>4</v>
      </c>
      <c r="K35" s="4">
        <f>SUMIFS('SDR activity'!$H$2:$H$169,'SDR activity'!$B$2:$B$169,"s_amer_east_out",'SDR activity'!$C$2:$C$169,"dec25")</f>
        <v>7</v>
      </c>
      <c r="L35" s="4">
        <f>SUMIFS('SDR activity'!$H$2:$H$169,'SDR activity'!$B$2:$B$169,"s_amer_east_out",'SDR activity'!$C$2:$C$169,"jan26")</f>
        <v>10</v>
      </c>
      <c r="M35" s="4">
        <f>SUMIFS('SDR activity'!$H$2:$H$169,'SDR activity'!$B$2:$B$169,"s_amer_east_out",'SDR activity'!$C$2:$C$169,"feb26")</f>
        <v>11</v>
      </c>
      <c r="N35" s="4">
        <f>SUMIFS('SDR activity'!$H$2:$H$169,'SDR activity'!$B$2:$B$169,"s_amer_east_out",'SDR activity'!$C$2:$C$169,"mar26")</f>
        <v>5</v>
      </c>
      <c r="O35" s="4">
        <f>SUMIFS('SDR activity'!$H$2:$H$169,'SDR activity'!$B$2:$B$169,"s_amer_east_out",'SDR activity'!$C$2:$C$169,"apr26")</f>
        <v>9</v>
      </c>
      <c r="P35" s="4">
        <f>SUMIFS('SDR activity'!$H$2:$H$169,'SDR activity'!$B$2:$B$169,"s_amer_east_out",'SDR activity'!$C$2:$C$169,"may26")</f>
        <v>3</v>
      </c>
      <c r="Q35" s="4">
        <f>SUMIFS('SDR activity'!$H$2:$H$169,'SDR activity'!$B$2:$B$169,"s_amer_east_out",'SDR activity'!$C$2:$C$169,"jun26")</f>
        <v>8</v>
      </c>
      <c r="R35" s="4">
        <f>SUMIFS('SDR activity'!$H$2:$H$169,'SDR activity'!$B$2:$B$169,"s_amer_east_out",'SDR activity'!$C$2:$C$169,"jul26")</f>
        <v>9</v>
      </c>
      <c r="S35" s="4">
        <f>SUMIFS('SDR activity'!$H$2:$H$169,'SDR activity'!$B$2:$B$169,"s_amer_east_out",'SDR activity'!$C$2:$C$169,"aug26")</f>
        <v>4</v>
      </c>
      <c r="T35" s="4">
        <f>SUMIFS('SDR activity'!$H$2:$H$169,'SDR activity'!$B$2:$B$169,"s_amer_east_out",'SDR activity'!$C$2:$C$169,"sep26")</f>
        <v>8</v>
      </c>
      <c r="U35" s="4">
        <f>SUMIFS('SDR activity'!$H$2:$H$169,'SDR activity'!$B$2:$B$169,"s_amer_east_out",'SDR activity'!$C$2:$C$169,"oct26")</f>
        <v>5</v>
      </c>
      <c r="V35" s="4">
        <f>SUMIFS('SDR activity'!$H$2:$H$169,'SDR activity'!$B$2:$B$169,"s_amer_east_out",'SDR activity'!$C$2:$C$169,"nov26")</f>
        <v>7</v>
      </c>
      <c r="W35" s="4">
        <f>SUMIFS('SDR activity'!$H$2:$H$169,'SDR activity'!$B$2:$B$169,"s_amer_east_out",'SDR activity'!$C$2:$C$169,"dec26")</f>
        <v>5</v>
      </c>
    </row>
    <row r="36">
      <c r="A36" s="0" t="inlineStr">
        <is>
          <t xml:space="preserve">Meetings held</t>
        </is>
      </c>
      <c r="B36" s="0" t="inlineStr">
        <is>
          <t xml:space="preserve">Marcus Nair</t>
        </is>
      </c>
      <c r="C36" s="4">
        <f>SUMIFS('SDR activity'!$H$2:$H$169,'SDR activity'!$B$2:$B$169,"s_amer_west_in",'SDR activity'!$C$2:$C$169,"apr25")</f>
        <v>22</v>
      </c>
      <c r="D36" s="4">
        <f>SUMIFS('SDR activity'!$H$2:$H$169,'SDR activity'!$B$2:$B$169,"s_amer_west_in",'SDR activity'!$C$2:$C$169,"may25")</f>
        <v>18</v>
      </c>
      <c r="E36" s="4">
        <f>SUMIFS('SDR activity'!$H$2:$H$169,'SDR activity'!$B$2:$B$169,"s_amer_west_in",'SDR activity'!$C$2:$C$169,"jun25")</f>
        <v>14</v>
      </c>
      <c r="F36" s="4">
        <f>SUMIFS('SDR activity'!$H$2:$H$169,'SDR activity'!$B$2:$B$169,"s_amer_west_in",'SDR activity'!$C$2:$C$169,"jul25")</f>
        <v>16</v>
      </c>
      <c r="G36" s="4">
        <f>SUMIFS('SDR activity'!$H$2:$H$169,'SDR activity'!$B$2:$B$169,"s_amer_west_in",'SDR activity'!$C$2:$C$169,"aug25")</f>
        <v>17</v>
      </c>
      <c r="H36" s="4">
        <f>SUMIFS('SDR activity'!$H$2:$H$169,'SDR activity'!$B$2:$B$169,"s_amer_west_in",'SDR activity'!$C$2:$C$169,"sep25")</f>
        <v>22</v>
      </c>
      <c r="I36" s="4">
        <f>SUMIFS('SDR activity'!$H$2:$H$169,'SDR activity'!$B$2:$B$169,"s_amer_west_in",'SDR activity'!$C$2:$C$169,"oct25")</f>
        <v>14</v>
      </c>
      <c r="J36" s="4">
        <f>SUMIFS('SDR activity'!$H$2:$H$169,'SDR activity'!$B$2:$B$169,"s_amer_west_in",'SDR activity'!$C$2:$C$169,"nov25")</f>
        <v>19</v>
      </c>
      <c r="K36" s="4">
        <f>SUMIFS('SDR activity'!$H$2:$H$169,'SDR activity'!$B$2:$B$169,"s_amer_west_in",'SDR activity'!$C$2:$C$169,"dec25")</f>
        <v>25</v>
      </c>
      <c r="L36" s="4">
        <f>SUMIFS('SDR activity'!$H$2:$H$169,'SDR activity'!$B$2:$B$169,"s_amer_west_in",'SDR activity'!$C$2:$C$169,"jan26")</f>
        <v>15</v>
      </c>
      <c r="M36" s="4">
        <f>SUMIFS('SDR activity'!$H$2:$H$169,'SDR activity'!$B$2:$B$169,"s_amer_west_in",'SDR activity'!$C$2:$C$169,"feb26")</f>
        <v>23</v>
      </c>
      <c r="N36" s="4">
        <f>SUMIFS('SDR activity'!$H$2:$H$169,'SDR activity'!$B$2:$B$169,"s_amer_west_in",'SDR activity'!$C$2:$C$169,"mar26")</f>
        <v>16</v>
      </c>
      <c r="O36" s="4">
        <f>SUMIFS('SDR activity'!$H$2:$H$169,'SDR activity'!$B$2:$B$169,"s_amer_west_in",'SDR activity'!$C$2:$C$169,"apr26")</f>
        <v>20</v>
      </c>
      <c r="P36" s="4">
        <f>SUMIFS('SDR activity'!$H$2:$H$169,'SDR activity'!$B$2:$B$169,"s_amer_west_in",'SDR activity'!$C$2:$C$169,"may26")</f>
        <v>20</v>
      </c>
      <c r="Q36" s="4">
        <f>SUMIFS('SDR activity'!$H$2:$H$169,'SDR activity'!$B$2:$B$169,"s_amer_west_in",'SDR activity'!$C$2:$C$169,"jun26")</f>
        <v>36</v>
      </c>
      <c r="R36" s="4">
        <f>SUMIFS('SDR activity'!$H$2:$H$169,'SDR activity'!$B$2:$B$169,"s_amer_west_in",'SDR activity'!$C$2:$C$169,"jul26")</f>
        <v>33</v>
      </c>
      <c r="S36" s="4">
        <f>SUMIFS('SDR activity'!$H$2:$H$169,'SDR activity'!$B$2:$B$169,"s_amer_west_in",'SDR activity'!$C$2:$C$169,"aug26")</f>
        <v>15</v>
      </c>
      <c r="T36" s="4">
        <f>SUMIFS('SDR activity'!$H$2:$H$169,'SDR activity'!$B$2:$B$169,"s_amer_west_in",'SDR activity'!$C$2:$C$169,"sep26")</f>
        <v>24</v>
      </c>
      <c r="U36" s="4">
        <f>SUMIFS('SDR activity'!$H$2:$H$169,'SDR activity'!$B$2:$B$169,"s_amer_west_in",'SDR activity'!$C$2:$C$169,"oct26")</f>
        <v>14</v>
      </c>
      <c r="V36" s="4">
        <f>SUMIFS('SDR activity'!$H$2:$H$169,'SDR activity'!$B$2:$B$169,"s_amer_west_in",'SDR activity'!$C$2:$C$169,"nov26")</f>
        <v>11</v>
      </c>
      <c r="W36" s="4">
        <f>SUMIFS('SDR activity'!$H$2:$H$169,'SDR activity'!$B$2:$B$169,"s_amer_west_in",'SDR activity'!$C$2:$C$169,"dec26")</f>
        <v>24</v>
      </c>
    </row>
    <row r="37">
      <c r="A37" s="0" t="inlineStr">
        <is>
          <t xml:space="preserve">Meetings held</t>
        </is>
      </c>
      <c r="B37" s="0" t="inlineStr">
        <is>
          <t xml:space="preserve">Yuki Rahman</t>
        </is>
      </c>
      <c r="C37" s="4">
        <f>SUMIFS('SDR activity'!$H$2:$H$169,'SDR activity'!$B$2:$B$169,"s_amer_west_out",'SDR activity'!$C$2:$C$169,"apr25")</f>
        <v>6</v>
      </c>
      <c r="D37" s="4">
        <f>SUMIFS('SDR activity'!$H$2:$H$169,'SDR activity'!$B$2:$B$169,"s_amer_west_out",'SDR activity'!$C$2:$C$169,"may25")</f>
        <v>14</v>
      </c>
      <c r="E37" s="4">
        <f>SUMIFS('SDR activity'!$H$2:$H$169,'SDR activity'!$B$2:$B$169,"s_amer_west_out",'SDR activity'!$C$2:$C$169,"jun25")</f>
        <v>5</v>
      </c>
      <c r="F37" s="4">
        <f>SUMIFS('SDR activity'!$H$2:$H$169,'SDR activity'!$B$2:$B$169,"s_amer_west_out",'SDR activity'!$C$2:$C$169,"jul25")</f>
        <v>12</v>
      </c>
      <c r="G37" s="4">
        <f>SUMIFS('SDR activity'!$H$2:$H$169,'SDR activity'!$B$2:$B$169,"s_amer_west_out",'SDR activity'!$C$2:$C$169,"aug25")</f>
        <v>4</v>
      </c>
      <c r="H37" s="4">
        <f>SUMIFS('SDR activity'!$H$2:$H$169,'SDR activity'!$B$2:$B$169,"s_amer_west_out",'SDR activity'!$C$2:$C$169,"sep25")</f>
        <v>8</v>
      </c>
      <c r="I37" s="4">
        <f>SUMIFS('SDR activity'!$H$2:$H$169,'SDR activity'!$B$2:$B$169,"s_amer_west_out",'SDR activity'!$C$2:$C$169,"oct25")</f>
        <v>6</v>
      </c>
      <c r="J37" s="4">
        <f>SUMIFS('SDR activity'!$H$2:$H$169,'SDR activity'!$B$2:$B$169,"s_amer_west_out",'SDR activity'!$C$2:$C$169,"nov25")</f>
        <v>10</v>
      </c>
      <c r="K37" s="4">
        <f>SUMIFS('SDR activity'!$H$2:$H$169,'SDR activity'!$B$2:$B$169,"s_amer_west_out",'SDR activity'!$C$2:$C$169,"dec25")</f>
        <v>8</v>
      </c>
      <c r="L37" s="4">
        <f>SUMIFS('SDR activity'!$H$2:$H$169,'SDR activity'!$B$2:$B$169,"s_amer_west_out",'SDR activity'!$C$2:$C$169,"jan26")</f>
        <v>10</v>
      </c>
      <c r="M37" s="4">
        <f>SUMIFS('SDR activity'!$H$2:$H$169,'SDR activity'!$B$2:$B$169,"s_amer_west_out",'SDR activity'!$C$2:$C$169,"feb26")</f>
        <v>7</v>
      </c>
      <c r="N37" s="4">
        <f>SUMIFS('SDR activity'!$H$2:$H$169,'SDR activity'!$B$2:$B$169,"s_amer_west_out",'SDR activity'!$C$2:$C$169,"mar26")</f>
        <v>5</v>
      </c>
      <c r="O37" s="4">
        <f>SUMIFS('SDR activity'!$H$2:$H$169,'SDR activity'!$B$2:$B$169,"s_amer_west_out",'SDR activity'!$C$2:$C$169,"apr26")</f>
        <v>7</v>
      </c>
      <c r="P37" s="4">
        <f>SUMIFS('SDR activity'!$H$2:$H$169,'SDR activity'!$B$2:$B$169,"s_amer_west_out",'SDR activity'!$C$2:$C$169,"may26")</f>
        <v>6</v>
      </c>
      <c r="Q37" s="4">
        <f>SUMIFS('SDR activity'!$H$2:$H$169,'SDR activity'!$B$2:$B$169,"s_amer_west_out",'SDR activity'!$C$2:$C$169,"jun26")</f>
        <v>8</v>
      </c>
      <c r="R37" s="4">
        <f>SUMIFS('SDR activity'!$H$2:$H$169,'SDR activity'!$B$2:$B$169,"s_amer_west_out",'SDR activity'!$C$2:$C$169,"jul26")</f>
        <v>7</v>
      </c>
      <c r="S37" s="4">
        <f>SUMIFS('SDR activity'!$H$2:$H$169,'SDR activity'!$B$2:$B$169,"s_amer_west_out",'SDR activity'!$C$2:$C$169,"aug26")</f>
        <v>10</v>
      </c>
      <c r="T37" s="4">
        <f>SUMIFS('SDR activity'!$H$2:$H$169,'SDR activity'!$B$2:$B$169,"s_amer_west_out",'SDR activity'!$C$2:$C$169,"sep26")</f>
        <v>10</v>
      </c>
      <c r="U37" s="4">
        <f>SUMIFS('SDR activity'!$H$2:$H$169,'SDR activity'!$B$2:$B$169,"s_amer_west_out",'SDR activity'!$C$2:$C$169,"oct26")</f>
        <v>7</v>
      </c>
      <c r="V37" s="4">
        <f>SUMIFS('SDR activity'!$H$2:$H$169,'SDR activity'!$B$2:$B$169,"s_amer_west_out",'SDR activity'!$C$2:$C$169,"nov26")</f>
        <v>7</v>
      </c>
      <c r="W37" s="4">
        <f>SUMIFS('SDR activity'!$H$2:$H$169,'SDR activity'!$B$2:$B$169,"s_amer_west_out",'SDR activity'!$C$2:$C$169,"dec26")</f>
        <v>7</v>
      </c>
    </row>
    <row r="38">
      <c r="A38" s="0" t="inlineStr">
        <is>
          <t xml:space="preserve">Meetings held</t>
        </is>
      </c>
      <c r="B38" s="0" t="inlineStr">
        <is>
          <t xml:space="preserve">Chloe Patel</t>
        </is>
      </c>
      <c r="C38" s="4">
        <f>SUMIFS('SDR activity'!$H$2:$H$169,'SDR activity'!$B$2:$B$169,"s_emea_in",'SDR activity'!$C$2:$C$169,"apr25")</f>
        <v>21</v>
      </c>
      <c r="D38" s="4">
        <f>SUMIFS('SDR activity'!$H$2:$H$169,'SDR activity'!$B$2:$B$169,"s_emea_in",'SDR activity'!$C$2:$C$169,"may25")</f>
        <v>20</v>
      </c>
      <c r="E38" s="4">
        <f>SUMIFS('SDR activity'!$H$2:$H$169,'SDR activity'!$B$2:$B$169,"s_emea_in",'SDR activity'!$C$2:$C$169,"jun25")</f>
        <v>21</v>
      </c>
      <c r="F38" s="4">
        <f>SUMIFS('SDR activity'!$H$2:$H$169,'SDR activity'!$B$2:$B$169,"s_emea_in",'SDR activity'!$C$2:$C$169,"jul25")</f>
        <v>25</v>
      </c>
      <c r="G38" s="4">
        <f>SUMIFS('SDR activity'!$H$2:$H$169,'SDR activity'!$B$2:$B$169,"s_emea_in",'SDR activity'!$C$2:$C$169,"aug25")</f>
        <v>12</v>
      </c>
      <c r="H38" s="4">
        <f>SUMIFS('SDR activity'!$H$2:$H$169,'SDR activity'!$B$2:$B$169,"s_emea_in",'SDR activity'!$C$2:$C$169,"sep25")</f>
        <v>15</v>
      </c>
      <c r="I38" s="4">
        <f>SUMIFS('SDR activity'!$H$2:$H$169,'SDR activity'!$B$2:$B$169,"s_emea_in",'SDR activity'!$C$2:$C$169,"oct25")</f>
        <v>19</v>
      </c>
      <c r="J38" s="4">
        <f>SUMIFS('SDR activity'!$H$2:$H$169,'SDR activity'!$B$2:$B$169,"s_emea_in",'SDR activity'!$C$2:$C$169,"nov25")</f>
        <v>24</v>
      </c>
      <c r="K38" s="4">
        <f>SUMIFS('SDR activity'!$H$2:$H$169,'SDR activity'!$B$2:$B$169,"s_emea_in",'SDR activity'!$C$2:$C$169,"dec25")</f>
        <v>22</v>
      </c>
      <c r="L38" s="4">
        <f>SUMIFS('SDR activity'!$H$2:$H$169,'SDR activity'!$B$2:$B$169,"s_emea_in",'SDR activity'!$C$2:$C$169,"jan26")</f>
        <v>26</v>
      </c>
      <c r="M38" s="4">
        <f>SUMIFS('SDR activity'!$H$2:$H$169,'SDR activity'!$B$2:$B$169,"s_emea_in",'SDR activity'!$C$2:$C$169,"feb26")</f>
        <v>14</v>
      </c>
      <c r="N38" s="4">
        <f>SUMIFS('SDR activity'!$H$2:$H$169,'SDR activity'!$B$2:$B$169,"s_emea_in",'SDR activity'!$C$2:$C$169,"mar26")</f>
        <v>20</v>
      </c>
      <c r="O38" s="4">
        <f>SUMIFS('SDR activity'!$H$2:$H$169,'SDR activity'!$B$2:$B$169,"s_emea_in",'SDR activity'!$C$2:$C$169,"apr26")</f>
        <v>22</v>
      </c>
      <c r="P38" s="4">
        <f>SUMIFS('SDR activity'!$H$2:$H$169,'SDR activity'!$B$2:$B$169,"s_emea_in",'SDR activity'!$C$2:$C$169,"may26")</f>
        <v>12</v>
      </c>
      <c r="Q38" s="4">
        <f>SUMIFS('SDR activity'!$H$2:$H$169,'SDR activity'!$B$2:$B$169,"s_emea_in",'SDR activity'!$C$2:$C$169,"jun26")</f>
        <v>23</v>
      </c>
      <c r="R38" s="4">
        <f>SUMIFS('SDR activity'!$H$2:$H$169,'SDR activity'!$B$2:$B$169,"s_emea_in",'SDR activity'!$C$2:$C$169,"jul26")</f>
        <v>18</v>
      </c>
      <c r="S38" s="4">
        <f>SUMIFS('SDR activity'!$H$2:$H$169,'SDR activity'!$B$2:$B$169,"s_emea_in",'SDR activity'!$C$2:$C$169,"aug26")</f>
        <v>21</v>
      </c>
      <c r="T38" s="4">
        <f>SUMIFS('SDR activity'!$H$2:$H$169,'SDR activity'!$B$2:$B$169,"s_emea_in",'SDR activity'!$C$2:$C$169,"sep26")</f>
        <v>11</v>
      </c>
      <c r="U38" s="4">
        <f>SUMIFS('SDR activity'!$H$2:$H$169,'SDR activity'!$B$2:$B$169,"s_emea_in",'SDR activity'!$C$2:$C$169,"oct26")</f>
        <v>17</v>
      </c>
      <c r="V38" s="4">
        <f>SUMIFS('SDR activity'!$H$2:$H$169,'SDR activity'!$B$2:$B$169,"s_emea_in",'SDR activity'!$C$2:$C$169,"nov26")</f>
        <v>29</v>
      </c>
      <c r="W38" s="4">
        <f>SUMIFS('SDR activity'!$H$2:$H$169,'SDR activity'!$B$2:$B$169,"s_emea_in",'SDR activity'!$C$2:$C$169,"dec26")</f>
        <v>17</v>
      </c>
    </row>
    <row r="39">
      <c r="A39" s="0" t="inlineStr">
        <is>
          <t xml:space="preserve">Meetings held</t>
        </is>
      </c>
      <c r="B39" s="0" t="inlineStr">
        <is>
          <t xml:space="preserve">Samuel Kowalski</t>
        </is>
      </c>
      <c r="C39" s="4">
        <f>SUMIFS('SDR activity'!$H$2:$H$169,'SDR activity'!$B$2:$B$169,"s_emea_out",'SDR activity'!$C$2:$C$169,"apr25")</f>
        <v>3</v>
      </c>
      <c r="D39" s="4">
        <f>SUMIFS('SDR activity'!$H$2:$H$169,'SDR activity'!$B$2:$B$169,"s_emea_out",'SDR activity'!$C$2:$C$169,"may25")</f>
        <v>10</v>
      </c>
      <c r="E39" s="4">
        <f>SUMIFS('SDR activity'!$H$2:$H$169,'SDR activity'!$B$2:$B$169,"s_emea_out",'SDR activity'!$C$2:$C$169,"jun25")</f>
        <v>10</v>
      </c>
      <c r="F39" s="4">
        <f>SUMIFS('SDR activity'!$H$2:$H$169,'SDR activity'!$B$2:$B$169,"s_emea_out",'SDR activity'!$C$2:$C$169,"jul25")</f>
        <v>4</v>
      </c>
      <c r="G39" s="4">
        <f>SUMIFS('SDR activity'!$H$2:$H$169,'SDR activity'!$B$2:$B$169,"s_emea_out",'SDR activity'!$C$2:$C$169,"aug25")</f>
        <v>5</v>
      </c>
      <c r="H39" s="4">
        <f>SUMIFS('SDR activity'!$H$2:$H$169,'SDR activity'!$B$2:$B$169,"s_emea_out",'SDR activity'!$C$2:$C$169,"sep25")</f>
        <v>9</v>
      </c>
      <c r="I39" s="4">
        <f>SUMIFS('SDR activity'!$H$2:$H$169,'SDR activity'!$B$2:$B$169,"s_emea_out",'SDR activity'!$C$2:$C$169,"oct25")</f>
        <v>9</v>
      </c>
      <c r="J39" s="4">
        <f>SUMIFS('SDR activity'!$H$2:$H$169,'SDR activity'!$B$2:$B$169,"s_emea_out",'SDR activity'!$C$2:$C$169,"nov25")</f>
        <v>5</v>
      </c>
      <c r="K39" s="4">
        <f>SUMIFS('SDR activity'!$H$2:$H$169,'SDR activity'!$B$2:$B$169,"s_emea_out",'SDR activity'!$C$2:$C$169,"dec25")</f>
        <v>6</v>
      </c>
      <c r="L39" s="4">
        <f>SUMIFS('SDR activity'!$H$2:$H$169,'SDR activity'!$B$2:$B$169,"s_emea_out",'SDR activity'!$C$2:$C$169,"jan26")</f>
        <v>8</v>
      </c>
      <c r="M39" s="4">
        <f>SUMIFS('SDR activity'!$H$2:$H$169,'SDR activity'!$B$2:$B$169,"s_emea_out",'SDR activity'!$C$2:$C$169,"feb26")</f>
        <v>9</v>
      </c>
      <c r="N39" s="4">
        <f>SUMIFS('SDR activity'!$H$2:$H$169,'SDR activity'!$B$2:$B$169,"s_emea_out",'SDR activity'!$C$2:$C$169,"mar26")</f>
        <v>3</v>
      </c>
      <c r="O39" s="4">
        <f>SUMIFS('SDR activity'!$H$2:$H$169,'SDR activity'!$B$2:$B$169,"s_emea_out",'SDR activity'!$C$2:$C$169,"apr26")</f>
        <v>6</v>
      </c>
      <c r="P39" s="4">
        <f>SUMIFS('SDR activity'!$H$2:$H$169,'SDR activity'!$B$2:$B$169,"s_emea_out",'SDR activity'!$C$2:$C$169,"may26")</f>
        <v>9</v>
      </c>
      <c r="Q39" s="4">
        <f>SUMIFS('SDR activity'!$H$2:$H$169,'SDR activity'!$B$2:$B$169,"s_emea_out",'SDR activity'!$C$2:$C$169,"jun26")</f>
        <v>5</v>
      </c>
      <c r="R39" s="4">
        <f>SUMIFS('SDR activity'!$H$2:$H$169,'SDR activity'!$B$2:$B$169,"s_emea_out",'SDR activity'!$C$2:$C$169,"jul26")</f>
        <v>9</v>
      </c>
      <c r="S39" s="4">
        <f>SUMIFS('SDR activity'!$H$2:$H$169,'SDR activity'!$B$2:$B$169,"s_emea_out",'SDR activity'!$C$2:$C$169,"aug26")</f>
        <v>6</v>
      </c>
      <c r="T39" s="4">
        <f>SUMIFS('SDR activity'!$H$2:$H$169,'SDR activity'!$B$2:$B$169,"s_emea_out",'SDR activity'!$C$2:$C$169,"sep26")</f>
        <v>1</v>
      </c>
      <c r="U39" s="4">
        <f>SUMIFS('SDR activity'!$H$2:$H$169,'SDR activity'!$B$2:$B$169,"s_emea_out",'SDR activity'!$C$2:$C$169,"oct26")</f>
        <v>11</v>
      </c>
      <c r="V39" s="4">
        <f>SUMIFS('SDR activity'!$H$2:$H$169,'SDR activity'!$B$2:$B$169,"s_emea_out",'SDR activity'!$C$2:$C$169,"nov26")</f>
        <v>6</v>
      </c>
      <c r="W39" s="4">
        <f>SUMIFS('SDR activity'!$H$2:$H$169,'SDR activity'!$B$2:$B$169,"s_emea_out",'SDR activity'!$C$2:$C$169,"dec26")</f>
        <v>8</v>
      </c>
    </row>
    <row r="40">
      <c r="A40" s="0" t="inlineStr">
        <is>
          <t xml:space="preserve">Meetings held</t>
        </is>
      </c>
      <c r="B40" s="0" t="inlineStr">
        <is>
          <t xml:space="preserve">Rafael Ivanova</t>
        </is>
      </c>
      <c r="C40" s="4">
        <f>SUMIFS('SDR activity'!$H$2:$H$169,'SDR activity'!$B$2:$B$169,"s_apac_in",'SDR activity'!$C$2:$C$169,"apr25")</f>
        <v>4</v>
      </c>
      <c r="D40" s="4">
        <f>SUMIFS('SDR activity'!$H$2:$H$169,'SDR activity'!$B$2:$B$169,"s_apac_in",'SDR activity'!$C$2:$C$169,"may25")</f>
        <v>7</v>
      </c>
      <c r="E40" s="4">
        <f>SUMIFS('SDR activity'!$H$2:$H$169,'SDR activity'!$B$2:$B$169,"s_apac_in",'SDR activity'!$C$2:$C$169,"jun25")</f>
        <v>11</v>
      </c>
      <c r="F40" s="4">
        <f>SUMIFS('SDR activity'!$H$2:$H$169,'SDR activity'!$B$2:$B$169,"s_apac_in",'SDR activity'!$C$2:$C$169,"jul25")</f>
        <v>14</v>
      </c>
      <c r="G40" s="4">
        <f>SUMIFS('SDR activity'!$H$2:$H$169,'SDR activity'!$B$2:$B$169,"s_apac_in",'SDR activity'!$C$2:$C$169,"aug25")</f>
        <v>14</v>
      </c>
      <c r="H40" s="4">
        <f>SUMIFS('SDR activity'!$H$2:$H$169,'SDR activity'!$B$2:$B$169,"s_apac_in",'SDR activity'!$C$2:$C$169,"sep25")</f>
        <v>10</v>
      </c>
      <c r="I40" s="4">
        <f>SUMIFS('SDR activity'!$H$2:$H$169,'SDR activity'!$B$2:$B$169,"s_apac_in",'SDR activity'!$C$2:$C$169,"oct25")</f>
        <v>8</v>
      </c>
      <c r="J40" s="4">
        <f>SUMIFS('SDR activity'!$H$2:$H$169,'SDR activity'!$B$2:$B$169,"s_apac_in",'SDR activity'!$C$2:$C$169,"nov25")</f>
        <v>1</v>
      </c>
      <c r="K40" s="4">
        <f>SUMIFS('SDR activity'!$H$2:$H$169,'SDR activity'!$B$2:$B$169,"s_apac_in",'SDR activity'!$C$2:$C$169,"dec25")</f>
        <v>3</v>
      </c>
      <c r="L40" s="4">
        <f>SUMIFS('SDR activity'!$H$2:$H$169,'SDR activity'!$B$2:$B$169,"s_apac_in",'SDR activity'!$C$2:$C$169,"jan26")</f>
        <v>3</v>
      </c>
      <c r="M40" s="4">
        <f>SUMIFS('SDR activity'!$H$2:$H$169,'SDR activity'!$B$2:$B$169,"s_apac_in",'SDR activity'!$C$2:$C$169,"feb26")</f>
        <v>10</v>
      </c>
      <c r="N40" s="4">
        <f>SUMIFS('SDR activity'!$H$2:$H$169,'SDR activity'!$B$2:$B$169,"s_apac_in",'SDR activity'!$C$2:$C$169,"mar26")</f>
        <v>24</v>
      </c>
      <c r="O40" s="4">
        <f>SUMIFS('SDR activity'!$H$2:$H$169,'SDR activity'!$B$2:$B$169,"s_apac_in",'SDR activity'!$C$2:$C$169,"apr26")</f>
        <v>9</v>
      </c>
      <c r="P40" s="4">
        <f>SUMIFS('SDR activity'!$H$2:$H$169,'SDR activity'!$B$2:$B$169,"s_apac_in",'SDR activity'!$C$2:$C$169,"may26")</f>
        <v>6</v>
      </c>
      <c r="Q40" s="4">
        <f>SUMIFS('SDR activity'!$H$2:$H$169,'SDR activity'!$B$2:$B$169,"s_apac_in",'SDR activity'!$C$2:$C$169,"jun26")</f>
        <v>17</v>
      </c>
      <c r="R40" s="4">
        <f>SUMIFS('SDR activity'!$H$2:$H$169,'SDR activity'!$B$2:$B$169,"s_apac_in",'SDR activity'!$C$2:$C$169,"jul26")</f>
        <v>9</v>
      </c>
      <c r="S40" s="4">
        <f>SUMIFS('SDR activity'!$H$2:$H$169,'SDR activity'!$B$2:$B$169,"s_apac_in",'SDR activity'!$C$2:$C$169,"aug26")</f>
        <v>13</v>
      </c>
      <c r="T40" s="4">
        <f>SUMIFS('SDR activity'!$H$2:$H$169,'SDR activity'!$B$2:$B$169,"s_apac_in",'SDR activity'!$C$2:$C$169,"sep26")</f>
        <v>15</v>
      </c>
      <c r="U40" s="4">
        <f>SUMIFS('SDR activity'!$H$2:$H$169,'SDR activity'!$B$2:$B$169,"s_apac_in",'SDR activity'!$C$2:$C$169,"oct26")</f>
        <v>5</v>
      </c>
      <c r="V40" s="4">
        <f>SUMIFS('SDR activity'!$H$2:$H$169,'SDR activity'!$B$2:$B$169,"s_apac_in",'SDR activity'!$C$2:$C$169,"nov26")</f>
        <v>11</v>
      </c>
      <c r="W40" s="4">
        <f>SUMIFS('SDR activity'!$H$2:$H$169,'SDR activity'!$B$2:$B$169,"s_apac_in",'SDR activity'!$C$2:$C$169,"dec26")</f>
        <v>11</v>
      </c>
    </row>
    <row r="41">
      <c r="A41" s="0" t="inlineStr">
        <is>
          <t xml:space="preserve">Meetings held</t>
        </is>
      </c>
      <c r="B41" s="0" t="inlineStr">
        <is>
          <t xml:space="preserve">Wei Kowalski</t>
        </is>
      </c>
      <c r="C41" s="4">
        <f>SUMIFS('SDR activity'!$H$2:$H$169,'SDR activity'!$B$2:$B$169,"s_apac_out",'SDR activity'!$C$2:$C$169,"apr25")</f>
        <v>11</v>
      </c>
      <c r="D41" s="4">
        <f>SUMIFS('SDR activity'!$H$2:$H$169,'SDR activity'!$B$2:$B$169,"s_apac_out",'SDR activity'!$C$2:$C$169,"may25")</f>
        <v>9</v>
      </c>
      <c r="E41" s="4">
        <f>SUMIFS('SDR activity'!$H$2:$H$169,'SDR activity'!$B$2:$B$169,"s_apac_out",'SDR activity'!$C$2:$C$169,"jun25")</f>
        <v>5</v>
      </c>
      <c r="F41" s="4">
        <f>SUMIFS('SDR activity'!$H$2:$H$169,'SDR activity'!$B$2:$B$169,"s_apac_out",'SDR activity'!$C$2:$C$169,"jul25")</f>
        <v>4</v>
      </c>
      <c r="G41" s="4">
        <f>SUMIFS('SDR activity'!$H$2:$H$169,'SDR activity'!$B$2:$B$169,"s_apac_out",'SDR activity'!$C$2:$C$169,"aug25")</f>
        <v>4</v>
      </c>
      <c r="H41" s="4">
        <f>SUMIFS('SDR activity'!$H$2:$H$169,'SDR activity'!$B$2:$B$169,"s_apac_out",'SDR activity'!$C$2:$C$169,"sep25")</f>
        <v>7</v>
      </c>
      <c r="I41" s="4">
        <f>SUMIFS('SDR activity'!$H$2:$H$169,'SDR activity'!$B$2:$B$169,"s_apac_out",'SDR activity'!$C$2:$C$169,"oct25")</f>
        <v>10</v>
      </c>
      <c r="J41" s="4">
        <f>SUMIFS('SDR activity'!$H$2:$H$169,'SDR activity'!$B$2:$B$169,"s_apac_out",'SDR activity'!$C$2:$C$169,"nov25")</f>
        <v>15</v>
      </c>
      <c r="K41" s="4">
        <f>SUMIFS('SDR activity'!$H$2:$H$169,'SDR activity'!$B$2:$B$169,"s_apac_out",'SDR activity'!$C$2:$C$169,"dec25")</f>
        <v>4</v>
      </c>
      <c r="L41" s="4">
        <f>SUMIFS('SDR activity'!$H$2:$H$169,'SDR activity'!$B$2:$B$169,"s_apac_out",'SDR activity'!$C$2:$C$169,"jan26")</f>
        <v>4</v>
      </c>
      <c r="M41" s="4">
        <f>SUMIFS('SDR activity'!$H$2:$H$169,'SDR activity'!$B$2:$B$169,"s_apac_out",'SDR activity'!$C$2:$C$169,"feb26")</f>
        <v>7</v>
      </c>
      <c r="N41" s="4">
        <f>SUMIFS('SDR activity'!$H$2:$H$169,'SDR activity'!$B$2:$B$169,"s_apac_out",'SDR activity'!$C$2:$C$169,"mar26")</f>
        <v>13</v>
      </c>
      <c r="O41" s="4">
        <f>SUMIFS('SDR activity'!$H$2:$H$169,'SDR activity'!$B$2:$B$169,"s_apac_out",'SDR activity'!$C$2:$C$169,"apr26")</f>
        <v>10</v>
      </c>
      <c r="P41" s="4">
        <f>SUMIFS('SDR activity'!$H$2:$H$169,'SDR activity'!$B$2:$B$169,"s_apac_out",'SDR activity'!$C$2:$C$169,"may26")</f>
        <v>7</v>
      </c>
      <c r="Q41" s="4">
        <f>SUMIFS('SDR activity'!$H$2:$H$169,'SDR activity'!$B$2:$B$169,"s_apac_out",'SDR activity'!$C$2:$C$169,"jun26")</f>
        <v>12</v>
      </c>
      <c r="R41" s="4">
        <f>SUMIFS('SDR activity'!$H$2:$H$169,'SDR activity'!$B$2:$B$169,"s_apac_out",'SDR activity'!$C$2:$C$169,"jul26")</f>
        <v>9</v>
      </c>
      <c r="S41" s="4">
        <f>SUMIFS('SDR activity'!$H$2:$H$169,'SDR activity'!$B$2:$B$169,"s_apac_out",'SDR activity'!$C$2:$C$169,"aug26")</f>
        <v>6</v>
      </c>
      <c r="T41" s="4">
        <f>SUMIFS('SDR activity'!$H$2:$H$169,'SDR activity'!$B$2:$B$169,"s_apac_out",'SDR activity'!$C$2:$C$169,"sep26")</f>
        <v>11</v>
      </c>
      <c r="U41" s="4">
        <f>SUMIFS('SDR activity'!$H$2:$H$169,'SDR activity'!$B$2:$B$169,"s_apac_out",'SDR activity'!$C$2:$C$169,"oct26")</f>
        <v>10</v>
      </c>
      <c r="V41" s="4">
        <f>SUMIFS('SDR activity'!$H$2:$H$169,'SDR activity'!$B$2:$B$169,"s_apac_out",'SDR activity'!$C$2:$C$169,"nov26")</f>
        <v>10</v>
      </c>
      <c r="W41" s="4">
        <f>SUMIFS('SDR activity'!$H$2:$H$169,'SDR activity'!$B$2:$B$169,"s_apac_out",'SDR activity'!$C$2:$C$169,"dec26")</f>
        <v>6</v>
      </c>
    </row>
    <row r="42">
      <c r="A42" s="0" t="inlineStr">
        <is>
          <t xml:space="preserve">SQLs</t>
        </is>
      </c>
      <c r="B42" s="0" t="inlineStr">
        <is>
          <t xml:space="preserve">Zara Kowalski</t>
        </is>
      </c>
      <c r="C42" s="4">
        <f>SUMIFS('SDR activity'!$I$2:$I$169,'SDR activity'!$B$2:$B$169,"s_amer_east_in",'SDR activity'!$C$2:$C$169,"apr25")</f>
        <v>16</v>
      </c>
      <c r="D42" s="4">
        <f>SUMIFS('SDR activity'!$I$2:$I$169,'SDR activity'!$B$2:$B$169,"s_amer_east_in",'SDR activity'!$C$2:$C$169,"may25")</f>
        <v>15</v>
      </c>
      <c r="E42" s="4">
        <f>SUMIFS('SDR activity'!$I$2:$I$169,'SDR activity'!$B$2:$B$169,"s_amer_east_in",'SDR activity'!$C$2:$C$169,"jun25")</f>
        <v>27</v>
      </c>
      <c r="F42" s="4">
        <f>SUMIFS('SDR activity'!$I$2:$I$169,'SDR activity'!$B$2:$B$169,"s_amer_east_in",'SDR activity'!$C$2:$C$169,"jul25")</f>
        <v>17</v>
      </c>
      <c r="G42" s="4">
        <f>SUMIFS('SDR activity'!$I$2:$I$169,'SDR activity'!$B$2:$B$169,"s_amer_east_in",'SDR activity'!$C$2:$C$169,"aug25")</f>
        <v>14</v>
      </c>
      <c r="H42" s="4">
        <f>SUMIFS('SDR activity'!$I$2:$I$169,'SDR activity'!$B$2:$B$169,"s_amer_east_in",'SDR activity'!$C$2:$C$169,"sep25")</f>
        <v>7</v>
      </c>
      <c r="I42" s="4">
        <f>SUMIFS('SDR activity'!$I$2:$I$169,'SDR activity'!$B$2:$B$169,"s_amer_east_in",'SDR activity'!$C$2:$C$169,"oct25")</f>
        <v>9</v>
      </c>
      <c r="J42" s="4">
        <f>SUMIFS('SDR activity'!$I$2:$I$169,'SDR activity'!$B$2:$B$169,"s_amer_east_in",'SDR activity'!$C$2:$C$169,"nov25")</f>
        <v>11</v>
      </c>
      <c r="K42" s="4">
        <f>SUMIFS('SDR activity'!$I$2:$I$169,'SDR activity'!$B$2:$B$169,"s_amer_east_in",'SDR activity'!$C$2:$C$169,"dec25")</f>
        <v>16</v>
      </c>
      <c r="L42" s="4">
        <f>SUMIFS('SDR activity'!$I$2:$I$169,'SDR activity'!$B$2:$B$169,"s_amer_east_in",'SDR activity'!$C$2:$C$169,"jan26")</f>
        <v>15</v>
      </c>
      <c r="M42" s="4">
        <f>SUMIFS('SDR activity'!$I$2:$I$169,'SDR activity'!$B$2:$B$169,"s_amer_east_in",'SDR activity'!$C$2:$C$169,"feb26")</f>
        <v>9</v>
      </c>
      <c r="N42" s="4">
        <f>SUMIFS('SDR activity'!$I$2:$I$169,'SDR activity'!$B$2:$B$169,"s_amer_east_in",'SDR activity'!$C$2:$C$169,"mar26")</f>
        <v>16</v>
      </c>
      <c r="O42" s="4">
        <f>SUMIFS('SDR activity'!$I$2:$I$169,'SDR activity'!$B$2:$B$169,"s_amer_east_in",'SDR activity'!$C$2:$C$169,"apr26")</f>
        <v>28</v>
      </c>
      <c r="P42" s="4">
        <f>SUMIFS('SDR activity'!$I$2:$I$169,'SDR activity'!$B$2:$B$169,"s_amer_east_in",'SDR activity'!$C$2:$C$169,"may26")</f>
        <v>21</v>
      </c>
      <c r="Q42" s="4">
        <f>SUMIFS('SDR activity'!$I$2:$I$169,'SDR activity'!$B$2:$B$169,"s_amer_east_in",'SDR activity'!$C$2:$C$169,"jun26")</f>
        <v>16</v>
      </c>
      <c r="R42" s="4">
        <f>SUMIFS('SDR activity'!$I$2:$I$169,'SDR activity'!$B$2:$B$169,"s_amer_east_in",'SDR activity'!$C$2:$C$169,"jul26")</f>
        <v>20</v>
      </c>
      <c r="S42" s="4">
        <f>SUMIFS('SDR activity'!$I$2:$I$169,'SDR activity'!$B$2:$B$169,"s_amer_east_in",'SDR activity'!$C$2:$C$169,"aug26")</f>
        <v>19</v>
      </c>
      <c r="T42" s="4">
        <f>SUMIFS('SDR activity'!$I$2:$I$169,'SDR activity'!$B$2:$B$169,"s_amer_east_in",'SDR activity'!$C$2:$C$169,"sep26")</f>
        <v>19</v>
      </c>
      <c r="U42" s="4">
        <f>SUMIFS('SDR activity'!$I$2:$I$169,'SDR activity'!$B$2:$B$169,"s_amer_east_in",'SDR activity'!$C$2:$C$169,"oct26")</f>
        <v>16</v>
      </c>
      <c r="V42" s="4">
        <f>SUMIFS('SDR activity'!$I$2:$I$169,'SDR activity'!$B$2:$B$169,"s_amer_east_in",'SDR activity'!$C$2:$C$169,"nov26")</f>
        <v>18</v>
      </c>
      <c r="W42" s="4">
        <f>SUMIFS('SDR activity'!$I$2:$I$169,'SDR activity'!$B$2:$B$169,"s_amer_east_in",'SDR activity'!$C$2:$C$169,"dec26")</f>
        <v>18</v>
      </c>
    </row>
    <row r="43">
      <c r="A43" s="0" t="inlineStr">
        <is>
          <t xml:space="preserve">SQLs</t>
        </is>
      </c>
      <c r="B43" s="0" t="inlineStr">
        <is>
          <t xml:space="preserve">Kenji Kowalski</t>
        </is>
      </c>
      <c r="C43" s="4">
        <f>SUMIFS('SDR activity'!$I$2:$I$169,'SDR activity'!$B$2:$B$169,"s_amer_east_out",'SDR activity'!$C$2:$C$169,"apr25")</f>
        <v>4</v>
      </c>
      <c r="D43" s="4">
        <f>SUMIFS('SDR activity'!$I$2:$I$169,'SDR activity'!$B$2:$B$169,"s_amer_east_out",'SDR activity'!$C$2:$C$169,"may25")</f>
        <v>3</v>
      </c>
      <c r="E43" s="4">
        <f>SUMIFS('SDR activity'!$I$2:$I$169,'SDR activity'!$B$2:$B$169,"s_amer_east_out",'SDR activity'!$C$2:$C$169,"jun25")</f>
        <v>3</v>
      </c>
      <c r="F43" s="4">
        <f>SUMIFS('SDR activity'!$I$2:$I$169,'SDR activity'!$B$2:$B$169,"s_amer_east_out",'SDR activity'!$C$2:$C$169,"jul25")</f>
        <v>7</v>
      </c>
      <c r="G43" s="4">
        <f>SUMIFS('SDR activity'!$I$2:$I$169,'SDR activity'!$B$2:$B$169,"s_amer_east_out",'SDR activity'!$C$2:$C$169,"aug25")</f>
        <v>3</v>
      </c>
      <c r="H43" s="4">
        <f>SUMIFS('SDR activity'!$I$2:$I$169,'SDR activity'!$B$2:$B$169,"s_amer_east_out",'SDR activity'!$C$2:$C$169,"sep25")</f>
        <v>3</v>
      </c>
      <c r="I43" s="4">
        <f>SUMIFS('SDR activity'!$I$2:$I$169,'SDR activity'!$B$2:$B$169,"s_amer_east_out",'SDR activity'!$C$2:$C$169,"oct25")</f>
        <v>2</v>
      </c>
      <c r="J43" s="4">
        <f>SUMIFS('SDR activity'!$I$2:$I$169,'SDR activity'!$B$2:$B$169,"s_amer_east_out",'SDR activity'!$C$2:$C$169,"nov25")</f>
        <v>1</v>
      </c>
      <c r="K43" s="4">
        <f>SUMIFS('SDR activity'!$I$2:$I$169,'SDR activity'!$B$2:$B$169,"s_amer_east_out",'SDR activity'!$C$2:$C$169,"dec25")</f>
        <v>5</v>
      </c>
      <c r="L43" s="4">
        <f>SUMIFS('SDR activity'!$I$2:$I$169,'SDR activity'!$B$2:$B$169,"s_amer_east_out",'SDR activity'!$C$2:$C$169,"jan26")</f>
        <v>6</v>
      </c>
      <c r="M43" s="4">
        <f>SUMIFS('SDR activity'!$I$2:$I$169,'SDR activity'!$B$2:$B$169,"s_amer_east_out",'SDR activity'!$C$2:$C$169,"feb26")</f>
        <v>9</v>
      </c>
      <c r="N43" s="4">
        <f>SUMIFS('SDR activity'!$I$2:$I$169,'SDR activity'!$B$2:$B$169,"s_amer_east_out",'SDR activity'!$C$2:$C$169,"mar26")</f>
        <v>2</v>
      </c>
      <c r="O43" s="4">
        <f>SUMIFS('SDR activity'!$I$2:$I$169,'SDR activity'!$B$2:$B$169,"s_amer_east_out",'SDR activity'!$C$2:$C$169,"apr26")</f>
        <v>5</v>
      </c>
      <c r="P43" s="4">
        <f>SUMIFS('SDR activity'!$I$2:$I$169,'SDR activity'!$B$2:$B$169,"s_amer_east_out",'SDR activity'!$C$2:$C$169,"may26")</f>
        <v>2</v>
      </c>
      <c r="Q43" s="4">
        <f>SUMIFS('SDR activity'!$I$2:$I$169,'SDR activity'!$B$2:$B$169,"s_amer_east_out",'SDR activity'!$C$2:$C$169,"jun26")</f>
        <v>4</v>
      </c>
      <c r="R43" s="4">
        <f>SUMIFS('SDR activity'!$I$2:$I$169,'SDR activity'!$B$2:$B$169,"s_amer_east_out",'SDR activity'!$C$2:$C$169,"jul26")</f>
        <v>6</v>
      </c>
      <c r="S43" s="4">
        <f>SUMIFS('SDR activity'!$I$2:$I$169,'SDR activity'!$B$2:$B$169,"s_amer_east_out",'SDR activity'!$C$2:$C$169,"aug26")</f>
        <v>4</v>
      </c>
      <c r="T43" s="4">
        <f>SUMIFS('SDR activity'!$I$2:$I$169,'SDR activity'!$B$2:$B$169,"s_amer_east_out",'SDR activity'!$C$2:$C$169,"sep26")</f>
        <v>4</v>
      </c>
      <c r="U43" s="4">
        <f>SUMIFS('SDR activity'!$I$2:$I$169,'SDR activity'!$B$2:$B$169,"s_amer_east_out",'SDR activity'!$C$2:$C$169,"oct26")</f>
        <v>3</v>
      </c>
      <c r="V43" s="4">
        <f>SUMIFS('SDR activity'!$I$2:$I$169,'SDR activity'!$B$2:$B$169,"s_amer_east_out",'SDR activity'!$C$2:$C$169,"nov26")</f>
        <v>4</v>
      </c>
      <c r="W43" s="4">
        <f>SUMIFS('SDR activity'!$I$2:$I$169,'SDR activity'!$B$2:$B$169,"s_amer_east_out",'SDR activity'!$C$2:$C$169,"dec26")</f>
        <v>4</v>
      </c>
    </row>
    <row r="44">
      <c r="A44" s="0" t="inlineStr">
        <is>
          <t xml:space="preserve">SQLs</t>
        </is>
      </c>
      <c r="B44" s="0" t="inlineStr">
        <is>
          <t xml:space="preserve">Marcus Nair</t>
        </is>
      </c>
      <c r="C44" s="4">
        <f>SUMIFS('SDR activity'!$I$2:$I$169,'SDR activity'!$B$2:$B$169,"s_amer_west_in",'SDR activity'!$C$2:$C$169,"apr25")</f>
        <v>14</v>
      </c>
      <c r="D44" s="4">
        <f>SUMIFS('SDR activity'!$I$2:$I$169,'SDR activity'!$B$2:$B$169,"s_amer_west_in",'SDR activity'!$C$2:$C$169,"may25")</f>
        <v>12</v>
      </c>
      <c r="E44" s="4">
        <f>SUMIFS('SDR activity'!$I$2:$I$169,'SDR activity'!$B$2:$B$169,"s_amer_west_in",'SDR activity'!$C$2:$C$169,"jun25")</f>
        <v>9</v>
      </c>
      <c r="F44" s="4">
        <f>SUMIFS('SDR activity'!$I$2:$I$169,'SDR activity'!$B$2:$B$169,"s_amer_west_in",'SDR activity'!$C$2:$C$169,"jul25")</f>
        <v>11</v>
      </c>
      <c r="G44" s="4">
        <f>SUMIFS('SDR activity'!$I$2:$I$169,'SDR activity'!$B$2:$B$169,"s_amer_west_in",'SDR activity'!$C$2:$C$169,"aug25")</f>
        <v>11</v>
      </c>
      <c r="H44" s="4">
        <f>SUMIFS('SDR activity'!$I$2:$I$169,'SDR activity'!$B$2:$B$169,"s_amer_west_in",'SDR activity'!$C$2:$C$169,"sep25")</f>
        <v>15</v>
      </c>
      <c r="I44" s="4">
        <f>SUMIFS('SDR activity'!$I$2:$I$169,'SDR activity'!$B$2:$B$169,"s_amer_west_in",'SDR activity'!$C$2:$C$169,"oct25")</f>
        <v>9</v>
      </c>
      <c r="J44" s="4">
        <f>SUMIFS('SDR activity'!$I$2:$I$169,'SDR activity'!$B$2:$B$169,"s_amer_west_in",'SDR activity'!$C$2:$C$169,"nov25")</f>
        <v>12</v>
      </c>
      <c r="K44" s="4">
        <f>SUMIFS('SDR activity'!$I$2:$I$169,'SDR activity'!$B$2:$B$169,"s_amer_west_in",'SDR activity'!$C$2:$C$169,"dec25")</f>
        <v>17</v>
      </c>
      <c r="L44" s="4">
        <f>SUMIFS('SDR activity'!$I$2:$I$169,'SDR activity'!$B$2:$B$169,"s_amer_west_in",'SDR activity'!$C$2:$C$169,"jan26")</f>
        <v>10</v>
      </c>
      <c r="M44" s="4">
        <f>SUMIFS('SDR activity'!$I$2:$I$169,'SDR activity'!$B$2:$B$169,"s_amer_west_in",'SDR activity'!$C$2:$C$169,"feb26")</f>
        <v>14</v>
      </c>
      <c r="N44" s="4">
        <f>SUMIFS('SDR activity'!$I$2:$I$169,'SDR activity'!$B$2:$B$169,"s_amer_west_in",'SDR activity'!$C$2:$C$169,"mar26")</f>
        <v>12</v>
      </c>
      <c r="O44" s="4">
        <f>SUMIFS('SDR activity'!$I$2:$I$169,'SDR activity'!$B$2:$B$169,"s_amer_west_in",'SDR activity'!$C$2:$C$169,"apr26")</f>
        <v>16</v>
      </c>
      <c r="P44" s="4">
        <f>SUMIFS('SDR activity'!$I$2:$I$169,'SDR activity'!$B$2:$B$169,"s_amer_west_in",'SDR activity'!$C$2:$C$169,"may26")</f>
        <v>13</v>
      </c>
      <c r="Q44" s="4">
        <f>SUMIFS('SDR activity'!$I$2:$I$169,'SDR activity'!$B$2:$B$169,"s_amer_west_in",'SDR activity'!$C$2:$C$169,"jun26")</f>
        <v>21</v>
      </c>
      <c r="R44" s="4">
        <f>SUMIFS('SDR activity'!$I$2:$I$169,'SDR activity'!$B$2:$B$169,"s_amer_west_in",'SDR activity'!$C$2:$C$169,"jul26")</f>
        <v>22</v>
      </c>
      <c r="S44" s="4">
        <f>SUMIFS('SDR activity'!$I$2:$I$169,'SDR activity'!$B$2:$B$169,"s_amer_west_in",'SDR activity'!$C$2:$C$169,"aug26")</f>
        <v>11</v>
      </c>
      <c r="T44" s="4">
        <f>SUMIFS('SDR activity'!$I$2:$I$169,'SDR activity'!$B$2:$B$169,"s_amer_west_in",'SDR activity'!$C$2:$C$169,"sep26")</f>
        <v>16</v>
      </c>
      <c r="U44" s="4">
        <f>SUMIFS('SDR activity'!$I$2:$I$169,'SDR activity'!$B$2:$B$169,"s_amer_west_in",'SDR activity'!$C$2:$C$169,"oct26")</f>
        <v>10</v>
      </c>
      <c r="V44" s="4">
        <f>SUMIFS('SDR activity'!$I$2:$I$169,'SDR activity'!$B$2:$B$169,"s_amer_west_in",'SDR activity'!$C$2:$C$169,"nov26")</f>
        <v>7</v>
      </c>
      <c r="W44" s="4">
        <f>SUMIFS('SDR activity'!$I$2:$I$169,'SDR activity'!$B$2:$B$169,"s_amer_west_in",'SDR activity'!$C$2:$C$169,"dec26")</f>
        <v>15</v>
      </c>
    </row>
    <row r="45">
      <c r="A45" s="0" t="inlineStr">
        <is>
          <t xml:space="preserve">SQLs</t>
        </is>
      </c>
      <c r="B45" s="0" t="inlineStr">
        <is>
          <t xml:space="preserve">Yuki Rahman</t>
        </is>
      </c>
      <c r="C45" s="4">
        <f>SUMIFS('SDR activity'!$I$2:$I$169,'SDR activity'!$B$2:$B$169,"s_amer_west_out",'SDR activity'!$C$2:$C$169,"apr25")</f>
        <v>4</v>
      </c>
      <c r="D45" s="4">
        <f>SUMIFS('SDR activity'!$I$2:$I$169,'SDR activity'!$B$2:$B$169,"s_amer_west_out",'SDR activity'!$C$2:$C$169,"may25")</f>
        <v>12</v>
      </c>
      <c r="E45" s="4">
        <f>SUMIFS('SDR activity'!$I$2:$I$169,'SDR activity'!$B$2:$B$169,"s_amer_west_out",'SDR activity'!$C$2:$C$169,"jun25")</f>
        <v>3</v>
      </c>
      <c r="F45" s="4">
        <f>SUMIFS('SDR activity'!$I$2:$I$169,'SDR activity'!$B$2:$B$169,"s_amer_west_out",'SDR activity'!$C$2:$C$169,"jul25")</f>
        <v>8</v>
      </c>
      <c r="G45" s="4">
        <f>SUMIFS('SDR activity'!$I$2:$I$169,'SDR activity'!$B$2:$B$169,"s_amer_west_out",'SDR activity'!$C$2:$C$169,"aug25")</f>
        <v>2</v>
      </c>
      <c r="H45" s="4">
        <f>SUMIFS('SDR activity'!$I$2:$I$169,'SDR activity'!$B$2:$B$169,"s_amer_west_out",'SDR activity'!$C$2:$C$169,"sep25")</f>
        <v>5</v>
      </c>
      <c r="I45" s="4">
        <f>SUMIFS('SDR activity'!$I$2:$I$169,'SDR activity'!$B$2:$B$169,"s_amer_west_out",'SDR activity'!$C$2:$C$169,"oct25")</f>
        <v>4</v>
      </c>
      <c r="J45" s="4">
        <f>SUMIFS('SDR activity'!$I$2:$I$169,'SDR activity'!$B$2:$B$169,"s_amer_west_out",'SDR activity'!$C$2:$C$169,"nov25")</f>
        <v>5</v>
      </c>
      <c r="K45" s="4">
        <f>SUMIFS('SDR activity'!$I$2:$I$169,'SDR activity'!$B$2:$B$169,"s_amer_west_out",'SDR activity'!$C$2:$C$169,"dec25")</f>
        <v>7</v>
      </c>
      <c r="L45" s="4">
        <f>SUMIFS('SDR activity'!$I$2:$I$169,'SDR activity'!$B$2:$B$169,"s_amer_west_out",'SDR activity'!$C$2:$C$169,"jan26")</f>
        <v>5</v>
      </c>
      <c r="M45" s="4">
        <f>SUMIFS('SDR activity'!$I$2:$I$169,'SDR activity'!$B$2:$B$169,"s_amer_west_out",'SDR activity'!$C$2:$C$169,"feb26")</f>
        <v>4</v>
      </c>
      <c r="N45" s="4">
        <f>SUMIFS('SDR activity'!$I$2:$I$169,'SDR activity'!$B$2:$B$169,"s_amer_west_out",'SDR activity'!$C$2:$C$169,"mar26")</f>
        <v>4</v>
      </c>
      <c r="O45" s="4">
        <f>SUMIFS('SDR activity'!$I$2:$I$169,'SDR activity'!$B$2:$B$169,"s_amer_west_out",'SDR activity'!$C$2:$C$169,"apr26")</f>
        <v>3</v>
      </c>
      <c r="P45" s="4">
        <f>SUMIFS('SDR activity'!$I$2:$I$169,'SDR activity'!$B$2:$B$169,"s_amer_west_out",'SDR activity'!$C$2:$C$169,"may26")</f>
        <v>4</v>
      </c>
      <c r="Q45" s="4">
        <f>SUMIFS('SDR activity'!$I$2:$I$169,'SDR activity'!$B$2:$B$169,"s_amer_west_out",'SDR activity'!$C$2:$C$169,"jun26")</f>
        <v>5</v>
      </c>
      <c r="R45" s="4">
        <f>SUMIFS('SDR activity'!$I$2:$I$169,'SDR activity'!$B$2:$B$169,"s_amer_west_out",'SDR activity'!$C$2:$C$169,"jul26")</f>
        <v>4</v>
      </c>
      <c r="S45" s="4">
        <f>SUMIFS('SDR activity'!$I$2:$I$169,'SDR activity'!$B$2:$B$169,"s_amer_west_out",'SDR activity'!$C$2:$C$169,"aug26")</f>
        <v>6</v>
      </c>
      <c r="T45" s="4">
        <f>SUMIFS('SDR activity'!$I$2:$I$169,'SDR activity'!$B$2:$B$169,"s_amer_west_out",'SDR activity'!$C$2:$C$169,"sep26")</f>
        <v>6</v>
      </c>
      <c r="U45" s="4">
        <f>SUMIFS('SDR activity'!$I$2:$I$169,'SDR activity'!$B$2:$B$169,"s_amer_west_out",'SDR activity'!$C$2:$C$169,"oct26")</f>
        <v>6</v>
      </c>
      <c r="V45" s="4">
        <f>SUMIFS('SDR activity'!$I$2:$I$169,'SDR activity'!$B$2:$B$169,"s_amer_west_out",'SDR activity'!$C$2:$C$169,"nov26")</f>
        <v>5</v>
      </c>
      <c r="W45" s="4">
        <f>SUMIFS('SDR activity'!$I$2:$I$169,'SDR activity'!$B$2:$B$169,"s_amer_west_out",'SDR activity'!$C$2:$C$169,"dec26")</f>
        <v>5</v>
      </c>
    </row>
    <row r="46">
      <c r="A46" s="0" t="inlineStr">
        <is>
          <t xml:space="preserve">SQLs</t>
        </is>
      </c>
      <c r="B46" s="0" t="inlineStr">
        <is>
          <t xml:space="preserve">Chloe Patel</t>
        </is>
      </c>
      <c r="C46" s="4">
        <f>SUMIFS('SDR activity'!$I$2:$I$169,'SDR activity'!$B$2:$B$169,"s_emea_in",'SDR activity'!$C$2:$C$169,"apr25")</f>
        <v>14</v>
      </c>
      <c r="D46" s="4">
        <f>SUMIFS('SDR activity'!$I$2:$I$169,'SDR activity'!$B$2:$B$169,"s_emea_in",'SDR activity'!$C$2:$C$169,"may25")</f>
        <v>16</v>
      </c>
      <c r="E46" s="4">
        <f>SUMIFS('SDR activity'!$I$2:$I$169,'SDR activity'!$B$2:$B$169,"s_emea_in",'SDR activity'!$C$2:$C$169,"jun25")</f>
        <v>16</v>
      </c>
      <c r="F46" s="4">
        <f>SUMIFS('SDR activity'!$I$2:$I$169,'SDR activity'!$B$2:$B$169,"s_emea_in",'SDR activity'!$C$2:$C$169,"jul25")</f>
        <v>15</v>
      </c>
      <c r="G46" s="4">
        <f>SUMIFS('SDR activity'!$I$2:$I$169,'SDR activity'!$B$2:$B$169,"s_emea_in",'SDR activity'!$C$2:$C$169,"aug25")</f>
        <v>9</v>
      </c>
      <c r="H46" s="4">
        <f>SUMIFS('SDR activity'!$I$2:$I$169,'SDR activity'!$B$2:$B$169,"s_emea_in",'SDR activity'!$C$2:$C$169,"sep25")</f>
        <v>9</v>
      </c>
      <c r="I46" s="4">
        <f>SUMIFS('SDR activity'!$I$2:$I$169,'SDR activity'!$B$2:$B$169,"s_emea_in",'SDR activity'!$C$2:$C$169,"oct25")</f>
        <v>12</v>
      </c>
      <c r="J46" s="4">
        <f>SUMIFS('SDR activity'!$I$2:$I$169,'SDR activity'!$B$2:$B$169,"s_emea_in",'SDR activity'!$C$2:$C$169,"nov25")</f>
        <v>17</v>
      </c>
      <c r="K46" s="4">
        <f>SUMIFS('SDR activity'!$I$2:$I$169,'SDR activity'!$B$2:$B$169,"s_emea_in",'SDR activity'!$C$2:$C$169,"dec25")</f>
        <v>15</v>
      </c>
      <c r="L46" s="4">
        <f>SUMIFS('SDR activity'!$I$2:$I$169,'SDR activity'!$B$2:$B$169,"s_emea_in",'SDR activity'!$C$2:$C$169,"jan26")</f>
        <v>19</v>
      </c>
      <c r="M46" s="4">
        <f>SUMIFS('SDR activity'!$I$2:$I$169,'SDR activity'!$B$2:$B$169,"s_emea_in",'SDR activity'!$C$2:$C$169,"feb26")</f>
        <v>11</v>
      </c>
      <c r="N46" s="4">
        <f>SUMIFS('SDR activity'!$I$2:$I$169,'SDR activity'!$B$2:$B$169,"s_emea_in",'SDR activity'!$C$2:$C$169,"mar26")</f>
        <v>13</v>
      </c>
      <c r="O46" s="4">
        <f>SUMIFS('SDR activity'!$I$2:$I$169,'SDR activity'!$B$2:$B$169,"s_emea_in",'SDR activity'!$C$2:$C$169,"apr26")</f>
        <v>16</v>
      </c>
      <c r="P46" s="4">
        <f>SUMIFS('SDR activity'!$I$2:$I$169,'SDR activity'!$B$2:$B$169,"s_emea_in",'SDR activity'!$C$2:$C$169,"may26")</f>
        <v>9</v>
      </c>
      <c r="Q46" s="4">
        <f>SUMIFS('SDR activity'!$I$2:$I$169,'SDR activity'!$B$2:$B$169,"s_emea_in",'SDR activity'!$C$2:$C$169,"jun26")</f>
        <v>15</v>
      </c>
      <c r="R46" s="4">
        <f>SUMIFS('SDR activity'!$I$2:$I$169,'SDR activity'!$B$2:$B$169,"s_emea_in",'SDR activity'!$C$2:$C$169,"jul26")</f>
        <v>13</v>
      </c>
      <c r="S46" s="4">
        <f>SUMIFS('SDR activity'!$I$2:$I$169,'SDR activity'!$B$2:$B$169,"s_emea_in",'SDR activity'!$C$2:$C$169,"aug26")</f>
        <v>14</v>
      </c>
      <c r="T46" s="4">
        <f>SUMIFS('SDR activity'!$I$2:$I$169,'SDR activity'!$B$2:$B$169,"s_emea_in",'SDR activity'!$C$2:$C$169,"sep26")</f>
        <v>8</v>
      </c>
      <c r="U46" s="4">
        <f>SUMIFS('SDR activity'!$I$2:$I$169,'SDR activity'!$B$2:$B$169,"s_emea_in",'SDR activity'!$C$2:$C$169,"oct26")</f>
        <v>12</v>
      </c>
      <c r="V46" s="4">
        <f>SUMIFS('SDR activity'!$I$2:$I$169,'SDR activity'!$B$2:$B$169,"s_emea_in",'SDR activity'!$C$2:$C$169,"nov26")</f>
        <v>20</v>
      </c>
      <c r="W46" s="4">
        <f>SUMIFS('SDR activity'!$I$2:$I$169,'SDR activity'!$B$2:$B$169,"s_emea_in",'SDR activity'!$C$2:$C$169,"dec26")</f>
        <v>12</v>
      </c>
    </row>
    <row r="47">
      <c r="A47" s="0" t="inlineStr">
        <is>
          <t xml:space="preserve">SQLs</t>
        </is>
      </c>
      <c r="B47" s="0" t="inlineStr">
        <is>
          <t xml:space="preserve">Samuel Kowalski</t>
        </is>
      </c>
      <c r="C47" s="4">
        <f>SUMIFS('SDR activity'!$I$2:$I$169,'SDR activity'!$B$2:$B$169,"s_emea_out",'SDR activity'!$C$2:$C$169,"apr25")</f>
        <v>3</v>
      </c>
      <c r="D47" s="4">
        <f>SUMIFS('SDR activity'!$I$2:$I$169,'SDR activity'!$B$2:$B$169,"s_emea_out",'SDR activity'!$C$2:$C$169,"may25")</f>
        <v>7</v>
      </c>
      <c r="E47" s="4">
        <f>SUMIFS('SDR activity'!$I$2:$I$169,'SDR activity'!$B$2:$B$169,"s_emea_out",'SDR activity'!$C$2:$C$169,"jun25")</f>
        <v>7</v>
      </c>
      <c r="F47" s="4">
        <f>SUMIFS('SDR activity'!$I$2:$I$169,'SDR activity'!$B$2:$B$169,"s_emea_out",'SDR activity'!$C$2:$C$169,"jul25")</f>
        <v>3</v>
      </c>
      <c r="G47" s="4">
        <f>SUMIFS('SDR activity'!$I$2:$I$169,'SDR activity'!$B$2:$B$169,"s_emea_out",'SDR activity'!$C$2:$C$169,"aug25")</f>
        <v>4</v>
      </c>
      <c r="H47" s="4">
        <f>SUMIFS('SDR activity'!$I$2:$I$169,'SDR activity'!$B$2:$B$169,"s_emea_out",'SDR activity'!$C$2:$C$169,"sep25")</f>
        <v>5</v>
      </c>
      <c r="I47" s="4">
        <f>SUMIFS('SDR activity'!$I$2:$I$169,'SDR activity'!$B$2:$B$169,"s_emea_out",'SDR activity'!$C$2:$C$169,"oct25")</f>
        <v>5</v>
      </c>
      <c r="J47" s="4">
        <f>SUMIFS('SDR activity'!$I$2:$I$169,'SDR activity'!$B$2:$B$169,"s_emea_out",'SDR activity'!$C$2:$C$169,"nov25")</f>
        <v>3</v>
      </c>
      <c r="K47" s="4">
        <f>SUMIFS('SDR activity'!$I$2:$I$169,'SDR activity'!$B$2:$B$169,"s_emea_out",'SDR activity'!$C$2:$C$169,"dec25")</f>
        <v>4</v>
      </c>
      <c r="L47" s="4">
        <f>SUMIFS('SDR activity'!$I$2:$I$169,'SDR activity'!$B$2:$B$169,"s_emea_out",'SDR activity'!$C$2:$C$169,"jan26")</f>
        <v>6</v>
      </c>
      <c r="M47" s="4">
        <f>SUMIFS('SDR activity'!$I$2:$I$169,'SDR activity'!$B$2:$B$169,"s_emea_out",'SDR activity'!$C$2:$C$169,"feb26")</f>
        <v>8</v>
      </c>
      <c r="N47" s="4">
        <f>SUMIFS('SDR activity'!$I$2:$I$169,'SDR activity'!$B$2:$B$169,"s_emea_out",'SDR activity'!$C$2:$C$169,"mar26")</f>
        <v>1</v>
      </c>
      <c r="O47" s="4">
        <f>SUMIFS('SDR activity'!$I$2:$I$169,'SDR activity'!$B$2:$B$169,"s_emea_out",'SDR activity'!$C$2:$C$169,"apr26")</f>
        <v>4</v>
      </c>
      <c r="P47" s="4">
        <f>SUMIFS('SDR activity'!$I$2:$I$169,'SDR activity'!$B$2:$B$169,"s_emea_out",'SDR activity'!$C$2:$C$169,"may26")</f>
        <v>7</v>
      </c>
      <c r="Q47" s="4">
        <f>SUMIFS('SDR activity'!$I$2:$I$169,'SDR activity'!$B$2:$B$169,"s_emea_out",'SDR activity'!$C$2:$C$169,"jun26")</f>
        <v>3</v>
      </c>
      <c r="R47" s="4">
        <f>SUMIFS('SDR activity'!$I$2:$I$169,'SDR activity'!$B$2:$B$169,"s_emea_out",'SDR activity'!$C$2:$C$169,"jul26")</f>
        <v>4</v>
      </c>
      <c r="S47" s="4">
        <f>SUMIFS('SDR activity'!$I$2:$I$169,'SDR activity'!$B$2:$B$169,"s_emea_out",'SDR activity'!$C$2:$C$169,"aug26")</f>
        <v>5</v>
      </c>
      <c r="T47" s="4">
        <f>SUMIFS('SDR activity'!$I$2:$I$169,'SDR activity'!$B$2:$B$169,"s_emea_out",'SDR activity'!$C$2:$C$169,"sep26")</f>
        <v>0</v>
      </c>
      <c r="U47" s="4">
        <f>SUMIFS('SDR activity'!$I$2:$I$169,'SDR activity'!$B$2:$B$169,"s_emea_out",'SDR activity'!$C$2:$C$169,"oct26")</f>
        <v>8</v>
      </c>
      <c r="V47" s="4">
        <f>SUMIFS('SDR activity'!$I$2:$I$169,'SDR activity'!$B$2:$B$169,"s_emea_out",'SDR activity'!$C$2:$C$169,"nov26")</f>
        <v>3</v>
      </c>
      <c r="W47" s="4">
        <f>SUMIFS('SDR activity'!$I$2:$I$169,'SDR activity'!$B$2:$B$169,"s_emea_out",'SDR activity'!$C$2:$C$169,"dec26")</f>
        <v>5</v>
      </c>
    </row>
    <row r="48">
      <c r="A48" s="0" t="inlineStr">
        <is>
          <t xml:space="preserve">SQLs</t>
        </is>
      </c>
      <c r="B48" s="0" t="inlineStr">
        <is>
          <t xml:space="preserve">Rafael Ivanova</t>
        </is>
      </c>
      <c r="C48" s="4">
        <f>SUMIFS('SDR activity'!$I$2:$I$169,'SDR activity'!$B$2:$B$169,"s_apac_in",'SDR activity'!$C$2:$C$169,"apr25")</f>
        <v>3</v>
      </c>
      <c r="D48" s="4">
        <f>SUMIFS('SDR activity'!$I$2:$I$169,'SDR activity'!$B$2:$B$169,"s_apac_in",'SDR activity'!$C$2:$C$169,"may25")</f>
        <v>6</v>
      </c>
      <c r="E48" s="4">
        <f>SUMIFS('SDR activity'!$I$2:$I$169,'SDR activity'!$B$2:$B$169,"s_apac_in",'SDR activity'!$C$2:$C$169,"jun25")</f>
        <v>8</v>
      </c>
      <c r="F48" s="4">
        <f>SUMIFS('SDR activity'!$I$2:$I$169,'SDR activity'!$B$2:$B$169,"s_apac_in",'SDR activity'!$C$2:$C$169,"jul25")</f>
        <v>11</v>
      </c>
      <c r="G48" s="4">
        <f>SUMIFS('SDR activity'!$I$2:$I$169,'SDR activity'!$B$2:$B$169,"s_apac_in",'SDR activity'!$C$2:$C$169,"aug25")</f>
        <v>9</v>
      </c>
      <c r="H48" s="4">
        <f>SUMIFS('SDR activity'!$I$2:$I$169,'SDR activity'!$B$2:$B$169,"s_apac_in",'SDR activity'!$C$2:$C$169,"sep25")</f>
        <v>8</v>
      </c>
      <c r="I48" s="4">
        <f>SUMIFS('SDR activity'!$I$2:$I$169,'SDR activity'!$B$2:$B$169,"s_apac_in",'SDR activity'!$C$2:$C$169,"oct25")</f>
        <v>7</v>
      </c>
      <c r="J48" s="4">
        <f>SUMIFS('SDR activity'!$I$2:$I$169,'SDR activity'!$B$2:$B$169,"s_apac_in",'SDR activity'!$C$2:$C$169,"nov25")</f>
        <v>1</v>
      </c>
      <c r="K48" s="4">
        <f>SUMIFS('SDR activity'!$I$2:$I$169,'SDR activity'!$B$2:$B$169,"s_apac_in",'SDR activity'!$C$2:$C$169,"dec25")</f>
        <v>3</v>
      </c>
      <c r="L48" s="4">
        <f>SUMIFS('SDR activity'!$I$2:$I$169,'SDR activity'!$B$2:$B$169,"s_apac_in",'SDR activity'!$C$2:$C$169,"jan26")</f>
        <v>3</v>
      </c>
      <c r="M48" s="4">
        <f>SUMIFS('SDR activity'!$I$2:$I$169,'SDR activity'!$B$2:$B$169,"s_apac_in",'SDR activity'!$C$2:$C$169,"feb26")</f>
        <v>8</v>
      </c>
      <c r="N48" s="4">
        <f>SUMIFS('SDR activity'!$I$2:$I$169,'SDR activity'!$B$2:$B$169,"s_apac_in",'SDR activity'!$C$2:$C$169,"mar26")</f>
        <v>17</v>
      </c>
      <c r="O48" s="4">
        <f>SUMIFS('SDR activity'!$I$2:$I$169,'SDR activity'!$B$2:$B$169,"s_apac_in",'SDR activity'!$C$2:$C$169,"apr26")</f>
        <v>6</v>
      </c>
      <c r="P48" s="4">
        <f>SUMIFS('SDR activity'!$I$2:$I$169,'SDR activity'!$B$2:$B$169,"s_apac_in",'SDR activity'!$C$2:$C$169,"may26")</f>
        <v>6</v>
      </c>
      <c r="Q48" s="4">
        <f>SUMIFS('SDR activity'!$I$2:$I$169,'SDR activity'!$B$2:$B$169,"s_apac_in",'SDR activity'!$C$2:$C$169,"jun26")</f>
        <v>12</v>
      </c>
      <c r="R48" s="4">
        <f>SUMIFS('SDR activity'!$I$2:$I$169,'SDR activity'!$B$2:$B$169,"s_apac_in",'SDR activity'!$C$2:$C$169,"jul26")</f>
        <v>7</v>
      </c>
      <c r="S48" s="4">
        <f>SUMIFS('SDR activity'!$I$2:$I$169,'SDR activity'!$B$2:$B$169,"s_apac_in",'SDR activity'!$C$2:$C$169,"aug26")</f>
        <v>10</v>
      </c>
      <c r="T48" s="4">
        <f>SUMIFS('SDR activity'!$I$2:$I$169,'SDR activity'!$B$2:$B$169,"s_apac_in",'SDR activity'!$C$2:$C$169,"sep26")</f>
        <v>10</v>
      </c>
      <c r="U48" s="4">
        <f>SUMIFS('SDR activity'!$I$2:$I$169,'SDR activity'!$B$2:$B$169,"s_apac_in",'SDR activity'!$C$2:$C$169,"oct26")</f>
        <v>5</v>
      </c>
      <c r="V48" s="4">
        <f>SUMIFS('SDR activity'!$I$2:$I$169,'SDR activity'!$B$2:$B$169,"s_apac_in",'SDR activity'!$C$2:$C$169,"nov26")</f>
        <v>9</v>
      </c>
      <c r="W48" s="4">
        <f>SUMIFS('SDR activity'!$I$2:$I$169,'SDR activity'!$B$2:$B$169,"s_apac_in",'SDR activity'!$C$2:$C$169,"dec26")</f>
        <v>7</v>
      </c>
    </row>
    <row r="49">
      <c r="A49" s="0" t="inlineStr">
        <is>
          <t xml:space="preserve">SQLs</t>
        </is>
      </c>
      <c r="B49" s="0" t="inlineStr">
        <is>
          <t xml:space="preserve">Wei Kowalski</t>
        </is>
      </c>
      <c r="C49" s="4">
        <f>SUMIFS('SDR activity'!$I$2:$I$169,'SDR activity'!$B$2:$B$169,"s_apac_out",'SDR activity'!$C$2:$C$169,"apr25")</f>
        <v>6</v>
      </c>
      <c r="D49" s="4">
        <f>SUMIFS('SDR activity'!$I$2:$I$169,'SDR activity'!$B$2:$B$169,"s_apac_out",'SDR activity'!$C$2:$C$169,"may25")</f>
        <v>6</v>
      </c>
      <c r="E49" s="4">
        <f>SUMIFS('SDR activity'!$I$2:$I$169,'SDR activity'!$B$2:$B$169,"s_apac_out",'SDR activity'!$C$2:$C$169,"jun25")</f>
        <v>3</v>
      </c>
      <c r="F49" s="4">
        <f>SUMIFS('SDR activity'!$I$2:$I$169,'SDR activity'!$B$2:$B$169,"s_apac_out",'SDR activity'!$C$2:$C$169,"jul25")</f>
        <v>2</v>
      </c>
      <c r="G49" s="4">
        <f>SUMIFS('SDR activity'!$I$2:$I$169,'SDR activity'!$B$2:$B$169,"s_apac_out",'SDR activity'!$C$2:$C$169,"aug25")</f>
        <v>3</v>
      </c>
      <c r="H49" s="4">
        <f>SUMIFS('SDR activity'!$I$2:$I$169,'SDR activity'!$B$2:$B$169,"s_apac_out",'SDR activity'!$C$2:$C$169,"sep25")</f>
        <v>3</v>
      </c>
      <c r="I49" s="4">
        <f>SUMIFS('SDR activity'!$I$2:$I$169,'SDR activity'!$B$2:$B$169,"s_apac_out",'SDR activity'!$C$2:$C$169,"oct25")</f>
        <v>5</v>
      </c>
      <c r="J49" s="4">
        <f>SUMIFS('SDR activity'!$I$2:$I$169,'SDR activity'!$B$2:$B$169,"s_apac_out",'SDR activity'!$C$2:$C$169,"nov25")</f>
        <v>7</v>
      </c>
      <c r="K49" s="4">
        <f>SUMIFS('SDR activity'!$I$2:$I$169,'SDR activity'!$B$2:$B$169,"s_apac_out",'SDR activity'!$C$2:$C$169,"dec25")</f>
        <v>3</v>
      </c>
      <c r="L49" s="4">
        <f>SUMIFS('SDR activity'!$I$2:$I$169,'SDR activity'!$B$2:$B$169,"s_apac_out",'SDR activity'!$C$2:$C$169,"jan26")</f>
        <v>4</v>
      </c>
      <c r="M49" s="4">
        <f>SUMIFS('SDR activity'!$I$2:$I$169,'SDR activity'!$B$2:$B$169,"s_apac_out",'SDR activity'!$C$2:$C$169,"feb26")</f>
        <v>4</v>
      </c>
      <c r="N49" s="4">
        <f>SUMIFS('SDR activity'!$I$2:$I$169,'SDR activity'!$B$2:$B$169,"s_apac_out",'SDR activity'!$C$2:$C$169,"mar26")</f>
        <v>7</v>
      </c>
      <c r="O49" s="4">
        <f>SUMIFS('SDR activity'!$I$2:$I$169,'SDR activity'!$B$2:$B$169,"s_apac_out",'SDR activity'!$C$2:$C$169,"apr26")</f>
        <v>6</v>
      </c>
      <c r="P49" s="4">
        <f>SUMIFS('SDR activity'!$I$2:$I$169,'SDR activity'!$B$2:$B$169,"s_apac_out",'SDR activity'!$C$2:$C$169,"may26")</f>
        <v>6</v>
      </c>
      <c r="Q49" s="4">
        <f>SUMIFS('SDR activity'!$I$2:$I$169,'SDR activity'!$B$2:$B$169,"s_apac_out",'SDR activity'!$C$2:$C$169,"jun26")</f>
        <v>7</v>
      </c>
      <c r="R49" s="4">
        <f>SUMIFS('SDR activity'!$I$2:$I$169,'SDR activity'!$B$2:$B$169,"s_apac_out",'SDR activity'!$C$2:$C$169,"jul26")</f>
        <v>5</v>
      </c>
      <c r="S49" s="4">
        <f>SUMIFS('SDR activity'!$I$2:$I$169,'SDR activity'!$B$2:$B$169,"s_apac_out",'SDR activity'!$C$2:$C$169,"aug26")</f>
        <v>5</v>
      </c>
      <c r="T49" s="4">
        <f>SUMIFS('SDR activity'!$I$2:$I$169,'SDR activity'!$B$2:$B$169,"s_apac_out",'SDR activity'!$C$2:$C$169,"sep26")</f>
        <v>8</v>
      </c>
      <c r="U49" s="4">
        <f>SUMIFS('SDR activity'!$I$2:$I$169,'SDR activity'!$B$2:$B$169,"s_apac_out",'SDR activity'!$C$2:$C$169,"oct26")</f>
        <v>7</v>
      </c>
      <c r="V49" s="4">
        <f>SUMIFS('SDR activity'!$I$2:$I$169,'SDR activity'!$B$2:$B$169,"s_apac_out",'SDR activity'!$C$2:$C$169,"nov26")</f>
        <v>8</v>
      </c>
      <c r="W49" s="4">
        <f>SUMIFS('SDR activity'!$I$2:$I$169,'SDR activity'!$B$2:$B$169,"s_apac_out",'SDR activity'!$C$2:$C$169,"dec26")</f>
        <v>1</v>
      </c>
    </row>
    <row r="50">
      <c r="A50" s="0" t="inlineStr">
        <is>
          <t xml:space="preserve">SQL quota</t>
        </is>
      </c>
      <c r="B50" s="0" t="inlineStr">
        <is>
          <t xml:space="preserve">Zara Kowalski</t>
        </is>
      </c>
      <c r="C50" s="4">
        <f>10</f>
        <v>10</v>
      </c>
      <c r="D50" s="4">
        <f>10</f>
        <v>10</v>
      </c>
      <c r="E50" s="4">
        <f>10</f>
        <v>10</v>
      </c>
      <c r="F50" s="4">
        <f>10</f>
        <v>10</v>
      </c>
      <c r="G50" s="4">
        <f>10</f>
        <v>10</v>
      </c>
      <c r="H50" s="4">
        <f>10</f>
        <v>10</v>
      </c>
      <c r="I50" s="4">
        <f>10</f>
        <v>10</v>
      </c>
      <c r="J50" s="4">
        <f>10</f>
        <v>10</v>
      </c>
      <c r="K50" s="4">
        <f>10</f>
        <v>10</v>
      </c>
      <c r="L50" s="4">
        <f>10</f>
        <v>10</v>
      </c>
      <c r="M50" s="4">
        <f>10</f>
        <v>10</v>
      </c>
      <c r="N50" s="4">
        <f>10</f>
        <v>10</v>
      </c>
      <c r="O50" s="4">
        <f>10</f>
        <v>10</v>
      </c>
      <c r="P50" s="4">
        <f>10</f>
        <v>10</v>
      </c>
      <c r="Q50" s="4">
        <f>10</f>
        <v>10</v>
      </c>
      <c r="R50" s="4">
        <f>10</f>
        <v>10</v>
      </c>
      <c r="S50" s="4">
        <f>10</f>
        <v>10</v>
      </c>
      <c r="T50" s="4">
        <f>10</f>
        <v>10</v>
      </c>
      <c r="U50" s="4">
        <f>10</f>
        <v>10</v>
      </c>
      <c r="V50" s="4">
        <f>10</f>
        <v>10</v>
      </c>
      <c r="W50" s="4">
        <f>10</f>
        <v>10</v>
      </c>
    </row>
    <row r="51">
      <c r="A51" s="0" t="inlineStr">
        <is>
          <t xml:space="preserve">SQL quota</t>
        </is>
      </c>
      <c r="B51" s="0" t="inlineStr">
        <is>
          <t xml:space="preserve">Kenji Kowalski</t>
        </is>
      </c>
      <c r="C51" s="4">
        <f>6</f>
        <v>6</v>
      </c>
      <c r="D51" s="4">
        <f>6</f>
        <v>6</v>
      </c>
      <c r="E51" s="4">
        <f>6</f>
        <v>6</v>
      </c>
      <c r="F51" s="4">
        <f>6</f>
        <v>6</v>
      </c>
      <c r="G51" s="4">
        <f>6</f>
        <v>6</v>
      </c>
      <c r="H51" s="4">
        <f>6</f>
        <v>6</v>
      </c>
      <c r="I51" s="4">
        <f>6</f>
        <v>6</v>
      </c>
      <c r="J51" s="4">
        <f>6</f>
        <v>6</v>
      </c>
      <c r="K51" s="4">
        <f>6</f>
        <v>6</v>
      </c>
      <c r="L51" s="4">
        <f>6</f>
        <v>6</v>
      </c>
      <c r="M51" s="4">
        <f>6</f>
        <v>6</v>
      </c>
      <c r="N51" s="4">
        <f>6</f>
        <v>6</v>
      </c>
      <c r="O51" s="4">
        <f>6</f>
        <v>6</v>
      </c>
      <c r="P51" s="4">
        <f>6</f>
        <v>6</v>
      </c>
      <c r="Q51" s="4">
        <f>6</f>
        <v>6</v>
      </c>
      <c r="R51" s="4">
        <f>6</f>
        <v>6</v>
      </c>
      <c r="S51" s="4">
        <f>6</f>
        <v>6</v>
      </c>
      <c r="T51" s="4">
        <f>6</f>
        <v>6</v>
      </c>
      <c r="U51" s="4">
        <f>6</f>
        <v>6</v>
      </c>
      <c r="V51" s="4">
        <f>6</f>
        <v>6</v>
      </c>
      <c r="W51" s="4">
        <f>6</f>
        <v>6</v>
      </c>
    </row>
    <row r="52">
      <c r="A52" s="0" t="inlineStr">
        <is>
          <t xml:space="preserve">SQL quota</t>
        </is>
      </c>
      <c r="B52" s="0" t="inlineStr">
        <is>
          <t xml:space="preserve">Marcus Nair</t>
        </is>
      </c>
      <c r="C52" s="4">
        <f>10</f>
        <v>10</v>
      </c>
      <c r="D52" s="4">
        <f>10</f>
        <v>10</v>
      </c>
      <c r="E52" s="4">
        <f>10</f>
        <v>10</v>
      </c>
      <c r="F52" s="4">
        <f>10</f>
        <v>10</v>
      </c>
      <c r="G52" s="4">
        <f>10</f>
        <v>10</v>
      </c>
      <c r="H52" s="4">
        <f>10</f>
        <v>10</v>
      </c>
      <c r="I52" s="4">
        <f>10</f>
        <v>10</v>
      </c>
      <c r="J52" s="4">
        <f>10</f>
        <v>10</v>
      </c>
      <c r="K52" s="4">
        <f>10</f>
        <v>10</v>
      </c>
      <c r="L52" s="4">
        <f>10</f>
        <v>10</v>
      </c>
      <c r="M52" s="4">
        <f>10</f>
        <v>10</v>
      </c>
      <c r="N52" s="4">
        <f>10</f>
        <v>10</v>
      </c>
      <c r="O52" s="4">
        <f>10</f>
        <v>10</v>
      </c>
      <c r="P52" s="4">
        <f>10</f>
        <v>10</v>
      </c>
      <c r="Q52" s="4">
        <f>10</f>
        <v>10</v>
      </c>
      <c r="R52" s="4">
        <f>10</f>
        <v>10</v>
      </c>
      <c r="S52" s="4">
        <f>10</f>
        <v>10</v>
      </c>
      <c r="T52" s="4">
        <f>10</f>
        <v>10</v>
      </c>
      <c r="U52" s="4">
        <f>10</f>
        <v>10</v>
      </c>
      <c r="V52" s="4">
        <f>10</f>
        <v>10</v>
      </c>
      <c r="W52" s="4">
        <f>10</f>
        <v>10</v>
      </c>
    </row>
    <row r="53">
      <c r="A53" s="0" t="inlineStr">
        <is>
          <t xml:space="preserve">SQL quota</t>
        </is>
      </c>
      <c r="B53" s="0" t="inlineStr">
        <is>
          <t xml:space="preserve">Yuki Rahman</t>
        </is>
      </c>
      <c r="C53" s="4">
        <f>6</f>
        <v>6</v>
      </c>
      <c r="D53" s="4">
        <f>6</f>
        <v>6</v>
      </c>
      <c r="E53" s="4">
        <f>6</f>
        <v>6</v>
      </c>
      <c r="F53" s="4">
        <f>6</f>
        <v>6</v>
      </c>
      <c r="G53" s="4">
        <f>6</f>
        <v>6</v>
      </c>
      <c r="H53" s="4">
        <f>6</f>
        <v>6</v>
      </c>
      <c r="I53" s="4">
        <f>6</f>
        <v>6</v>
      </c>
      <c r="J53" s="4">
        <f>6</f>
        <v>6</v>
      </c>
      <c r="K53" s="4">
        <f>6</f>
        <v>6</v>
      </c>
      <c r="L53" s="4">
        <f>6</f>
        <v>6</v>
      </c>
      <c r="M53" s="4">
        <f>6</f>
        <v>6</v>
      </c>
      <c r="N53" s="4">
        <f>6</f>
        <v>6</v>
      </c>
      <c r="O53" s="4">
        <f>6</f>
        <v>6</v>
      </c>
      <c r="P53" s="4">
        <f>6</f>
        <v>6</v>
      </c>
      <c r="Q53" s="4">
        <f>6</f>
        <v>6</v>
      </c>
      <c r="R53" s="4">
        <f>6</f>
        <v>6</v>
      </c>
      <c r="S53" s="4">
        <f>6</f>
        <v>6</v>
      </c>
      <c r="T53" s="4">
        <f>6</f>
        <v>6</v>
      </c>
      <c r="U53" s="4">
        <f>6</f>
        <v>6</v>
      </c>
      <c r="V53" s="4">
        <f>6</f>
        <v>6</v>
      </c>
      <c r="W53" s="4">
        <f>6</f>
        <v>6</v>
      </c>
    </row>
    <row r="54">
      <c r="A54" s="0" t="inlineStr">
        <is>
          <t xml:space="preserve">SQL quota</t>
        </is>
      </c>
      <c r="B54" s="0" t="inlineStr">
        <is>
          <t xml:space="preserve">Chloe Patel</t>
        </is>
      </c>
      <c r="C54" s="4">
        <f>10</f>
        <v>10</v>
      </c>
      <c r="D54" s="4">
        <f>10</f>
        <v>10</v>
      </c>
      <c r="E54" s="4">
        <f>10</f>
        <v>10</v>
      </c>
      <c r="F54" s="4">
        <f>10</f>
        <v>10</v>
      </c>
      <c r="G54" s="4">
        <f>10</f>
        <v>10</v>
      </c>
      <c r="H54" s="4">
        <f>10</f>
        <v>10</v>
      </c>
      <c r="I54" s="4">
        <f>10</f>
        <v>10</v>
      </c>
      <c r="J54" s="4">
        <f>10</f>
        <v>10</v>
      </c>
      <c r="K54" s="4">
        <f>10</f>
        <v>10</v>
      </c>
      <c r="L54" s="4">
        <f>10</f>
        <v>10</v>
      </c>
      <c r="M54" s="4">
        <f>10</f>
        <v>10</v>
      </c>
      <c r="N54" s="4">
        <f>10</f>
        <v>10</v>
      </c>
      <c r="O54" s="4">
        <f>10</f>
        <v>10</v>
      </c>
      <c r="P54" s="4">
        <f>10</f>
        <v>10</v>
      </c>
      <c r="Q54" s="4">
        <f>10</f>
        <v>10</v>
      </c>
      <c r="R54" s="4">
        <f>10</f>
        <v>10</v>
      </c>
      <c r="S54" s="4">
        <f>10</f>
        <v>10</v>
      </c>
      <c r="T54" s="4">
        <f>10</f>
        <v>10</v>
      </c>
      <c r="U54" s="4">
        <f>10</f>
        <v>10</v>
      </c>
      <c r="V54" s="4">
        <f>10</f>
        <v>10</v>
      </c>
      <c r="W54" s="4">
        <f>10</f>
        <v>10</v>
      </c>
    </row>
    <row r="55">
      <c r="A55" s="0" t="inlineStr">
        <is>
          <t xml:space="preserve">SQL quota</t>
        </is>
      </c>
      <c r="B55" s="0" t="inlineStr">
        <is>
          <t xml:space="preserve">Samuel Kowalski</t>
        </is>
      </c>
      <c r="C55" s="4">
        <f>6</f>
        <v>6</v>
      </c>
      <c r="D55" s="4">
        <f>6</f>
        <v>6</v>
      </c>
      <c r="E55" s="4">
        <f>6</f>
        <v>6</v>
      </c>
      <c r="F55" s="4">
        <f>6</f>
        <v>6</v>
      </c>
      <c r="G55" s="4">
        <f>6</f>
        <v>6</v>
      </c>
      <c r="H55" s="4">
        <f>6</f>
        <v>6</v>
      </c>
      <c r="I55" s="4">
        <f>6</f>
        <v>6</v>
      </c>
      <c r="J55" s="4">
        <f>6</f>
        <v>6</v>
      </c>
      <c r="K55" s="4">
        <f>6</f>
        <v>6</v>
      </c>
      <c r="L55" s="4">
        <f>6</f>
        <v>6</v>
      </c>
      <c r="M55" s="4">
        <f>6</f>
        <v>6</v>
      </c>
      <c r="N55" s="4">
        <f>6</f>
        <v>6</v>
      </c>
      <c r="O55" s="4">
        <f>6</f>
        <v>6</v>
      </c>
      <c r="P55" s="4">
        <f>6</f>
        <v>6</v>
      </c>
      <c r="Q55" s="4">
        <f>6</f>
        <v>6</v>
      </c>
      <c r="R55" s="4">
        <f>6</f>
        <v>6</v>
      </c>
      <c r="S55" s="4">
        <f>6</f>
        <v>6</v>
      </c>
      <c r="T55" s="4">
        <f>6</f>
        <v>6</v>
      </c>
      <c r="U55" s="4">
        <f>6</f>
        <v>6</v>
      </c>
      <c r="V55" s="4">
        <f>6</f>
        <v>6</v>
      </c>
      <c r="W55" s="4">
        <f>6</f>
        <v>6</v>
      </c>
    </row>
    <row r="56">
      <c r="A56" s="0" t="inlineStr">
        <is>
          <t xml:space="preserve">SQL quota</t>
        </is>
      </c>
      <c r="B56" s="0" t="inlineStr">
        <is>
          <t xml:space="preserve">Rafael Ivanova</t>
        </is>
      </c>
      <c r="C56" s="4">
        <f>10</f>
        <v>10</v>
      </c>
      <c r="D56" s="4">
        <f>10</f>
        <v>10</v>
      </c>
      <c r="E56" s="4">
        <f>10</f>
        <v>10</v>
      </c>
      <c r="F56" s="4">
        <f>10</f>
        <v>10</v>
      </c>
      <c r="G56" s="4">
        <f>10</f>
        <v>10</v>
      </c>
      <c r="H56" s="4">
        <f>10</f>
        <v>10</v>
      </c>
      <c r="I56" s="4">
        <f>10</f>
        <v>10</v>
      </c>
      <c r="J56" s="4">
        <f>10</f>
        <v>10</v>
      </c>
      <c r="K56" s="4">
        <f>10</f>
        <v>10</v>
      </c>
      <c r="L56" s="4">
        <f>10</f>
        <v>10</v>
      </c>
      <c r="M56" s="4">
        <f>10</f>
        <v>10</v>
      </c>
      <c r="N56" s="4">
        <f>10</f>
        <v>10</v>
      </c>
      <c r="O56" s="4">
        <f>10</f>
        <v>10</v>
      </c>
      <c r="P56" s="4">
        <f>10</f>
        <v>10</v>
      </c>
      <c r="Q56" s="4">
        <f>10</f>
        <v>10</v>
      </c>
      <c r="R56" s="4">
        <f>10</f>
        <v>10</v>
      </c>
      <c r="S56" s="4">
        <f>10</f>
        <v>10</v>
      </c>
      <c r="T56" s="4">
        <f>10</f>
        <v>10</v>
      </c>
      <c r="U56" s="4">
        <f>10</f>
        <v>10</v>
      </c>
      <c r="V56" s="4">
        <f>10</f>
        <v>10</v>
      </c>
      <c r="W56" s="4">
        <f>10</f>
        <v>10</v>
      </c>
    </row>
    <row r="57">
      <c r="A57" s="0" t="inlineStr">
        <is>
          <t xml:space="preserve">SQL quota</t>
        </is>
      </c>
      <c r="B57" s="0" t="inlineStr">
        <is>
          <t xml:space="preserve">Wei Kowalski</t>
        </is>
      </c>
      <c r="C57" s="4">
        <f>6</f>
        <v>6</v>
      </c>
      <c r="D57" s="4">
        <f>6</f>
        <v>6</v>
      </c>
      <c r="E57" s="4">
        <f>6</f>
        <v>6</v>
      </c>
      <c r="F57" s="4">
        <f>6</f>
        <v>6</v>
      </c>
      <c r="G57" s="4">
        <f>6</f>
        <v>6</v>
      </c>
      <c r="H57" s="4">
        <f>6</f>
        <v>6</v>
      </c>
      <c r="I57" s="4">
        <f>6</f>
        <v>6</v>
      </c>
      <c r="J57" s="4">
        <f>6</f>
        <v>6</v>
      </c>
      <c r="K57" s="4">
        <f>6</f>
        <v>6</v>
      </c>
      <c r="L57" s="4">
        <f>6</f>
        <v>6</v>
      </c>
      <c r="M57" s="4">
        <f>6</f>
        <v>6</v>
      </c>
      <c r="N57" s="4">
        <f>6</f>
        <v>6</v>
      </c>
      <c r="O57" s="4">
        <f>6</f>
        <v>6</v>
      </c>
      <c r="P57" s="4">
        <f>6</f>
        <v>6</v>
      </c>
      <c r="Q57" s="4">
        <f>6</f>
        <v>6</v>
      </c>
      <c r="R57" s="4">
        <f>6</f>
        <v>6</v>
      </c>
      <c r="S57" s="4">
        <f>6</f>
        <v>6</v>
      </c>
      <c r="T57" s="4">
        <f>6</f>
        <v>6</v>
      </c>
      <c r="U57" s="4">
        <f>6</f>
        <v>6</v>
      </c>
      <c r="V57" s="4">
        <f>6</f>
        <v>6</v>
      </c>
      <c r="W57" s="4">
        <f>6</f>
        <v>6</v>
      </c>
    </row>
    <row r="58">
      <c r="A58" s="0" t="inlineStr">
        <is>
          <t xml:space="preserve">SQL attainment</t>
        </is>
      </c>
      <c r="B58" s="0" t="inlineStr">
        <is>
          <t xml:space="preserve">Zara Kowalski</t>
        </is>
      </c>
      <c r="C58" s="12">
        <f>IFERROR((C42/C50),0)</f>
        <v>1.6</v>
      </c>
      <c r="D58" s="12">
        <f>IFERROR((D42/D50),0)</f>
        <v>1.5</v>
      </c>
      <c r="E58" s="12">
        <f>IFERROR((E42/E50),0)</f>
        <v>2.7</v>
      </c>
      <c r="F58" s="12">
        <f>IFERROR((F42/F50),0)</f>
        <v>1.7</v>
      </c>
      <c r="G58" s="12">
        <f>IFERROR((G42/G50),0)</f>
        <v>1.4</v>
      </c>
      <c r="H58" s="12">
        <f>IFERROR((H42/H50),0)</f>
        <v>0.7</v>
      </c>
      <c r="I58" s="12">
        <f>IFERROR((I42/I50),0)</f>
        <v>0.9</v>
      </c>
      <c r="J58" s="12">
        <f>IFERROR((J42/J50),0)</f>
        <v>1.1</v>
      </c>
      <c r="K58" s="12">
        <f>IFERROR((K42/K50),0)</f>
        <v>1.6</v>
      </c>
      <c r="L58" s="12">
        <f>IFERROR((L42/L50),0)</f>
        <v>1.5</v>
      </c>
      <c r="M58" s="12">
        <f>IFERROR((M42/M50),0)</f>
        <v>0.9</v>
      </c>
      <c r="N58" s="12">
        <f>IFERROR((N42/N50),0)</f>
        <v>1.6</v>
      </c>
      <c r="O58" s="12">
        <f>IFERROR((O42/O50),0)</f>
        <v>2.8</v>
      </c>
      <c r="P58" s="12">
        <f>IFERROR((P42/P50),0)</f>
        <v>2.1</v>
      </c>
      <c r="Q58" s="12">
        <f>IFERROR((Q42/Q50),0)</f>
        <v>1.6</v>
      </c>
      <c r="R58" s="12">
        <f>IFERROR((R42/R50),0)</f>
        <v>2</v>
      </c>
      <c r="S58" s="12">
        <f>IFERROR((S42/S50),0)</f>
        <v>1.9</v>
      </c>
      <c r="T58" s="12">
        <f>IFERROR((T42/T50),0)</f>
        <v>1.9</v>
      </c>
      <c r="U58" s="12">
        <f>IFERROR((U42/U50),0)</f>
        <v>1.6</v>
      </c>
      <c r="V58" s="12">
        <f>IFERROR((V42/V50),0)</f>
        <v>1.8</v>
      </c>
      <c r="W58" s="12">
        <f>IFERROR((W42/W50),0)</f>
        <v>1.8</v>
      </c>
    </row>
    <row r="59">
      <c r="A59" s="0" t="inlineStr">
        <is>
          <t xml:space="preserve">SQL attainment</t>
        </is>
      </c>
      <c r="B59" s="0" t="inlineStr">
        <is>
          <t xml:space="preserve">Kenji Kowalski</t>
        </is>
      </c>
      <c r="C59" s="12">
        <f>IFERROR((C43/C51),0)</f>
        <v>0.6666666666666666</v>
      </c>
      <c r="D59" s="12">
        <f>IFERROR((D43/D51),0)</f>
        <v>0.5</v>
      </c>
      <c r="E59" s="12">
        <f>IFERROR((E43/E51),0)</f>
        <v>0.5</v>
      </c>
      <c r="F59" s="12">
        <f>IFERROR((F43/F51),0)</f>
        <v>1.1666666666666667</v>
      </c>
      <c r="G59" s="12">
        <f>IFERROR((G43/G51),0)</f>
        <v>0.5</v>
      </c>
      <c r="H59" s="12">
        <f>IFERROR((H43/H51),0)</f>
        <v>0.5</v>
      </c>
      <c r="I59" s="12">
        <f>IFERROR((I43/I51),0)</f>
        <v>0.3333333333333333</v>
      </c>
      <c r="J59" s="12">
        <f>IFERROR((J43/J51),0)</f>
        <v>0.16666666666666666</v>
      </c>
      <c r="K59" s="12">
        <f>IFERROR((K43/K51),0)</f>
        <v>0.8333333333333334</v>
      </c>
      <c r="L59" s="12">
        <f>IFERROR((L43/L51),0)</f>
        <v>1</v>
      </c>
      <c r="M59" s="12">
        <f>IFERROR((M43/M51),0)</f>
        <v>1.5</v>
      </c>
      <c r="N59" s="12">
        <f>IFERROR((N43/N51),0)</f>
        <v>0.3333333333333333</v>
      </c>
      <c r="O59" s="12">
        <f>IFERROR((O43/O51),0)</f>
        <v>0.8333333333333334</v>
      </c>
      <c r="P59" s="12">
        <f>IFERROR((P43/P51),0)</f>
        <v>0.3333333333333333</v>
      </c>
      <c r="Q59" s="12">
        <f>IFERROR((Q43/Q51),0)</f>
        <v>0.6666666666666666</v>
      </c>
      <c r="R59" s="12">
        <f>IFERROR((R43/R51),0)</f>
        <v>1</v>
      </c>
      <c r="S59" s="12">
        <f>IFERROR((S43/S51),0)</f>
        <v>0.6666666666666666</v>
      </c>
      <c r="T59" s="12">
        <f>IFERROR((T43/T51),0)</f>
        <v>0.6666666666666666</v>
      </c>
      <c r="U59" s="12">
        <f>IFERROR((U43/U51),0)</f>
        <v>0.5</v>
      </c>
      <c r="V59" s="12">
        <f>IFERROR((V43/V51),0)</f>
        <v>0.6666666666666666</v>
      </c>
      <c r="W59" s="12">
        <f>IFERROR((W43/W51),0)</f>
        <v>0.6666666666666666</v>
      </c>
    </row>
    <row r="60">
      <c r="A60" s="0" t="inlineStr">
        <is>
          <t xml:space="preserve">SQL attainment</t>
        </is>
      </c>
      <c r="B60" s="0" t="inlineStr">
        <is>
          <t xml:space="preserve">Marcus Nair</t>
        </is>
      </c>
      <c r="C60" s="12">
        <f>IFERROR((C44/C52),0)</f>
        <v>1.4</v>
      </c>
      <c r="D60" s="12">
        <f>IFERROR((D44/D52),0)</f>
        <v>1.2</v>
      </c>
      <c r="E60" s="12">
        <f>IFERROR((E44/E52),0)</f>
        <v>0.9</v>
      </c>
      <c r="F60" s="12">
        <f>IFERROR((F44/F52),0)</f>
        <v>1.1</v>
      </c>
      <c r="G60" s="12">
        <f>IFERROR((G44/G52),0)</f>
        <v>1.1</v>
      </c>
      <c r="H60" s="12">
        <f>IFERROR((H44/H52),0)</f>
        <v>1.5</v>
      </c>
      <c r="I60" s="12">
        <f>IFERROR((I44/I52),0)</f>
        <v>0.9</v>
      </c>
      <c r="J60" s="12">
        <f>IFERROR((J44/J52),0)</f>
        <v>1.2</v>
      </c>
      <c r="K60" s="12">
        <f>IFERROR((K44/K52),0)</f>
        <v>1.7</v>
      </c>
      <c r="L60" s="12">
        <f>IFERROR((L44/L52),0)</f>
        <v>1</v>
      </c>
      <c r="M60" s="12">
        <f>IFERROR((M44/M52),0)</f>
        <v>1.4</v>
      </c>
      <c r="N60" s="12">
        <f>IFERROR((N44/N52),0)</f>
        <v>1.2</v>
      </c>
      <c r="O60" s="12">
        <f>IFERROR((O44/O52),0)</f>
        <v>1.6</v>
      </c>
      <c r="P60" s="12">
        <f>IFERROR((P44/P52),0)</f>
        <v>1.3</v>
      </c>
      <c r="Q60" s="12">
        <f>IFERROR((Q44/Q52),0)</f>
        <v>2.1</v>
      </c>
      <c r="R60" s="12">
        <f>IFERROR((R44/R52),0)</f>
        <v>2.2</v>
      </c>
      <c r="S60" s="12">
        <f>IFERROR((S44/S52),0)</f>
        <v>1.1</v>
      </c>
      <c r="T60" s="12">
        <f>IFERROR((T44/T52),0)</f>
        <v>1.6</v>
      </c>
      <c r="U60" s="12">
        <f>IFERROR((U44/U52),0)</f>
        <v>1</v>
      </c>
      <c r="V60" s="12">
        <f>IFERROR((V44/V52),0)</f>
        <v>0.7</v>
      </c>
      <c r="W60" s="12">
        <f>IFERROR((W44/W52),0)</f>
        <v>1.5</v>
      </c>
    </row>
    <row r="61">
      <c r="A61" s="0" t="inlineStr">
        <is>
          <t xml:space="preserve">SQL attainment</t>
        </is>
      </c>
      <c r="B61" s="0" t="inlineStr">
        <is>
          <t xml:space="preserve">Yuki Rahman</t>
        </is>
      </c>
      <c r="C61" s="12">
        <f>IFERROR((C45/C53),0)</f>
        <v>0.6666666666666666</v>
      </c>
      <c r="D61" s="12">
        <f>IFERROR((D45/D53),0)</f>
        <v>2</v>
      </c>
      <c r="E61" s="12">
        <f>IFERROR((E45/E53),0)</f>
        <v>0.5</v>
      </c>
      <c r="F61" s="12">
        <f>IFERROR((F45/F53),0)</f>
        <v>1.3333333333333333</v>
      </c>
      <c r="G61" s="12">
        <f>IFERROR((G45/G53),0)</f>
        <v>0.3333333333333333</v>
      </c>
      <c r="H61" s="12">
        <f>IFERROR((H45/H53),0)</f>
        <v>0.8333333333333334</v>
      </c>
      <c r="I61" s="12">
        <f>IFERROR((I45/I53),0)</f>
        <v>0.6666666666666666</v>
      </c>
      <c r="J61" s="12">
        <f>IFERROR((J45/J53),0)</f>
        <v>0.8333333333333334</v>
      </c>
      <c r="K61" s="12">
        <f>IFERROR((K45/K53),0)</f>
        <v>1.1666666666666667</v>
      </c>
      <c r="L61" s="12">
        <f>IFERROR((L45/L53),0)</f>
        <v>0.8333333333333334</v>
      </c>
      <c r="M61" s="12">
        <f>IFERROR((M45/M53),0)</f>
        <v>0.6666666666666666</v>
      </c>
      <c r="N61" s="12">
        <f>IFERROR((N45/N53),0)</f>
        <v>0.6666666666666666</v>
      </c>
      <c r="O61" s="12">
        <f>IFERROR((O45/O53),0)</f>
        <v>0.5</v>
      </c>
      <c r="P61" s="12">
        <f>IFERROR((P45/P53),0)</f>
        <v>0.6666666666666666</v>
      </c>
      <c r="Q61" s="12">
        <f>IFERROR((Q45/Q53),0)</f>
        <v>0.8333333333333334</v>
      </c>
      <c r="R61" s="12">
        <f>IFERROR((R45/R53),0)</f>
        <v>0.6666666666666666</v>
      </c>
      <c r="S61" s="12">
        <f>IFERROR((S45/S53),0)</f>
        <v>1</v>
      </c>
      <c r="T61" s="12">
        <f>IFERROR((T45/T53),0)</f>
        <v>1</v>
      </c>
      <c r="U61" s="12">
        <f>IFERROR((U45/U53),0)</f>
        <v>1</v>
      </c>
      <c r="V61" s="12">
        <f>IFERROR((V45/V53),0)</f>
        <v>0.8333333333333334</v>
      </c>
      <c r="W61" s="12">
        <f>IFERROR((W45/W53),0)</f>
        <v>0.8333333333333334</v>
      </c>
    </row>
    <row r="62">
      <c r="A62" s="0" t="inlineStr">
        <is>
          <t xml:space="preserve">SQL attainment</t>
        </is>
      </c>
      <c r="B62" s="0" t="inlineStr">
        <is>
          <t xml:space="preserve">Chloe Patel</t>
        </is>
      </c>
      <c r="C62" s="12">
        <f>IFERROR((C46/C54),0)</f>
        <v>1.4</v>
      </c>
      <c r="D62" s="12">
        <f>IFERROR((D46/D54),0)</f>
        <v>1.6</v>
      </c>
      <c r="E62" s="12">
        <f>IFERROR((E46/E54),0)</f>
        <v>1.6</v>
      </c>
      <c r="F62" s="12">
        <f>IFERROR((F46/F54),0)</f>
        <v>1.5</v>
      </c>
      <c r="G62" s="12">
        <f>IFERROR((G46/G54),0)</f>
        <v>0.9</v>
      </c>
      <c r="H62" s="12">
        <f>IFERROR((H46/H54),0)</f>
        <v>0.9</v>
      </c>
      <c r="I62" s="12">
        <f>IFERROR((I46/I54),0)</f>
        <v>1.2</v>
      </c>
      <c r="J62" s="12">
        <f>IFERROR((J46/J54),0)</f>
        <v>1.7</v>
      </c>
      <c r="K62" s="12">
        <f>IFERROR((K46/K54),0)</f>
        <v>1.5</v>
      </c>
      <c r="L62" s="12">
        <f>IFERROR((L46/L54),0)</f>
        <v>1.9</v>
      </c>
      <c r="M62" s="12">
        <f>IFERROR((M46/M54),0)</f>
        <v>1.1</v>
      </c>
      <c r="N62" s="12">
        <f>IFERROR((N46/N54),0)</f>
        <v>1.3</v>
      </c>
      <c r="O62" s="12">
        <f>IFERROR((O46/O54),0)</f>
        <v>1.6</v>
      </c>
      <c r="P62" s="12">
        <f>IFERROR((P46/P54),0)</f>
        <v>0.9</v>
      </c>
      <c r="Q62" s="12">
        <f>IFERROR((Q46/Q54),0)</f>
        <v>1.5</v>
      </c>
      <c r="R62" s="12">
        <f>IFERROR((R46/R54),0)</f>
        <v>1.3</v>
      </c>
      <c r="S62" s="12">
        <f>IFERROR((S46/S54),0)</f>
        <v>1.4</v>
      </c>
      <c r="T62" s="12">
        <f>IFERROR((T46/T54),0)</f>
        <v>0.8</v>
      </c>
      <c r="U62" s="12">
        <f>IFERROR((U46/U54),0)</f>
        <v>1.2</v>
      </c>
      <c r="V62" s="12">
        <f>IFERROR((V46/V54),0)</f>
        <v>2</v>
      </c>
      <c r="W62" s="12">
        <f>IFERROR((W46/W54),0)</f>
        <v>1.2</v>
      </c>
    </row>
    <row r="63">
      <c r="A63" s="0" t="inlineStr">
        <is>
          <t xml:space="preserve">SQL attainment</t>
        </is>
      </c>
      <c r="B63" s="0" t="inlineStr">
        <is>
          <t xml:space="preserve">Samuel Kowalski</t>
        </is>
      </c>
      <c r="C63" s="12">
        <f>IFERROR((C47/C55),0)</f>
        <v>0.5</v>
      </c>
      <c r="D63" s="12">
        <f>IFERROR((D47/D55),0)</f>
        <v>1.1666666666666667</v>
      </c>
      <c r="E63" s="12">
        <f>IFERROR((E47/E55),0)</f>
        <v>1.1666666666666667</v>
      </c>
      <c r="F63" s="12">
        <f>IFERROR((F47/F55),0)</f>
        <v>0.5</v>
      </c>
      <c r="G63" s="12">
        <f>IFERROR((G47/G55),0)</f>
        <v>0.6666666666666666</v>
      </c>
      <c r="H63" s="12">
        <f>IFERROR((H47/H55),0)</f>
        <v>0.8333333333333334</v>
      </c>
      <c r="I63" s="12">
        <f>IFERROR((I47/I55),0)</f>
        <v>0.8333333333333334</v>
      </c>
      <c r="J63" s="12">
        <f>IFERROR((J47/J55),0)</f>
        <v>0.5</v>
      </c>
      <c r="K63" s="12">
        <f>IFERROR((K47/K55),0)</f>
        <v>0.6666666666666666</v>
      </c>
      <c r="L63" s="12">
        <f>IFERROR((L47/L55),0)</f>
        <v>1</v>
      </c>
      <c r="M63" s="12">
        <f>IFERROR((M47/M55),0)</f>
        <v>1.3333333333333333</v>
      </c>
      <c r="N63" s="12">
        <f>IFERROR((N47/N55),0)</f>
        <v>0.16666666666666666</v>
      </c>
      <c r="O63" s="12">
        <f>IFERROR((O47/O55),0)</f>
        <v>0.6666666666666666</v>
      </c>
      <c r="P63" s="12">
        <f>IFERROR((P47/P55),0)</f>
        <v>1.1666666666666667</v>
      </c>
      <c r="Q63" s="12">
        <f>IFERROR((Q47/Q55),0)</f>
        <v>0.5</v>
      </c>
      <c r="R63" s="12">
        <f>IFERROR((R47/R55),0)</f>
        <v>0.6666666666666666</v>
      </c>
      <c r="S63" s="12">
        <f>IFERROR((S47/S55),0)</f>
        <v>0.8333333333333334</v>
      </c>
      <c r="T63" s="12">
        <f>IFERROR((T47/T55),0)</f>
        <v>0</v>
      </c>
      <c r="U63" s="12">
        <f>IFERROR((U47/U55),0)</f>
        <v>1.3333333333333333</v>
      </c>
      <c r="V63" s="12">
        <f>IFERROR((V47/V55),0)</f>
        <v>0.5</v>
      </c>
      <c r="W63" s="12">
        <f>IFERROR((W47/W55),0)</f>
        <v>0.8333333333333334</v>
      </c>
    </row>
    <row r="64">
      <c r="A64" s="0" t="inlineStr">
        <is>
          <t xml:space="preserve">SQL attainment</t>
        </is>
      </c>
      <c r="B64" s="0" t="inlineStr">
        <is>
          <t xml:space="preserve">Rafael Ivanova</t>
        </is>
      </c>
      <c r="C64" s="12">
        <f>IFERROR((C48/C56),0)</f>
        <v>0.3</v>
      </c>
      <c r="D64" s="12">
        <f>IFERROR((D48/D56),0)</f>
        <v>0.6</v>
      </c>
      <c r="E64" s="12">
        <f>IFERROR((E48/E56),0)</f>
        <v>0.8</v>
      </c>
      <c r="F64" s="12">
        <f>IFERROR((F48/F56),0)</f>
        <v>1.1</v>
      </c>
      <c r="G64" s="12">
        <f>IFERROR((G48/G56),0)</f>
        <v>0.9</v>
      </c>
      <c r="H64" s="12">
        <f>IFERROR((H48/H56),0)</f>
        <v>0.8</v>
      </c>
      <c r="I64" s="12">
        <f>IFERROR((I48/I56),0)</f>
        <v>0.7</v>
      </c>
      <c r="J64" s="12">
        <f>IFERROR((J48/J56),0)</f>
        <v>0.1</v>
      </c>
      <c r="K64" s="12">
        <f>IFERROR((K48/K56),0)</f>
        <v>0.3</v>
      </c>
      <c r="L64" s="12">
        <f>IFERROR((L48/L56),0)</f>
        <v>0.3</v>
      </c>
      <c r="M64" s="12">
        <f>IFERROR((M48/M56),0)</f>
        <v>0.8</v>
      </c>
      <c r="N64" s="12">
        <f>IFERROR((N48/N56),0)</f>
        <v>1.7</v>
      </c>
      <c r="O64" s="12">
        <f>IFERROR((O48/O56),0)</f>
        <v>0.6</v>
      </c>
      <c r="P64" s="12">
        <f>IFERROR((P48/P56),0)</f>
        <v>0.6</v>
      </c>
      <c r="Q64" s="12">
        <f>IFERROR((Q48/Q56),0)</f>
        <v>1.2</v>
      </c>
      <c r="R64" s="12">
        <f>IFERROR((R48/R56),0)</f>
        <v>0.7</v>
      </c>
      <c r="S64" s="12">
        <f>IFERROR((S48/S56),0)</f>
        <v>1</v>
      </c>
      <c r="T64" s="12">
        <f>IFERROR((T48/T56),0)</f>
        <v>1</v>
      </c>
      <c r="U64" s="12">
        <f>IFERROR((U48/U56),0)</f>
        <v>0.5</v>
      </c>
      <c r="V64" s="12">
        <f>IFERROR((V48/V56),0)</f>
        <v>0.9</v>
      </c>
      <c r="W64" s="12">
        <f>IFERROR((W48/W56),0)</f>
        <v>0.7</v>
      </c>
    </row>
    <row r="65">
      <c r="A65" s="0" t="inlineStr">
        <is>
          <t xml:space="preserve">SQL attainment</t>
        </is>
      </c>
      <c r="B65" s="0" t="inlineStr">
        <is>
          <t xml:space="preserve">Wei Kowalski</t>
        </is>
      </c>
      <c r="C65" s="12">
        <f>IFERROR((C49/C57),0)</f>
        <v>1</v>
      </c>
      <c r="D65" s="12">
        <f>IFERROR((D49/D57),0)</f>
        <v>1</v>
      </c>
      <c r="E65" s="12">
        <f>IFERROR((E49/E57),0)</f>
        <v>0.5</v>
      </c>
      <c r="F65" s="12">
        <f>IFERROR((F49/F57),0)</f>
        <v>0.3333333333333333</v>
      </c>
      <c r="G65" s="12">
        <f>IFERROR((G49/G57),0)</f>
        <v>0.5</v>
      </c>
      <c r="H65" s="12">
        <f>IFERROR((H49/H57),0)</f>
        <v>0.5</v>
      </c>
      <c r="I65" s="12">
        <f>IFERROR((I49/I57),0)</f>
        <v>0.8333333333333334</v>
      </c>
      <c r="J65" s="12">
        <f>IFERROR((J49/J57),0)</f>
        <v>1.1666666666666667</v>
      </c>
      <c r="K65" s="12">
        <f>IFERROR((K49/K57),0)</f>
        <v>0.5</v>
      </c>
      <c r="L65" s="12">
        <f>IFERROR((L49/L57),0)</f>
        <v>0.6666666666666666</v>
      </c>
      <c r="M65" s="12">
        <f>IFERROR((M49/M57),0)</f>
        <v>0.6666666666666666</v>
      </c>
      <c r="N65" s="12">
        <f>IFERROR((N49/N57),0)</f>
        <v>1.1666666666666667</v>
      </c>
      <c r="O65" s="12">
        <f>IFERROR((O49/O57),0)</f>
        <v>1</v>
      </c>
      <c r="P65" s="12">
        <f>IFERROR((P49/P57),0)</f>
        <v>1</v>
      </c>
      <c r="Q65" s="12">
        <f>IFERROR((Q49/Q57),0)</f>
        <v>1.1666666666666667</v>
      </c>
      <c r="R65" s="12">
        <f>IFERROR((R49/R57),0)</f>
        <v>0.8333333333333334</v>
      </c>
      <c r="S65" s="12">
        <f>IFERROR((S49/S57),0)</f>
        <v>0.8333333333333334</v>
      </c>
      <c r="T65" s="12">
        <f>IFERROR((T49/T57),0)</f>
        <v>1.3333333333333333</v>
      </c>
      <c r="U65" s="12">
        <f>IFERROR((U49/U57),0)</f>
        <v>1.1666666666666667</v>
      </c>
      <c r="V65" s="12">
        <f>IFERROR((V49/V57),0)</f>
        <v>1.3333333333333333</v>
      </c>
      <c r="W65" s="12">
        <f>IFERROR((W49/W57),0)</f>
        <v>0.16666666666666666</v>
      </c>
    </row>
    <row r="66">
      <c r="A66" s="0" t="inlineStr">
        <is>
          <t xml:space="preserve">Connect rate</t>
        </is>
      </c>
      <c r="B66" s="0" t="inlineStr">
        <is>
          <t xml:space="preserve">Zara Kowalski</t>
        </is>
      </c>
      <c r="C66" s="12">
        <f>IFERROR((C18/C2),0)</f>
        <v>0.25656877897990726</v>
      </c>
      <c r="D66" s="12">
        <f>IFERROR((D18/D2),0)</f>
        <v>0.18404907975460122</v>
      </c>
      <c r="E66" s="12">
        <f>IFERROR((E18/E2),0)</f>
        <v>0.16481223922114047</v>
      </c>
      <c r="F66" s="12">
        <f>IFERROR((F18/F2),0)</f>
        <v>0.18768046198267566</v>
      </c>
      <c r="G66" s="12">
        <f>IFERROR((G18/G2),0)</f>
        <v>0.16534653465346535</v>
      </c>
      <c r="H66" s="12">
        <f>IFERROR((H18/H2),0)</f>
        <v>0.2018348623853211</v>
      </c>
      <c r="I66" s="12">
        <f>IFERROR((I18/I2),0)</f>
        <v>0.2127659574468085</v>
      </c>
      <c r="J66" s="12">
        <f>IFERROR((J18/J2),0)</f>
        <v>0.1909307875894988</v>
      </c>
      <c r="K66" s="12">
        <f>IFERROR((K18/K2),0)</f>
        <v>0.17790530846484937</v>
      </c>
      <c r="L66" s="12">
        <f>IFERROR((L18/L2),0)</f>
        <v>0.18679775280898878</v>
      </c>
      <c r="M66" s="12">
        <f>IFERROR((M18/M2),0)</f>
        <v>0.19111111111111112</v>
      </c>
      <c r="N66" s="12">
        <f>IFERROR((N18/N2),0)</f>
        <v>0.20798898071625344</v>
      </c>
      <c r="O66" s="12">
        <f>IFERROR((O18/O2),0)</f>
        <v>0.15745310957551825</v>
      </c>
      <c r="P66" s="12">
        <f>IFERROR((P18/P2),0)</f>
        <v>0.17146596858638743</v>
      </c>
      <c r="Q66" s="12">
        <f>IFERROR((Q18/Q2),0)</f>
        <v>0.20655270655270655</v>
      </c>
      <c r="R66" s="12">
        <f>IFERROR((R18/R2),0)</f>
        <v>0.1735408560311284</v>
      </c>
      <c r="S66" s="12">
        <f>IFERROR((S18/S2),0)</f>
        <v>0.24739336492890995</v>
      </c>
      <c r="T66" s="12">
        <f>IFERROR((T18/T2),0)</f>
        <v>0.13518197573656845</v>
      </c>
      <c r="U66" s="12">
        <f>IFERROR((U18/U2),0)</f>
        <v>0.2189873417721519</v>
      </c>
      <c r="V66" s="12">
        <f>IFERROR((V18/V2),0)</f>
        <v>0.20516499282639886</v>
      </c>
      <c r="W66" s="12">
        <f>IFERROR((W18/W2),0)</f>
        <v>0.20095693779904306</v>
      </c>
    </row>
    <row r="67">
      <c r="A67" s="0" t="inlineStr">
        <is>
          <t xml:space="preserve">Connect rate</t>
        </is>
      </c>
      <c r="B67" s="0" t="inlineStr">
        <is>
          <t xml:space="preserve">Kenji Kowalski</t>
        </is>
      </c>
      <c r="C67" s="12">
        <f>IFERROR((C19/C3),0)</f>
        <v>0.0824607329842932</v>
      </c>
      <c r="D67" s="12">
        <f>IFERROR((D19/D3),0)</f>
        <v>0.07973421926910298</v>
      </c>
      <c r="E67" s="12">
        <f>IFERROR((E19/E3),0)</f>
        <v>0.07944732297063903</v>
      </c>
      <c r="F67" s="12">
        <f>IFERROR((F19/F3),0)</f>
        <v>0.09920182440136831</v>
      </c>
      <c r="G67" s="12">
        <f>IFERROR((G19/G3),0)</f>
        <v>0.08771929824561403</v>
      </c>
      <c r="H67" s="12">
        <f>IFERROR((H19/H3),0)</f>
        <v>0.08438818565400844</v>
      </c>
      <c r="I67" s="12">
        <f>IFERROR((I19/I3),0)</f>
        <v>0.06782106782106782</v>
      </c>
      <c r="J67" s="12">
        <f>IFERROR((J19/J3),0)</f>
        <v>0.09454545454545454</v>
      </c>
      <c r="K67" s="12">
        <f>IFERROR((K19/K3),0)</f>
        <v>0.09563409563409564</v>
      </c>
      <c r="L67" s="12">
        <f>IFERROR((L19/L3),0)</f>
        <v>0.08801020408163265</v>
      </c>
      <c r="M67" s="12">
        <f>IFERROR((M19/M3),0)</f>
        <v>0.08669656203288491</v>
      </c>
      <c r="N67" s="12">
        <f>IFERROR((N19/N3),0)</f>
        <v>0.07188498402555911</v>
      </c>
      <c r="O67" s="12">
        <f>IFERROR((O19/O3),0)</f>
        <v>0.08605851979345955</v>
      </c>
      <c r="P67" s="12">
        <f>IFERROR((P19/P3),0)</f>
        <v>0.08992248062015504</v>
      </c>
      <c r="Q67" s="12">
        <f>IFERROR((Q19/Q3),0)</f>
        <v>0.0770440251572327</v>
      </c>
      <c r="R67" s="12">
        <f>IFERROR((R19/R3),0)</f>
        <v>0.11090225563909774</v>
      </c>
      <c r="S67" s="12">
        <f>IFERROR((S19/S3),0)</f>
        <v>0.07090103397341212</v>
      </c>
      <c r="T67" s="12">
        <f>IFERROR((T19/T3),0)</f>
        <v>0.08811188811188811</v>
      </c>
      <c r="U67" s="12">
        <f>IFERROR((U19/U3),0)</f>
        <v>0.08360655737704918</v>
      </c>
      <c r="V67" s="12">
        <f>IFERROR((V19/V3),0)</f>
        <v>0.08049113233287858</v>
      </c>
      <c r="W67" s="12">
        <f>IFERROR((W19/W3),0)</f>
        <v>0.11594202898550725</v>
      </c>
    </row>
    <row r="68">
      <c r="A68" s="0" t="inlineStr">
        <is>
          <t xml:space="preserve">Connect rate</t>
        </is>
      </c>
      <c r="B68" s="0" t="inlineStr">
        <is>
          <t xml:space="preserve">Marcus Nair</t>
        </is>
      </c>
      <c r="C68" s="12">
        <f>IFERROR((C20/C4),0)</f>
        <v>0.16834677419354838</v>
      </c>
      <c r="D68" s="12">
        <f>IFERROR((D20/D4),0)</f>
        <v>0.19746376811594202</v>
      </c>
      <c r="E68" s="12">
        <f>IFERROR((E20/E4),0)</f>
        <v>0.18011527377521613</v>
      </c>
      <c r="F68" s="12">
        <f>IFERROR((F20/F4),0)</f>
        <v>0.23608017817371937</v>
      </c>
      <c r="G68" s="12">
        <f>IFERROR((G20/G4),0)</f>
        <v>0.24173027989821882</v>
      </c>
      <c r="H68" s="12">
        <f>IFERROR((H20/H4),0)</f>
        <v>0.1597573306370071</v>
      </c>
      <c r="I68" s="12">
        <f>IFERROR((I20/I4),0)</f>
        <v>0.19473684210526315</v>
      </c>
      <c r="J68" s="12">
        <f>IFERROR((J20/J4),0)</f>
        <v>0.22986822840409957</v>
      </c>
      <c r="K68" s="12">
        <f>IFERROR((K20/K4),0)</f>
        <v>0.1348870056497175</v>
      </c>
      <c r="L68" s="12">
        <f>IFERROR((L20/L4),0)</f>
        <v>0.1527777777777778</v>
      </c>
      <c r="M68" s="12">
        <f>IFERROR((M20/M4),0)</f>
        <v>0.1679035250463822</v>
      </c>
      <c r="N68" s="12">
        <f>IFERROR((N20/N4),0)</f>
        <v>0.2035225048923679</v>
      </c>
      <c r="O68" s="12">
        <f>IFERROR((O20/O4),0)</f>
        <v>0.17953020134228187</v>
      </c>
      <c r="P68" s="12">
        <f>IFERROR((P20/P4),0)</f>
        <v>0.1987673343605547</v>
      </c>
      <c r="Q68" s="12">
        <f>IFERROR((Q20/Q4),0)</f>
        <v>0.18133333333333335</v>
      </c>
      <c r="R68" s="12">
        <f>IFERROR((R20/R4),0)</f>
        <v>0.1724137931034483</v>
      </c>
      <c r="S68" s="12">
        <f>IFERROR((S20/S4),0)</f>
        <v>0.1783625730994152</v>
      </c>
      <c r="T68" s="12">
        <f>IFERROR((T20/T4),0)</f>
        <v>0.19132369299221358</v>
      </c>
      <c r="U68" s="12">
        <f>IFERROR((U20/U4),0)</f>
        <v>0.16721311475409836</v>
      </c>
      <c r="V68" s="12">
        <f>IFERROR((V20/V4),0)</f>
        <v>0.21341463414634146</v>
      </c>
      <c r="W68" s="12">
        <f>IFERROR((W20/W4),0)</f>
        <v>0.20588235294117646</v>
      </c>
    </row>
    <row r="69">
      <c r="A69" s="0" t="inlineStr">
        <is>
          <t xml:space="preserve">Connect rate</t>
        </is>
      </c>
      <c r="B69" s="0" t="inlineStr">
        <is>
          <t xml:space="preserve">Yuki Rahman</t>
        </is>
      </c>
      <c r="C69" s="12">
        <f>IFERROR((C21/C5),0)</f>
        <v>0.07668231611893583</v>
      </c>
      <c r="D69" s="12">
        <f>IFERROR((D21/D5),0)</f>
        <v>0.09418282548476455</v>
      </c>
      <c r="E69" s="12">
        <f>IFERROR((E21/E5),0)</f>
        <v>0.0872865275142315</v>
      </c>
      <c r="F69" s="12">
        <f>IFERROR((F21/F5),0)</f>
        <v>0.09252217997465145</v>
      </c>
      <c r="G69" s="12">
        <f>IFERROR((G21/G5),0)</f>
        <v>0.08892921960072596</v>
      </c>
      <c r="H69" s="12">
        <f>IFERROR((H21/H5),0)</f>
        <v>0.11224489795918367</v>
      </c>
      <c r="I69" s="12">
        <f>IFERROR((I21/I5),0)</f>
        <v>0.0848</v>
      </c>
      <c r="J69" s="12">
        <f>IFERROR((J21/J5),0)</f>
        <v>0.10872894333843798</v>
      </c>
      <c r="K69" s="12">
        <f>IFERROR((K21/K5),0)</f>
        <v>0.08189655172413793</v>
      </c>
      <c r="L69" s="12">
        <f>IFERROR((L21/L5),0)</f>
        <v>0.0903522205206738</v>
      </c>
      <c r="M69" s="12">
        <f>IFERROR((M21/M5),0)</f>
        <v>0.07772795216741404</v>
      </c>
      <c r="N69" s="12">
        <f>IFERROR((N21/N5),0)</f>
        <v>0.08116385911179173</v>
      </c>
      <c r="O69" s="12">
        <f>IFERROR((O21/O5),0)</f>
        <v>0.07849293563579278</v>
      </c>
      <c r="P69" s="12">
        <f>IFERROR((P21/P5),0)</f>
        <v>0.07087827426810478</v>
      </c>
      <c r="Q69" s="12">
        <f>IFERROR((Q21/Q5),0)</f>
        <v>0.0962566844919786</v>
      </c>
      <c r="R69" s="12">
        <f>IFERROR((R21/R5),0)</f>
        <v>0.09269662921348315</v>
      </c>
      <c r="S69" s="12">
        <f>IFERROR((S21/S5),0)</f>
        <v>0.08852459016393442</v>
      </c>
      <c r="T69" s="12">
        <f>IFERROR((T21/T5),0)</f>
        <v>0.10502958579881656</v>
      </c>
      <c r="U69" s="12">
        <f>IFERROR((U21/U5),0)</f>
        <v>0.09862385321100918</v>
      </c>
      <c r="V69" s="12">
        <f>IFERROR((V21/V5),0)</f>
        <v>0.08561020036429873</v>
      </c>
      <c r="W69" s="12">
        <f>IFERROR((W21/W5),0)</f>
        <v>0.0811232449297972</v>
      </c>
    </row>
    <row r="70">
      <c r="A70" s="0" t="inlineStr">
        <is>
          <t xml:space="preserve">Connect rate</t>
        </is>
      </c>
      <c r="B70" s="0" t="inlineStr">
        <is>
          <t xml:space="preserve">Chloe Patel</t>
        </is>
      </c>
      <c r="C70" s="12">
        <f>IFERROR((C22/C6),0)</f>
        <v>0.20484359233097882</v>
      </c>
      <c r="D70" s="12">
        <f>IFERROR((D22/D6),0)</f>
        <v>0.10843373493975904</v>
      </c>
      <c r="E70" s="12">
        <f>IFERROR((E22/E6),0)</f>
        <v>0.11538461538461539</v>
      </c>
      <c r="F70" s="12">
        <f>IFERROR((F22/F6),0)</f>
        <v>0.15003927729772193</v>
      </c>
      <c r="G70" s="12">
        <f>IFERROR((G22/G6),0)</f>
        <v>0.1692573402417962</v>
      </c>
      <c r="H70" s="12">
        <f>IFERROR((H22/H6),0)</f>
        <v>0.198</v>
      </c>
      <c r="I70" s="12">
        <f>IFERROR((I22/I6),0)</f>
        <v>0.1739766081871345</v>
      </c>
      <c r="J70" s="12">
        <f>IFERROR((J22/J6),0)</f>
        <v>0.15672676837725383</v>
      </c>
      <c r="K70" s="12">
        <f>IFERROR((K22/K6),0)</f>
        <v>0.1791044776119403</v>
      </c>
      <c r="L70" s="12">
        <f>IFERROR((L22/L6),0)</f>
        <v>0.14783139890042762</v>
      </c>
      <c r="M70" s="12">
        <f>IFERROR((M22/M6),0)</f>
        <v>0.19877675840978593</v>
      </c>
      <c r="N70" s="12">
        <f>IFERROR((N22/N6),0)</f>
        <v>0.14878048780487804</v>
      </c>
      <c r="O70" s="12">
        <f>IFERROR((O22/O6),0)</f>
        <v>0.11987127916331457</v>
      </c>
      <c r="P70" s="12">
        <f>IFERROR((P22/P6),0)</f>
        <v>0.1925601750547046</v>
      </c>
      <c r="Q70" s="12">
        <f>IFERROR((Q22/Q6),0)</f>
        <v>0.15627996164908917</v>
      </c>
      <c r="R70" s="12">
        <f>IFERROR((R22/R6),0)</f>
        <v>0.13166144200626959</v>
      </c>
      <c r="S70" s="12">
        <f>IFERROR((S22/S6),0)</f>
        <v>0.2141057934508816</v>
      </c>
      <c r="T70" s="12">
        <f>IFERROR((T22/T6),0)</f>
        <v>0.18622448979591838</v>
      </c>
      <c r="U70" s="12">
        <f>IFERROR((U22/U6),0)</f>
        <v>0.22563176895306858</v>
      </c>
      <c r="V70" s="12">
        <f>IFERROR((V22/V6),0)</f>
        <v>0.09904622157006603</v>
      </c>
      <c r="W70" s="12">
        <f>IFERROR((W22/W6),0)</f>
        <v>0.23649906890130354</v>
      </c>
    </row>
    <row r="71">
      <c r="A71" s="0" t="inlineStr">
        <is>
          <t xml:space="preserve">Connect rate</t>
        </is>
      </c>
      <c r="B71" s="0" t="inlineStr">
        <is>
          <t xml:space="preserve">Samuel Kowalski</t>
        </is>
      </c>
      <c r="C71" s="12">
        <f>IFERROR((C23/C7),0)</f>
        <v>0.059870550161812294</v>
      </c>
      <c r="D71" s="12">
        <f>IFERROR((D23/D7),0)</f>
        <v>0.09531772575250837</v>
      </c>
      <c r="E71" s="12">
        <f>IFERROR((E23/E7),0)</f>
        <v>0.0748829953198128</v>
      </c>
      <c r="F71" s="12">
        <f>IFERROR((F23/F7),0)</f>
        <v>0.07321428571428572</v>
      </c>
      <c r="G71" s="12">
        <f>IFERROR((G23/G7),0)</f>
        <v>0.08210526315789474</v>
      </c>
      <c r="H71" s="12">
        <f>IFERROR((H23/H7),0)</f>
        <v>0.09385665529010238</v>
      </c>
      <c r="I71" s="12">
        <f>IFERROR((I23/I7),0)</f>
        <v>0.0967238689547582</v>
      </c>
      <c r="J71" s="12">
        <f>IFERROR((J23/J7),0)</f>
        <v>0.08306709265175719</v>
      </c>
      <c r="K71" s="12">
        <f>IFERROR((K23/K7),0)</f>
        <v>0.09151785714285714</v>
      </c>
      <c r="L71" s="12">
        <f>IFERROR((L23/L7),0)</f>
        <v>0.06725146198830409</v>
      </c>
      <c r="M71" s="12">
        <f>IFERROR((M23/M7),0)</f>
        <v>0.0802675585284281</v>
      </c>
      <c r="N71" s="12">
        <f>IFERROR((N23/N7),0)</f>
        <v>0.08221797323135756</v>
      </c>
      <c r="O71" s="12">
        <f>IFERROR((O23/O7),0)</f>
        <v>0.06711409395973154</v>
      </c>
      <c r="P71" s="12">
        <f>IFERROR((P23/P7),0)</f>
        <v>0.09854014598540146</v>
      </c>
      <c r="Q71" s="12">
        <f>IFERROR((Q23/Q7),0)</f>
        <v>0.08316430020283976</v>
      </c>
      <c r="R71" s="12">
        <f>IFERROR((R23/R7),0)</f>
        <v>0.06419400855920114</v>
      </c>
      <c r="S71" s="12">
        <f>IFERROR((S23/S7),0)</f>
        <v>0.08941605839416059</v>
      </c>
      <c r="T71" s="12">
        <f>IFERROR((T23/T7),0)</f>
        <v>0.06996587030716724</v>
      </c>
      <c r="U71" s="12">
        <f>IFERROR((U23/U7),0)</f>
        <v>0.09465648854961832</v>
      </c>
      <c r="V71" s="12">
        <f>IFERROR((V23/V7),0)</f>
        <v>0.08671586715867159</v>
      </c>
      <c r="W71" s="12">
        <f>IFERROR((W23/W7),0)</f>
        <v>0.10034013605442177</v>
      </c>
    </row>
    <row r="72">
      <c r="A72" s="0" t="inlineStr">
        <is>
          <t xml:space="preserve">Connect rate</t>
        </is>
      </c>
      <c r="B72" s="0" t="inlineStr">
        <is>
          <t xml:space="preserve">Rafael Ivanova</t>
        </is>
      </c>
      <c r="C72" s="12">
        <f>IFERROR((C24/C8),0)</f>
        <v>0.1554054054054054</v>
      </c>
      <c r="D72" s="12">
        <f>IFERROR((D24/D8),0)</f>
        <v>0.18045112781954886</v>
      </c>
      <c r="E72" s="12">
        <f>IFERROR((E24/E8),0)</f>
        <v>0.20157068062827224</v>
      </c>
      <c r="F72" s="12">
        <f>IFERROR((F24/F8),0)</f>
        <v>0.1055793991416309</v>
      </c>
      <c r="G72" s="12">
        <f>IFERROR((G24/G8),0)</f>
        <v>0.25886524822695034</v>
      </c>
      <c r="H72" s="12">
        <f>IFERROR((H24/H8),0)</f>
        <v>0.14893617021276595</v>
      </c>
      <c r="I72" s="12">
        <f>IFERROR((I24/I8),0)</f>
        <v>0.2026431718061674</v>
      </c>
      <c r="J72" s="12">
        <f>IFERROR((J24/J8),0)</f>
        <v>0.19230769230769232</v>
      </c>
      <c r="K72" s="12">
        <f>IFERROR((K24/K8),0)</f>
        <v>0.17886178861788618</v>
      </c>
      <c r="L72" s="12">
        <f>IFERROR((L24/L8),0)</f>
        <v>0.19753086419753085</v>
      </c>
      <c r="M72" s="12">
        <f>IFERROR((M24/M8),0)</f>
        <v>0.17732558139534885</v>
      </c>
      <c r="N72" s="12">
        <f>IFERROR((N24/N8),0)</f>
        <v>0.20346320346320346</v>
      </c>
      <c r="O72" s="12">
        <f>IFERROR((O24/O8),0)</f>
        <v>0.1936416184971098</v>
      </c>
      <c r="P72" s="12">
        <f>IFERROR((P24/P8),0)</f>
        <v>0.10743801652892562</v>
      </c>
      <c r="Q72" s="12">
        <f>IFERROR((Q24/Q8),0)</f>
        <v>0.1598984771573604</v>
      </c>
      <c r="R72" s="12">
        <f>IFERROR((R24/R8),0)</f>
        <v>0.2</v>
      </c>
      <c r="S72" s="12">
        <f>IFERROR((S24/S8),0)</f>
        <v>0.15476190476190477</v>
      </c>
      <c r="T72" s="12">
        <f>IFERROR((T24/T8),0)</f>
        <v>0.18543046357615894</v>
      </c>
      <c r="U72" s="12">
        <f>IFERROR((U24/U8),0)</f>
        <v>0.18045112781954886</v>
      </c>
      <c r="V72" s="12">
        <f>IFERROR((V24/V8),0)</f>
        <v>0.12956810631229235</v>
      </c>
      <c r="W72" s="12">
        <f>IFERROR((W24/W8),0)</f>
        <v>0.1359447004608295</v>
      </c>
    </row>
    <row r="73">
      <c r="A73" s="0" t="inlineStr">
        <is>
          <t xml:space="preserve">Connect rate</t>
        </is>
      </c>
      <c r="B73" s="0" t="inlineStr">
        <is>
          <t xml:space="preserve">Wei Kowalski</t>
        </is>
      </c>
      <c r="C73" s="12">
        <f>IFERROR((C25/C9),0)</f>
        <v>0.08846761453396525</v>
      </c>
      <c r="D73" s="12">
        <f>IFERROR((D25/D9),0)</f>
        <v>0.07890961262553801</v>
      </c>
      <c r="E73" s="12">
        <f>IFERROR((E25/E9),0)</f>
        <v>0.088</v>
      </c>
      <c r="F73" s="12">
        <f>IFERROR((F25/F9),0)</f>
        <v>0.08741258741258741</v>
      </c>
      <c r="G73" s="12">
        <f>IFERROR((G25/G9),0)</f>
        <v>0.07396870554765292</v>
      </c>
      <c r="H73" s="12">
        <f>IFERROR((H25/H9),0)</f>
        <v>0.09508196721311475</v>
      </c>
      <c r="I73" s="12">
        <f>IFERROR((I25/I9),0)</f>
        <v>0.08948863636363637</v>
      </c>
      <c r="J73" s="12">
        <f>IFERROR((J25/J9),0)</f>
        <v>0.09197080291970802</v>
      </c>
      <c r="K73" s="12">
        <f>IFERROR((K25/K9),0)</f>
        <v>0.09090909090909091</v>
      </c>
      <c r="L73" s="12">
        <f>IFERROR((L25/L9),0)</f>
        <v>0.08957654723127036</v>
      </c>
      <c r="M73" s="12">
        <f>IFERROR((M25/M9),0)</f>
        <v>0.0855614973262032</v>
      </c>
      <c r="N73" s="12">
        <f>IFERROR((N25/N9),0)</f>
        <v>0.09974747474747475</v>
      </c>
      <c r="O73" s="12">
        <f>IFERROR((O25/O9),0)</f>
        <v>0.08614864864864864</v>
      </c>
      <c r="P73" s="12">
        <f>IFERROR((P25/P9),0)</f>
        <v>0.08559201141226819</v>
      </c>
      <c r="Q73" s="12">
        <f>IFERROR((Q25/Q9),0)</f>
        <v>0.10166919575113809</v>
      </c>
      <c r="R73" s="12">
        <f>IFERROR((R25/R9),0)</f>
        <v>0.10526315789473684</v>
      </c>
      <c r="S73" s="12">
        <f>IFERROR((S25/S9),0)</f>
        <v>0.0933786078098472</v>
      </c>
      <c r="T73" s="12">
        <f>IFERROR((T25/T9),0)</f>
        <v>0.07890499194847021</v>
      </c>
      <c r="U73" s="12">
        <f>IFERROR((U25/U9),0)</f>
        <v>0.09984639016897082</v>
      </c>
      <c r="V73" s="12">
        <f>IFERROR((V25/V9),0)</f>
        <v>0.10401459854014598</v>
      </c>
      <c r="W73" s="12">
        <f>IFERROR((W25/W9),0)</f>
        <v>0.08431703204047218</v>
      </c>
    </row>
    <row r="74">
      <c r="A74" s="0" t="inlineStr">
        <is>
          <t xml:space="preserve">Meetings per connect</t>
        </is>
      </c>
      <c r="B74" s="0" t="inlineStr">
        <is>
          <t xml:space="preserve">Zara Kowalski</t>
        </is>
      </c>
      <c r="C74" s="12">
        <f>IFERROR((C26/C18),0)</f>
        <v>0.18072289156626506</v>
      </c>
      <c r="D74" s="12">
        <f>IFERROR((D26/D18),0)</f>
        <v>0.21666666666666667</v>
      </c>
      <c r="E74" s="12">
        <f>IFERROR((E26/E18),0)</f>
        <v>0.1940928270042194</v>
      </c>
      <c r="F74" s="12">
        <f>IFERROR((F26/F18),0)</f>
        <v>0.17435897435897435</v>
      </c>
      <c r="G74" s="12">
        <f>IFERROR((G26/G18),0)</f>
        <v>0.16167664670658682</v>
      </c>
      <c r="H74" s="12">
        <f>IFERROR((H26/H18),0)</f>
        <v>0.16666666666666666</v>
      </c>
      <c r="I74" s="12">
        <f>IFERROR((I26/I18),0)</f>
        <v>0.17777777777777778</v>
      </c>
      <c r="J74" s="12">
        <f>IFERROR((J26/J18),0)</f>
        <v>0.225</v>
      </c>
      <c r="K74" s="12">
        <f>IFERROR((K26/K18),0)</f>
        <v>0.24193548387096775</v>
      </c>
      <c r="L74" s="12">
        <f>IFERROR((L26/L18),0)</f>
        <v>0.21052631578947367</v>
      </c>
      <c r="M74" s="12">
        <f>IFERROR((M26/M18),0)</f>
        <v>0.20930232558139536</v>
      </c>
      <c r="N74" s="12">
        <f>IFERROR((N26/N18),0)</f>
        <v>0.19205298013245034</v>
      </c>
      <c r="O74" s="12">
        <f>IFERROR((O26/O18),0)</f>
        <v>0.18808777429467086</v>
      </c>
      <c r="P74" s="12">
        <f>IFERROR((P26/P18),0)</f>
        <v>0.15267175572519084</v>
      </c>
      <c r="Q74" s="12">
        <f>IFERROR((Q26/Q18),0)</f>
        <v>0.21379310344827587</v>
      </c>
      <c r="R74" s="12">
        <f>IFERROR((R26/R18),0)</f>
        <v>0.16591928251121077</v>
      </c>
      <c r="S74" s="12">
        <f>IFERROR((S26/S18),0)</f>
        <v>0.13409961685823754</v>
      </c>
      <c r="T74" s="12">
        <f>IFERROR((T26/T18),0)</f>
        <v>0.21153846153846154</v>
      </c>
      <c r="U74" s="12">
        <f>IFERROR((U26/U18),0)</f>
        <v>0.1676300578034682</v>
      </c>
      <c r="V74" s="12">
        <f>IFERROR((V26/V18),0)</f>
        <v>0.20279720279720279</v>
      </c>
      <c r="W74" s="12">
        <f>IFERROR((W26/W18),0)</f>
        <v>0.21428571428571427</v>
      </c>
    </row>
    <row r="75">
      <c r="A75" s="0" t="inlineStr">
        <is>
          <t xml:space="preserve">Meetings per connect</t>
        </is>
      </c>
      <c r="B75" s="0" t="inlineStr">
        <is>
          <t xml:space="preserve">Kenji Kowalski</t>
        </is>
      </c>
      <c r="C75" s="12">
        <f>IFERROR((C27/C19),0)</f>
        <v>0.14285714285714285</v>
      </c>
      <c r="D75" s="12">
        <f>IFERROR((D27/D19),0)</f>
        <v>0.1875</v>
      </c>
      <c r="E75" s="12">
        <f>IFERROR((E27/E19),0)</f>
        <v>0.10869565217391304</v>
      </c>
      <c r="F75" s="12">
        <f>IFERROR((F27/F19),0)</f>
        <v>0.19540229885057472</v>
      </c>
      <c r="G75" s="12">
        <f>IFERROR((G27/G19),0)</f>
        <v>0.125</v>
      </c>
      <c r="H75" s="12">
        <f>IFERROR((H27/H19),0)</f>
        <v>0.08333333333333333</v>
      </c>
      <c r="I75" s="12">
        <f>IFERROR((I27/I19),0)</f>
        <v>0.14893617021276595</v>
      </c>
      <c r="J75" s="12">
        <f>IFERROR((J27/J19),0)</f>
        <v>0.09615384615384616</v>
      </c>
      <c r="K75" s="12">
        <f>IFERROR((K27/K19),0)</f>
        <v>0.2391304347826087</v>
      </c>
      <c r="L75" s="12">
        <f>IFERROR((L27/L19),0)</f>
        <v>0.17391304347826086</v>
      </c>
      <c r="M75" s="12">
        <f>IFERROR((M27/M19),0)</f>
        <v>0.22413793103448276</v>
      </c>
      <c r="N75" s="12">
        <f>IFERROR((N27/N19),0)</f>
        <v>0.17777777777777778</v>
      </c>
      <c r="O75" s="12">
        <f>IFERROR((O27/O19),0)</f>
        <v>0.22</v>
      </c>
      <c r="P75" s="12">
        <f>IFERROR((P27/P19),0)</f>
        <v>0.06896551724137931</v>
      </c>
      <c r="Q75" s="12">
        <f>IFERROR((Q27/Q19),0)</f>
        <v>0.22448979591836735</v>
      </c>
      <c r="R75" s="12">
        <f>IFERROR((R27/R19),0)</f>
        <v>0.1694915254237288</v>
      </c>
      <c r="S75" s="12">
        <f>IFERROR((S27/S19),0)</f>
        <v>0.14583333333333334</v>
      </c>
      <c r="T75" s="12">
        <f>IFERROR((T27/T19),0)</f>
        <v>0.19047619047619047</v>
      </c>
      <c r="U75" s="12">
        <f>IFERROR((U27/U19),0)</f>
        <v>0.11764705882352941</v>
      </c>
      <c r="V75" s="12">
        <f>IFERROR((V27/V19),0)</f>
        <v>0.11864406779661017</v>
      </c>
      <c r="W75" s="12">
        <f>IFERROR((W27/W19),0)</f>
        <v>0.14583333333333334</v>
      </c>
    </row>
    <row r="76">
      <c r="A76" s="0" t="inlineStr">
        <is>
          <t xml:space="preserve">Meetings per connect</t>
        </is>
      </c>
      <c r="B76" s="0" t="inlineStr">
        <is>
          <t xml:space="preserve">Marcus Nair</t>
        </is>
      </c>
      <c r="C76" s="12">
        <f>IFERROR((C28/C20),0)</f>
        <v>0.15568862275449102</v>
      </c>
      <c r="D76" s="12">
        <f>IFERROR((D28/D20),0)</f>
        <v>0.2018348623853211</v>
      </c>
      <c r="E76" s="12">
        <f>IFERROR((E28/E20),0)</f>
        <v>0.152</v>
      </c>
      <c r="F76" s="12">
        <f>IFERROR((F28/F20),0)</f>
        <v>0.1792452830188679</v>
      </c>
      <c r="G76" s="12">
        <f>IFERROR((G28/G20),0)</f>
        <v>0.22105263157894736</v>
      </c>
      <c r="H76" s="12">
        <f>IFERROR((H28/H20),0)</f>
        <v>0.17721518987341772</v>
      </c>
      <c r="I76" s="12">
        <f>IFERROR((I28/I20),0)</f>
        <v>0.17117117117117117</v>
      </c>
      <c r="J76" s="12">
        <f>IFERROR((J28/J20),0)</f>
        <v>0.16560509554140126</v>
      </c>
      <c r="K76" s="12">
        <f>IFERROR((K28/K20),0)</f>
        <v>0.16230366492146597</v>
      </c>
      <c r="L76" s="12">
        <f>IFERROR((L28/L20),0)</f>
        <v>0.16363636363636364</v>
      </c>
      <c r="M76" s="12">
        <f>IFERROR((M28/M20),0)</f>
        <v>0.16022099447513813</v>
      </c>
      <c r="N76" s="12">
        <f>IFERROR((N28/N20),0)</f>
        <v>0.20192307692307693</v>
      </c>
      <c r="O76" s="12">
        <f>IFERROR((O28/O20),0)</f>
        <v>0.2523364485981308</v>
      </c>
      <c r="P76" s="12">
        <f>IFERROR((P28/P20),0)</f>
        <v>0.20930232558139536</v>
      </c>
      <c r="Q76" s="12">
        <f>IFERROR((Q28/Q20),0)</f>
        <v>0.2107843137254902</v>
      </c>
      <c r="R76" s="12">
        <f>IFERROR((R28/R20),0)</f>
        <v>0.1826086956521739</v>
      </c>
      <c r="S76" s="12">
        <f>IFERROR((S28/S20),0)</f>
        <v>0.16393442622950818</v>
      </c>
      <c r="T76" s="12">
        <f>IFERROR((T28/T20),0)</f>
        <v>0.1744186046511628</v>
      </c>
      <c r="U76" s="12">
        <f>IFERROR((U28/U20),0)</f>
        <v>0.17647058823529413</v>
      </c>
      <c r="V76" s="12">
        <f>IFERROR((V28/V20),0)</f>
        <v>0.17142857142857143</v>
      </c>
      <c r="W76" s="12">
        <f>IFERROR((W28/W20),0)</f>
        <v>0.2761904761904762</v>
      </c>
    </row>
    <row r="77">
      <c r="A77" s="0" t="inlineStr">
        <is>
          <t xml:space="preserve">Meetings per connect</t>
        </is>
      </c>
      <c r="B77" s="0" t="inlineStr">
        <is>
          <t xml:space="preserve">Yuki Rahman</t>
        </is>
      </c>
      <c r="C77" s="12">
        <f>IFERROR((C29/C21),0)</f>
        <v>0.16326530612244897</v>
      </c>
      <c r="D77" s="12">
        <f>IFERROR((D29/D21),0)</f>
        <v>0.2647058823529412</v>
      </c>
      <c r="E77" s="12">
        <f>IFERROR((E29/E21),0)</f>
        <v>0.15217391304347827</v>
      </c>
      <c r="F77" s="12">
        <f>IFERROR((F29/F21),0)</f>
        <v>0.2465753424657534</v>
      </c>
      <c r="G77" s="12">
        <f>IFERROR((G29/G21),0)</f>
        <v>0.20408163265306123</v>
      </c>
      <c r="H77" s="12">
        <f>IFERROR((H29/H21),0)</f>
        <v>0.18181818181818182</v>
      </c>
      <c r="I77" s="12">
        <f>IFERROR((I29/I21),0)</f>
        <v>0.11320754716981132</v>
      </c>
      <c r="J77" s="12">
        <f>IFERROR((J29/J21),0)</f>
        <v>0.15492957746478872</v>
      </c>
      <c r="K77" s="12">
        <f>IFERROR((K29/K21),0)</f>
        <v>0.14035087719298245</v>
      </c>
      <c r="L77" s="12">
        <f>IFERROR((L29/L21),0)</f>
        <v>0.1864406779661017</v>
      </c>
      <c r="M77" s="12">
        <f>IFERROR((M29/M21),0)</f>
        <v>0.15384615384615385</v>
      </c>
      <c r="N77" s="12">
        <f>IFERROR((N29/N21),0)</f>
        <v>0.1509433962264151</v>
      </c>
      <c r="O77" s="12">
        <f>IFERROR((O29/O21),0)</f>
        <v>0.14</v>
      </c>
      <c r="P77" s="12">
        <f>IFERROR((P29/P21),0)</f>
        <v>0.21739130434782608</v>
      </c>
      <c r="Q77" s="12">
        <f>IFERROR((Q29/Q21),0)</f>
        <v>0.2037037037037037</v>
      </c>
      <c r="R77" s="12">
        <f>IFERROR((R29/R21),0)</f>
        <v>0.13636363636363635</v>
      </c>
      <c r="S77" s="12">
        <f>IFERROR((S29/S21),0)</f>
        <v>0.2222222222222222</v>
      </c>
      <c r="T77" s="12">
        <f>IFERROR((T29/T21),0)</f>
        <v>0.22535211267605634</v>
      </c>
      <c r="U77" s="12">
        <f>IFERROR((U29/U21),0)</f>
        <v>0.16279069767441862</v>
      </c>
      <c r="V77" s="12">
        <f>IFERROR((V29/V21),0)</f>
        <v>0.2127659574468085</v>
      </c>
      <c r="W77" s="12">
        <f>IFERROR((W29/W21),0)</f>
        <v>0.23076923076923078</v>
      </c>
    </row>
    <row r="78">
      <c r="A78" s="0" t="inlineStr">
        <is>
          <t xml:space="preserve">Meetings per connect</t>
        </is>
      </c>
      <c r="B78" s="0" t="inlineStr">
        <is>
          <t xml:space="preserve">Chloe Patel</t>
        </is>
      </c>
      <c r="C78" s="12">
        <f>IFERROR((C30/C22),0)</f>
        <v>0.1625615763546798</v>
      </c>
      <c r="D78" s="12">
        <f>IFERROR((D30/D22),0)</f>
        <v>0.18518518518518517</v>
      </c>
      <c r="E78" s="12">
        <f>IFERROR((E30/E22),0)</f>
        <v>0.2013888888888889</v>
      </c>
      <c r="F78" s="12">
        <f>IFERROR((F30/F22),0)</f>
        <v>0.18324607329842932</v>
      </c>
      <c r="G78" s="12">
        <f>IFERROR((G30/G22),0)</f>
        <v>0.16326530612244897</v>
      </c>
      <c r="H78" s="12">
        <f>IFERROR((H30/H22),0)</f>
        <v>0.18181818181818182</v>
      </c>
      <c r="I78" s="12">
        <f>IFERROR((I30/I22),0)</f>
        <v>0.16806722689075632</v>
      </c>
      <c r="J78" s="12">
        <f>IFERROR((J30/J22),0)</f>
        <v>0.1415929203539823</v>
      </c>
      <c r="K78" s="12">
        <f>IFERROR((K30/K22),0)</f>
        <v>0.24166666666666667</v>
      </c>
      <c r="L78" s="12">
        <f>IFERROR((L30/L22),0)</f>
        <v>0.1446280991735537</v>
      </c>
      <c r="M78" s="12">
        <f>IFERROR((M30/M22),0)</f>
        <v>0.27692307692307694</v>
      </c>
      <c r="N78" s="12">
        <f>IFERROR((N30/N22),0)</f>
        <v>0.15300546448087432</v>
      </c>
      <c r="O78" s="12">
        <f>IFERROR((O30/O22),0)</f>
        <v>0.174496644295302</v>
      </c>
      <c r="P78" s="12">
        <f>IFERROR((P30/P22),0)</f>
        <v>0.1590909090909091</v>
      </c>
      <c r="Q78" s="12">
        <f>IFERROR((Q30/Q22),0)</f>
        <v>0.19631901840490798</v>
      </c>
      <c r="R78" s="12">
        <f>IFERROR((R30/R22),0)</f>
        <v>0.1984126984126984</v>
      </c>
      <c r="S78" s="12">
        <f>IFERROR((S30/S22),0)</f>
        <v>0.17647058823529413</v>
      </c>
      <c r="T78" s="12">
        <f>IFERROR((T30/T22),0)</f>
        <v>0.1780821917808219</v>
      </c>
      <c r="U78" s="12">
        <f>IFERROR((U30/U22),0)</f>
        <v>0.208</v>
      </c>
      <c r="V78" s="12">
        <f>IFERROR((V30/V22),0)</f>
        <v>0.16666666666666666</v>
      </c>
      <c r="W78" s="12">
        <f>IFERROR((W30/W22),0)</f>
        <v>0.15748031496062992</v>
      </c>
    </row>
    <row r="79">
      <c r="A79" s="0" t="inlineStr">
        <is>
          <t xml:space="preserve">Meetings per connect</t>
        </is>
      </c>
      <c r="B79" s="0" t="inlineStr">
        <is>
          <t xml:space="preserve">Samuel Kowalski</t>
        </is>
      </c>
      <c r="C79" s="12">
        <f>IFERROR((C31/C23),0)</f>
        <v>0.10810810810810811</v>
      </c>
      <c r="D79" s="12">
        <f>IFERROR((D31/D23),0)</f>
        <v>0.22807017543859648</v>
      </c>
      <c r="E79" s="12">
        <f>IFERROR((E31/E23),0)</f>
        <v>0.20833333333333334</v>
      </c>
      <c r="F79" s="12">
        <f>IFERROR((F31/F23),0)</f>
        <v>0.17073170731707318</v>
      </c>
      <c r="G79" s="12">
        <f>IFERROR((G31/G23),0)</f>
        <v>0.1794871794871795</v>
      </c>
      <c r="H79" s="12">
        <f>IFERROR((H31/H23),0)</f>
        <v>0.16363636363636364</v>
      </c>
      <c r="I79" s="12">
        <f>IFERROR((I31/I23),0)</f>
        <v>0.1774193548387097</v>
      </c>
      <c r="J79" s="12">
        <f>IFERROR((J31/J23),0)</f>
        <v>0.11538461538461539</v>
      </c>
      <c r="K79" s="12">
        <f>IFERROR((K31/K23),0)</f>
        <v>0.21951219512195122</v>
      </c>
      <c r="L79" s="12">
        <f>IFERROR((L31/L23),0)</f>
        <v>0.2608695652173913</v>
      </c>
      <c r="M79" s="12">
        <f>IFERROR((M31/M23),0)</f>
        <v>0.2708333333333333</v>
      </c>
      <c r="N79" s="12">
        <f>IFERROR((N31/N23),0)</f>
        <v>0.09302325581395349</v>
      </c>
      <c r="O79" s="12">
        <f>IFERROR((O31/O23),0)</f>
        <v>0.175</v>
      </c>
      <c r="P79" s="12">
        <f>IFERROR((P31/P23),0)</f>
        <v>0.2037037037037037</v>
      </c>
      <c r="Q79" s="12">
        <f>IFERROR((Q31/Q23),0)</f>
        <v>0.12195121951219512</v>
      </c>
      <c r="R79" s="12">
        <f>IFERROR((R31/R23),0)</f>
        <v>0.26666666666666666</v>
      </c>
      <c r="S79" s="12">
        <f>IFERROR((S31/S23),0)</f>
        <v>0.1836734693877551</v>
      </c>
      <c r="T79" s="12">
        <f>IFERROR((T31/T23),0)</f>
        <v>0.04878048780487805</v>
      </c>
      <c r="U79" s="12">
        <f>IFERROR((U31/U23),0)</f>
        <v>0.1774193548387097</v>
      </c>
      <c r="V79" s="12">
        <f>IFERROR((V31/V23),0)</f>
        <v>0.14893617021276595</v>
      </c>
      <c r="W79" s="12">
        <f>IFERROR((W31/W23),0)</f>
        <v>0.15254237288135594</v>
      </c>
    </row>
    <row r="80">
      <c r="A80" s="0" t="inlineStr">
        <is>
          <t xml:space="preserve">Meetings per connect</t>
        </is>
      </c>
      <c r="B80" s="0" t="inlineStr">
        <is>
          <t xml:space="preserve">Rafael Ivanova</t>
        </is>
      </c>
      <c r="C80" s="12">
        <f>IFERROR((C32/C24),0)</f>
        <v>0.17391304347826086</v>
      </c>
      <c r="D80" s="12">
        <f>IFERROR((D32/D24),0)</f>
        <v>0.16666666666666666</v>
      </c>
      <c r="E80" s="12">
        <f>IFERROR((E32/E24),0)</f>
        <v>0.18181818181818182</v>
      </c>
      <c r="F80" s="12">
        <f>IFERROR((F32/F24),0)</f>
        <v>0.17073170731707318</v>
      </c>
      <c r="G80" s="12">
        <f>IFERROR((G32/G24),0)</f>
        <v>0.2191780821917808</v>
      </c>
      <c r="H80" s="12">
        <f>IFERROR((H32/H24),0)</f>
        <v>0.18571428571428572</v>
      </c>
      <c r="I80" s="12">
        <f>IFERROR((I32/I24),0)</f>
        <v>0.14130434782608695</v>
      </c>
      <c r="J80" s="12">
        <f>IFERROR((J32/J24),0)</f>
        <v>0.2</v>
      </c>
      <c r="K80" s="12">
        <f>IFERROR((K32/K24),0)</f>
        <v>0.18181818181818182</v>
      </c>
      <c r="L80" s="12">
        <f>IFERROR((L32/L24),0)</f>
        <v>0.1875</v>
      </c>
      <c r="M80" s="12">
        <f>IFERROR((M32/M24),0)</f>
        <v>0.19672131147540983</v>
      </c>
      <c r="N80" s="12">
        <f>IFERROR((N32/N24),0)</f>
        <v>0.20567375886524822</v>
      </c>
      <c r="O80" s="12">
        <f>IFERROR((O32/O24),0)</f>
        <v>0.1791044776119403</v>
      </c>
      <c r="P80" s="12">
        <f>IFERROR((P32/P24),0)</f>
        <v>0.19230769230769232</v>
      </c>
      <c r="Q80" s="12">
        <f>IFERROR((Q32/Q24),0)</f>
        <v>0.19047619047619047</v>
      </c>
      <c r="R80" s="12">
        <f>IFERROR((R32/R24),0)</f>
        <v>0.17857142857142858</v>
      </c>
      <c r="S80" s="12">
        <f>IFERROR((S32/S24),0)</f>
        <v>0.17582417582417584</v>
      </c>
      <c r="T80" s="12">
        <f>IFERROR((T32/T24),0)</f>
        <v>0.16964285714285715</v>
      </c>
      <c r="U80" s="12">
        <f>IFERROR((U32/U24),0)</f>
        <v>0.25</v>
      </c>
      <c r="V80" s="12">
        <f>IFERROR((V32/V24),0)</f>
        <v>0.19230769230769232</v>
      </c>
      <c r="W80" s="12">
        <f>IFERROR((W32/W24),0)</f>
        <v>0.2033898305084746</v>
      </c>
    </row>
    <row r="81">
      <c r="A81" s="0" t="inlineStr">
        <is>
          <t xml:space="preserve">Meetings per connect</t>
        </is>
      </c>
      <c r="B81" s="0" t="inlineStr">
        <is>
          <t xml:space="preserve">Wei Kowalski</t>
        </is>
      </c>
      <c r="C81" s="12">
        <f>IFERROR((C33/C25),0)</f>
        <v>0.19642857142857142</v>
      </c>
      <c r="D81" s="12">
        <f>IFERROR((D33/D25),0)</f>
        <v>0.18181818181818182</v>
      </c>
      <c r="E81" s="12">
        <f>IFERROR((E33/E25),0)</f>
        <v>0.13636363636363635</v>
      </c>
      <c r="F81" s="12">
        <f>IFERROR((F33/F25),0)</f>
        <v>0.18</v>
      </c>
      <c r="G81" s="12">
        <f>IFERROR((G33/G25),0)</f>
        <v>0.15384615384615385</v>
      </c>
      <c r="H81" s="12">
        <f>IFERROR((H33/H25),0)</f>
        <v>0.15517241379310345</v>
      </c>
      <c r="I81" s="12">
        <f>IFERROR((I33/I25),0)</f>
        <v>0.15873015873015872</v>
      </c>
      <c r="J81" s="12">
        <f>IFERROR((J33/J25),0)</f>
        <v>0.23809523809523808</v>
      </c>
      <c r="K81" s="12">
        <f>IFERROR((K33/K25),0)</f>
        <v>0.175</v>
      </c>
      <c r="L81" s="12">
        <f>IFERROR((L33/L25),0)</f>
        <v>0.09090909090909091</v>
      </c>
      <c r="M81" s="12">
        <f>IFERROR((M33/M25),0)</f>
        <v>0.125</v>
      </c>
      <c r="N81" s="12">
        <f>IFERROR((N33/N25),0)</f>
        <v>0.20253164556962025</v>
      </c>
      <c r="O81" s="12">
        <f>IFERROR((O33/O25),0)</f>
        <v>0.2549019607843137</v>
      </c>
      <c r="P81" s="12">
        <f>IFERROR((P33/P25),0)</f>
        <v>0.16666666666666666</v>
      </c>
      <c r="Q81" s="12">
        <f>IFERROR((Q33/Q25),0)</f>
        <v>0.19402985074626866</v>
      </c>
      <c r="R81" s="12">
        <f>IFERROR((R33/R25),0)</f>
        <v>0.14516129032258066</v>
      </c>
      <c r="S81" s="12">
        <f>IFERROR((S33/S25),0)</f>
        <v>0.12727272727272726</v>
      </c>
      <c r="T81" s="12">
        <f>IFERROR((T33/T25),0)</f>
        <v>0.22448979591836735</v>
      </c>
      <c r="U81" s="12">
        <f>IFERROR((U33/U25),0)</f>
        <v>0.18461538461538463</v>
      </c>
      <c r="V81" s="12">
        <f>IFERROR((V33/V25),0)</f>
        <v>0.21052631578947367</v>
      </c>
      <c r="W81" s="12">
        <f>IFERROR((W33/W25),0)</f>
        <v>0.16</v>
      </c>
    </row>
    <row r="82">
      <c r="A82" s="0" t="inlineStr">
        <is>
          <t xml:space="preserve">Show rate</t>
        </is>
      </c>
      <c r="B82" s="0" t="inlineStr">
        <is>
          <t xml:space="preserve">Zara Kowalski</t>
        </is>
      </c>
      <c r="C82" s="12">
        <f>IFERROR((C34/C26),0)</f>
        <v>0.8666666666666667</v>
      </c>
      <c r="D82" s="12">
        <f>IFERROR((D34/D26),0)</f>
        <v>0.8076923076923077</v>
      </c>
      <c r="E82" s="12">
        <f>IFERROR((E34/E26),0)</f>
        <v>0.8260869565217391</v>
      </c>
      <c r="F82" s="12">
        <f>IFERROR((F34/F26),0)</f>
        <v>0.7058823529411765</v>
      </c>
      <c r="G82" s="12">
        <f>IFERROR((G34/G26),0)</f>
        <v>0.7407407407407407</v>
      </c>
      <c r="H82" s="12">
        <f>IFERROR((H34/H26),0)</f>
        <v>0.9090909090909091</v>
      </c>
      <c r="I82" s="12">
        <f>IFERROR((I34/I26),0)</f>
        <v>0.8125</v>
      </c>
      <c r="J82" s="12">
        <f>IFERROR((J34/J26),0)</f>
        <v>0.8333333333333334</v>
      </c>
      <c r="K82" s="12">
        <f>IFERROR((K34/K26),0)</f>
        <v>0.8</v>
      </c>
      <c r="L82" s="12">
        <f>IFERROR((L34/L26),0)</f>
        <v>0.75</v>
      </c>
      <c r="M82" s="12">
        <f>IFERROR((M34/M26),0)</f>
        <v>0.7222222222222222</v>
      </c>
      <c r="N82" s="12">
        <f>IFERROR((N34/N26),0)</f>
        <v>0.8275862068965517</v>
      </c>
      <c r="O82" s="12">
        <f>IFERROR((O34/O26),0)</f>
        <v>0.7333333333333333</v>
      </c>
      <c r="P82" s="12">
        <f>IFERROR((P34/P26),0)</f>
        <v>0.775</v>
      </c>
      <c r="Q82" s="12">
        <f>IFERROR((Q34/Q26),0)</f>
        <v>0.8064516129032258</v>
      </c>
      <c r="R82" s="12">
        <f>IFERROR((R34/R26),0)</f>
        <v>0.7837837837837838</v>
      </c>
      <c r="S82" s="12">
        <f>IFERROR((S34/S26),0)</f>
        <v>0.7428571428571429</v>
      </c>
      <c r="T82" s="12">
        <f>IFERROR((T34/T26),0)</f>
        <v>0.7878787878787878</v>
      </c>
      <c r="U82" s="12">
        <f>IFERROR((U34/U26),0)</f>
        <v>0.8620689655172413</v>
      </c>
      <c r="V82" s="12">
        <f>IFERROR((V34/V26),0)</f>
        <v>0.8620689655172413</v>
      </c>
      <c r="W82" s="12">
        <f>IFERROR((W34/W26),0)</f>
        <v>0.75</v>
      </c>
    </row>
    <row r="83">
      <c r="A83" s="0" t="inlineStr">
        <is>
          <t xml:space="preserve">Show rate</t>
        </is>
      </c>
      <c r="B83" s="0" t="inlineStr">
        <is>
          <t xml:space="preserve">Kenji Kowalski</t>
        </is>
      </c>
      <c r="C83" s="12">
        <f>IFERROR((C35/C27),0)</f>
        <v>0.7777777777777778</v>
      </c>
      <c r="D83" s="12">
        <f>IFERROR((D35/D27),0)</f>
        <v>0.7777777777777778</v>
      </c>
      <c r="E83" s="12">
        <f>IFERROR((E35/E27),0)</f>
        <v>0.6</v>
      </c>
      <c r="F83" s="12">
        <f>IFERROR((F35/F27),0)</f>
        <v>0.5882352941176471</v>
      </c>
      <c r="G83" s="12">
        <f>IFERROR((G35/G27),0)</f>
        <v>0.6</v>
      </c>
      <c r="H83" s="12">
        <f>IFERROR((H35/H27),0)</f>
        <v>0.8</v>
      </c>
      <c r="I83" s="12">
        <f>IFERROR((I35/I27),0)</f>
        <v>0.8571428571428571</v>
      </c>
      <c r="J83" s="12">
        <f>IFERROR((J35/J27),0)</f>
        <v>0.8</v>
      </c>
      <c r="K83" s="12">
        <f>IFERROR((K35/K27),0)</f>
        <v>0.6363636363636364</v>
      </c>
      <c r="L83" s="12">
        <f>IFERROR((L35/L27),0)</f>
        <v>0.8333333333333334</v>
      </c>
      <c r="M83" s="12">
        <f>IFERROR((M35/M27),0)</f>
        <v>0.8461538461538461</v>
      </c>
      <c r="N83" s="12">
        <f>IFERROR((N35/N27),0)</f>
        <v>0.625</v>
      </c>
      <c r="O83" s="12">
        <f>IFERROR((O35/O27),0)</f>
        <v>0.8181818181818182</v>
      </c>
      <c r="P83" s="12">
        <f>IFERROR((P35/P27),0)</f>
        <v>0.75</v>
      </c>
      <c r="Q83" s="12">
        <f>IFERROR((Q35/Q27),0)</f>
        <v>0.7272727272727273</v>
      </c>
      <c r="R83" s="12">
        <f>IFERROR((R35/R27),0)</f>
        <v>0.9</v>
      </c>
      <c r="S83" s="12">
        <f>IFERROR((S35/S27),0)</f>
        <v>0.5714285714285714</v>
      </c>
      <c r="T83" s="12">
        <f>IFERROR((T35/T27),0)</f>
        <v>0.6666666666666666</v>
      </c>
      <c r="U83" s="12">
        <f>IFERROR((U35/U27),0)</f>
        <v>0.8333333333333334</v>
      </c>
      <c r="V83" s="12">
        <f>IFERROR((V35/V27),0)</f>
        <v>1</v>
      </c>
      <c r="W83" s="12">
        <f>IFERROR((W35/W27),0)</f>
        <v>0.7142857142857143</v>
      </c>
    </row>
    <row r="84">
      <c r="A84" s="0" t="inlineStr">
        <is>
          <t xml:space="preserve">Show rate</t>
        </is>
      </c>
      <c r="B84" s="0" t="inlineStr">
        <is>
          <t xml:space="preserve">Marcus Nair</t>
        </is>
      </c>
      <c r="C84" s="12">
        <f>IFERROR((C36/C28),0)</f>
        <v>0.8461538461538461</v>
      </c>
      <c r="D84" s="12">
        <f>IFERROR((D36/D28),0)</f>
        <v>0.8181818181818182</v>
      </c>
      <c r="E84" s="12">
        <f>IFERROR((E36/E28),0)</f>
        <v>0.7368421052631579</v>
      </c>
      <c r="F84" s="12">
        <f>IFERROR((F36/F28),0)</f>
        <v>0.8421052631578947</v>
      </c>
      <c r="G84" s="12">
        <f>IFERROR((G36/G28),0)</f>
        <v>0.8095238095238095</v>
      </c>
      <c r="H84" s="12">
        <f>IFERROR((H36/H28),0)</f>
        <v>0.7857142857142857</v>
      </c>
      <c r="I84" s="12">
        <f>IFERROR((I36/I28),0)</f>
        <v>0.7368421052631579</v>
      </c>
      <c r="J84" s="12">
        <f>IFERROR((J36/J28),0)</f>
        <v>0.7307692307692307</v>
      </c>
      <c r="K84" s="12">
        <f>IFERROR((K36/K28),0)</f>
        <v>0.8064516129032258</v>
      </c>
      <c r="L84" s="12">
        <f>IFERROR((L36/L28),0)</f>
        <v>0.8333333333333334</v>
      </c>
      <c r="M84" s="12">
        <f>IFERROR((M36/M28),0)</f>
        <v>0.7931034482758621</v>
      </c>
      <c r="N84" s="12">
        <f>IFERROR((N36/N28),0)</f>
        <v>0.7619047619047619</v>
      </c>
      <c r="O84" s="12">
        <f>IFERROR((O36/O28),0)</f>
        <v>0.7407407407407407</v>
      </c>
      <c r="P84" s="12">
        <f>IFERROR((P36/P28),0)</f>
        <v>0.7407407407407407</v>
      </c>
      <c r="Q84" s="12">
        <f>IFERROR((Q36/Q28),0)</f>
        <v>0.8372093023255814</v>
      </c>
      <c r="R84" s="12">
        <f>IFERROR((R36/R28),0)</f>
        <v>0.7857142857142857</v>
      </c>
      <c r="S84" s="12">
        <f>IFERROR((S36/S28),0)</f>
        <v>0.75</v>
      </c>
      <c r="T84" s="12">
        <f>IFERROR((T36/T28),0)</f>
        <v>0.8</v>
      </c>
      <c r="U84" s="12">
        <f>IFERROR((U36/U28),0)</f>
        <v>0.7777777777777778</v>
      </c>
      <c r="V84" s="12">
        <f>IFERROR((V36/V28),0)</f>
        <v>0.9166666666666666</v>
      </c>
      <c r="W84" s="12">
        <f>IFERROR((W36/W28),0)</f>
        <v>0.8275862068965517</v>
      </c>
    </row>
    <row r="85">
      <c r="A85" s="0" t="inlineStr">
        <is>
          <t xml:space="preserve">Show rate</t>
        </is>
      </c>
      <c r="B85" s="0" t="inlineStr">
        <is>
          <t xml:space="preserve">Yuki Rahman</t>
        </is>
      </c>
      <c r="C85" s="12">
        <f>IFERROR((C37/C29),0)</f>
        <v>0.75</v>
      </c>
      <c r="D85" s="12">
        <f>IFERROR((D37/D29),0)</f>
        <v>0.7777777777777778</v>
      </c>
      <c r="E85" s="12">
        <f>IFERROR((E37/E29),0)</f>
        <v>0.7142857142857143</v>
      </c>
      <c r="F85" s="12">
        <f>IFERROR((F37/F29),0)</f>
        <v>0.6666666666666666</v>
      </c>
      <c r="G85" s="12">
        <f>IFERROR((G37/G29),0)</f>
        <v>0.4</v>
      </c>
      <c r="H85" s="12">
        <f>IFERROR((H37/H29),0)</f>
        <v>1</v>
      </c>
      <c r="I85" s="12">
        <f>IFERROR((I37/I29),0)</f>
        <v>1</v>
      </c>
      <c r="J85" s="12">
        <f>IFERROR((J37/J29),0)</f>
        <v>0.9090909090909091</v>
      </c>
      <c r="K85" s="12">
        <f>IFERROR((K37/K29),0)</f>
        <v>1</v>
      </c>
      <c r="L85" s="12">
        <f>IFERROR((L37/L29),0)</f>
        <v>0.9090909090909091</v>
      </c>
      <c r="M85" s="12">
        <f>IFERROR((M37/M29),0)</f>
        <v>0.875</v>
      </c>
      <c r="N85" s="12">
        <f>IFERROR((N37/N29),0)</f>
        <v>0.625</v>
      </c>
      <c r="O85" s="12">
        <f>IFERROR((O37/O29),0)</f>
        <v>1</v>
      </c>
      <c r="P85" s="12">
        <f>IFERROR((P37/P29),0)</f>
        <v>0.6</v>
      </c>
      <c r="Q85" s="12">
        <f>IFERROR((Q37/Q29),0)</f>
        <v>0.7272727272727273</v>
      </c>
      <c r="R85" s="12">
        <f>IFERROR((R37/R29),0)</f>
        <v>0.7777777777777778</v>
      </c>
      <c r="S85" s="12">
        <f>IFERROR((S37/S29),0)</f>
        <v>0.8333333333333334</v>
      </c>
      <c r="T85" s="12">
        <f>IFERROR((T37/T29),0)</f>
        <v>0.625</v>
      </c>
      <c r="U85" s="12">
        <f>IFERROR((U37/U29),0)</f>
        <v>1</v>
      </c>
      <c r="V85" s="12">
        <f>IFERROR((V37/V29),0)</f>
        <v>0.7</v>
      </c>
      <c r="W85" s="12">
        <f>IFERROR((W37/W29),0)</f>
        <v>0.5833333333333334</v>
      </c>
    </row>
    <row r="86">
      <c r="A86" s="0" t="inlineStr">
        <is>
          <t xml:space="preserve">Show rate</t>
        </is>
      </c>
      <c r="B86" s="0" t="inlineStr">
        <is>
          <t xml:space="preserve">Chloe Patel</t>
        </is>
      </c>
      <c r="C86" s="12">
        <f>IFERROR((C38/C30),0)</f>
        <v>0.6363636363636364</v>
      </c>
      <c r="D86" s="12">
        <f>IFERROR((D38/D30),0)</f>
        <v>0.8</v>
      </c>
      <c r="E86" s="12">
        <f>IFERROR((E38/E30),0)</f>
        <v>0.7241379310344828</v>
      </c>
      <c r="F86" s="12">
        <f>IFERROR((F38/F30),0)</f>
        <v>0.7142857142857143</v>
      </c>
      <c r="G86" s="12">
        <f>IFERROR((G38/G30),0)</f>
        <v>0.75</v>
      </c>
      <c r="H86" s="12">
        <f>IFERROR((H38/H30),0)</f>
        <v>0.8333333333333334</v>
      </c>
      <c r="I86" s="12">
        <f>IFERROR((I38/I30),0)</f>
        <v>0.95</v>
      </c>
      <c r="J86" s="12">
        <f>IFERROR((J38/J30),0)</f>
        <v>0.75</v>
      </c>
      <c r="K86" s="12">
        <f>IFERROR((K38/K30),0)</f>
        <v>0.7586206896551724</v>
      </c>
      <c r="L86" s="12">
        <f>IFERROR((L38/L30),0)</f>
        <v>0.7428571428571429</v>
      </c>
      <c r="M86" s="12">
        <f>IFERROR((M38/M30),0)</f>
        <v>0.7777777777777778</v>
      </c>
      <c r="N86" s="12">
        <f>IFERROR((N38/N30),0)</f>
        <v>0.7142857142857143</v>
      </c>
      <c r="O86" s="12">
        <f>IFERROR((O38/O30),0)</f>
        <v>0.8461538461538461</v>
      </c>
      <c r="P86" s="12">
        <f>IFERROR((P38/P30),0)</f>
        <v>0.8571428571428571</v>
      </c>
      <c r="Q86" s="12">
        <f>IFERROR((Q38/Q30),0)</f>
        <v>0.71875</v>
      </c>
      <c r="R86" s="12">
        <f>IFERROR((R38/R30),0)</f>
        <v>0.72</v>
      </c>
      <c r="S86" s="12">
        <f>IFERROR((S38/S30),0)</f>
        <v>0.7</v>
      </c>
      <c r="T86" s="12">
        <f>IFERROR((T38/T30),0)</f>
        <v>0.8461538461538461</v>
      </c>
      <c r="U86" s="12">
        <f>IFERROR((U38/U30),0)</f>
        <v>0.6538461538461539</v>
      </c>
      <c r="V86" s="12">
        <f>IFERROR((V38/V30),0)</f>
        <v>0.6444444444444445</v>
      </c>
      <c r="W86" s="12">
        <f>IFERROR((W38/W30),0)</f>
        <v>0.85</v>
      </c>
    </row>
    <row r="87">
      <c r="A87" s="0" t="inlineStr">
        <is>
          <t xml:space="preserve">Show rate</t>
        </is>
      </c>
      <c r="B87" s="0" t="inlineStr">
        <is>
          <t xml:space="preserve">Samuel Kowalski</t>
        </is>
      </c>
      <c r="C87" s="12">
        <f>IFERROR((C39/C31),0)</f>
        <v>0.75</v>
      </c>
      <c r="D87" s="12">
        <f>IFERROR((D39/D31),0)</f>
        <v>0.7692307692307693</v>
      </c>
      <c r="E87" s="12">
        <f>IFERROR((E39/E31),0)</f>
        <v>1</v>
      </c>
      <c r="F87" s="12">
        <f>IFERROR((F39/F31),0)</f>
        <v>0.5714285714285714</v>
      </c>
      <c r="G87" s="12">
        <f>IFERROR((G39/G31),0)</f>
        <v>0.7142857142857143</v>
      </c>
      <c r="H87" s="12">
        <f>IFERROR((H39/H31),0)</f>
        <v>1</v>
      </c>
      <c r="I87" s="12">
        <f>IFERROR((I39/I31),0)</f>
        <v>0.8181818181818182</v>
      </c>
      <c r="J87" s="12">
        <f>IFERROR((J39/J31),0)</f>
        <v>0.8333333333333334</v>
      </c>
      <c r="K87" s="12">
        <f>IFERROR((K39/K31),0)</f>
        <v>0.6666666666666666</v>
      </c>
      <c r="L87" s="12">
        <f>IFERROR((L39/L31),0)</f>
        <v>0.6666666666666666</v>
      </c>
      <c r="M87" s="12">
        <f>IFERROR((M39/M31),0)</f>
        <v>0.6923076923076923</v>
      </c>
      <c r="N87" s="12">
        <f>IFERROR((N39/N31),0)</f>
        <v>0.75</v>
      </c>
      <c r="O87" s="12">
        <f>IFERROR((O39/O31),0)</f>
        <v>0.8571428571428571</v>
      </c>
      <c r="P87" s="12">
        <f>IFERROR((P39/P31),0)</f>
        <v>0.8181818181818182</v>
      </c>
      <c r="Q87" s="12">
        <f>IFERROR((Q39/Q31),0)</f>
        <v>1</v>
      </c>
      <c r="R87" s="12">
        <f>IFERROR((R39/R31),0)</f>
        <v>0.75</v>
      </c>
      <c r="S87" s="12">
        <f>IFERROR((S39/S31),0)</f>
        <v>0.6666666666666666</v>
      </c>
      <c r="T87" s="12">
        <f>IFERROR((T39/T31),0)</f>
        <v>0.5</v>
      </c>
      <c r="U87" s="12">
        <f>IFERROR((U39/U31),0)</f>
        <v>1</v>
      </c>
      <c r="V87" s="12">
        <f>IFERROR((V39/V31),0)</f>
        <v>0.8571428571428571</v>
      </c>
      <c r="W87" s="12">
        <f>IFERROR((W39/W31),0)</f>
        <v>0.8888888888888888</v>
      </c>
    </row>
    <row r="88">
      <c r="A88" s="0" t="inlineStr">
        <is>
          <t xml:space="preserve">Show rate</t>
        </is>
      </c>
      <c r="B88" s="0" t="inlineStr">
        <is>
          <t xml:space="preserve">Rafael Ivanova</t>
        </is>
      </c>
      <c r="C88" s="12">
        <f>IFERROR((C40/C32),0)</f>
        <v>1</v>
      </c>
      <c r="D88" s="12">
        <f>IFERROR((D40/D32),0)</f>
        <v>0.875</v>
      </c>
      <c r="E88" s="12">
        <f>IFERROR((E40/E32),0)</f>
        <v>0.7857142857142857</v>
      </c>
      <c r="F88" s="12">
        <f>IFERROR((F40/F32),0)</f>
        <v>0.6666666666666666</v>
      </c>
      <c r="G88" s="12">
        <f>IFERROR((G40/G32),0)</f>
        <v>0.875</v>
      </c>
      <c r="H88" s="12">
        <f>IFERROR((H40/H32),0)</f>
        <v>0.7692307692307693</v>
      </c>
      <c r="I88" s="12">
        <f>IFERROR((I40/I32),0)</f>
        <v>0.6153846153846154</v>
      </c>
      <c r="J88" s="12">
        <f>IFERROR((J40/J32),0)</f>
        <v>1</v>
      </c>
      <c r="K88" s="12">
        <f>IFERROR((K40/K32),0)</f>
        <v>0.75</v>
      </c>
      <c r="L88" s="12">
        <f>IFERROR((L40/L32),0)</f>
        <v>1</v>
      </c>
      <c r="M88" s="12">
        <f>IFERROR((M40/M32),0)</f>
        <v>0.8333333333333334</v>
      </c>
      <c r="N88" s="12">
        <f>IFERROR((N40/N32),0)</f>
        <v>0.8275862068965517</v>
      </c>
      <c r="O88" s="12">
        <f>IFERROR((O40/O32),0)</f>
        <v>0.75</v>
      </c>
      <c r="P88" s="12">
        <f>IFERROR((P40/P32),0)</f>
        <v>0.6</v>
      </c>
      <c r="Q88" s="12">
        <f>IFERROR((Q40/Q32),0)</f>
        <v>0.7083333333333334</v>
      </c>
      <c r="R88" s="12">
        <f>IFERROR((R40/R32),0)</f>
        <v>0.9</v>
      </c>
      <c r="S88" s="12">
        <f>IFERROR((S40/S32),0)</f>
        <v>0.8125</v>
      </c>
      <c r="T88" s="12">
        <f>IFERROR((T40/T32),0)</f>
        <v>0.7894736842105263</v>
      </c>
      <c r="U88" s="12">
        <f>IFERROR((U40/U32),0)</f>
        <v>0.8333333333333334</v>
      </c>
      <c r="V88" s="12">
        <f>IFERROR((V40/V32),0)</f>
        <v>0.7333333333333333</v>
      </c>
      <c r="W88" s="12">
        <f>IFERROR((W40/W32),0)</f>
        <v>0.9166666666666666</v>
      </c>
    </row>
    <row r="89">
      <c r="A89" s="0" t="inlineStr">
        <is>
          <t xml:space="preserve">Show rate</t>
        </is>
      </c>
      <c r="B89" s="0" t="inlineStr">
        <is>
          <t xml:space="preserve">Wei Kowalski</t>
        </is>
      </c>
      <c r="C89" s="12">
        <f>IFERROR((C41/C33),0)</f>
        <v>1</v>
      </c>
      <c r="D89" s="12">
        <f>IFERROR((D41/D33),0)</f>
        <v>0.9</v>
      </c>
      <c r="E89" s="12">
        <f>IFERROR((E41/E33),0)</f>
        <v>0.8333333333333334</v>
      </c>
      <c r="F89" s="12">
        <f>IFERROR((F41/F33),0)</f>
        <v>0.4444444444444444</v>
      </c>
      <c r="G89" s="12">
        <f>IFERROR((G41/G33),0)</f>
        <v>0.5</v>
      </c>
      <c r="H89" s="12">
        <f>IFERROR((H41/H33),0)</f>
        <v>0.7777777777777778</v>
      </c>
      <c r="I89" s="12">
        <f>IFERROR((I41/I33),0)</f>
        <v>1</v>
      </c>
      <c r="J89" s="12">
        <f>IFERROR((J41/J33),0)</f>
        <v>1</v>
      </c>
      <c r="K89" s="12">
        <f>IFERROR((K41/K33),0)</f>
        <v>0.5714285714285714</v>
      </c>
      <c r="L89" s="12">
        <f>IFERROR((L41/L33),0)</f>
        <v>0.8</v>
      </c>
      <c r="M89" s="12">
        <f>IFERROR((M41/M33),0)</f>
        <v>0.875</v>
      </c>
      <c r="N89" s="12">
        <f>IFERROR((N41/N33),0)</f>
        <v>0.8125</v>
      </c>
      <c r="O89" s="12">
        <f>IFERROR((O41/O33),0)</f>
        <v>0.7692307692307693</v>
      </c>
      <c r="P89" s="12">
        <f>IFERROR((P41/P33),0)</f>
        <v>0.7</v>
      </c>
      <c r="Q89" s="12">
        <f>IFERROR((Q41/Q33),0)</f>
        <v>0.9230769230769231</v>
      </c>
      <c r="R89" s="12">
        <f>IFERROR((R41/R33),0)</f>
        <v>1</v>
      </c>
      <c r="S89" s="12">
        <f>IFERROR((S41/S33),0)</f>
        <v>0.8571428571428571</v>
      </c>
      <c r="T89" s="12">
        <f>IFERROR((T41/T33),0)</f>
        <v>1</v>
      </c>
      <c r="U89" s="12">
        <f>IFERROR((U41/U33),0)</f>
        <v>0.8333333333333334</v>
      </c>
      <c r="V89" s="12">
        <f>IFERROR((V41/V33),0)</f>
        <v>0.8333333333333334</v>
      </c>
      <c r="W89" s="12">
        <f>IFERROR((W41/W33),0)</f>
        <v>0.75</v>
      </c>
    </row>
    <row r="90">
      <c r="A90" s="0" t="inlineStr">
        <is>
          <t xml:space="preserve">Opportunities sourced</t>
        </is>
      </c>
      <c r="B90" s="0" t="inlineStr">
        <is>
          <t xml:space="preserve">Zara Kowalski</t>
        </is>
      </c>
      <c r="C90" s="4">
        <f>COUNTIFS('Opportunities'!$D$2:$D$1775,"=s_amer_east_in",'Opportunities'!$M$2:$M$1775,"=apr25",'Opportunities'!$H$2:$H$1775,"&lt;&gt;")</f>
        <v>16</v>
      </c>
      <c r="D90" s="4">
        <f>COUNTIFS('Opportunities'!$D$2:$D$1775,"=s_amer_east_in",'Opportunities'!$M$2:$M$1775,"=may25",'Opportunities'!$H$2:$H$1775,"&lt;&gt;")</f>
        <v>15</v>
      </c>
      <c r="E90" s="4">
        <f>COUNTIFS('Opportunities'!$D$2:$D$1775,"=s_amer_east_in",'Opportunities'!$M$2:$M$1775,"=jun25",'Opportunities'!$H$2:$H$1775,"&lt;&gt;")</f>
        <v>27</v>
      </c>
      <c r="F90" s="4">
        <f>COUNTIFS('Opportunities'!$D$2:$D$1775,"=s_amer_east_in",'Opportunities'!$M$2:$M$1775,"=jul25",'Opportunities'!$H$2:$H$1775,"&lt;&gt;")</f>
        <v>17</v>
      </c>
      <c r="G90" s="4">
        <f>COUNTIFS('Opportunities'!$D$2:$D$1775,"=s_amer_east_in",'Opportunities'!$M$2:$M$1775,"=aug25",'Opportunities'!$H$2:$H$1775,"&lt;&gt;")</f>
        <v>14</v>
      </c>
      <c r="H90" s="4">
        <f>COUNTIFS('Opportunities'!$D$2:$D$1775,"=s_amer_east_in",'Opportunities'!$M$2:$M$1775,"=sep25",'Opportunities'!$H$2:$H$1775,"&lt;&gt;")</f>
        <v>7</v>
      </c>
      <c r="I90" s="4">
        <f>COUNTIFS('Opportunities'!$D$2:$D$1775,"=s_amer_east_in",'Opportunities'!$M$2:$M$1775,"=oct25",'Opportunities'!$H$2:$H$1775,"&lt;&gt;")</f>
        <v>9</v>
      </c>
      <c r="J90" s="4">
        <f>COUNTIFS('Opportunities'!$D$2:$D$1775,"=s_amer_east_in",'Opportunities'!$M$2:$M$1775,"=nov25",'Opportunities'!$H$2:$H$1775,"&lt;&gt;")</f>
        <v>11</v>
      </c>
      <c r="K90" s="4">
        <f>COUNTIFS('Opportunities'!$D$2:$D$1775,"=s_amer_east_in",'Opportunities'!$M$2:$M$1775,"=dec25",'Opportunities'!$H$2:$H$1775,"&lt;&gt;")</f>
        <v>16</v>
      </c>
      <c r="L90" s="4">
        <f>COUNTIFS('Opportunities'!$D$2:$D$1775,"=s_amer_east_in",'Opportunities'!$M$2:$M$1775,"=jan26",'Opportunities'!$H$2:$H$1775,"&lt;&gt;")</f>
        <v>15</v>
      </c>
      <c r="M90" s="4">
        <f>COUNTIFS('Opportunities'!$D$2:$D$1775,"=s_amer_east_in",'Opportunities'!$M$2:$M$1775,"=feb26",'Opportunities'!$H$2:$H$1775,"&lt;&gt;")</f>
        <v>9</v>
      </c>
      <c r="N90" s="4">
        <f>COUNTIFS('Opportunities'!$D$2:$D$1775,"=s_amer_east_in",'Opportunities'!$M$2:$M$1775,"=mar26",'Opportunities'!$H$2:$H$1775,"&lt;&gt;")</f>
        <v>16</v>
      </c>
      <c r="O90" s="4">
        <f>COUNTIFS('Opportunities'!$D$2:$D$1775,"=s_amer_east_in",'Opportunities'!$M$2:$M$1775,"=apr26",'Opportunities'!$H$2:$H$1775,"&lt;&gt;")</f>
        <v>28</v>
      </c>
      <c r="P90" s="4">
        <f>COUNTIFS('Opportunities'!$D$2:$D$1775,"=s_amer_east_in",'Opportunities'!$M$2:$M$1775,"=may26",'Opportunities'!$H$2:$H$1775,"&lt;&gt;")</f>
        <v>21</v>
      </c>
      <c r="Q90" s="4">
        <f>COUNTIFS('Opportunities'!$D$2:$D$1775,"=s_amer_east_in",'Opportunities'!$M$2:$M$1775,"=jun26",'Opportunities'!$H$2:$H$1775,"&lt;&gt;")</f>
        <v>16</v>
      </c>
      <c r="R90" s="4">
        <f>COUNTIFS('Opportunities'!$D$2:$D$1775,"=s_amer_east_in",'Opportunities'!$M$2:$M$1775,"=jul26",'Opportunities'!$H$2:$H$1775,"&lt;&gt;")</f>
        <v>20</v>
      </c>
      <c r="S90" s="4">
        <f>COUNTIFS('Opportunities'!$D$2:$D$1775,"=s_amer_east_in",'Opportunities'!$M$2:$M$1775,"=aug26",'Opportunities'!$H$2:$H$1775,"&lt;&gt;")</f>
        <v>19</v>
      </c>
      <c r="T90" s="4">
        <f>COUNTIFS('Opportunities'!$D$2:$D$1775,"=s_amer_east_in",'Opportunities'!$M$2:$M$1775,"=sep26",'Opportunities'!$H$2:$H$1775,"&lt;&gt;")</f>
        <v>12</v>
      </c>
      <c r="U90" s="4">
        <f>COUNTIFS('Opportunities'!$D$2:$D$1775,"=s_amer_east_in",'Opportunities'!$M$2:$M$1775,"=oct26",'Opportunities'!$H$2:$H$1775,"&lt;&gt;")</f>
        <v>0</v>
      </c>
      <c r="V90" s="4">
        <f>COUNTIFS('Opportunities'!$D$2:$D$1775,"=s_amer_east_in",'Opportunities'!$M$2:$M$1775,"=nov26",'Opportunities'!$H$2:$H$1775,"&lt;&gt;")</f>
        <v>0</v>
      </c>
      <c r="W90" s="4">
        <f>COUNTIFS('Opportunities'!$D$2:$D$1775,"=s_amer_east_in",'Opportunities'!$M$2:$M$1775,"=dec26",'Opportunities'!$H$2:$H$1775,"&lt;&gt;")</f>
        <v>0</v>
      </c>
    </row>
    <row r="91">
      <c r="A91" s="0" t="inlineStr">
        <is>
          <t xml:space="preserve">Opportunities sourced</t>
        </is>
      </c>
      <c r="B91" s="0" t="inlineStr">
        <is>
          <t xml:space="preserve">Kenji Kowalski</t>
        </is>
      </c>
      <c r="C91" s="4">
        <f>COUNTIFS('Opportunities'!$D$2:$D$1775,"=s_amer_east_out",'Opportunities'!$M$2:$M$1775,"=apr25",'Opportunities'!$H$2:$H$1775,"&lt;&gt;")</f>
        <v>4</v>
      </c>
      <c r="D91" s="4">
        <f>COUNTIFS('Opportunities'!$D$2:$D$1775,"=s_amer_east_out",'Opportunities'!$M$2:$M$1775,"=may25",'Opportunities'!$H$2:$H$1775,"&lt;&gt;")</f>
        <v>3</v>
      </c>
      <c r="E91" s="4">
        <f>COUNTIFS('Opportunities'!$D$2:$D$1775,"=s_amer_east_out",'Opportunities'!$M$2:$M$1775,"=jun25",'Opportunities'!$H$2:$H$1775,"&lt;&gt;")</f>
        <v>3</v>
      </c>
      <c r="F91" s="4">
        <f>COUNTIFS('Opportunities'!$D$2:$D$1775,"=s_amer_east_out",'Opportunities'!$M$2:$M$1775,"=jul25",'Opportunities'!$H$2:$H$1775,"&lt;&gt;")</f>
        <v>7</v>
      </c>
      <c r="G91" s="4">
        <f>COUNTIFS('Opportunities'!$D$2:$D$1775,"=s_amer_east_out",'Opportunities'!$M$2:$M$1775,"=aug25",'Opportunities'!$H$2:$H$1775,"&lt;&gt;")</f>
        <v>3</v>
      </c>
      <c r="H91" s="4">
        <f>COUNTIFS('Opportunities'!$D$2:$D$1775,"=s_amer_east_out",'Opportunities'!$M$2:$M$1775,"=sep25",'Opportunities'!$H$2:$H$1775,"&lt;&gt;")</f>
        <v>3</v>
      </c>
      <c r="I91" s="4">
        <f>COUNTIFS('Opportunities'!$D$2:$D$1775,"=s_amer_east_out",'Opportunities'!$M$2:$M$1775,"=oct25",'Opportunities'!$H$2:$H$1775,"&lt;&gt;")</f>
        <v>2</v>
      </c>
      <c r="J91" s="4">
        <f>COUNTIFS('Opportunities'!$D$2:$D$1775,"=s_amer_east_out",'Opportunities'!$M$2:$M$1775,"=nov25",'Opportunities'!$H$2:$H$1775,"&lt;&gt;")</f>
        <v>1</v>
      </c>
      <c r="K91" s="4">
        <f>COUNTIFS('Opportunities'!$D$2:$D$1775,"=s_amer_east_out",'Opportunities'!$M$2:$M$1775,"=dec25",'Opportunities'!$H$2:$H$1775,"&lt;&gt;")</f>
        <v>5</v>
      </c>
      <c r="L91" s="4">
        <f>COUNTIFS('Opportunities'!$D$2:$D$1775,"=s_amer_east_out",'Opportunities'!$M$2:$M$1775,"=jan26",'Opportunities'!$H$2:$H$1775,"&lt;&gt;")</f>
        <v>6</v>
      </c>
      <c r="M91" s="4">
        <f>COUNTIFS('Opportunities'!$D$2:$D$1775,"=s_amer_east_out",'Opportunities'!$M$2:$M$1775,"=feb26",'Opportunities'!$H$2:$H$1775,"&lt;&gt;")</f>
        <v>9</v>
      </c>
      <c r="N91" s="4">
        <f>COUNTIFS('Opportunities'!$D$2:$D$1775,"=s_amer_east_out",'Opportunities'!$M$2:$M$1775,"=mar26",'Opportunities'!$H$2:$H$1775,"&lt;&gt;")</f>
        <v>2</v>
      </c>
      <c r="O91" s="4">
        <f>COUNTIFS('Opportunities'!$D$2:$D$1775,"=s_amer_east_out",'Opportunities'!$M$2:$M$1775,"=apr26",'Opportunities'!$H$2:$H$1775,"&lt;&gt;")</f>
        <v>5</v>
      </c>
      <c r="P91" s="4">
        <f>COUNTIFS('Opportunities'!$D$2:$D$1775,"=s_amer_east_out",'Opportunities'!$M$2:$M$1775,"=may26",'Opportunities'!$H$2:$H$1775,"&lt;&gt;")</f>
        <v>2</v>
      </c>
      <c r="Q91" s="4">
        <f>COUNTIFS('Opportunities'!$D$2:$D$1775,"=s_amer_east_out",'Opportunities'!$M$2:$M$1775,"=jun26",'Opportunities'!$H$2:$H$1775,"&lt;&gt;")</f>
        <v>4</v>
      </c>
      <c r="R91" s="4">
        <f>COUNTIFS('Opportunities'!$D$2:$D$1775,"=s_amer_east_out",'Opportunities'!$M$2:$M$1775,"=jul26",'Opportunities'!$H$2:$H$1775,"&lt;&gt;")</f>
        <v>6</v>
      </c>
      <c r="S91" s="4">
        <f>COUNTIFS('Opportunities'!$D$2:$D$1775,"=s_amer_east_out",'Opportunities'!$M$2:$M$1775,"=aug26",'Opportunities'!$H$2:$H$1775,"&lt;&gt;")</f>
        <v>4</v>
      </c>
      <c r="T91" s="4">
        <f>COUNTIFS('Opportunities'!$D$2:$D$1775,"=s_amer_east_out",'Opportunities'!$M$2:$M$1775,"=sep26",'Opportunities'!$H$2:$H$1775,"&lt;&gt;")</f>
        <v>3</v>
      </c>
      <c r="U91" s="4">
        <f>COUNTIFS('Opportunities'!$D$2:$D$1775,"=s_amer_east_out",'Opportunities'!$M$2:$M$1775,"=oct26",'Opportunities'!$H$2:$H$1775,"&lt;&gt;")</f>
        <v>0</v>
      </c>
      <c r="V91" s="4">
        <f>COUNTIFS('Opportunities'!$D$2:$D$1775,"=s_amer_east_out",'Opportunities'!$M$2:$M$1775,"=nov26",'Opportunities'!$H$2:$H$1775,"&lt;&gt;")</f>
        <v>0</v>
      </c>
      <c r="W91" s="4">
        <f>COUNTIFS('Opportunities'!$D$2:$D$1775,"=s_amer_east_out",'Opportunities'!$M$2:$M$1775,"=dec26",'Opportunities'!$H$2:$H$1775,"&lt;&gt;")</f>
        <v>0</v>
      </c>
    </row>
    <row r="92">
      <c r="A92" s="0" t="inlineStr">
        <is>
          <t xml:space="preserve">Opportunities sourced</t>
        </is>
      </c>
      <c r="B92" s="0" t="inlineStr">
        <is>
          <t xml:space="preserve">Marcus Nair</t>
        </is>
      </c>
      <c r="C92" s="4">
        <f>COUNTIFS('Opportunities'!$D$2:$D$1775,"=s_amer_west_in",'Opportunities'!$M$2:$M$1775,"=apr25",'Opportunities'!$H$2:$H$1775,"&lt;&gt;")</f>
        <v>14</v>
      </c>
      <c r="D92" s="4">
        <f>COUNTIFS('Opportunities'!$D$2:$D$1775,"=s_amer_west_in",'Opportunities'!$M$2:$M$1775,"=may25",'Opportunities'!$H$2:$H$1775,"&lt;&gt;")</f>
        <v>12</v>
      </c>
      <c r="E92" s="4">
        <f>COUNTIFS('Opportunities'!$D$2:$D$1775,"=s_amer_west_in",'Opportunities'!$M$2:$M$1775,"=jun25",'Opportunities'!$H$2:$H$1775,"&lt;&gt;")</f>
        <v>9</v>
      </c>
      <c r="F92" s="4">
        <f>COUNTIFS('Opportunities'!$D$2:$D$1775,"=s_amer_west_in",'Opportunities'!$M$2:$M$1775,"=jul25",'Opportunities'!$H$2:$H$1775,"&lt;&gt;")</f>
        <v>11</v>
      </c>
      <c r="G92" s="4">
        <f>COUNTIFS('Opportunities'!$D$2:$D$1775,"=s_amer_west_in",'Opportunities'!$M$2:$M$1775,"=aug25",'Opportunities'!$H$2:$H$1775,"&lt;&gt;")</f>
        <v>11</v>
      </c>
      <c r="H92" s="4">
        <f>COUNTIFS('Opportunities'!$D$2:$D$1775,"=s_amer_west_in",'Opportunities'!$M$2:$M$1775,"=sep25",'Opportunities'!$H$2:$H$1775,"&lt;&gt;")</f>
        <v>15</v>
      </c>
      <c r="I92" s="4">
        <f>COUNTIFS('Opportunities'!$D$2:$D$1775,"=s_amer_west_in",'Opportunities'!$M$2:$M$1775,"=oct25",'Opportunities'!$H$2:$H$1775,"&lt;&gt;")</f>
        <v>9</v>
      </c>
      <c r="J92" s="4">
        <f>COUNTIFS('Opportunities'!$D$2:$D$1775,"=s_amer_west_in",'Opportunities'!$M$2:$M$1775,"=nov25",'Opportunities'!$H$2:$H$1775,"&lt;&gt;")</f>
        <v>12</v>
      </c>
      <c r="K92" s="4">
        <f>COUNTIFS('Opportunities'!$D$2:$D$1775,"=s_amer_west_in",'Opportunities'!$M$2:$M$1775,"=dec25",'Opportunities'!$H$2:$H$1775,"&lt;&gt;")</f>
        <v>17</v>
      </c>
      <c r="L92" s="4">
        <f>COUNTIFS('Opportunities'!$D$2:$D$1775,"=s_amer_west_in",'Opportunities'!$M$2:$M$1775,"=jan26",'Opportunities'!$H$2:$H$1775,"&lt;&gt;")</f>
        <v>10</v>
      </c>
      <c r="M92" s="4">
        <f>COUNTIFS('Opportunities'!$D$2:$D$1775,"=s_amer_west_in",'Opportunities'!$M$2:$M$1775,"=feb26",'Opportunities'!$H$2:$H$1775,"&lt;&gt;")</f>
        <v>14</v>
      </c>
      <c r="N92" s="4">
        <f>COUNTIFS('Opportunities'!$D$2:$D$1775,"=s_amer_west_in",'Opportunities'!$M$2:$M$1775,"=mar26",'Opportunities'!$H$2:$H$1775,"&lt;&gt;")</f>
        <v>12</v>
      </c>
      <c r="O92" s="4">
        <f>COUNTIFS('Opportunities'!$D$2:$D$1775,"=s_amer_west_in",'Opportunities'!$M$2:$M$1775,"=apr26",'Opportunities'!$H$2:$H$1775,"&lt;&gt;")</f>
        <v>16</v>
      </c>
      <c r="P92" s="4">
        <f>COUNTIFS('Opportunities'!$D$2:$D$1775,"=s_amer_west_in",'Opportunities'!$M$2:$M$1775,"=may26",'Opportunities'!$H$2:$H$1775,"&lt;&gt;")</f>
        <v>13</v>
      </c>
      <c r="Q92" s="4">
        <f>COUNTIFS('Opportunities'!$D$2:$D$1775,"=s_amer_west_in",'Opportunities'!$M$2:$M$1775,"=jun26",'Opportunities'!$H$2:$H$1775,"&lt;&gt;")</f>
        <v>21</v>
      </c>
      <c r="R92" s="4">
        <f>COUNTIFS('Opportunities'!$D$2:$D$1775,"=s_amer_west_in",'Opportunities'!$M$2:$M$1775,"=jul26",'Opportunities'!$H$2:$H$1775,"&lt;&gt;")</f>
        <v>22</v>
      </c>
      <c r="S92" s="4">
        <f>COUNTIFS('Opportunities'!$D$2:$D$1775,"=s_amer_west_in",'Opportunities'!$M$2:$M$1775,"=aug26",'Opportunities'!$H$2:$H$1775,"&lt;&gt;")</f>
        <v>11</v>
      </c>
      <c r="T92" s="4">
        <f>COUNTIFS('Opportunities'!$D$2:$D$1775,"=s_amer_west_in",'Opportunities'!$M$2:$M$1775,"=sep26",'Opportunities'!$H$2:$H$1775,"&lt;&gt;")</f>
        <v>11</v>
      </c>
      <c r="U92" s="4">
        <f>COUNTIFS('Opportunities'!$D$2:$D$1775,"=s_amer_west_in",'Opportunities'!$M$2:$M$1775,"=oct26",'Opportunities'!$H$2:$H$1775,"&lt;&gt;")</f>
        <v>0</v>
      </c>
      <c r="V92" s="4">
        <f>COUNTIFS('Opportunities'!$D$2:$D$1775,"=s_amer_west_in",'Opportunities'!$M$2:$M$1775,"=nov26",'Opportunities'!$H$2:$H$1775,"&lt;&gt;")</f>
        <v>0</v>
      </c>
      <c r="W92" s="4">
        <f>COUNTIFS('Opportunities'!$D$2:$D$1775,"=s_amer_west_in",'Opportunities'!$M$2:$M$1775,"=dec26",'Opportunities'!$H$2:$H$1775,"&lt;&gt;")</f>
        <v>0</v>
      </c>
    </row>
    <row r="93">
      <c r="A93" s="0" t="inlineStr">
        <is>
          <t xml:space="preserve">Opportunities sourced</t>
        </is>
      </c>
      <c r="B93" s="0" t="inlineStr">
        <is>
          <t xml:space="preserve">Yuki Rahman</t>
        </is>
      </c>
      <c r="C93" s="4">
        <f>COUNTIFS('Opportunities'!$D$2:$D$1775,"=s_amer_west_out",'Opportunities'!$M$2:$M$1775,"=apr25",'Opportunities'!$H$2:$H$1775,"&lt;&gt;")</f>
        <v>4</v>
      </c>
      <c r="D93" s="4">
        <f>COUNTIFS('Opportunities'!$D$2:$D$1775,"=s_amer_west_out",'Opportunities'!$M$2:$M$1775,"=may25",'Opportunities'!$H$2:$H$1775,"&lt;&gt;")</f>
        <v>12</v>
      </c>
      <c r="E93" s="4">
        <f>COUNTIFS('Opportunities'!$D$2:$D$1775,"=s_amer_west_out",'Opportunities'!$M$2:$M$1775,"=jun25",'Opportunities'!$H$2:$H$1775,"&lt;&gt;")</f>
        <v>3</v>
      </c>
      <c r="F93" s="4">
        <f>COUNTIFS('Opportunities'!$D$2:$D$1775,"=s_amer_west_out",'Opportunities'!$M$2:$M$1775,"=jul25",'Opportunities'!$H$2:$H$1775,"&lt;&gt;")</f>
        <v>8</v>
      </c>
      <c r="G93" s="4">
        <f>COUNTIFS('Opportunities'!$D$2:$D$1775,"=s_amer_west_out",'Opportunities'!$M$2:$M$1775,"=aug25",'Opportunities'!$H$2:$H$1775,"&lt;&gt;")</f>
        <v>2</v>
      </c>
      <c r="H93" s="4">
        <f>COUNTIFS('Opportunities'!$D$2:$D$1775,"=s_amer_west_out",'Opportunities'!$M$2:$M$1775,"=sep25",'Opportunities'!$H$2:$H$1775,"&lt;&gt;")</f>
        <v>5</v>
      </c>
      <c r="I93" s="4">
        <f>COUNTIFS('Opportunities'!$D$2:$D$1775,"=s_amer_west_out",'Opportunities'!$M$2:$M$1775,"=oct25",'Opportunities'!$H$2:$H$1775,"&lt;&gt;")</f>
        <v>4</v>
      </c>
      <c r="J93" s="4">
        <f>COUNTIFS('Opportunities'!$D$2:$D$1775,"=s_amer_west_out",'Opportunities'!$M$2:$M$1775,"=nov25",'Opportunities'!$H$2:$H$1775,"&lt;&gt;")</f>
        <v>5</v>
      </c>
      <c r="K93" s="4">
        <f>COUNTIFS('Opportunities'!$D$2:$D$1775,"=s_amer_west_out",'Opportunities'!$M$2:$M$1775,"=dec25",'Opportunities'!$H$2:$H$1775,"&lt;&gt;")</f>
        <v>7</v>
      </c>
      <c r="L93" s="4">
        <f>COUNTIFS('Opportunities'!$D$2:$D$1775,"=s_amer_west_out",'Opportunities'!$M$2:$M$1775,"=jan26",'Opportunities'!$H$2:$H$1775,"&lt;&gt;")</f>
        <v>5</v>
      </c>
      <c r="M93" s="4">
        <f>COUNTIFS('Opportunities'!$D$2:$D$1775,"=s_amer_west_out",'Opportunities'!$M$2:$M$1775,"=feb26",'Opportunities'!$H$2:$H$1775,"&lt;&gt;")</f>
        <v>4</v>
      </c>
      <c r="N93" s="4">
        <f>COUNTIFS('Opportunities'!$D$2:$D$1775,"=s_amer_west_out",'Opportunities'!$M$2:$M$1775,"=mar26",'Opportunities'!$H$2:$H$1775,"&lt;&gt;")</f>
        <v>4</v>
      </c>
      <c r="O93" s="4">
        <f>COUNTIFS('Opportunities'!$D$2:$D$1775,"=s_amer_west_out",'Opportunities'!$M$2:$M$1775,"=apr26",'Opportunities'!$H$2:$H$1775,"&lt;&gt;")</f>
        <v>3</v>
      </c>
      <c r="P93" s="4">
        <f>COUNTIFS('Opportunities'!$D$2:$D$1775,"=s_amer_west_out",'Opportunities'!$M$2:$M$1775,"=may26",'Opportunities'!$H$2:$H$1775,"&lt;&gt;")</f>
        <v>4</v>
      </c>
      <c r="Q93" s="4">
        <f>COUNTIFS('Opportunities'!$D$2:$D$1775,"=s_amer_west_out",'Opportunities'!$M$2:$M$1775,"=jun26",'Opportunities'!$H$2:$H$1775,"&lt;&gt;")</f>
        <v>5</v>
      </c>
      <c r="R93" s="4">
        <f>COUNTIFS('Opportunities'!$D$2:$D$1775,"=s_amer_west_out",'Opportunities'!$M$2:$M$1775,"=jul26",'Opportunities'!$H$2:$H$1775,"&lt;&gt;")</f>
        <v>4</v>
      </c>
      <c r="S93" s="4">
        <f>COUNTIFS('Opportunities'!$D$2:$D$1775,"=s_amer_west_out",'Opportunities'!$M$2:$M$1775,"=aug26",'Opportunities'!$H$2:$H$1775,"&lt;&gt;")</f>
        <v>6</v>
      </c>
      <c r="T93" s="4">
        <f>COUNTIFS('Opportunities'!$D$2:$D$1775,"=s_amer_west_out",'Opportunities'!$M$2:$M$1775,"=sep26",'Opportunities'!$H$2:$H$1775,"&lt;&gt;")</f>
        <v>2</v>
      </c>
      <c r="U93" s="4">
        <f>COUNTIFS('Opportunities'!$D$2:$D$1775,"=s_amer_west_out",'Opportunities'!$M$2:$M$1775,"=oct26",'Opportunities'!$H$2:$H$1775,"&lt;&gt;")</f>
        <v>0</v>
      </c>
      <c r="V93" s="4">
        <f>COUNTIFS('Opportunities'!$D$2:$D$1775,"=s_amer_west_out",'Opportunities'!$M$2:$M$1775,"=nov26",'Opportunities'!$H$2:$H$1775,"&lt;&gt;")</f>
        <v>0</v>
      </c>
      <c r="W93" s="4">
        <f>COUNTIFS('Opportunities'!$D$2:$D$1775,"=s_amer_west_out",'Opportunities'!$M$2:$M$1775,"=dec26",'Opportunities'!$H$2:$H$1775,"&lt;&gt;")</f>
        <v>0</v>
      </c>
    </row>
    <row r="94">
      <c r="A94" s="0" t="inlineStr">
        <is>
          <t xml:space="preserve">Opportunities sourced</t>
        </is>
      </c>
      <c r="B94" s="0" t="inlineStr">
        <is>
          <t xml:space="preserve">Chloe Patel</t>
        </is>
      </c>
      <c r="C94" s="4">
        <f>COUNTIFS('Opportunities'!$D$2:$D$1775,"=s_emea_in",'Opportunities'!$M$2:$M$1775,"=apr25",'Opportunities'!$H$2:$H$1775,"&lt;&gt;")</f>
        <v>14</v>
      </c>
      <c r="D94" s="4">
        <f>COUNTIFS('Opportunities'!$D$2:$D$1775,"=s_emea_in",'Opportunities'!$M$2:$M$1775,"=may25",'Opportunities'!$H$2:$H$1775,"&lt;&gt;")</f>
        <v>16</v>
      </c>
      <c r="E94" s="4">
        <f>COUNTIFS('Opportunities'!$D$2:$D$1775,"=s_emea_in",'Opportunities'!$M$2:$M$1775,"=jun25",'Opportunities'!$H$2:$H$1775,"&lt;&gt;")</f>
        <v>16</v>
      </c>
      <c r="F94" s="4">
        <f>COUNTIFS('Opportunities'!$D$2:$D$1775,"=s_emea_in",'Opportunities'!$M$2:$M$1775,"=jul25",'Opportunities'!$H$2:$H$1775,"&lt;&gt;")</f>
        <v>15</v>
      </c>
      <c r="G94" s="4">
        <f>COUNTIFS('Opportunities'!$D$2:$D$1775,"=s_emea_in",'Opportunities'!$M$2:$M$1775,"=aug25",'Opportunities'!$H$2:$H$1775,"&lt;&gt;")</f>
        <v>9</v>
      </c>
      <c r="H94" s="4">
        <f>COUNTIFS('Opportunities'!$D$2:$D$1775,"=s_emea_in",'Opportunities'!$M$2:$M$1775,"=sep25",'Opportunities'!$H$2:$H$1775,"&lt;&gt;")</f>
        <v>9</v>
      </c>
      <c r="I94" s="4">
        <f>COUNTIFS('Opportunities'!$D$2:$D$1775,"=s_emea_in",'Opportunities'!$M$2:$M$1775,"=oct25",'Opportunities'!$H$2:$H$1775,"&lt;&gt;")</f>
        <v>12</v>
      </c>
      <c r="J94" s="4">
        <f>COUNTIFS('Opportunities'!$D$2:$D$1775,"=s_emea_in",'Opportunities'!$M$2:$M$1775,"=nov25",'Opportunities'!$H$2:$H$1775,"&lt;&gt;")</f>
        <v>17</v>
      </c>
      <c r="K94" s="4">
        <f>COUNTIFS('Opportunities'!$D$2:$D$1775,"=s_emea_in",'Opportunities'!$M$2:$M$1775,"=dec25",'Opportunities'!$H$2:$H$1775,"&lt;&gt;")</f>
        <v>15</v>
      </c>
      <c r="L94" s="4">
        <f>COUNTIFS('Opportunities'!$D$2:$D$1775,"=s_emea_in",'Opportunities'!$M$2:$M$1775,"=jan26",'Opportunities'!$H$2:$H$1775,"&lt;&gt;")</f>
        <v>19</v>
      </c>
      <c r="M94" s="4">
        <f>COUNTIFS('Opportunities'!$D$2:$D$1775,"=s_emea_in",'Opportunities'!$M$2:$M$1775,"=feb26",'Opportunities'!$H$2:$H$1775,"&lt;&gt;")</f>
        <v>11</v>
      </c>
      <c r="N94" s="4">
        <f>COUNTIFS('Opportunities'!$D$2:$D$1775,"=s_emea_in",'Opportunities'!$M$2:$M$1775,"=mar26",'Opportunities'!$H$2:$H$1775,"&lt;&gt;")</f>
        <v>13</v>
      </c>
      <c r="O94" s="4">
        <f>COUNTIFS('Opportunities'!$D$2:$D$1775,"=s_emea_in",'Opportunities'!$M$2:$M$1775,"=apr26",'Opportunities'!$H$2:$H$1775,"&lt;&gt;")</f>
        <v>16</v>
      </c>
      <c r="P94" s="4">
        <f>COUNTIFS('Opportunities'!$D$2:$D$1775,"=s_emea_in",'Opportunities'!$M$2:$M$1775,"=may26",'Opportunities'!$H$2:$H$1775,"&lt;&gt;")</f>
        <v>9</v>
      </c>
      <c r="Q94" s="4">
        <f>COUNTIFS('Opportunities'!$D$2:$D$1775,"=s_emea_in",'Opportunities'!$M$2:$M$1775,"=jun26",'Opportunities'!$H$2:$H$1775,"&lt;&gt;")</f>
        <v>15</v>
      </c>
      <c r="R94" s="4">
        <f>COUNTIFS('Opportunities'!$D$2:$D$1775,"=s_emea_in",'Opportunities'!$M$2:$M$1775,"=jul26",'Opportunities'!$H$2:$H$1775,"&lt;&gt;")</f>
        <v>13</v>
      </c>
      <c r="S94" s="4">
        <f>COUNTIFS('Opportunities'!$D$2:$D$1775,"=s_emea_in",'Opportunities'!$M$2:$M$1775,"=aug26",'Opportunities'!$H$2:$H$1775,"&lt;&gt;")</f>
        <v>14</v>
      </c>
      <c r="T94" s="4">
        <f>COUNTIFS('Opportunities'!$D$2:$D$1775,"=s_emea_in",'Opportunities'!$M$2:$M$1775,"=sep26",'Opportunities'!$H$2:$H$1775,"&lt;&gt;")</f>
        <v>7</v>
      </c>
      <c r="U94" s="4">
        <f>COUNTIFS('Opportunities'!$D$2:$D$1775,"=s_emea_in",'Opportunities'!$M$2:$M$1775,"=oct26",'Opportunities'!$H$2:$H$1775,"&lt;&gt;")</f>
        <v>0</v>
      </c>
      <c r="V94" s="4">
        <f>COUNTIFS('Opportunities'!$D$2:$D$1775,"=s_emea_in",'Opportunities'!$M$2:$M$1775,"=nov26",'Opportunities'!$H$2:$H$1775,"&lt;&gt;")</f>
        <v>0</v>
      </c>
      <c r="W94" s="4">
        <f>COUNTIFS('Opportunities'!$D$2:$D$1775,"=s_emea_in",'Opportunities'!$M$2:$M$1775,"=dec26",'Opportunities'!$H$2:$H$1775,"&lt;&gt;")</f>
        <v>0</v>
      </c>
    </row>
    <row r="95">
      <c r="A95" s="0" t="inlineStr">
        <is>
          <t xml:space="preserve">Opportunities sourced</t>
        </is>
      </c>
      <c r="B95" s="0" t="inlineStr">
        <is>
          <t xml:space="preserve">Samuel Kowalski</t>
        </is>
      </c>
      <c r="C95" s="4">
        <f>COUNTIFS('Opportunities'!$D$2:$D$1775,"=s_emea_out",'Opportunities'!$M$2:$M$1775,"=apr25",'Opportunities'!$H$2:$H$1775,"&lt;&gt;")</f>
        <v>3</v>
      </c>
      <c r="D95" s="4">
        <f>COUNTIFS('Opportunities'!$D$2:$D$1775,"=s_emea_out",'Opportunities'!$M$2:$M$1775,"=may25",'Opportunities'!$H$2:$H$1775,"&lt;&gt;")</f>
        <v>7</v>
      </c>
      <c r="E95" s="4">
        <f>COUNTIFS('Opportunities'!$D$2:$D$1775,"=s_emea_out",'Opportunities'!$M$2:$M$1775,"=jun25",'Opportunities'!$H$2:$H$1775,"&lt;&gt;")</f>
        <v>7</v>
      </c>
      <c r="F95" s="4">
        <f>COUNTIFS('Opportunities'!$D$2:$D$1775,"=s_emea_out",'Opportunities'!$M$2:$M$1775,"=jul25",'Opportunities'!$H$2:$H$1775,"&lt;&gt;")</f>
        <v>3</v>
      </c>
      <c r="G95" s="4">
        <f>COUNTIFS('Opportunities'!$D$2:$D$1775,"=s_emea_out",'Opportunities'!$M$2:$M$1775,"=aug25",'Opportunities'!$H$2:$H$1775,"&lt;&gt;")</f>
        <v>4</v>
      </c>
      <c r="H95" s="4">
        <f>COUNTIFS('Opportunities'!$D$2:$D$1775,"=s_emea_out",'Opportunities'!$M$2:$M$1775,"=sep25",'Opportunities'!$H$2:$H$1775,"&lt;&gt;")</f>
        <v>5</v>
      </c>
      <c r="I95" s="4">
        <f>COUNTIFS('Opportunities'!$D$2:$D$1775,"=s_emea_out",'Opportunities'!$M$2:$M$1775,"=oct25",'Opportunities'!$H$2:$H$1775,"&lt;&gt;")</f>
        <v>5</v>
      </c>
      <c r="J95" s="4">
        <f>COUNTIFS('Opportunities'!$D$2:$D$1775,"=s_emea_out",'Opportunities'!$M$2:$M$1775,"=nov25",'Opportunities'!$H$2:$H$1775,"&lt;&gt;")</f>
        <v>3</v>
      </c>
      <c r="K95" s="4">
        <f>COUNTIFS('Opportunities'!$D$2:$D$1775,"=s_emea_out",'Opportunities'!$M$2:$M$1775,"=dec25",'Opportunities'!$H$2:$H$1775,"&lt;&gt;")</f>
        <v>4</v>
      </c>
      <c r="L95" s="4">
        <f>COUNTIFS('Opportunities'!$D$2:$D$1775,"=s_emea_out",'Opportunities'!$M$2:$M$1775,"=jan26",'Opportunities'!$H$2:$H$1775,"&lt;&gt;")</f>
        <v>6</v>
      </c>
      <c r="M95" s="4">
        <f>COUNTIFS('Opportunities'!$D$2:$D$1775,"=s_emea_out",'Opportunities'!$M$2:$M$1775,"=feb26",'Opportunities'!$H$2:$H$1775,"&lt;&gt;")</f>
        <v>8</v>
      </c>
      <c r="N95" s="4">
        <f>COUNTIFS('Opportunities'!$D$2:$D$1775,"=s_emea_out",'Opportunities'!$M$2:$M$1775,"=mar26",'Opportunities'!$H$2:$H$1775,"&lt;&gt;")</f>
        <v>1</v>
      </c>
      <c r="O95" s="4">
        <f>COUNTIFS('Opportunities'!$D$2:$D$1775,"=s_emea_out",'Opportunities'!$M$2:$M$1775,"=apr26",'Opportunities'!$H$2:$H$1775,"&lt;&gt;")</f>
        <v>4</v>
      </c>
      <c r="P95" s="4">
        <f>COUNTIFS('Opportunities'!$D$2:$D$1775,"=s_emea_out",'Opportunities'!$M$2:$M$1775,"=may26",'Opportunities'!$H$2:$H$1775,"&lt;&gt;")</f>
        <v>7</v>
      </c>
      <c r="Q95" s="4">
        <f>COUNTIFS('Opportunities'!$D$2:$D$1775,"=s_emea_out",'Opportunities'!$M$2:$M$1775,"=jun26",'Opportunities'!$H$2:$H$1775,"&lt;&gt;")</f>
        <v>3</v>
      </c>
      <c r="R95" s="4">
        <f>COUNTIFS('Opportunities'!$D$2:$D$1775,"=s_emea_out",'Opportunities'!$M$2:$M$1775,"=jul26",'Opportunities'!$H$2:$H$1775,"&lt;&gt;")</f>
        <v>4</v>
      </c>
      <c r="S95" s="4">
        <f>COUNTIFS('Opportunities'!$D$2:$D$1775,"=s_emea_out",'Opportunities'!$M$2:$M$1775,"=aug26",'Opportunities'!$H$2:$H$1775,"&lt;&gt;")</f>
        <v>5</v>
      </c>
      <c r="T95" s="4">
        <f>COUNTIFS('Opportunities'!$D$2:$D$1775,"=s_emea_out",'Opportunities'!$M$2:$M$1775,"=sep26",'Opportunities'!$H$2:$H$1775,"&lt;&gt;")</f>
        <v>0</v>
      </c>
      <c r="U95" s="4">
        <f>COUNTIFS('Opportunities'!$D$2:$D$1775,"=s_emea_out",'Opportunities'!$M$2:$M$1775,"=oct26",'Opportunities'!$H$2:$H$1775,"&lt;&gt;")</f>
        <v>0</v>
      </c>
      <c r="V95" s="4">
        <f>COUNTIFS('Opportunities'!$D$2:$D$1775,"=s_emea_out",'Opportunities'!$M$2:$M$1775,"=nov26",'Opportunities'!$H$2:$H$1775,"&lt;&gt;")</f>
        <v>0</v>
      </c>
      <c r="W95" s="4">
        <f>COUNTIFS('Opportunities'!$D$2:$D$1775,"=s_emea_out",'Opportunities'!$M$2:$M$1775,"=dec26",'Opportunities'!$H$2:$H$1775,"&lt;&gt;")</f>
        <v>0</v>
      </c>
    </row>
    <row r="96">
      <c r="A96" s="0" t="inlineStr">
        <is>
          <t xml:space="preserve">Opportunities sourced</t>
        </is>
      </c>
      <c r="B96" s="0" t="inlineStr">
        <is>
          <t xml:space="preserve">Rafael Ivanova</t>
        </is>
      </c>
      <c r="C96" s="4">
        <f>COUNTIFS('Opportunities'!$D$2:$D$1775,"=s_apac_in",'Opportunities'!$M$2:$M$1775,"=apr25",'Opportunities'!$H$2:$H$1775,"&lt;&gt;")</f>
        <v>3</v>
      </c>
      <c r="D96" s="4">
        <f>COUNTIFS('Opportunities'!$D$2:$D$1775,"=s_apac_in",'Opportunities'!$M$2:$M$1775,"=may25",'Opportunities'!$H$2:$H$1775,"&lt;&gt;")</f>
        <v>6</v>
      </c>
      <c r="E96" s="4">
        <f>COUNTIFS('Opportunities'!$D$2:$D$1775,"=s_apac_in",'Opportunities'!$M$2:$M$1775,"=jun25",'Opportunities'!$H$2:$H$1775,"&lt;&gt;")</f>
        <v>8</v>
      </c>
      <c r="F96" s="4">
        <f>COUNTIFS('Opportunities'!$D$2:$D$1775,"=s_apac_in",'Opportunities'!$M$2:$M$1775,"=jul25",'Opportunities'!$H$2:$H$1775,"&lt;&gt;")</f>
        <v>11</v>
      </c>
      <c r="G96" s="4">
        <f>COUNTIFS('Opportunities'!$D$2:$D$1775,"=s_apac_in",'Opportunities'!$M$2:$M$1775,"=aug25",'Opportunities'!$H$2:$H$1775,"&lt;&gt;")</f>
        <v>9</v>
      </c>
      <c r="H96" s="4">
        <f>COUNTIFS('Opportunities'!$D$2:$D$1775,"=s_apac_in",'Opportunities'!$M$2:$M$1775,"=sep25",'Opportunities'!$H$2:$H$1775,"&lt;&gt;")</f>
        <v>8</v>
      </c>
      <c r="I96" s="4">
        <f>COUNTIFS('Opportunities'!$D$2:$D$1775,"=s_apac_in",'Opportunities'!$M$2:$M$1775,"=oct25",'Opportunities'!$H$2:$H$1775,"&lt;&gt;")</f>
        <v>7</v>
      </c>
      <c r="J96" s="4">
        <f>COUNTIFS('Opportunities'!$D$2:$D$1775,"=s_apac_in",'Opportunities'!$M$2:$M$1775,"=nov25",'Opportunities'!$H$2:$H$1775,"&lt;&gt;")</f>
        <v>1</v>
      </c>
      <c r="K96" s="4">
        <f>COUNTIFS('Opportunities'!$D$2:$D$1775,"=s_apac_in",'Opportunities'!$M$2:$M$1775,"=dec25",'Opportunities'!$H$2:$H$1775,"&lt;&gt;")</f>
        <v>3</v>
      </c>
      <c r="L96" s="4">
        <f>COUNTIFS('Opportunities'!$D$2:$D$1775,"=s_apac_in",'Opportunities'!$M$2:$M$1775,"=jan26",'Opportunities'!$H$2:$H$1775,"&lt;&gt;")</f>
        <v>3</v>
      </c>
      <c r="M96" s="4">
        <f>COUNTIFS('Opportunities'!$D$2:$D$1775,"=s_apac_in",'Opportunities'!$M$2:$M$1775,"=feb26",'Opportunities'!$H$2:$H$1775,"&lt;&gt;")</f>
        <v>8</v>
      </c>
      <c r="N96" s="4">
        <f>COUNTIFS('Opportunities'!$D$2:$D$1775,"=s_apac_in",'Opportunities'!$M$2:$M$1775,"=mar26",'Opportunities'!$H$2:$H$1775,"&lt;&gt;")</f>
        <v>17</v>
      </c>
      <c r="O96" s="4">
        <f>COUNTIFS('Opportunities'!$D$2:$D$1775,"=s_apac_in",'Opportunities'!$M$2:$M$1775,"=apr26",'Opportunities'!$H$2:$H$1775,"&lt;&gt;")</f>
        <v>6</v>
      </c>
      <c r="P96" s="4">
        <f>COUNTIFS('Opportunities'!$D$2:$D$1775,"=s_apac_in",'Opportunities'!$M$2:$M$1775,"=may26",'Opportunities'!$H$2:$H$1775,"&lt;&gt;")</f>
        <v>6</v>
      </c>
      <c r="Q96" s="4">
        <f>COUNTIFS('Opportunities'!$D$2:$D$1775,"=s_apac_in",'Opportunities'!$M$2:$M$1775,"=jun26",'Opportunities'!$H$2:$H$1775,"&lt;&gt;")</f>
        <v>12</v>
      </c>
      <c r="R96" s="4">
        <f>COUNTIFS('Opportunities'!$D$2:$D$1775,"=s_apac_in",'Opportunities'!$M$2:$M$1775,"=jul26",'Opportunities'!$H$2:$H$1775,"&lt;&gt;")</f>
        <v>7</v>
      </c>
      <c r="S96" s="4">
        <f>COUNTIFS('Opportunities'!$D$2:$D$1775,"=s_apac_in",'Opportunities'!$M$2:$M$1775,"=aug26",'Opportunities'!$H$2:$H$1775,"&lt;&gt;")</f>
        <v>10</v>
      </c>
      <c r="T96" s="4">
        <f>COUNTIFS('Opportunities'!$D$2:$D$1775,"=s_apac_in",'Opportunities'!$M$2:$M$1775,"=sep26",'Opportunities'!$H$2:$H$1775,"&lt;&gt;")</f>
        <v>9</v>
      </c>
      <c r="U96" s="4">
        <f>COUNTIFS('Opportunities'!$D$2:$D$1775,"=s_apac_in",'Opportunities'!$M$2:$M$1775,"=oct26",'Opportunities'!$H$2:$H$1775,"&lt;&gt;")</f>
        <v>0</v>
      </c>
      <c r="V96" s="4">
        <f>COUNTIFS('Opportunities'!$D$2:$D$1775,"=s_apac_in",'Opportunities'!$M$2:$M$1775,"=nov26",'Opportunities'!$H$2:$H$1775,"&lt;&gt;")</f>
        <v>0</v>
      </c>
      <c r="W96" s="4">
        <f>COUNTIFS('Opportunities'!$D$2:$D$1775,"=s_apac_in",'Opportunities'!$M$2:$M$1775,"=dec26",'Opportunities'!$H$2:$H$1775,"&lt;&gt;")</f>
        <v>0</v>
      </c>
    </row>
    <row r="97">
      <c r="A97" s="0" t="inlineStr">
        <is>
          <t xml:space="preserve">Opportunities sourced</t>
        </is>
      </c>
      <c r="B97" s="0" t="inlineStr">
        <is>
          <t xml:space="preserve">Wei Kowalski</t>
        </is>
      </c>
      <c r="C97" s="4">
        <f>COUNTIFS('Opportunities'!$D$2:$D$1775,"=s_apac_out",'Opportunities'!$M$2:$M$1775,"=apr25",'Opportunities'!$H$2:$H$1775,"&lt;&gt;")</f>
        <v>6</v>
      </c>
      <c r="D97" s="4">
        <f>COUNTIFS('Opportunities'!$D$2:$D$1775,"=s_apac_out",'Opportunities'!$M$2:$M$1775,"=may25",'Opportunities'!$H$2:$H$1775,"&lt;&gt;")</f>
        <v>6</v>
      </c>
      <c r="E97" s="4">
        <f>COUNTIFS('Opportunities'!$D$2:$D$1775,"=s_apac_out",'Opportunities'!$M$2:$M$1775,"=jun25",'Opportunities'!$H$2:$H$1775,"&lt;&gt;")</f>
        <v>3</v>
      </c>
      <c r="F97" s="4">
        <f>COUNTIFS('Opportunities'!$D$2:$D$1775,"=s_apac_out",'Opportunities'!$M$2:$M$1775,"=jul25",'Opportunities'!$H$2:$H$1775,"&lt;&gt;")</f>
        <v>2</v>
      </c>
      <c r="G97" s="4">
        <f>COUNTIFS('Opportunities'!$D$2:$D$1775,"=s_apac_out",'Opportunities'!$M$2:$M$1775,"=aug25",'Opportunities'!$H$2:$H$1775,"&lt;&gt;")</f>
        <v>3</v>
      </c>
      <c r="H97" s="4">
        <f>COUNTIFS('Opportunities'!$D$2:$D$1775,"=s_apac_out",'Opportunities'!$M$2:$M$1775,"=sep25",'Opportunities'!$H$2:$H$1775,"&lt;&gt;")</f>
        <v>3</v>
      </c>
      <c r="I97" s="4">
        <f>COUNTIFS('Opportunities'!$D$2:$D$1775,"=s_apac_out",'Opportunities'!$M$2:$M$1775,"=oct25",'Opportunities'!$H$2:$H$1775,"&lt;&gt;")</f>
        <v>5</v>
      </c>
      <c r="J97" s="4">
        <f>COUNTIFS('Opportunities'!$D$2:$D$1775,"=s_apac_out",'Opportunities'!$M$2:$M$1775,"=nov25",'Opportunities'!$H$2:$H$1775,"&lt;&gt;")</f>
        <v>7</v>
      </c>
      <c r="K97" s="4">
        <f>COUNTIFS('Opportunities'!$D$2:$D$1775,"=s_apac_out",'Opportunities'!$M$2:$M$1775,"=dec25",'Opportunities'!$H$2:$H$1775,"&lt;&gt;")</f>
        <v>3</v>
      </c>
      <c r="L97" s="4">
        <f>COUNTIFS('Opportunities'!$D$2:$D$1775,"=s_apac_out",'Opportunities'!$M$2:$M$1775,"=jan26",'Opportunities'!$H$2:$H$1775,"&lt;&gt;")</f>
        <v>4</v>
      </c>
      <c r="M97" s="4">
        <f>COUNTIFS('Opportunities'!$D$2:$D$1775,"=s_apac_out",'Opportunities'!$M$2:$M$1775,"=feb26",'Opportunities'!$H$2:$H$1775,"&lt;&gt;")</f>
        <v>4</v>
      </c>
      <c r="N97" s="4">
        <f>COUNTIFS('Opportunities'!$D$2:$D$1775,"=s_apac_out",'Opportunities'!$M$2:$M$1775,"=mar26",'Opportunities'!$H$2:$H$1775,"&lt;&gt;")</f>
        <v>7</v>
      </c>
      <c r="O97" s="4">
        <f>COUNTIFS('Opportunities'!$D$2:$D$1775,"=s_apac_out",'Opportunities'!$M$2:$M$1775,"=apr26",'Opportunities'!$H$2:$H$1775,"&lt;&gt;")</f>
        <v>6</v>
      </c>
      <c r="P97" s="4">
        <f>COUNTIFS('Opportunities'!$D$2:$D$1775,"=s_apac_out",'Opportunities'!$M$2:$M$1775,"=may26",'Opportunities'!$H$2:$H$1775,"&lt;&gt;")</f>
        <v>6</v>
      </c>
      <c r="Q97" s="4">
        <f>COUNTIFS('Opportunities'!$D$2:$D$1775,"=s_apac_out",'Opportunities'!$M$2:$M$1775,"=jun26",'Opportunities'!$H$2:$H$1775,"&lt;&gt;")</f>
        <v>7</v>
      </c>
      <c r="R97" s="4">
        <f>COUNTIFS('Opportunities'!$D$2:$D$1775,"=s_apac_out",'Opportunities'!$M$2:$M$1775,"=jul26",'Opportunities'!$H$2:$H$1775,"&lt;&gt;")</f>
        <v>5</v>
      </c>
      <c r="S97" s="4">
        <f>COUNTIFS('Opportunities'!$D$2:$D$1775,"=s_apac_out",'Opportunities'!$M$2:$M$1775,"=aug26",'Opportunities'!$H$2:$H$1775,"&lt;&gt;")</f>
        <v>5</v>
      </c>
      <c r="T97" s="4">
        <f>COUNTIFS('Opportunities'!$D$2:$D$1775,"=s_apac_out",'Opportunities'!$M$2:$M$1775,"=sep26",'Opportunities'!$H$2:$H$1775,"&lt;&gt;")</f>
        <v>5</v>
      </c>
      <c r="U97" s="4">
        <f>COUNTIFS('Opportunities'!$D$2:$D$1775,"=s_apac_out",'Opportunities'!$M$2:$M$1775,"=oct26",'Opportunities'!$H$2:$H$1775,"&lt;&gt;")</f>
        <v>0</v>
      </c>
      <c r="V97" s="4">
        <f>COUNTIFS('Opportunities'!$D$2:$D$1775,"=s_apac_out",'Opportunities'!$M$2:$M$1775,"=nov26",'Opportunities'!$H$2:$H$1775,"&lt;&gt;")</f>
        <v>0</v>
      </c>
      <c r="W97" s="4">
        <f>COUNTIFS('Opportunities'!$D$2:$D$1775,"=s_apac_out",'Opportunities'!$M$2:$M$1775,"=dec26",'Opportunities'!$H$2:$H$1775,"&lt;&gt;")</f>
        <v>0</v>
      </c>
    </row>
    <row r="98">
      <c r="A98" s="0" t="inlineStr">
        <is>
          <t xml:space="preserve">Pipeline sourced</t>
        </is>
      </c>
      <c r="B98" s="0" t="inlineStr">
        <is>
          <t xml:space="preserve">Zara Kowalski</t>
        </is>
      </c>
      <c r="C98" s="4">
        <f>SUMIFS('Opportunities'!$H$2:$H$1775,'Opportunities'!$D$2:$D$1775,"=s_amer_east_in",'Opportunities'!$M$2:$M$1775,"=apr25")</f>
        <v>689100</v>
      </c>
      <c r="D98" s="4">
        <f>SUMIFS('Opportunities'!$H$2:$H$1775,'Opportunities'!$D$2:$D$1775,"=s_amer_east_in",'Opportunities'!$M$2:$M$1775,"=may25")</f>
        <v>383500</v>
      </c>
      <c r="E98" s="4">
        <f>SUMIFS('Opportunities'!$H$2:$H$1775,'Opportunities'!$D$2:$D$1775,"=s_amer_east_in",'Opportunities'!$M$2:$M$1775,"=jun25")</f>
        <v>1396100</v>
      </c>
      <c r="F98" s="4">
        <f>SUMIFS('Opportunities'!$H$2:$H$1775,'Opportunities'!$D$2:$D$1775,"=s_amer_east_in",'Opportunities'!$M$2:$M$1775,"=jul25")</f>
        <v>432000</v>
      </c>
      <c r="G98" s="4">
        <f>SUMIFS('Opportunities'!$H$2:$H$1775,'Opportunities'!$D$2:$D$1775,"=s_amer_east_in",'Opportunities'!$M$2:$M$1775,"=aug25")</f>
        <v>731500</v>
      </c>
      <c r="H98" s="4">
        <f>SUMIFS('Opportunities'!$H$2:$H$1775,'Opportunities'!$D$2:$D$1775,"=s_amer_east_in",'Opportunities'!$M$2:$M$1775,"=sep25")</f>
        <v>469000</v>
      </c>
      <c r="I98" s="4">
        <f>SUMIFS('Opportunities'!$H$2:$H$1775,'Opportunities'!$D$2:$D$1775,"=s_amer_east_in",'Opportunities'!$M$2:$M$1775,"=oct25")</f>
        <v>565600</v>
      </c>
      <c r="J98" s="4">
        <f>SUMIFS('Opportunities'!$H$2:$H$1775,'Opportunities'!$D$2:$D$1775,"=s_amer_east_in",'Opportunities'!$M$2:$M$1775,"=nov25")</f>
        <v>249500</v>
      </c>
      <c r="K98" s="4">
        <f>SUMIFS('Opportunities'!$H$2:$H$1775,'Opportunities'!$D$2:$D$1775,"=s_amer_east_in",'Opportunities'!$M$2:$M$1775,"=dec25")</f>
        <v>682500</v>
      </c>
      <c r="L98" s="4">
        <f>SUMIFS('Opportunities'!$H$2:$H$1775,'Opportunities'!$D$2:$D$1775,"=s_amer_east_in",'Opportunities'!$M$2:$M$1775,"=jan26")</f>
        <v>766400</v>
      </c>
      <c r="M98" s="4">
        <f>SUMIFS('Opportunities'!$H$2:$H$1775,'Opportunities'!$D$2:$D$1775,"=s_amer_east_in",'Opportunities'!$M$2:$M$1775,"=feb26")</f>
        <v>338400</v>
      </c>
      <c r="N98" s="4">
        <f>SUMIFS('Opportunities'!$H$2:$H$1775,'Opportunities'!$D$2:$D$1775,"=s_amer_east_in",'Opportunities'!$M$2:$M$1775,"=mar26")</f>
        <v>481800</v>
      </c>
      <c r="O98" s="4">
        <f>SUMIFS('Opportunities'!$H$2:$H$1775,'Opportunities'!$D$2:$D$1775,"=s_amer_east_in",'Opportunities'!$M$2:$M$1775,"=apr26")</f>
        <v>996500</v>
      </c>
      <c r="P98" s="4">
        <f>SUMIFS('Opportunities'!$H$2:$H$1775,'Opportunities'!$D$2:$D$1775,"=s_amer_east_in",'Opportunities'!$M$2:$M$1775,"=may26")</f>
        <v>1569300</v>
      </c>
      <c r="Q98" s="4">
        <f>SUMIFS('Opportunities'!$H$2:$H$1775,'Opportunities'!$D$2:$D$1775,"=s_amer_east_in",'Opportunities'!$M$2:$M$1775,"=jun26")</f>
        <v>763000</v>
      </c>
      <c r="R98" s="4">
        <f>SUMIFS('Opportunities'!$H$2:$H$1775,'Opportunities'!$D$2:$D$1775,"=s_amer_east_in",'Opportunities'!$M$2:$M$1775,"=jul26")</f>
        <v>657000</v>
      </c>
      <c r="S98" s="4">
        <f>SUMIFS('Opportunities'!$H$2:$H$1775,'Opportunities'!$D$2:$D$1775,"=s_amer_east_in",'Opportunities'!$M$2:$M$1775,"=aug26")</f>
        <v>1323900</v>
      </c>
      <c r="T98" s="4">
        <f>SUMIFS('Opportunities'!$H$2:$H$1775,'Opportunities'!$D$2:$D$1775,"=s_amer_east_in",'Opportunities'!$M$2:$M$1775,"=sep26")</f>
        <v>1132100</v>
      </c>
      <c r="U98" s="4">
        <f>SUMIFS('Opportunities'!$H$2:$H$1775,'Opportunities'!$D$2:$D$1775,"=s_amer_east_in",'Opportunities'!$M$2:$M$1775,"=oct26")</f>
        <v>0</v>
      </c>
      <c r="V98" s="4">
        <f>SUMIFS('Opportunities'!$H$2:$H$1775,'Opportunities'!$D$2:$D$1775,"=s_amer_east_in",'Opportunities'!$M$2:$M$1775,"=nov26")</f>
        <v>0</v>
      </c>
      <c r="W98" s="4">
        <f>SUMIFS('Opportunities'!$H$2:$H$1775,'Opportunities'!$D$2:$D$1775,"=s_amer_east_in",'Opportunities'!$M$2:$M$1775,"=dec26")</f>
        <v>0</v>
      </c>
    </row>
    <row r="99">
      <c r="A99" s="0" t="inlineStr">
        <is>
          <t xml:space="preserve">Pipeline sourced</t>
        </is>
      </c>
      <c r="B99" s="0" t="inlineStr">
        <is>
          <t xml:space="preserve">Kenji Kowalski</t>
        </is>
      </c>
      <c r="C99" s="4">
        <f>SUMIFS('Opportunities'!$H$2:$H$1775,'Opportunities'!$D$2:$D$1775,"=s_amer_east_out",'Opportunities'!$M$2:$M$1775,"=apr25")</f>
        <v>236900</v>
      </c>
      <c r="D99" s="4">
        <f>SUMIFS('Opportunities'!$H$2:$H$1775,'Opportunities'!$D$2:$D$1775,"=s_amer_east_out",'Opportunities'!$M$2:$M$1775,"=may25")</f>
        <v>273000</v>
      </c>
      <c r="E99" s="4">
        <f>SUMIFS('Opportunities'!$H$2:$H$1775,'Opportunities'!$D$2:$D$1775,"=s_amer_east_out",'Opportunities'!$M$2:$M$1775,"=jun25")</f>
        <v>46200</v>
      </c>
      <c r="F99" s="4">
        <f>SUMIFS('Opportunities'!$H$2:$H$1775,'Opportunities'!$D$2:$D$1775,"=s_amer_east_out",'Opportunities'!$M$2:$M$1775,"=jul25")</f>
        <v>350200</v>
      </c>
      <c r="G99" s="4">
        <f>SUMIFS('Opportunities'!$H$2:$H$1775,'Opportunities'!$D$2:$D$1775,"=s_amer_east_out",'Opportunities'!$M$2:$M$1775,"=aug25")</f>
        <v>61400</v>
      </c>
      <c r="H99" s="4">
        <f>SUMIFS('Opportunities'!$H$2:$H$1775,'Opportunities'!$D$2:$D$1775,"=s_amer_east_out",'Opportunities'!$M$2:$M$1775,"=sep25")</f>
        <v>116100</v>
      </c>
      <c r="I99" s="4">
        <f>SUMIFS('Opportunities'!$H$2:$H$1775,'Opportunities'!$D$2:$D$1775,"=s_amer_east_out",'Opportunities'!$M$2:$M$1775,"=oct25")</f>
        <v>30900</v>
      </c>
      <c r="J99" s="4">
        <f>SUMIFS('Opportunities'!$H$2:$H$1775,'Opportunities'!$D$2:$D$1775,"=s_amer_east_out",'Opportunities'!$M$2:$M$1775,"=nov25")</f>
        <v>78300</v>
      </c>
      <c r="K99" s="4">
        <f>SUMIFS('Opportunities'!$H$2:$H$1775,'Opportunities'!$D$2:$D$1775,"=s_amer_east_out",'Opportunities'!$M$2:$M$1775,"=dec25")</f>
        <v>346500</v>
      </c>
      <c r="L99" s="4">
        <f>SUMIFS('Opportunities'!$H$2:$H$1775,'Opportunities'!$D$2:$D$1775,"=s_amer_east_out",'Opportunities'!$M$2:$M$1775,"=jan26")</f>
        <v>237600</v>
      </c>
      <c r="M99" s="4">
        <f>SUMIFS('Opportunities'!$H$2:$H$1775,'Opportunities'!$D$2:$D$1775,"=s_amer_east_out",'Opportunities'!$M$2:$M$1775,"=feb26")</f>
        <v>1174500</v>
      </c>
      <c r="N99" s="4">
        <f>SUMIFS('Opportunities'!$H$2:$H$1775,'Opportunities'!$D$2:$D$1775,"=s_amer_east_out",'Opportunities'!$M$2:$M$1775,"=mar26")</f>
        <v>97400</v>
      </c>
      <c r="O99" s="4">
        <f>SUMIFS('Opportunities'!$H$2:$H$1775,'Opportunities'!$D$2:$D$1775,"=s_amer_east_out",'Opportunities'!$M$2:$M$1775,"=apr26")</f>
        <v>147700</v>
      </c>
      <c r="P99" s="4">
        <f>SUMIFS('Opportunities'!$H$2:$H$1775,'Opportunities'!$D$2:$D$1775,"=s_amer_east_out",'Opportunities'!$M$2:$M$1775,"=may26")</f>
        <v>35200</v>
      </c>
      <c r="Q99" s="4">
        <f>SUMIFS('Opportunities'!$H$2:$H$1775,'Opportunities'!$D$2:$D$1775,"=s_amer_east_out",'Opportunities'!$M$2:$M$1775,"=jun26")</f>
        <v>260200</v>
      </c>
      <c r="R99" s="4">
        <f>SUMIFS('Opportunities'!$H$2:$H$1775,'Opportunities'!$D$2:$D$1775,"=s_amer_east_out",'Opportunities'!$M$2:$M$1775,"=jul26")</f>
        <v>143400</v>
      </c>
      <c r="S99" s="4">
        <f>SUMIFS('Opportunities'!$H$2:$H$1775,'Opportunities'!$D$2:$D$1775,"=s_amer_east_out",'Opportunities'!$M$2:$M$1775,"=aug26")</f>
        <v>85200</v>
      </c>
      <c r="T99" s="4">
        <f>SUMIFS('Opportunities'!$H$2:$H$1775,'Opportunities'!$D$2:$D$1775,"=s_amer_east_out",'Opportunities'!$M$2:$M$1775,"=sep26")</f>
        <v>70000</v>
      </c>
      <c r="U99" s="4">
        <f>SUMIFS('Opportunities'!$H$2:$H$1775,'Opportunities'!$D$2:$D$1775,"=s_amer_east_out",'Opportunities'!$M$2:$M$1775,"=oct26")</f>
        <v>0</v>
      </c>
      <c r="V99" s="4">
        <f>SUMIFS('Opportunities'!$H$2:$H$1775,'Opportunities'!$D$2:$D$1775,"=s_amer_east_out",'Opportunities'!$M$2:$M$1775,"=nov26")</f>
        <v>0</v>
      </c>
      <c r="W99" s="4">
        <f>SUMIFS('Opportunities'!$H$2:$H$1775,'Opportunities'!$D$2:$D$1775,"=s_amer_east_out",'Opportunities'!$M$2:$M$1775,"=dec26")</f>
        <v>0</v>
      </c>
    </row>
    <row r="100">
      <c r="A100" s="0" t="inlineStr">
        <is>
          <t xml:space="preserve">Pipeline sourced</t>
        </is>
      </c>
      <c r="B100" s="0" t="inlineStr">
        <is>
          <t xml:space="preserve">Marcus Nair</t>
        </is>
      </c>
      <c r="C100" s="4">
        <f>SUMIFS('Opportunities'!$H$2:$H$1775,'Opportunities'!$D$2:$D$1775,"=s_amer_west_in",'Opportunities'!$M$2:$M$1775,"=apr25")</f>
        <v>389300</v>
      </c>
      <c r="D100" s="4">
        <f>SUMIFS('Opportunities'!$H$2:$H$1775,'Opportunities'!$D$2:$D$1775,"=s_amer_west_in",'Opportunities'!$M$2:$M$1775,"=may25")</f>
        <v>263100</v>
      </c>
      <c r="E100" s="4">
        <f>SUMIFS('Opportunities'!$H$2:$H$1775,'Opportunities'!$D$2:$D$1775,"=s_amer_west_in",'Opportunities'!$M$2:$M$1775,"=jun25")</f>
        <v>261000</v>
      </c>
      <c r="F100" s="4">
        <f>SUMIFS('Opportunities'!$H$2:$H$1775,'Opportunities'!$D$2:$D$1775,"=s_amer_west_in",'Opportunities'!$M$2:$M$1775,"=jul25")</f>
        <v>176300</v>
      </c>
      <c r="G100" s="4">
        <f>SUMIFS('Opportunities'!$H$2:$H$1775,'Opportunities'!$D$2:$D$1775,"=s_amer_west_in",'Opportunities'!$M$2:$M$1775,"=aug25")</f>
        <v>396900</v>
      </c>
      <c r="H100" s="4">
        <f>SUMIFS('Opportunities'!$H$2:$H$1775,'Opportunities'!$D$2:$D$1775,"=s_amer_west_in",'Opportunities'!$M$2:$M$1775,"=sep25")</f>
        <v>243200</v>
      </c>
      <c r="I100" s="4">
        <f>SUMIFS('Opportunities'!$H$2:$H$1775,'Opportunities'!$D$2:$D$1775,"=s_amer_west_in",'Opportunities'!$M$2:$M$1775,"=oct25")</f>
        <v>1098000</v>
      </c>
      <c r="J100" s="4">
        <f>SUMIFS('Opportunities'!$H$2:$H$1775,'Opportunities'!$D$2:$D$1775,"=s_amer_west_in",'Opportunities'!$M$2:$M$1775,"=nov25")</f>
        <v>1389900</v>
      </c>
      <c r="K100" s="4">
        <f>SUMIFS('Opportunities'!$H$2:$H$1775,'Opportunities'!$D$2:$D$1775,"=s_amer_west_in",'Opportunities'!$M$2:$M$1775,"=dec25")</f>
        <v>626000</v>
      </c>
      <c r="L100" s="4">
        <f>SUMIFS('Opportunities'!$H$2:$H$1775,'Opportunities'!$D$2:$D$1775,"=s_amer_west_in",'Opportunities'!$M$2:$M$1775,"=jan26")</f>
        <v>427200</v>
      </c>
      <c r="M100" s="4">
        <f>SUMIFS('Opportunities'!$H$2:$H$1775,'Opportunities'!$D$2:$D$1775,"=s_amer_west_in",'Opportunities'!$M$2:$M$1775,"=feb26")</f>
        <v>1316500</v>
      </c>
      <c r="N100" s="4">
        <f>SUMIFS('Opportunities'!$H$2:$H$1775,'Opportunities'!$D$2:$D$1775,"=s_amer_west_in",'Opportunities'!$M$2:$M$1775,"=mar26")</f>
        <v>482800</v>
      </c>
      <c r="O100" s="4">
        <f>SUMIFS('Opportunities'!$H$2:$H$1775,'Opportunities'!$D$2:$D$1775,"=s_amer_west_in",'Opportunities'!$M$2:$M$1775,"=apr26")</f>
        <v>1096000</v>
      </c>
      <c r="P100" s="4">
        <f>SUMIFS('Opportunities'!$H$2:$H$1775,'Opportunities'!$D$2:$D$1775,"=s_amer_west_in",'Opportunities'!$M$2:$M$1775,"=may26")</f>
        <v>697900</v>
      </c>
      <c r="Q100" s="4">
        <f>SUMIFS('Opportunities'!$H$2:$H$1775,'Opportunities'!$D$2:$D$1775,"=s_amer_west_in",'Opportunities'!$M$2:$M$1775,"=jun26")</f>
        <v>1066400</v>
      </c>
      <c r="R100" s="4">
        <f>SUMIFS('Opportunities'!$H$2:$H$1775,'Opportunities'!$D$2:$D$1775,"=s_amer_west_in",'Opportunities'!$M$2:$M$1775,"=jul26")</f>
        <v>874000</v>
      </c>
      <c r="S100" s="4">
        <f>SUMIFS('Opportunities'!$H$2:$H$1775,'Opportunities'!$D$2:$D$1775,"=s_amer_west_in",'Opportunities'!$M$2:$M$1775,"=aug26")</f>
        <v>319200</v>
      </c>
      <c r="T100" s="4">
        <f>SUMIFS('Opportunities'!$H$2:$H$1775,'Opportunities'!$D$2:$D$1775,"=s_amer_west_in",'Opportunities'!$M$2:$M$1775,"=sep26")</f>
        <v>242900</v>
      </c>
      <c r="U100" s="4">
        <f>SUMIFS('Opportunities'!$H$2:$H$1775,'Opportunities'!$D$2:$D$1775,"=s_amer_west_in",'Opportunities'!$M$2:$M$1775,"=oct26")</f>
        <v>0</v>
      </c>
      <c r="V100" s="4">
        <f>SUMIFS('Opportunities'!$H$2:$H$1775,'Opportunities'!$D$2:$D$1775,"=s_amer_west_in",'Opportunities'!$M$2:$M$1775,"=nov26")</f>
        <v>0</v>
      </c>
      <c r="W100" s="4">
        <f>SUMIFS('Opportunities'!$H$2:$H$1775,'Opportunities'!$D$2:$D$1775,"=s_amer_west_in",'Opportunities'!$M$2:$M$1775,"=dec26")</f>
        <v>0</v>
      </c>
    </row>
    <row r="101">
      <c r="A101" s="0" t="inlineStr">
        <is>
          <t xml:space="preserve">Pipeline sourced</t>
        </is>
      </c>
      <c r="B101" s="0" t="inlineStr">
        <is>
          <t xml:space="preserve">Yuki Rahman</t>
        </is>
      </c>
      <c r="C101" s="4">
        <f>SUMIFS('Opportunities'!$H$2:$H$1775,'Opportunities'!$D$2:$D$1775,"=s_amer_west_out",'Opportunities'!$M$2:$M$1775,"=apr25")</f>
        <v>344800</v>
      </c>
      <c r="D101" s="4">
        <f>SUMIFS('Opportunities'!$H$2:$H$1775,'Opportunities'!$D$2:$D$1775,"=s_amer_west_out",'Opportunities'!$M$2:$M$1775,"=may25")</f>
        <v>750100</v>
      </c>
      <c r="E101" s="4">
        <f>SUMIFS('Opportunities'!$H$2:$H$1775,'Opportunities'!$D$2:$D$1775,"=s_amer_west_out",'Opportunities'!$M$2:$M$1775,"=jun25")</f>
        <v>84200</v>
      </c>
      <c r="F101" s="4">
        <f>SUMIFS('Opportunities'!$H$2:$H$1775,'Opportunities'!$D$2:$D$1775,"=s_amer_west_out",'Opportunities'!$M$2:$M$1775,"=jul25")</f>
        <v>170000</v>
      </c>
      <c r="G101" s="4">
        <f>SUMIFS('Opportunities'!$H$2:$H$1775,'Opportunities'!$D$2:$D$1775,"=s_amer_west_out",'Opportunities'!$M$2:$M$1775,"=aug25")</f>
        <v>57300</v>
      </c>
      <c r="H101" s="4">
        <f>SUMIFS('Opportunities'!$H$2:$H$1775,'Opportunities'!$D$2:$D$1775,"=s_amer_west_out",'Opportunities'!$M$2:$M$1775,"=sep25")</f>
        <v>304700</v>
      </c>
      <c r="I101" s="4">
        <f>SUMIFS('Opportunities'!$H$2:$H$1775,'Opportunities'!$D$2:$D$1775,"=s_amer_west_out",'Opportunities'!$M$2:$M$1775,"=oct25")</f>
        <v>61200</v>
      </c>
      <c r="J101" s="4">
        <f>SUMIFS('Opportunities'!$H$2:$H$1775,'Opportunities'!$D$2:$D$1775,"=s_amer_west_out",'Opportunities'!$M$2:$M$1775,"=nov25")</f>
        <v>231000</v>
      </c>
      <c r="K101" s="4">
        <f>SUMIFS('Opportunities'!$H$2:$H$1775,'Opportunities'!$D$2:$D$1775,"=s_amer_west_out",'Opportunities'!$M$2:$M$1775,"=dec25")</f>
        <v>237600</v>
      </c>
      <c r="L101" s="4">
        <f>SUMIFS('Opportunities'!$H$2:$H$1775,'Opportunities'!$D$2:$D$1775,"=s_amer_west_out",'Opportunities'!$M$2:$M$1775,"=jan26")</f>
        <v>247500</v>
      </c>
      <c r="M101" s="4">
        <f>SUMIFS('Opportunities'!$H$2:$H$1775,'Opportunities'!$D$2:$D$1775,"=s_amer_west_out",'Opportunities'!$M$2:$M$1775,"=feb26")</f>
        <v>311000</v>
      </c>
      <c r="N101" s="4">
        <f>SUMIFS('Opportunities'!$H$2:$H$1775,'Opportunities'!$D$2:$D$1775,"=s_amer_west_out",'Opportunities'!$M$2:$M$1775,"=mar26")</f>
        <v>276300</v>
      </c>
      <c r="O101" s="4">
        <f>SUMIFS('Opportunities'!$H$2:$H$1775,'Opportunities'!$D$2:$D$1775,"=s_amer_west_out",'Opportunities'!$M$2:$M$1775,"=apr26")</f>
        <v>56200</v>
      </c>
      <c r="P101" s="4">
        <f>SUMIFS('Opportunities'!$H$2:$H$1775,'Opportunities'!$D$2:$D$1775,"=s_amer_west_out",'Opportunities'!$M$2:$M$1775,"=may26")</f>
        <v>277500</v>
      </c>
      <c r="Q101" s="4">
        <f>SUMIFS('Opportunities'!$H$2:$H$1775,'Opportunities'!$D$2:$D$1775,"=s_amer_west_out",'Opportunities'!$M$2:$M$1775,"=jun26")</f>
        <v>223700</v>
      </c>
      <c r="R101" s="4">
        <f>SUMIFS('Opportunities'!$H$2:$H$1775,'Opportunities'!$D$2:$D$1775,"=s_amer_west_out",'Opportunities'!$M$2:$M$1775,"=jul26")</f>
        <v>106400</v>
      </c>
      <c r="S101" s="4">
        <f>SUMIFS('Opportunities'!$H$2:$H$1775,'Opportunities'!$D$2:$D$1775,"=s_amer_west_out",'Opportunities'!$M$2:$M$1775,"=aug26")</f>
        <v>142300</v>
      </c>
      <c r="T101" s="4">
        <f>SUMIFS('Opportunities'!$H$2:$H$1775,'Opportunities'!$D$2:$D$1775,"=s_amer_west_out",'Opportunities'!$M$2:$M$1775,"=sep26")</f>
        <v>18500</v>
      </c>
      <c r="U101" s="4">
        <f>SUMIFS('Opportunities'!$H$2:$H$1775,'Opportunities'!$D$2:$D$1775,"=s_amer_west_out",'Opportunities'!$M$2:$M$1775,"=oct26")</f>
        <v>0</v>
      </c>
      <c r="V101" s="4">
        <f>SUMIFS('Opportunities'!$H$2:$H$1775,'Opportunities'!$D$2:$D$1775,"=s_amer_west_out",'Opportunities'!$M$2:$M$1775,"=nov26")</f>
        <v>0</v>
      </c>
      <c r="W101" s="4">
        <f>SUMIFS('Opportunities'!$H$2:$H$1775,'Opportunities'!$D$2:$D$1775,"=s_amer_west_out",'Opportunities'!$M$2:$M$1775,"=dec26")</f>
        <v>0</v>
      </c>
    </row>
    <row r="102">
      <c r="A102" s="0" t="inlineStr">
        <is>
          <t xml:space="preserve">Pipeline sourced</t>
        </is>
      </c>
      <c r="B102" s="0" t="inlineStr">
        <is>
          <t xml:space="preserve">Chloe Patel</t>
        </is>
      </c>
      <c r="C102" s="4">
        <f>SUMIFS('Opportunities'!$H$2:$H$1775,'Opportunities'!$D$2:$D$1775,"=s_emea_in",'Opportunities'!$M$2:$M$1775,"=apr25")</f>
        <v>580800</v>
      </c>
      <c r="D102" s="4">
        <f>SUMIFS('Opportunities'!$H$2:$H$1775,'Opportunities'!$D$2:$D$1775,"=s_emea_in",'Opportunities'!$M$2:$M$1775,"=may25")</f>
        <v>606700</v>
      </c>
      <c r="E102" s="4">
        <f>SUMIFS('Opportunities'!$H$2:$H$1775,'Opportunities'!$D$2:$D$1775,"=s_emea_in",'Opportunities'!$M$2:$M$1775,"=jun25")</f>
        <v>850500</v>
      </c>
      <c r="F102" s="4">
        <f>SUMIFS('Opportunities'!$H$2:$H$1775,'Opportunities'!$D$2:$D$1775,"=s_emea_in",'Opportunities'!$M$2:$M$1775,"=jul25")</f>
        <v>921800</v>
      </c>
      <c r="G102" s="4">
        <f>SUMIFS('Opportunities'!$H$2:$H$1775,'Opportunities'!$D$2:$D$1775,"=s_emea_in",'Opportunities'!$M$2:$M$1775,"=aug25")</f>
        <v>372700</v>
      </c>
      <c r="H102" s="4">
        <f>SUMIFS('Opportunities'!$H$2:$H$1775,'Opportunities'!$D$2:$D$1775,"=s_emea_in",'Opportunities'!$M$2:$M$1775,"=sep25")</f>
        <v>196100</v>
      </c>
      <c r="I102" s="4">
        <f>SUMIFS('Opportunities'!$H$2:$H$1775,'Opportunities'!$D$2:$D$1775,"=s_emea_in",'Opportunities'!$M$2:$M$1775,"=oct25")</f>
        <v>779600</v>
      </c>
      <c r="J102" s="4">
        <f>SUMIFS('Opportunities'!$H$2:$H$1775,'Opportunities'!$D$2:$D$1775,"=s_emea_in",'Opportunities'!$M$2:$M$1775,"=nov25")</f>
        <v>554800</v>
      </c>
      <c r="K102" s="4">
        <f>SUMIFS('Opportunities'!$H$2:$H$1775,'Opportunities'!$D$2:$D$1775,"=s_emea_in",'Opportunities'!$M$2:$M$1775,"=dec25")</f>
        <v>558100</v>
      </c>
      <c r="L102" s="4">
        <f>SUMIFS('Opportunities'!$H$2:$H$1775,'Opportunities'!$D$2:$D$1775,"=s_emea_in",'Opportunities'!$M$2:$M$1775,"=jan26")</f>
        <v>621100</v>
      </c>
      <c r="M102" s="4">
        <f>SUMIFS('Opportunities'!$H$2:$H$1775,'Opportunities'!$D$2:$D$1775,"=s_emea_in",'Opportunities'!$M$2:$M$1775,"=feb26")</f>
        <v>184200</v>
      </c>
      <c r="N102" s="4">
        <f>SUMIFS('Opportunities'!$H$2:$H$1775,'Opportunities'!$D$2:$D$1775,"=s_emea_in",'Opportunities'!$M$2:$M$1775,"=mar26")</f>
        <v>228000</v>
      </c>
      <c r="O102" s="4">
        <f>SUMIFS('Opportunities'!$H$2:$H$1775,'Opportunities'!$D$2:$D$1775,"=s_emea_in",'Opportunities'!$M$2:$M$1775,"=apr26")</f>
        <v>649700</v>
      </c>
      <c r="P102" s="4">
        <f>SUMIFS('Opportunities'!$H$2:$H$1775,'Opportunities'!$D$2:$D$1775,"=s_emea_in",'Opportunities'!$M$2:$M$1775,"=may26")</f>
        <v>191800</v>
      </c>
      <c r="Q102" s="4">
        <f>SUMIFS('Opportunities'!$H$2:$H$1775,'Opportunities'!$D$2:$D$1775,"=s_emea_in",'Opportunities'!$M$2:$M$1775,"=jun26")</f>
        <v>681500</v>
      </c>
      <c r="R102" s="4">
        <f>SUMIFS('Opportunities'!$H$2:$H$1775,'Opportunities'!$D$2:$D$1775,"=s_emea_in",'Opportunities'!$M$2:$M$1775,"=jul26")</f>
        <v>712900</v>
      </c>
      <c r="S102" s="4">
        <f>SUMIFS('Opportunities'!$H$2:$H$1775,'Opportunities'!$D$2:$D$1775,"=s_emea_in",'Opportunities'!$M$2:$M$1775,"=aug26")</f>
        <v>611400</v>
      </c>
      <c r="T102" s="4">
        <f>SUMIFS('Opportunities'!$H$2:$H$1775,'Opportunities'!$D$2:$D$1775,"=s_emea_in",'Opportunities'!$M$2:$M$1775,"=sep26")</f>
        <v>261800</v>
      </c>
      <c r="U102" s="4">
        <f>SUMIFS('Opportunities'!$H$2:$H$1775,'Opportunities'!$D$2:$D$1775,"=s_emea_in",'Opportunities'!$M$2:$M$1775,"=oct26")</f>
        <v>0</v>
      </c>
      <c r="V102" s="4">
        <f>SUMIFS('Opportunities'!$H$2:$H$1775,'Opportunities'!$D$2:$D$1775,"=s_emea_in",'Opportunities'!$M$2:$M$1775,"=nov26")</f>
        <v>0</v>
      </c>
      <c r="W102" s="4">
        <f>SUMIFS('Opportunities'!$H$2:$H$1775,'Opportunities'!$D$2:$D$1775,"=s_emea_in",'Opportunities'!$M$2:$M$1775,"=dec26")</f>
        <v>0</v>
      </c>
    </row>
    <row r="103">
      <c r="A103" s="0" t="inlineStr">
        <is>
          <t xml:space="preserve">Pipeline sourced</t>
        </is>
      </c>
      <c r="B103" s="0" t="inlineStr">
        <is>
          <t xml:space="preserve">Samuel Kowalski</t>
        </is>
      </c>
      <c r="C103" s="4">
        <f>SUMIFS('Opportunities'!$H$2:$H$1775,'Opportunities'!$D$2:$D$1775,"=s_emea_out",'Opportunities'!$M$2:$M$1775,"=apr25")</f>
        <v>89300</v>
      </c>
      <c r="D103" s="4">
        <f>SUMIFS('Opportunities'!$H$2:$H$1775,'Opportunities'!$D$2:$D$1775,"=s_emea_out",'Opportunities'!$M$2:$M$1775,"=may25")</f>
        <v>260200</v>
      </c>
      <c r="E103" s="4">
        <f>SUMIFS('Opportunities'!$H$2:$H$1775,'Opportunities'!$D$2:$D$1775,"=s_emea_out",'Opportunities'!$M$2:$M$1775,"=jun25")</f>
        <v>327500</v>
      </c>
      <c r="F103" s="4">
        <f>SUMIFS('Opportunities'!$H$2:$H$1775,'Opportunities'!$D$2:$D$1775,"=s_emea_out",'Opportunities'!$M$2:$M$1775,"=jul25")</f>
        <v>185200</v>
      </c>
      <c r="G103" s="4">
        <f>SUMIFS('Opportunities'!$H$2:$H$1775,'Opportunities'!$D$2:$D$1775,"=s_emea_out",'Opportunities'!$M$2:$M$1775,"=aug25")</f>
        <v>464900</v>
      </c>
      <c r="H103" s="4">
        <f>SUMIFS('Opportunities'!$H$2:$H$1775,'Opportunities'!$D$2:$D$1775,"=s_emea_out",'Opportunities'!$M$2:$M$1775,"=sep25")</f>
        <v>340100</v>
      </c>
      <c r="I103" s="4">
        <f>SUMIFS('Opportunities'!$H$2:$H$1775,'Opportunities'!$D$2:$D$1775,"=s_emea_out",'Opportunities'!$M$2:$M$1775,"=oct25")</f>
        <v>99100</v>
      </c>
      <c r="J103" s="4">
        <f>SUMIFS('Opportunities'!$H$2:$H$1775,'Opportunities'!$D$2:$D$1775,"=s_emea_out",'Opportunities'!$M$2:$M$1775,"=nov25")</f>
        <v>66700</v>
      </c>
      <c r="K103" s="4">
        <f>SUMIFS('Opportunities'!$H$2:$H$1775,'Opportunities'!$D$2:$D$1775,"=s_emea_out",'Opportunities'!$M$2:$M$1775,"=dec25")</f>
        <v>106000</v>
      </c>
      <c r="L103" s="4">
        <f>SUMIFS('Opportunities'!$H$2:$H$1775,'Opportunities'!$D$2:$D$1775,"=s_emea_out",'Opportunities'!$M$2:$M$1775,"=jan26")</f>
        <v>256600</v>
      </c>
      <c r="M103" s="4">
        <f>SUMIFS('Opportunities'!$H$2:$H$1775,'Opportunities'!$D$2:$D$1775,"=s_emea_out",'Opportunities'!$M$2:$M$1775,"=feb26")</f>
        <v>488600</v>
      </c>
      <c r="N103" s="4">
        <f>SUMIFS('Opportunities'!$H$2:$H$1775,'Opportunities'!$D$2:$D$1775,"=s_emea_out",'Opportunities'!$M$2:$M$1775,"=mar26")</f>
        <v>18300</v>
      </c>
      <c r="O103" s="4">
        <f>SUMIFS('Opportunities'!$H$2:$H$1775,'Opportunities'!$D$2:$D$1775,"=s_emea_out",'Opportunities'!$M$2:$M$1775,"=apr26")</f>
        <v>112200</v>
      </c>
      <c r="P103" s="4">
        <f>SUMIFS('Opportunities'!$H$2:$H$1775,'Opportunities'!$D$2:$D$1775,"=s_emea_out",'Opportunities'!$M$2:$M$1775,"=may26")</f>
        <v>530200</v>
      </c>
      <c r="Q103" s="4">
        <f>SUMIFS('Opportunities'!$H$2:$H$1775,'Opportunities'!$D$2:$D$1775,"=s_emea_out",'Opportunities'!$M$2:$M$1775,"=jun26")</f>
        <v>224500</v>
      </c>
      <c r="R103" s="4">
        <f>SUMIFS('Opportunities'!$H$2:$H$1775,'Opportunities'!$D$2:$D$1775,"=s_emea_out",'Opportunities'!$M$2:$M$1775,"=jul26")</f>
        <v>32100</v>
      </c>
      <c r="S103" s="4">
        <f>SUMIFS('Opportunities'!$H$2:$H$1775,'Opportunities'!$D$2:$D$1775,"=s_emea_out",'Opportunities'!$M$2:$M$1775,"=aug26")</f>
        <v>123400</v>
      </c>
      <c r="T103" s="4">
        <f>SUMIFS('Opportunities'!$H$2:$H$1775,'Opportunities'!$D$2:$D$1775,"=s_emea_out",'Opportunities'!$M$2:$M$1775,"=sep26")</f>
        <v>0</v>
      </c>
      <c r="U103" s="4">
        <f>SUMIFS('Opportunities'!$H$2:$H$1775,'Opportunities'!$D$2:$D$1775,"=s_emea_out",'Opportunities'!$M$2:$M$1775,"=oct26")</f>
        <v>0</v>
      </c>
      <c r="V103" s="4">
        <f>SUMIFS('Opportunities'!$H$2:$H$1775,'Opportunities'!$D$2:$D$1775,"=s_emea_out",'Opportunities'!$M$2:$M$1775,"=nov26")</f>
        <v>0</v>
      </c>
      <c r="W103" s="4">
        <f>SUMIFS('Opportunities'!$H$2:$H$1775,'Opportunities'!$D$2:$D$1775,"=s_emea_out",'Opportunities'!$M$2:$M$1775,"=dec26")</f>
        <v>0</v>
      </c>
    </row>
    <row r="104">
      <c r="A104" s="0" t="inlineStr">
        <is>
          <t xml:space="preserve">Pipeline sourced</t>
        </is>
      </c>
      <c r="B104" s="0" t="inlineStr">
        <is>
          <t xml:space="preserve">Rafael Ivanova</t>
        </is>
      </c>
      <c r="C104" s="4">
        <f>SUMIFS('Opportunities'!$H$2:$H$1775,'Opportunities'!$D$2:$D$1775,"=s_apac_in",'Opportunities'!$M$2:$M$1775,"=apr25")</f>
        <v>84700</v>
      </c>
      <c r="D104" s="4">
        <f>SUMIFS('Opportunities'!$H$2:$H$1775,'Opportunities'!$D$2:$D$1775,"=s_apac_in",'Opportunities'!$M$2:$M$1775,"=may25")</f>
        <v>330800</v>
      </c>
      <c r="E104" s="4">
        <f>SUMIFS('Opportunities'!$H$2:$H$1775,'Opportunities'!$D$2:$D$1775,"=s_apac_in",'Opportunities'!$M$2:$M$1775,"=jun25")</f>
        <v>310400</v>
      </c>
      <c r="F104" s="4">
        <f>SUMIFS('Opportunities'!$H$2:$H$1775,'Opportunities'!$D$2:$D$1775,"=s_apac_in",'Opportunities'!$M$2:$M$1775,"=jul25")</f>
        <v>415200</v>
      </c>
      <c r="G104" s="4">
        <f>SUMIFS('Opportunities'!$H$2:$H$1775,'Opportunities'!$D$2:$D$1775,"=s_apac_in",'Opportunities'!$M$2:$M$1775,"=aug25")</f>
        <v>248600</v>
      </c>
      <c r="H104" s="4">
        <f>SUMIFS('Opportunities'!$H$2:$H$1775,'Opportunities'!$D$2:$D$1775,"=s_apac_in",'Opportunities'!$M$2:$M$1775,"=sep25")</f>
        <v>498300</v>
      </c>
      <c r="I104" s="4">
        <f>SUMIFS('Opportunities'!$H$2:$H$1775,'Opportunities'!$D$2:$D$1775,"=s_apac_in",'Opportunities'!$M$2:$M$1775,"=oct25")</f>
        <v>173600</v>
      </c>
      <c r="J104" s="4">
        <f>SUMIFS('Opportunities'!$H$2:$H$1775,'Opportunities'!$D$2:$D$1775,"=s_apac_in",'Opportunities'!$M$2:$M$1775,"=nov25")</f>
        <v>15800</v>
      </c>
      <c r="K104" s="4">
        <f>SUMIFS('Opportunities'!$H$2:$H$1775,'Opportunities'!$D$2:$D$1775,"=s_apac_in",'Opportunities'!$M$2:$M$1775,"=dec25")</f>
        <v>54500</v>
      </c>
      <c r="L104" s="4">
        <f>SUMIFS('Opportunities'!$H$2:$H$1775,'Opportunities'!$D$2:$D$1775,"=s_apac_in",'Opportunities'!$M$2:$M$1775,"=jan26")</f>
        <v>410300</v>
      </c>
      <c r="M104" s="4">
        <f>SUMIFS('Opportunities'!$H$2:$H$1775,'Opportunities'!$D$2:$D$1775,"=s_apac_in",'Opportunities'!$M$2:$M$1775,"=feb26")</f>
        <v>272400</v>
      </c>
      <c r="N104" s="4">
        <f>SUMIFS('Opportunities'!$H$2:$H$1775,'Opportunities'!$D$2:$D$1775,"=s_apac_in",'Opportunities'!$M$2:$M$1775,"=mar26")</f>
        <v>1015000</v>
      </c>
      <c r="O104" s="4">
        <f>SUMIFS('Opportunities'!$H$2:$H$1775,'Opportunities'!$D$2:$D$1775,"=s_apac_in",'Opportunities'!$M$2:$M$1775,"=apr26")</f>
        <v>250100</v>
      </c>
      <c r="P104" s="4">
        <f>SUMIFS('Opportunities'!$H$2:$H$1775,'Opportunities'!$D$2:$D$1775,"=s_apac_in",'Opportunities'!$M$2:$M$1775,"=may26")</f>
        <v>158200</v>
      </c>
      <c r="Q104" s="4">
        <f>SUMIFS('Opportunities'!$H$2:$H$1775,'Opportunities'!$D$2:$D$1775,"=s_apac_in",'Opportunities'!$M$2:$M$1775,"=jun26")</f>
        <v>684200</v>
      </c>
      <c r="R104" s="4">
        <f>SUMIFS('Opportunities'!$H$2:$H$1775,'Opportunities'!$D$2:$D$1775,"=s_apac_in",'Opportunities'!$M$2:$M$1775,"=jul26")</f>
        <v>294700</v>
      </c>
      <c r="S104" s="4">
        <f>SUMIFS('Opportunities'!$H$2:$H$1775,'Opportunities'!$D$2:$D$1775,"=s_apac_in",'Opportunities'!$M$2:$M$1775,"=aug26")</f>
        <v>736000</v>
      </c>
      <c r="T104" s="4">
        <f>SUMIFS('Opportunities'!$H$2:$H$1775,'Opportunities'!$D$2:$D$1775,"=s_apac_in",'Opportunities'!$M$2:$M$1775,"=sep26")</f>
        <v>310200</v>
      </c>
      <c r="U104" s="4">
        <f>SUMIFS('Opportunities'!$H$2:$H$1775,'Opportunities'!$D$2:$D$1775,"=s_apac_in",'Opportunities'!$M$2:$M$1775,"=oct26")</f>
        <v>0</v>
      </c>
      <c r="V104" s="4">
        <f>SUMIFS('Opportunities'!$H$2:$H$1775,'Opportunities'!$D$2:$D$1775,"=s_apac_in",'Opportunities'!$M$2:$M$1775,"=nov26")</f>
        <v>0</v>
      </c>
      <c r="W104" s="4">
        <f>SUMIFS('Opportunities'!$H$2:$H$1775,'Opportunities'!$D$2:$D$1775,"=s_apac_in",'Opportunities'!$M$2:$M$1775,"=dec26")</f>
        <v>0</v>
      </c>
    </row>
    <row r="105">
      <c r="A105" s="0" t="inlineStr">
        <is>
          <t xml:space="preserve">Pipeline sourced</t>
        </is>
      </c>
      <c r="B105" s="0" t="inlineStr">
        <is>
          <t xml:space="preserve">Wei Kowalski</t>
        </is>
      </c>
      <c r="C105" s="4">
        <f>SUMIFS('Opportunities'!$H$2:$H$1775,'Opportunities'!$D$2:$D$1775,"=s_apac_out",'Opportunities'!$M$2:$M$1775,"=apr25")</f>
        <v>205600</v>
      </c>
      <c r="D105" s="4">
        <f>SUMIFS('Opportunities'!$H$2:$H$1775,'Opportunities'!$D$2:$D$1775,"=s_apac_out",'Opportunities'!$M$2:$M$1775,"=may25")</f>
        <v>281300</v>
      </c>
      <c r="E105" s="4">
        <f>SUMIFS('Opportunities'!$H$2:$H$1775,'Opportunities'!$D$2:$D$1775,"=s_apac_out",'Opportunities'!$M$2:$M$1775,"=jun25")</f>
        <v>216900</v>
      </c>
      <c r="F105" s="4">
        <f>SUMIFS('Opportunities'!$H$2:$H$1775,'Opportunities'!$D$2:$D$1775,"=s_apac_out",'Opportunities'!$M$2:$M$1775,"=jul25")</f>
        <v>120800</v>
      </c>
      <c r="G105" s="4">
        <f>SUMIFS('Opportunities'!$H$2:$H$1775,'Opportunities'!$D$2:$D$1775,"=s_apac_out",'Opportunities'!$M$2:$M$1775,"=aug25")</f>
        <v>278800</v>
      </c>
      <c r="H105" s="4">
        <f>SUMIFS('Opportunities'!$H$2:$H$1775,'Opportunities'!$D$2:$D$1775,"=s_apac_out",'Opportunities'!$M$2:$M$1775,"=sep25")</f>
        <v>228300</v>
      </c>
      <c r="I105" s="4">
        <f>SUMIFS('Opportunities'!$H$2:$H$1775,'Opportunities'!$D$2:$D$1775,"=s_apac_out",'Opportunities'!$M$2:$M$1775,"=oct25")</f>
        <v>173000</v>
      </c>
      <c r="J105" s="4">
        <f>SUMIFS('Opportunities'!$H$2:$H$1775,'Opportunities'!$D$2:$D$1775,"=s_apac_out",'Opportunities'!$M$2:$M$1775,"=nov25")</f>
        <v>220100</v>
      </c>
      <c r="K105" s="4">
        <f>SUMIFS('Opportunities'!$H$2:$H$1775,'Opportunities'!$D$2:$D$1775,"=s_apac_out",'Opportunities'!$M$2:$M$1775,"=dec25")</f>
        <v>93900</v>
      </c>
      <c r="L105" s="4">
        <f>SUMIFS('Opportunities'!$H$2:$H$1775,'Opportunities'!$D$2:$D$1775,"=s_apac_out",'Opportunities'!$M$2:$M$1775,"=jan26")</f>
        <v>101300</v>
      </c>
      <c r="M105" s="4">
        <f>SUMIFS('Opportunities'!$H$2:$H$1775,'Opportunities'!$D$2:$D$1775,"=s_apac_out",'Opportunities'!$M$2:$M$1775,"=feb26")</f>
        <v>167500</v>
      </c>
      <c r="N105" s="4">
        <f>SUMIFS('Opportunities'!$H$2:$H$1775,'Opportunities'!$D$2:$D$1775,"=s_apac_out",'Opportunities'!$M$2:$M$1775,"=mar26")</f>
        <v>654600</v>
      </c>
      <c r="O105" s="4">
        <f>SUMIFS('Opportunities'!$H$2:$H$1775,'Opportunities'!$D$2:$D$1775,"=s_apac_out",'Opportunities'!$M$2:$M$1775,"=apr26")</f>
        <v>266700</v>
      </c>
      <c r="P105" s="4">
        <f>SUMIFS('Opportunities'!$H$2:$H$1775,'Opportunities'!$D$2:$D$1775,"=s_apac_out",'Opportunities'!$M$2:$M$1775,"=may26")</f>
        <v>365700</v>
      </c>
      <c r="Q105" s="4">
        <f>SUMIFS('Opportunities'!$H$2:$H$1775,'Opportunities'!$D$2:$D$1775,"=s_apac_out",'Opportunities'!$M$2:$M$1775,"=jun26")</f>
        <v>398900</v>
      </c>
      <c r="R105" s="4">
        <f>SUMIFS('Opportunities'!$H$2:$H$1775,'Opportunities'!$D$2:$D$1775,"=s_apac_out",'Opportunities'!$M$2:$M$1775,"=jul26")</f>
        <v>104200</v>
      </c>
      <c r="S105" s="4">
        <f>SUMIFS('Opportunities'!$H$2:$H$1775,'Opportunities'!$D$2:$D$1775,"=s_apac_out",'Opportunities'!$M$2:$M$1775,"=aug26")</f>
        <v>241500</v>
      </c>
      <c r="T105" s="4">
        <f>SUMIFS('Opportunities'!$H$2:$H$1775,'Opportunities'!$D$2:$D$1775,"=s_apac_out",'Opportunities'!$M$2:$M$1775,"=sep26")</f>
        <v>446200</v>
      </c>
      <c r="U105" s="4">
        <f>SUMIFS('Opportunities'!$H$2:$H$1775,'Opportunities'!$D$2:$D$1775,"=s_apac_out",'Opportunities'!$M$2:$M$1775,"=oct26")</f>
        <v>0</v>
      </c>
      <c r="V105" s="4">
        <f>SUMIFS('Opportunities'!$H$2:$H$1775,'Opportunities'!$D$2:$D$1775,"=s_apac_out",'Opportunities'!$M$2:$M$1775,"=nov26")</f>
        <v>0</v>
      </c>
      <c r="W105" s="4">
        <f>SUMIFS('Opportunities'!$H$2:$H$1775,'Opportunities'!$D$2:$D$1775,"=s_apac_out",'Opportunities'!$M$2:$M$1775,"=dec26")</f>
        <v>0</v>
      </c>
    </row>
    <row r="106">
      <c r="A106" s="0" t="inlineStr">
        <is>
          <t xml:space="preserve">Sourced bookings (closed this month)</t>
        </is>
      </c>
      <c r="B106" s="0" t="inlineStr">
        <is>
          <t xml:space="preserve">Zara Kowalski</t>
        </is>
      </c>
      <c r="C106" s="4">
        <f>SUMIFS('Opportunities'!$H$2:$H$1775,'Opportunities'!$D$2:$D$1775,"=s_amer_east_in",'Opportunities'!$N$2:$N$1775,"=apr25",'Opportunities'!$P$2:$P$1775,"=1")</f>
        <v>6800</v>
      </c>
      <c r="D106" s="4">
        <f>SUMIFS('Opportunities'!$H$2:$H$1775,'Opportunities'!$D$2:$D$1775,"=s_amer_east_in",'Opportunities'!$N$2:$N$1775,"=may25",'Opportunities'!$P$2:$P$1775,"=1")</f>
        <v>94200</v>
      </c>
      <c r="E106" s="4">
        <f>SUMIFS('Opportunities'!$H$2:$H$1775,'Opportunities'!$D$2:$D$1775,"=s_amer_east_in",'Opportunities'!$N$2:$N$1775,"=jun25",'Opportunities'!$P$2:$P$1775,"=1")</f>
        <v>60600</v>
      </c>
      <c r="F106" s="4">
        <f>SUMIFS('Opportunities'!$H$2:$H$1775,'Opportunities'!$D$2:$D$1775,"=s_amer_east_in",'Opportunities'!$N$2:$N$1775,"=jul25",'Opportunities'!$P$2:$P$1775,"=1")</f>
        <v>47700</v>
      </c>
      <c r="G106" s="4">
        <f>SUMIFS('Opportunities'!$H$2:$H$1775,'Opportunities'!$D$2:$D$1775,"=s_amer_east_in",'Opportunities'!$N$2:$N$1775,"=aug25",'Opportunities'!$P$2:$P$1775,"=1")</f>
        <v>33100</v>
      </c>
      <c r="H106" s="4">
        <f>SUMIFS('Opportunities'!$H$2:$H$1775,'Opportunities'!$D$2:$D$1775,"=s_amer_east_in",'Opportunities'!$N$2:$N$1775,"=sep25",'Opportunities'!$P$2:$P$1775,"=1")</f>
        <v>72200</v>
      </c>
      <c r="I106" s="4">
        <f>SUMIFS('Opportunities'!$H$2:$H$1775,'Opportunities'!$D$2:$D$1775,"=s_amer_east_in",'Opportunities'!$N$2:$N$1775,"=oct25",'Opportunities'!$P$2:$P$1775,"=1")</f>
        <v>63600</v>
      </c>
      <c r="J106" s="4">
        <f>SUMIFS('Opportunities'!$H$2:$H$1775,'Opportunities'!$D$2:$D$1775,"=s_amer_east_in",'Opportunities'!$N$2:$N$1775,"=nov25",'Opportunities'!$P$2:$P$1775,"=1")</f>
        <v>39200</v>
      </c>
      <c r="K106" s="4">
        <f>SUMIFS('Opportunities'!$H$2:$H$1775,'Opportunities'!$D$2:$D$1775,"=s_amer_east_in",'Opportunities'!$N$2:$N$1775,"=dec25",'Opportunities'!$P$2:$P$1775,"=1")</f>
        <v>230500</v>
      </c>
      <c r="L106" s="4">
        <f>SUMIFS('Opportunities'!$H$2:$H$1775,'Opportunities'!$D$2:$D$1775,"=s_amer_east_in",'Opportunities'!$N$2:$N$1775,"=jan26",'Opportunities'!$P$2:$P$1775,"=1")</f>
        <v>42900</v>
      </c>
      <c r="M106" s="4">
        <f>SUMIFS('Opportunities'!$H$2:$H$1775,'Opportunities'!$D$2:$D$1775,"=s_amer_east_in",'Opportunities'!$N$2:$N$1775,"=feb26",'Opportunities'!$P$2:$P$1775,"=1")</f>
        <v>116200</v>
      </c>
      <c r="N106" s="4">
        <f>SUMIFS('Opportunities'!$H$2:$H$1775,'Opportunities'!$D$2:$D$1775,"=s_amer_east_in",'Opportunities'!$N$2:$N$1775,"=mar26",'Opportunities'!$P$2:$P$1775,"=1")</f>
        <v>283500</v>
      </c>
      <c r="O106" s="4">
        <f>SUMIFS('Opportunities'!$H$2:$H$1775,'Opportunities'!$D$2:$D$1775,"=s_amer_east_in",'Opportunities'!$N$2:$N$1775,"=apr26",'Opportunities'!$P$2:$P$1775,"=1")</f>
        <v>17900</v>
      </c>
      <c r="P106" s="4">
        <f>SUMIFS('Opportunities'!$H$2:$H$1775,'Opportunities'!$D$2:$D$1775,"=s_amer_east_in",'Opportunities'!$N$2:$N$1775,"=may26",'Opportunities'!$P$2:$P$1775,"=1")</f>
        <v>127800</v>
      </c>
      <c r="Q106" s="4">
        <f>SUMIFS('Opportunities'!$H$2:$H$1775,'Opportunities'!$D$2:$D$1775,"=s_amer_east_in",'Opportunities'!$N$2:$N$1775,"=jun26",'Opportunities'!$P$2:$P$1775,"=1")</f>
        <v>363100</v>
      </c>
      <c r="R106" s="4">
        <f>SUMIFS('Opportunities'!$H$2:$H$1775,'Opportunities'!$D$2:$D$1775,"=s_amer_east_in",'Opportunities'!$N$2:$N$1775,"=jul26",'Opportunities'!$P$2:$P$1775,"=1")</f>
        <v>171900</v>
      </c>
      <c r="S106" s="4">
        <f>SUMIFS('Opportunities'!$H$2:$H$1775,'Opportunities'!$D$2:$D$1775,"=s_amer_east_in",'Opportunities'!$N$2:$N$1775,"=aug26",'Opportunities'!$P$2:$P$1775,"=1")</f>
        <v>75300</v>
      </c>
      <c r="T106" s="4">
        <f>SUMIFS('Opportunities'!$H$2:$H$1775,'Opportunities'!$D$2:$D$1775,"=s_amer_east_in",'Opportunities'!$N$2:$N$1775,"=sep26",'Opportunities'!$P$2:$P$1775,"=1")</f>
        <v>16800</v>
      </c>
      <c r="U106" s="4">
        <f>SUMIFS('Opportunities'!$H$2:$H$1775,'Opportunities'!$D$2:$D$1775,"=s_amer_east_in",'Opportunities'!$N$2:$N$1775,"=oct26",'Opportunities'!$P$2:$P$1775,"=1")</f>
        <v>0</v>
      </c>
      <c r="V106" s="4">
        <f>SUMIFS('Opportunities'!$H$2:$H$1775,'Opportunities'!$D$2:$D$1775,"=s_amer_east_in",'Opportunities'!$N$2:$N$1775,"=nov26",'Opportunities'!$P$2:$P$1775,"=1")</f>
        <v>0</v>
      </c>
      <c r="W106" s="4">
        <f>SUMIFS('Opportunities'!$H$2:$H$1775,'Opportunities'!$D$2:$D$1775,"=s_amer_east_in",'Opportunities'!$N$2:$N$1775,"=dec26",'Opportunities'!$P$2:$P$1775,"=1")</f>
        <v>0</v>
      </c>
    </row>
    <row r="107">
      <c r="A107" s="0" t="inlineStr">
        <is>
          <t xml:space="preserve">Sourced bookings (closed this month)</t>
        </is>
      </c>
      <c r="B107" s="0" t="inlineStr">
        <is>
          <t xml:space="preserve">Kenji Kowalski</t>
        </is>
      </c>
      <c r="C107" s="4">
        <f>SUMIFS('Opportunities'!$H$2:$H$1775,'Opportunities'!$D$2:$D$1775,"=s_amer_east_out",'Opportunities'!$N$2:$N$1775,"=apr25",'Opportunities'!$P$2:$P$1775,"=1")</f>
        <v>0</v>
      </c>
      <c r="D107" s="4">
        <f>SUMIFS('Opportunities'!$H$2:$H$1775,'Opportunities'!$D$2:$D$1775,"=s_amer_east_out",'Opportunities'!$N$2:$N$1775,"=may25",'Opportunities'!$P$2:$P$1775,"=1")</f>
        <v>0</v>
      </c>
      <c r="E107" s="4">
        <f>SUMIFS('Opportunities'!$H$2:$H$1775,'Opportunities'!$D$2:$D$1775,"=s_amer_east_out",'Opportunities'!$N$2:$N$1775,"=jun25",'Opportunities'!$P$2:$P$1775,"=1")</f>
        <v>10600</v>
      </c>
      <c r="F107" s="4">
        <f>SUMIFS('Opportunities'!$H$2:$H$1775,'Opportunities'!$D$2:$D$1775,"=s_amer_east_out",'Opportunities'!$N$2:$N$1775,"=jul25",'Opportunities'!$P$2:$P$1775,"=1")</f>
        <v>16800</v>
      </c>
      <c r="G107" s="4">
        <f>SUMIFS('Opportunities'!$H$2:$H$1775,'Opportunities'!$D$2:$D$1775,"=s_amer_east_out",'Opportunities'!$N$2:$N$1775,"=aug25",'Opportunities'!$P$2:$P$1775,"=1")</f>
        <v>0</v>
      </c>
      <c r="H107" s="4">
        <f>SUMIFS('Opportunities'!$H$2:$H$1775,'Opportunities'!$D$2:$D$1775,"=s_amer_east_out",'Opportunities'!$N$2:$N$1775,"=sep25",'Opportunities'!$P$2:$P$1775,"=1")</f>
        <v>87800</v>
      </c>
      <c r="I107" s="4">
        <f>SUMIFS('Opportunities'!$H$2:$H$1775,'Opportunities'!$D$2:$D$1775,"=s_amer_east_out",'Opportunities'!$N$2:$N$1775,"=oct25",'Opportunities'!$P$2:$P$1775,"=1")</f>
        <v>23600</v>
      </c>
      <c r="J107" s="4">
        <f>SUMIFS('Opportunities'!$H$2:$H$1775,'Opportunities'!$D$2:$D$1775,"=s_amer_east_out",'Opportunities'!$N$2:$N$1775,"=nov25",'Opportunities'!$P$2:$P$1775,"=1")</f>
        <v>0</v>
      </c>
      <c r="K107" s="4">
        <f>SUMIFS('Opportunities'!$H$2:$H$1775,'Opportunities'!$D$2:$D$1775,"=s_amer_east_out",'Opportunities'!$N$2:$N$1775,"=dec25",'Opportunities'!$P$2:$P$1775,"=1")</f>
        <v>7400</v>
      </c>
      <c r="L107" s="4">
        <f>SUMIFS('Opportunities'!$H$2:$H$1775,'Opportunities'!$D$2:$D$1775,"=s_amer_east_out",'Opportunities'!$N$2:$N$1775,"=jan26",'Opportunities'!$P$2:$P$1775,"=1")</f>
        <v>24100</v>
      </c>
      <c r="M107" s="4">
        <f>SUMIFS('Opportunities'!$H$2:$H$1775,'Opportunities'!$D$2:$D$1775,"=s_amer_east_out",'Opportunities'!$N$2:$N$1775,"=feb26",'Opportunities'!$P$2:$P$1775,"=1")</f>
        <v>0</v>
      </c>
      <c r="N107" s="4">
        <f>SUMIFS('Opportunities'!$H$2:$H$1775,'Opportunities'!$D$2:$D$1775,"=s_amer_east_out",'Opportunities'!$N$2:$N$1775,"=mar26",'Opportunities'!$P$2:$P$1775,"=1")</f>
        <v>139600</v>
      </c>
      <c r="O107" s="4">
        <f>SUMIFS('Opportunities'!$H$2:$H$1775,'Opportunities'!$D$2:$D$1775,"=s_amer_east_out",'Opportunities'!$N$2:$N$1775,"=apr26",'Opportunities'!$P$2:$P$1775,"=1")</f>
        <v>0</v>
      </c>
      <c r="P107" s="4">
        <f>SUMIFS('Opportunities'!$H$2:$H$1775,'Opportunities'!$D$2:$D$1775,"=s_amer_east_out",'Opportunities'!$N$2:$N$1775,"=may26",'Opportunities'!$P$2:$P$1775,"=1")</f>
        <v>141600</v>
      </c>
      <c r="Q107" s="4">
        <f>SUMIFS('Opportunities'!$H$2:$H$1775,'Opportunities'!$D$2:$D$1775,"=s_amer_east_out",'Opportunities'!$N$2:$N$1775,"=jun26",'Opportunities'!$P$2:$P$1775,"=1")</f>
        <v>17700</v>
      </c>
      <c r="R107" s="4">
        <f>SUMIFS('Opportunities'!$H$2:$H$1775,'Opportunities'!$D$2:$D$1775,"=s_amer_east_out",'Opportunities'!$N$2:$N$1775,"=jul26",'Opportunities'!$P$2:$P$1775,"=1")</f>
        <v>0</v>
      </c>
      <c r="S107" s="4">
        <f>SUMIFS('Opportunities'!$H$2:$H$1775,'Opportunities'!$D$2:$D$1775,"=s_amer_east_out",'Opportunities'!$N$2:$N$1775,"=aug26",'Opportunities'!$P$2:$P$1775,"=1")</f>
        <v>39600</v>
      </c>
      <c r="T107" s="4">
        <f>SUMIFS('Opportunities'!$H$2:$H$1775,'Opportunities'!$D$2:$D$1775,"=s_amer_east_out",'Opportunities'!$N$2:$N$1775,"=sep26",'Opportunities'!$P$2:$P$1775,"=1")</f>
        <v>0</v>
      </c>
      <c r="U107" s="4">
        <f>SUMIFS('Opportunities'!$H$2:$H$1775,'Opportunities'!$D$2:$D$1775,"=s_amer_east_out",'Opportunities'!$N$2:$N$1775,"=oct26",'Opportunities'!$P$2:$P$1775,"=1")</f>
        <v>0</v>
      </c>
      <c r="V107" s="4">
        <f>SUMIFS('Opportunities'!$H$2:$H$1775,'Opportunities'!$D$2:$D$1775,"=s_amer_east_out",'Opportunities'!$N$2:$N$1775,"=nov26",'Opportunities'!$P$2:$P$1775,"=1")</f>
        <v>0</v>
      </c>
      <c r="W107" s="4">
        <f>SUMIFS('Opportunities'!$H$2:$H$1775,'Opportunities'!$D$2:$D$1775,"=s_amer_east_out",'Opportunities'!$N$2:$N$1775,"=dec26",'Opportunities'!$P$2:$P$1775,"=1")</f>
        <v>0</v>
      </c>
    </row>
    <row r="108">
      <c r="A108" s="0" t="inlineStr">
        <is>
          <t xml:space="preserve">Sourced bookings (closed this month)</t>
        </is>
      </c>
      <c r="B108" s="0" t="inlineStr">
        <is>
          <t xml:space="preserve">Marcus Nair</t>
        </is>
      </c>
      <c r="C108" s="4">
        <f>SUMIFS('Opportunities'!$H$2:$H$1775,'Opportunities'!$D$2:$D$1775,"=s_amer_west_in",'Opportunities'!$N$2:$N$1775,"=apr25",'Opportunities'!$P$2:$P$1775,"=1")</f>
        <v>32500</v>
      </c>
      <c r="D108" s="4">
        <f>SUMIFS('Opportunities'!$H$2:$H$1775,'Opportunities'!$D$2:$D$1775,"=s_amer_west_in",'Opportunities'!$N$2:$N$1775,"=may25",'Opportunities'!$P$2:$P$1775,"=1")</f>
        <v>95700</v>
      </c>
      <c r="E108" s="4">
        <f>SUMIFS('Opportunities'!$H$2:$H$1775,'Opportunities'!$D$2:$D$1775,"=s_amer_west_in",'Opportunities'!$N$2:$N$1775,"=jun25",'Opportunities'!$P$2:$P$1775,"=1")</f>
        <v>26800</v>
      </c>
      <c r="F108" s="4">
        <f>SUMIFS('Opportunities'!$H$2:$H$1775,'Opportunities'!$D$2:$D$1775,"=s_amer_west_in",'Opportunities'!$N$2:$N$1775,"=jul25",'Opportunities'!$P$2:$P$1775,"=1")</f>
        <v>57900</v>
      </c>
      <c r="G108" s="4">
        <f>SUMIFS('Opportunities'!$H$2:$H$1775,'Opportunities'!$D$2:$D$1775,"=s_amer_west_in",'Opportunities'!$N$2:$N$1775,"=aug25",'Opportunities'!$P$2:$P$1775,"=1")</f>
        <v>28700</v>
      </c>
      <c r="H108" s="4">
        <f>SUMIFS('Opportunities'!$H$2:$H$1775,'Opportunities'!$D$2:$D$1775,"=s_amer_west_in",'Opportunities'!$N$2:$N$1775,"=sep25",'Opportunities'!$P$2:$P$1775,"=1")</f>
        <v>179000</v>
      </c>
      <c r="I108" s="4">
        <f>SUMIFS('Opportunities'!$H$2:$H$1775,'Opportunities'!$D$2:$D$1775,"=s_amer_west_in",'Opportunities'!$N$2:$N$1775,"=oct25",'Opportunities'!$P$2:$P$1775,"=1")</f>
        <v>60800</v>
      </c>
      <c r="J108" s="4">
        <f>SUMIFS('Opportunities'!$H$2:$H$1775,'Opportunities'!$D$2:$D$1775,"=s_amer_west_in",'Opportunities'!$N$2:$N$1775,"=nov25",'Opportunities'!$P$2:$P$1775,"=1")</f>
        <v>175500</v>
      </c>
      <c r="K108" s="4">
        <f>SUMIFS('Opportunities'!$H$2:$H$1775,'Opportunities'!$D$2:$D$1775,"=s_amer_west_in",'Opportunities'!$N$2:$N$1775,"=dec25",'Opportunities'!$P$2:$P$1775,"=1")</f>
        <v>68100</v>
      </c>
      <c r="L108" s="4">
        <f>SUMIFS('Opportunities'!$H$2:$H$1775,'Opportunities'!$D$2:$D$1775,"=s_amer_west_in",'Opportunities'!$N$2:$N$1775,"=jan26",'Opportunities'!$P$2:$P$1775,"=1")</f>
        <v>35100</v>
      </c>
      <c r="M108" s="4">
        <f>SUMIFS('Opportunities'!$H$2:$H$1775,'Opportunities'!$D$2:$D$1775,"=s_amer_west_in",'Opportunities'!$N$2:$N$1775,"=feb26",'Opportunities'!$P$2:$P$1775,"=1")</f>
        <v>713600</v>
      </c>
      <c r="N108" s="4">
        <f>SUMIFS('Opportunities'!$H$2:$H$1775,'Opportunities'!$D$2:$D$1775,"=s_amer_west_in",'Opportunities'!$N$2:$N$1775,"=mar26",'Opportunities'!$P$2:$P$1775,"=1")</f>
        <v>782200</v>
      </c>
      <c r="O108" s="4">
        <f>SUMIFS('Opportunities'!$H$2:$H$1775,'Opportunities'!$D$2:$D$1775,"=s_amer_west_in",'Opportunities'!$N$2:$N$1775,"=apr26",'Opportunities'!$P$2:$P$1775,"=1")</f>
        <v>125700</v>
      </c>
      <c r="P108" s="4">
        <f>SUMIFS('Opportunities'!$H$2:$H$1775,'Opportunities'!$D$2:$D$1775,"=s_amer_west_in",'Opportunities'!$N$2:$N$1775,"=may26",'Opportunities'!$P$2:$P$1775,"=1")</f>
        <v>62900</v>
      </c>
      <c r="Q108" s="4">
        <f>SUMIFS('Opportunities'!$H$2:$H$1775,'Opportunities'!$D$2:$D$1775,"=s_amer_west_in",'Opportunities'!$N$2:$N$1775,"=jun26",'Opportunities'!$P$2:$P$1775,"=1")</f>
        <v>493700</v>
      </c>
      <c r="R108" s="4">
        <f>SUMIFS('Opportunities'!$H$2:$H$1775,'Opportunities'!$D$2:$D$1775,"=s_amer_west_in",'Opportunities'!$N$2:$N$1775,"=jul26",'Opportunities'!$P$2:$P$1775,"=1")</f>
        <v>246400</v>
      </c>
      <c r="S108" s="4">
        <f>SUMIFS('Opportunities'!$H$2:$H$1775,'Opportunities'!$D$2:$D$1775,"=s_amer_west_in",'Opportunities'!$N$2:$N$1775,"=aug26",'Opportunities'!$P$2:$P$1775,"=1")</f>
        <v>95000</v>
      </c>
      <c r="T108" s="4">
        <f>SUMIFS('Opportunities'!$H$2:$H$1775,'Opportunities'!$D$2:$D$1775,"=s_amer_west_in",'Opportunities'!$N$2:$N$1775,"=sep26",'Opportunities'!$P$2:$P$1775,"=1")</f>
        <v>969200</v>
      </c>
      <c r="U108" s="4">
        <f>SUMIFS('Opportunities'!$H$2:$H$1775,'Opportunities'!$D$2:$D$1775,"=s_amer_west_in",'Opportunities'!$N$2:$N$1775,"=oct26",'Opportunities'!$P$2:$P$1775,"=1")</f>
        <v>0</v>
      </c>
      <c r="V108" s="4">
        <f>SUMIFS('Opportunities'!$H$2:$H$1775,'Opportunities'!$D$2:$D$1775,"=s_amer_west_in",'Opportunities'!$N$2:$N$1775,"=nov26",'Opportunities'!$P$2:$P$1775,"=1")</f>
        <v>0</v>
      </c>
      <c r="W108" s="4">
        <f>SUMIFS('Opportunities'!$H$2:$H$1775,'Opportunities'!$D$2:$D$1775,"=s_amer_west_in",'Opportunities'!$N$2:$N$1775,"=dec26",'Opportunities'!$P$2:$P$1775,"=1")</f>
        <v>0</v>
      </c>
    </row>
    <row r="109">
      <c r="A109" s="0" t="inlineStr">
        <is>
          <t xml:space="preserve">Sourced bookings (closed this month)</t>
        </is>
      </c>
      <c r="B109" s="0" t="inlineStr">
        <is>
          <t xml:space="preserve">Yuki Rahman</t>
        </is>
      </c>
      <c r="C109" s="4">
        <f>SUMIFS('Opportunities'!$H$2:$H$1775,'Opportunities'!$D$2:$D$1775,"=s_amer_west_out",'Opportunities'!$N$2:$N$1775,"=apr25",'Opportunities'!$P$2:$P$1775,"=1")</f>
        <v>0</v>
      </c>
      <c r="D109" s="4">
        <f>SUMIFS('Opportunities'!$H$2:$H$1775,'Opportunities'!$D$2:$D$1775,"=s_amer_west_out",'Opportunities'!$N$2:$N$1775,"=may25",'Opportunities'!$P$2:$P$1775,"=1")</f>
        <v>12600</v>
      </c>
      <c r="E109" s="4">
        <f>SUMIFS('Opportunities'!$H$2:$H$1775,'Opportunities'!$D$2:$D$1775,"=s_amer_west_out",'Opportunities'!$N$2:$N$1775,"=jun25",'Opportunities'!$P$2:$P$1775,"=1")</f>
        <v>0</v>
      </c>
      <c r="F109" s="4">
        <f>SUMIFS('Opportunities'!$H$2:$H$1775,'Opportunities'!$D$2:$D$1775,"=s_amer_west_out",'Opportunities'!$N$2:$N$1775,"=jul25",'Opportunities'!$P$2:$P$1775,"=1")</f>
        <v>13700</v>
      </c>
      <c r="G109" s="4">
        <f>SUMIFS('Opportunities'!$H$2:$H$1775,'Opportunities'!$D$2:$D$1775,"=s_amer_west_out",'Opportunities'!$N$2:$N$1775,"=aug25",'Opportunities'!$P$2:$P$1775,"=1")</f>
        <v>14800</v>
      </c>
      <c r="H109" s="4">
        <f>SUMIFS('Opportunities'!$H$2:$H$1775,'Opportunities'!$D$2:$D$1775,"=s_amer_west_out",'Opportunities'!$N$2:$N$1775,"=sep25",'Opportunities'!$P$2:$P$1775,"=1")</f>
        <v>0</v>
      </c>
      <c r="I109" s="4">
        <f>SUMIFS('Opportunities'!$H$2:$H$1775,'Opportunities'!$D$2:$D$1775,"=s_amer_west_out",'Opportunities'!$N$2:$N$1775,"=oct25",'Opportunities'!$P$2:$P$1775,"=1")</f>
        <v>0</v>
      </c>
      <c r="J109" s="4">
        <f>SUMIFS('Opportunities'!$H$2:$H$1775,'Opportunities'!$D$2:$D$1775,"=s_amer_west_out",'Opportunities'!$N$2:$N$1775,"=nov25",'Opportunities'!$P$2:$P$1775,"=1")</f>
        <v>17000</v>
      </c>
      <c r="K109" s="4">
        <f>SUMIFS('Opportunities'!$H$2:$H$1775,'Opportunities'!$D$2:$D$1775,"=s_amer_west_out",'Opportunities'!$N$2:$N$1775,"=dec25",'Opportunities'!$P$2:$P$1775,"=1")</f>
        <v>40000</v>
      </c>
      <c r="L109" s="4">
        <f>SUMIFS('Opportunities'!$H$2:$H$1775,'Opportunities'!$D$2:$D$1775,"=s_amer_west_out",'Opportunities'!$N$2:$N$1775,"=jan26",'Opportunities'!$P$2:$P$1775,"=1")</f>
        <v>19600</v>
      </c>
      <c r="M109" s="4">
        <f>SUMIFS('Opportunities'!$H$2:$H$1775,'Opportunities'!$D$2:$D$1775,"=s_amer_west_out",'Opportunities'!$N$2:$N$1775,"=feb26",'Opportunities'!$P$2:$P$1775,"=1")</f>
        <v>0</v>
      </c>
      <c r="N109" s="4">
        <f>SUMIFS('Opportunities'!$H$2:$H$1775,'Opportunities'!$D$2:$D$1775,"=s_amer_west_out",'Opportunities'!$N$2:$N$1775,"=mar26",'Opportunities'!$P$2:$P$1775,"=1")</f>
        <v>79900</v>
      </c>
      <c r="O109" s="4">
        <f>SUMIFS('Opportunities'!$H$2:$H$1775,'Opportunities'!$D$2:$D$1775,"=s_amer_west_out",'Opportunities'!$N$2:$N$1775,"=apr26",'Opportunities'!$P$2:$P$1775,"=1")</f>
        <v>0</v>
      </c>
      <c r="P109" s="4">
        <f>SUMIFS('Opportunities'!$H$2:$H$1775,'Opportunities'!$D$2:$D$1775,"=s_amer_west_out",'Opportunities'!$N$2:$N$1775,"=may26",'Opportunities'!$P$2:$P$1775,"=1")</f>
        <v>0</v>
      </c>
      <c r="Q109" s="4">
        <f>SUMIFS('Opportunities'!$H$2:$H$1775,'Opportunities'!$D$2:$D$1775,"=s_amer_west_out",'Opportunities'!$N$2:$N$1775,"=jun26",'Opportunities'!$P$2:$P$1775,"=1")</f>
        <v>228800</v>
      </c>
      <c r="R109" s="4">
        <f>SUMIFS('Opportunities'!$H$2:$H$1775,'Opportunities'!$D$2:$D$1775,"=s_amer_west_out",'Opportunities'!$N$2:$N$1775,"=jul26",'Opportunities'!$P$2:$P$1775,"=1")</f>
        <v>145500</v>
      </c>
      <c r="S109" s="4">
        <f>SUMIFS('Opportunities'!$H$2:$H$1775,'Opportunities'!$D$2:$D$1775,"=s_amer_west_out",'Opportunities'!$N$2:$N$1775,"=aug26",'Opportunities'!$P$2:$P$1775,"=1")</f>
        <v>13200</v>
      </c>
      <c r="T109" s="4">
        <f>SUMIFS('Opportunities'!$H$2:$H$1775,'Opportunities'!$D$2:$D$1775,"=s_amer_west_out",'Opportunities'!$N$2:$N$1775,"=sep26",'Opportunities'!$P$2:$P$1775,"=1")</f>
        <v>0</v>
      </c>
      <c r="U109" s="4">
        <f>SUMIFS('Opportunities'!$H$2:$H$1775,'Opportunities'!$D$2:$D$1775,"=s_amer_west_out",'Opportunities'!$N$2:$N$1775,"=oct26",'Opportunities'!$P$2:$P$1775,"=1")</f>
        <v>0</v>
      </c>
      <c r="V109" s="4">
        <f>SUMIFS('Opportunities'!$H$2:$H$1775,'Opportunities'!$D$2:$D$1775,"=s_amer_west_out",'Opportunities'!$N$2:$N$1775,"=nov26",'Opportunities'!$P$2:$P$1775,"=1")</f>
        <v>0</v>
      </c>
      <c r="W109" s="4">
        <f>SUMIFS('Opportunities'!$H$2:$H$1775,'Opportunities'!$D$2:$D$1775,"=s_amer_west_out",'Opportunities'!$N$2:$N$1775,"=dec26",'Opportunities'!$P$2:$P$1775,"=1")</f>
        <v>0</v>
      </c>
    </row>
    <row r="110">
      <c r="A110" s="0" t="inlineStr">
        <is>
          <t xml:space="preserve">Sourced bookings (closed this month)</t>
        </is>
      </c>
      <c r="B110" s="0" t="inlineStr">
        <is>
          <t xml:space="preserve">Chloe Patel</t>
        </is>
      </c>
      <c r="C110" s="4">
        <f>SUMIFS('Opportunities'!$H$2:$H$1775,'Opportunities'!$D$2:$D$1775,"=s_emea_in",'Opportunities'!$N$2:$N$1775,"=apr25",'Opportunities'!$P$2:$P$1775,"=1")</f>
        <v>0</v>
      </c>
      <c r="D110" s="4">
        <f>SUMIFS('Opportunities'!$H$2:$H$1775,'Opportunities'!$D$2:$D$1775,"=s_emea_in",'Opportunities'!$N$2:$N$1775,"=may25",'Opportunities'!$P$2:$P$1775,"=1")</f>
        <v>39000</v>
      </c>
      <c r="E110" s="4">
        <f>SUMIFS('Opportunities'!$H$2:$H$1775,'Opportunities'!$D$2:$D$1775,"=s_emea_in",'Opportunities'!$N$2:$N$1775,"=jun25",'Opportunities'!$P$2:$P$1775,"=1")</f>
        <v>289600</v>
      </c>
      <c r="F110" s="4">
        <f>SUMIFS('Opportunities'!$H$2:$H$1775,'Opportunities'!$D$2:$D$1775,"=s_emea_in",'Opportunities'!$N$2:$N$1775,"=jul25",'Opportunities'!$P$2:$P$1775,"=1")</f>
        <v>217200</v>
      </c>
      <c r="G110" s="4">
        <f>SUMIFS('Opportunities'!$H$2:$H$1775,'Opportunities'!$D$2:$D$1775,"=s_emea_in",'Opportunities'!$N$2:$N$1775,"=aug25",'Opportunities'!$P$2:$P$1775,"=1")</f>
        <v>40700</v>
      </c>
      <c r="H110" s="4">
        <f>SUMIFS('Opportunities'!$H$2:$H$1775,'Opportunities'!$D$2:$D$1775,"=s_emea_in",'Opportunities'!$N$2:$N$1775,"=sep25",'Opportunities'!$P$2:$P$1775,"=1")</f>
        <v>729800</v>
      </c>
      <c r="I110" s="4">
        <f>SUMIFS('Opportunities'!$H$2:$H$1775,'Opportunities'!$D$2:$D$1775,"=s_emea_in",'Opportunities'!$N$2:$N$1775,"=oct25",'Opportunities'!$P$2:$P$1775,"=1")</f>
        <v>93100</v>
      </c>
      <c r="J110" s="4">
        <f>SUMIFS('Opportunities'!$H$2:$H$1775,'Opportunities'!$D$2:$D$1775,"=s_emea_in",'Opportunities'!$N$2:$N$1775,"=nov25",'Opportunities'!$P$2:$P$1775,"=1")</f>
        <v>155100</v>
      </c>
      <c r="K110" s="4">
        <f>SUMIFS('Opportunities'!$H$2:$H$1775,'Opportunities'!$D$2:$D$1775,"=s_emea_in",'Opportunities'!$N$2:$N$1775,"=dec25",'Opportunities'!$P$2:$P$1775,"=1")</f>
        <v>156900</v>
      </c>
      <c r="L110" s="4">
        <f>SUMIFS('Opportunities'!$H$2:$H$1775,'Opportunities'!$D$2:$D$1775,"=s_emea_in",'Opportunities'!$N$2:$N$1775,"=jan26",'Opportunities'!$P$2:$P$1775,"=1")</f>
        <v>689300</v>
      </c>
      <c r="M110" s="4">
        <f>SUMIFS('Opportunities'!$H$2:$H$1775,'Opportunities'!$D$2:$D$1775,"=s_emea_in",'Opportunities'!$N$2:$N$1775,"=feb26",'Opportunities'!$P$2:$P$1775,"=1")</f>
        <v>96300</v>
      </c>
      <c r="N110" s="4">
        <f>SUMIFS('Opportunities'!$H$2:$H$1775,'Opportunities'!$D$2:$D$1775,"=s_emea_in",'Opportunities'!$N$2:$N$1775,"=mar26",'Opportunities'!$P$2:$P$1775,"=1")</f>
        <v>200600</v>
      </c>
      <c r="O110" s="4">
        <f>SUMIFS('Opportunities'!$H$2:$H$1775,'Opportunities'!$D$2:$D$1775,"=s_emea_in",'Opportunities'!$N$2:$N$1775,"=apr26",'Opportunities'!$P$2:$P$1775,"=1")</f>
        <v>220800</v>
      </c>
      <c r="P110" s="4">
        <f>SUMIFS('Opportunities'!$H$2:$H$1775,'Opportunities'!$D$2:$D$1775,"=s_emea_in",'Opportunities'!$N$2:$N$1775,"=may26",'Opportunities'!$P$2:$P$1775,"=1")</f>
        <v>50600</v>
      </c>
      <c r="Q110" s="4">
        <f>SUMIFS('Opportunities'!$H$2:$H$1775,'Opportunities'!$D$2:$D$1775,"=s_emea_in",'Opportunities'!$N$2:$N$1775,"=jun26",'Opportunities'!$P$2:$P$1775,"=1")</f>
        <v>291300</v>
      </c>
      <c r="R110" s="4">
        <f>SUMIFS('Opportunities'!$H$2:$H$1775,'Opportunities'!$D$2:$D$1775,"=s_emea_in",'Opportunities'!$N$2:$N$1775,"=jul26",'Opportunities'!$P$2:$P$1775,"=1")</f>
        <v>46000</v>
      </c>
      <c r="S110" s="4">
        <f>SUMIFS('Opportunities'!$H$2:$H$1775,'Opportunities'!$D$2:$D$1775,"=s_emea_in",'Opportunities'!$N$2:$N$1775,"=aug26",'Opportunities'!$P$2:$P$1775,"=1")</f>
        <v>111800</v>
      </c>
      <c r="T110" s="4">
        <f>SUMIFS('Opportunities'!$H$2:$H$1775,'Opportunities'!$D$2:$D$1775,"=s_emea_in",'Opportunities'!$N$2:$N$1775,"=sep26",'Opportunities'!$P$2:$P$1775,"=1")</f>
        <v>477700</v>
      </c>
      <c r="U110" s="4">
        <f>SUMIFS('Opportunities'!$H$2:$H$1775,'Opportunities'!$D$2:$D$1775,"=s_emea_in",'Opportunities'!$N$2:$N$1775,"=oct26",'Opportunities'!$P$2:$P$1775,"=1")</f>
        <v>0</v>
      </c>
      <c r="V110" s="4">
        <f>SUMIFS('Opportunities'!$H$2:$H$1775,'Opportunities'!$D$2:$D$1775,"=s_emea_in",'Opportunities'!$N$2:$N$1775,"=nov26",'Opportunities'!$P$2:$P$1775,"=1")</f>
        <v>0</v>
      </c>
      <c r="W110" s="4">
        <f>SUMIFS('Opportunities'!$H$2:$H$1775,'Opportunities'!$D$2:$D$1775,"=s_emea_in",'Opportunities'!$N$2:$N$1775,"=dec26",'Opportunities'!$P$2:$P$1775,"=1")</f>
        <v>0</v>
      </c>
    </row>
    <row r="111">
      <c r="A111" s="0" t="inlineStr">
        <is>
          <t xml:space="preserve">Sourced bookings (closed this month)</t>
        </is>
      </c>
      <c r="B111" s="0" t="inlineStr">
        <is>
          <t xml:space="preserve">Samuel Kowalski</t>
        </is>
      </c>
      <c r="C111" s="4">
        <f>SUMIFS('Opportunities'!$H$2:$H$1775,'Opportunities'!$D$2:$D$1775,"=s_emea_out",'Opportunities'!$N$2:$N$1775,"=apr25",'Opportunities'!$P$2:$P$1775,"=1")</f>
        <v>0</v>
      </c>
      <c r="D111" s="4">
        <f>SUMIFS('Opportunities'!$H$2:$H$1775,'Opportunities'!$D$2:$D$1775,"=s_emea_out",'Opportunities'!$N$2:$N$1775,"=may25",'Opportunities'!$P$2:$P$1775,"=1")</f>
        <v>0</v>
      </c>
      <c r="E111" s="4">
        <f>SUMIFS('Opportunities'!$H$2:$H$1775,'Opportunities'!$D$2:$D$1775,"=s_emea_out",'Opportunities'!$N$2:$N$1775,"=jun25",'Opportunities'!$P$2:$P$1775,"=1")</f>
        <v>23700</v>
      </c>
      <c r="F111" s="4">
        <f>SUMIFS('Opportunities'!$H$2:$H$1775,'Opportunities'!$D$2:$D$1775,"=s_emea_out",'Opportunities'!$N$2:$N$1775,"=jul25",'Opportunities'!$P$2:$P$1775,"=1")</f>
        <v>0</v>
      </c>
      <c r="G111" s="4">
        <f>SUMIFS('Opportunities'!$H$2:$H$1775,'Opportunities'!$D$2:$D$1775,"=s_emea_out",'Opportunities'!$N$2:$N$1775,"=aug25",'Opportunities'!$P$2:$P$1775,"=1")</f>
        <v>0</v>
      </c>
      <c r="H111" s="4">
        <f>SUMIFS('Opportunities'!$H$2:$H$1775,'Opportunities'!$D$2:$D$1775,"=s_emea_out",'Opportunities'!$N$2:$N$1775,"=sep25",'Opportunities'!$P$2:$P$1775,"=1")</f>
        <v>41100</v>
      </c>
      <c r="I111" s="4">
        <f>SUMIFS('Opportunities'!$H$2:$H$1775,'Opportunities'!$D$2:$D$1775,"=s_emea_out",'Opportunities'!$N$2:$N$1775,"=oct25",'Opportunities'!$P$2:$P$1775,"=1")</f>
        <v>6200</v>
      </c>
      <c r="J111" s="4">
        <f>SUMIFS('Opportunities'!$H$2:$H$1775,'Opportunities'!$D$2:$D$1775,"=s_emea_out",'Opportunities'!$N$2:$N$1775,"=nov25",'Opportunities'!$P$2:$P$1775,"=1")</f>
        <v>143700</v>
      </c>
      <c r="K111" s="4">
        <f>SUMIFS('Opportunities'!$H$2:$H$1775,'Opportunities'!$D$2:$D$1775,"=s_emea_out",'Opportunities'!$N$2:$N$1775,"=dec25",'Opportunities'!$P$2:$P$1775,"=1")</f>
        <v>0</v>
      </c>
      <c r="L111" s="4">
        <f>SUMIFS('Opportunities'!$H$2:$H$1775,'Opportunities'!$D$2:$D$1775,"=s_emea_out",'Opportunities'!$N$2:$N$1775,"=jan26",'Opportunities'!$P$2:$P$1775,"=1")</f>
        <v>46900</v>
      </c>
      <c r="M111" s="4">
        <f>SUMIFS('Opportunities'!$H$2:$H$1775,'Opportunities'!$D$2:$D$1775,"=s_emea_out",'Opportunities'!$N$2:$N$1775,"=feb26",'Opportunities'!$P$2:$P$1775,"=1")</f>
        <v>16600</v>
      </c>
      <c r="N111" s="4">
        <f>SUMIFS('Opportunities'!$H$2:$H$1775,'Opportunities'!$D$2:$D$1775,"=s_emea_out",'Opportunities'!$N$2:$N$1775,"=mar26",'Opportunities'!$P$2:$P$1775,"=1")</f>
        <v>80800</v>
      </c>
      <c r="O111" s="4">
        <f>SUMIFS('Opportunities'!$H$2:$H$1775,'Opportunities'!$D$2:$D$1775,"=s_emea_out",'Opportunities'!$N$2:$N$1775,"=apr26",'Opportunities'!$P$2:$P$1775,"=1")</f>
        <v>109700</v>
      </c>
      <c r="P111" s="4">
        <f>SUMIFS('Opportunities'!$H$2:$H$1775,'Opportunities'!$D$2:$D$1775,"=s_emea_out",'Opportunities'!$N$2:$N$1775,"=may26",'Opportunities'!$P$2:$P$1775,"=1")</f>
        <v>17700</v>
      </c>
      <c r="Q111" s="4">
        <f>SUMIFS('Opportunities'!$H$2:$H$1775,'Opportunities'!$D$2:$D$1775,"=s_emea_out",'Opportunities'!$N$2:$N$1775,"=jun26",'Opportunities'!$P$2:$P$1775,"=1")</f>
        <v>85700</v>
      </c>
      <c r="R111" s="4">
        <f>SUMIFS('Opportunities'!$H$2:$H$1775,'Opportunities'!$D$2:$D$1775,"=s_emea_out",'Opportunities'!$N$2:$N$1775,"=jul26",'Opportunities'!$P$2:$P$1775,"=1")</f>
        <v>0</v>
      </c>
      <c r="S111" s="4">
        <f>SUMIFS('Opportunities'!$H$2:$H$1775,'Opportunities'!$D$2:$D$1775,"=s_emea_out",'Opportunities'!$N$2:$N$1775,"=aug26",'Opportunities'!$P$2:$P$1775,"=1")</f>
        <v>9700</v>
      </c>
      <c r="T111" s="4">
        <f>SUMIFS('Opportunities'!$H$2:$H$1775,'Opportunities'!$D$2:$D$1775,"=s_emea_out",'Opportunities'!$N$2:$N$1775,"=sep26",'Opportunities'!$P$2:$P$1775,"=1")</f>
        <v>0</v>
      </c>
      <c r="U111" s="4">
        <f>SUMIFS('Opportunities'!$H$2:$H$1775,'Opportunities'!$D$2:$D$1775,"=s_emea_out",'Opportunities'!$N$2:$N$1775,"=oct26",'Opportunities'!$P$2:$P$1775,"=1")</f>
        <v>0</v>
      </c>
      <c r="V111" s="4">
        <f>SUMIFS('Opportunities'!$H$2:$H$1775,'Opportunities'!$D$2:$D$1775,"=s_emea_out",'Opportunities'!$N$2:$N$1775,"=nov26",'Opportunities'!$P$2:$P$1775,"=1")</f>
        <v>0</v>
      </c>
      <c r="W111" s="4">
        <f>SUMIFS('Opportunities'!$H$2:$H$1775,'Opportunities'!$D$2:$D$1775,"=s_emea_out",'Opportunities'!$N$2:$N$1775,"=dec26",'Opportunities'!$P$2:$P$1775,"=1")</f>
        <v>0</v>
      </c>
    </row>
    <row r="112">
      <c r="A112" s="0" t="inlineStr">
        <is>
          <t xml:space="preserve">Sourced bookings (closed this month)</t>
        </is>
      </c>
      <c r="B112" s="0" t="inlineStr">
        <is>
          <t xml:space="preserve">Rafael Ivanova</t>
        </is>
      </c>
      <c r="C112" s="4">
        <f>SUMIFS('Opportunities'!$H$2:$H$1775,'Opportunities'!$D$2:$D$1775,"=s_apac_in",'Opportunities'!$N$2:$N$1775,"=apr25",'Opportunities'!$P$2:$P$1775,"=1")</f>
        <v>0</v>
      </c>
      <c r="D112" s="4">
        <f>SUMIFS('Opportunities'!$H$2:$H$1775,'Opportunities'!$D$2:$D$1775,"=s_apac_in",'Opportunities'!$N$2:$N$1775,"=may25",'Opportunities'!$P$2:$P$1775,"=1")</f>
        <v>25000</v>
      </c>
      <c r="E112" s="4">
        <f>SUMIFS('Opportunities'!$H$2:$H$1775,'Opportunities'!$D$2:$D$1775,"=s_apac_in",'Opportunities'!$N$2:$N$1775,"=jun25",'Opportunities'!$P$2:$P$1775,"=1")</f>
        <v>134000</v>
      </c>
      <c r="F112" s="4">
        <f>SUMIFS('Opportunities'!$H$2:$H$1775,'Opportunities'!$D$2:$D$1775,"=s_apac_in",'Opportunities'!$N$2:$N$1775,"=jul25",'Opportunities'!$P$2:$P$1775,"=1")</f>
        <v>63500</v>
      </c>
      <c r="G112" s="4">
        <f>SUMIFS('Opportunities'!$H$2:$H$1775,'Opportunities'!$D$2:$D$1775,"=s_apac_in",'Opportunities'!$N$2:$N$1775,"=aug25",'Opportunities'!$P$2:$P$1775,"=1")</f>
        <v>0</v>
      </c>
      <c r="H112" s="4">
        <f>SUMIFS('Opportunities'!$H$2:$H$1775,'Opportunities'!$D$2:$D$1775,"=s_apac_in",'Opportunities'!$N$2:$N$1775,"=sep25",'Opportunities'!$P$2:$P$1775,"=1")</f>
        <v>395000</v>
      </c>
      <c r="I112" s="4">
        <f>SUMIFS('Opportunities'!$H$2:$H$1775,'Opportunities'!$D$2:$D$1775,"=s_apac_in",'Opportunities'!$N$2:$N$1775,"=oct25",'Opportunities'!$P$2:$P$1775,"=1")</f>
        <v>0</v>
      </c>
      <c r="J112" s="4">
        <f>SUMIFS('Opportunities'!$H$2:$H$1775,'Opportunities'!$D$2:$D$1775,"=s_apac_in",'Opportunities'!$N$2:$N$1775,"=nov25",'Opportunities'!$P$2:$P$1775,"=1")</f>
        <v>21900</v>
      </c>
      <c r="K112" s="4">
        <f>SUMIFS('Opportunities'!$H$2:$H$1775,'Opportunities'!$D$2:$D$1775,"=s_apac_in",'Opportunities'!$N$2:$N$1775,"=dec25",'Opportunities'!$P$2:$P$1775,"=1")</f>
        <v>131600</v>
      </c>
      <c r="L112" s="4">
        <f>SUMIFS('Opportunities'!$H$2:$H$1775,'Opportunities'!$D$2:$D$1775,"=s_apac_in",'Opportunities'!$N$2:$N$1775,"=jan26",'Opportunities'!$P$2:$P$1775,"=1")</f>
        <v>0</v>
      </c>
      <c r="M112" s="4">
        <f>SUMIFS('Opportunities'!$H$2:$H$1775,'Opportunities'!$D$2:$D$1775,"=s_apac_in",'Opportunities'!$N$2:$N$1775,"=feb26",'Opportunities'!$P$2:$P$1775,"=1")</f>
        <v>89800</v>
      </c>
      <c r="N112" s="4">
        <f>SUMIFS('Opportunities'!$H$2:$H$1775,'Opportunities'!$D$2:$D$1775,"=s_apac_in",'Opportunities'!$N$2:$N$1775,"=mar26",'Opportunities'!$P$2:$P$1775,"=1")</f>
        <v>0</v>
      </c>
      <c r="O112" s="4">
        <f>SUMIFS('Opportunities'!$H$2:$H$1775,'Opportunities'!$D$2:$D$1775,"=s_apac_in",'Opportunities'!$N$2:$N$1775,"=apr26",'Opportunities'!$P$2:$P$1775,"=1")</f>
        <v>243700</v>
      </c>
      <c r="P112" s="4">
        <f>SUMIFS('Opportunities'!$H$2:$H$1775,'Opportunities'!$D$2:$D$1775,"=s_apac_in",'Opportunities'!$N$2:$N$1775,"=may26",'Opportunities'!$P$2:$P$1775,"=1")</f>
        <v>96400</v>
      </c>
      <c r="Q112" s="4">
        <f>SUMIFS('Opportunities'!$H$2:$H$1775,'Opportunities'!$D$2:$D$1775,"=s_apac_in",'Opportunities'!$N$2:$N$1775,"=jun26",'Opportunities'!$P$2:$P$1775,"=1")</f>
        <v>194200</v>
      </c>
      <c r="R112" s="4">
        <f>SUMIFS('Opportunities'!$H$2:$H$1775,'Opportunities'!$D$2:$D$1775,"=s_apac_in",'Opportunities'!$N$2:$N$1775,"=jul26",'Opportunities'!$P$2:$P$1775,"=1")</f>
        <v>18600</v>
      </c>
      <c r="S112" s="4">
        <f>SUMIFS('Opportunities'!$H$2:$H$1775,'Opportunities'!$D$2:$D$1775,"=s_apac_in",'Opportunities'!$N$2:$N$1775,"=aug26",'Opportunities'!$P$2:$P$1775,"=1")</f>
        <v>234800</v>
      </c>
      <c r="T112" s="4">
        <f>SUMIFS('Opportunities'!$H$2:$H$1775,'Opportunities'!$D$2:$D$1775,"=s_apac_in",'Opportunities'!$N$2:$N$1775,"=sep26",'Opportunities'!$P$2:$P$1775,"=1")</f>
        <v>48800</v>
      </c>
      <c r="U112" s="4">
        <f>SUMIFS('Opportunities'!$H$2:$H$1775,'Opportunities'!$D$2:$D$1775,"=s_apac_in",'Opportunities'!$N$2:$N$1775,"=oct26",'Opportunities'!$P$2:$P$1775,"=1")</f>
        <v>0</v>
      </c>
      <c r="V112" s="4">
        <f>SUMIFS('Opportunities'!$H$2:$H$1775,'Opportunities'!$D$2:$D$1775,"=s_apac_in",'Opportunities'!$N$2:$N$1775,"=nov26",'Opportunities'!$P$2:$P$1775,"=1")</f>
        <v>0</v>
      </c>
      <c r="W112" s="4">
        <f>SUMIFS('Opportunities'!$H$2:$H$1775,'Opportunities'!$D$2:$D$1775,"=s_apac_in",'Opportunities'!$N$2:$N$1775,"=dec26",'Opportunities'!$P$2:$P$1775,"=1")</f>
        <v>0</v>
      </c>
    </row>
    <row r="113">
      <c r="A113" s="0" t="inlineStr">
        <is>
          <t xml:space="preserve">Sourced bookings (closed this month)</t>
        </is>
      </c>
      <c r="B113" s="0" t="inlineStr">
        <is>
          <t xml:space="preserve">Wei Kowalski</t>
        </is>
      </c>
      <c r="C113" s="4">
        <f>SUMIFS('Opportunities'!$H$2:$H$1775,'Opportunities'!$D$2:$D$1775,"=s_apac_out",'Opportunities'!$N$2:$N$1775,"=apr25",'Opportunities'!$P$2:$P$1775,"=1")</f>
        <v>0</v>
      </c>
      <c r="D113" s="4">
        <f>SUMIFS('Opportunities'!$H$2:$H$1775,'Opportunities'!$D$2:$D$1775,"=s_apac_out",'Opportunities'!$N$2:$N$1775,"=may25",'Opportunities'!$P$2:$P$1775,"=1")</f>
        <v>48300</v>
      </c>
      <c r="E113" s="4">
        <f>SUMIFS('Opportunities'!$H$2:$H$1775,'Opportunities'!$D$2:$D$1775,"=s_apac_out",'Opportunities'!$N$2:$N$1775,"=jun25",'Opportunities'!$P$2:$P$1775,"=1")</f>
        <v>0</v>
      </c>
      <c r="F113" s="4">
        <f>SUMIFS('Opportunities'!$H$2:$H$1775,'Opportunities'!$D$2:$D$1775,"=s_apac_out",'Opportunities'!$N$2:$N$1775,"=jul25",'Opportunities'!$P$2:$P$1775,"=1")</f>
        <v>8000</v>
      </c>
      <c r="G113" s="4">
        <f>SUMIFS('Opportunities'!$H$2:$H$1775,'Opportunities'!$D$2:$D$1775,"=s_apac_out",'Opportunities'!$N$2:$N$1775,"=aug25",'Opportunities'!$P$2:$P$1775,"=1")</f>
        <v>27100</v>
      </c>
      <c r="H113" s="4">
        <f>SUMIFS('Opportunities'!$H$2:$H$1775,'Opportunities'!$D$2:$D$1775,"=s_apac_out",'Opportunities'!$N$2:$N$1775,"=sep25",'Opportunities'!$P$2:$P$1775,"=1")</f>
        <v>139700</v>
      </c>
      <c r="I113" s="4">
        <f>SUMIFS('Opportunities'!$H$2:$H$1775,'Opportunities'!$D$2:$D$1775,"=s_apac_out",'Opportunities'!$N$2:$N$1775,"=oct25",'Opportunities'!$P$2:$P$1775,"=1")</f>
        <v>32000</v>
      </c>
      <c r="J113" s="4">
        <f>SUMIFS('Opportunities'!$H$2:$H$1775,'Opportunities'!$D$2:$D$1775,"=s_apac_out",'Opportunities'!$N$2:$N$1775,"=nov25",'Opportunities'!$P$2:$P$1775,"=1")</f>
        <v>64300</v>
      </c>
      <c r="K113" s="4">
        <f>SUMIFS('Opportunities'!$H$2:$H$1775,'Opportunities'!$D$2:$D$1775,"=s_apac_out",'Opportunities'!$N$2:$N$1775,"=dec25",'Opportunities'!$P$2:$P$1775,"=1")</f>
        <v>157300</v>
      </c>
      <c r="L113" s="4">
        <f>SUMIFS('Opportunities'!$H$2:$H$1775,'Opportunities'!$D$2:$D$1775,"=s_apac_out",'Opportunities'!$N$2:$N$1775,"=jan26",'Opportunities'!$P$2:$P$1775,"=1")</f>
        <v>137200</v>
      </c>
      <c r="M113" s="4">
        <f>SUMIFS('Opportunities'!$H$2:$H$1775,'Opportunities'!$D$2:$D$1775,"=s_apac_out",'Opportunities'!$N$2:$N$1775,"=feb26",'Opportunities'!$P$2:$P$1775,"=1")</f>
        <v>7000</v>
      </c>
      <c r="N113" s="4">
        <f>SUMIFS('Opportunities'!$H$2:$H$1775,'Opportunities'!$D$2:$D$1775,"=s_apac_out",'Opportunities'!$N$2:$N$1775,"=mar26",'Opportunities'!$P$2:$P$1775,"=1")</f>
        <v>8900</v>
      </c>
      <c r="O113" s="4">
        <f>SUMIFS('Opportunities'!$H$2:$H$1775,'Opportunities'!$D$2:$D$1775,"=s_apac_out",'Opportunities'!$N$2:$N$1775,"=apr26",'Opportunities'!$P$2:$P$1775,"=1")</f>
        <v>0</v>
      </c>
      <c r="P113" s="4">
        <f>SUMIFS('Opportunities'!$H$2:$H$1775,'Opportunities'!$D$2:$D$1775,"=s_apac_out",'Opportunities'!$N$2:$N$1775,"=may26",'Opportunities'!$P$2:$P$1775,"=1")</f>
        <v>0</v>
      </c>
      <c r="Q113" s="4">
        <f>SUMIFS('Opportunities'!$H$2:$H$1775,'Opportunities'!$D$2:$D$1775,"=s_apac_out",'Opportunities'!$N$2:$N$1775,"=jun26",'Opportunities'!$P$2:$P$1775,"=1")</f>
        <v>65100</v>
      </c>
      <c r="R113" s="4">
        <f>SUMIFS('Opportunities'!$H$2:$H$1775,'Opportunities'!$D$2:$D$1775,"=s_apac_out",'Opportunities'!$N$2:$N$1775,"=jul26",'Opportunities'!$P$2:$P$1775,"=1")</f>
        <v>87500</v>
      </c>
      <c r="S113" s="4">
        <f>SUMIFS('Opportunities'!$H$2:$H$1775,'Opportunities'!$D$2:$D$1775,"=s_apac_out",'Opportunities'!$N$2:$N$1775,"=aug26",'Opportunities'!$P$2:$P$1775,"=1")</f>
        <v>0</v>
      </c>
      <c r="T113" s="4">
        <f>SUMIFS('Opportunities'!$H$2:$H$1775,'Opportunities'!$D$2:$D$1775,"=s_apac_out",'Opportunities'!$N$2:$N$1775,"=sep26",'Opportunities'!$P$2:$P$1775,"=1")</f>
        <v>49900</v>
      </c>
      <c r="U113" s="4">
        <f>SUMIFS('Opportunities'!$H$2:$H$1775,'Opportunities'!$D$2:$D$1775,"=s_apac_out",'Opportunities'!$N$2:$N$1775,"=oct26",'Opportunities'!$P$2:$P$1775,"=1")</f>
        <v>0</v>
      </c>
      <c r="V113" s="4">
        <f>SUMIFS('Opportunities'!$H$2:$H$1775,'Opportunities'!$D$2:$D$1775,"=s_apac_out",'Opportunities'!$N$2:$N$1775,"=nov26",'Opportunities'!$P$2:$P$1775,"=1")</f>
        <v>0</v>
      </c>
      <c r="W113" s="4">
        <f>SUMIFS('Opportunities'!$H$2:$H$1775,'Opportunities'!$D$2:$D$1775,"=s_apac_out",'Opportunities'!$N$2:$N$1775,"=dec26",'Opportunities'!$P$2:$P$1775,"=1")</f>
        <v>0</v>
      </c>
    </row>
    <row r="114">
      <c r="A114" s="0" t="inlineStr">
        <is>
          <t xml:space="preserve">Pipeline per SQL</t>
        </is>
      </c>
      <c r="B114" s="0" t="inlineStr">
        <is>
          <t xml:space="preserve">Zara Kowalski</t>
        </is>
      </c>
      <c r="C114" s="8">
        <f>IFERROR((C98/C42),0)</f>
        <v>43068.75</v>
      </c>
      <c r="D114" s="8">
        <f>IFERROR((D98/D42),0)</f>
        <v>25566.666666666668</v>
      </c>
      <c r="E114" s="8">
        <f>IFERROR((E98/E42),0)</f>
        <v>51707.40740740741</v>
      </c>
      <c r="F114" s="8">
        <f>IFERROR((F98/F42),0)</f>
        <v>25411.764705882353</v>
      </c>
      <c r="G114" s="8">
        <f>IFERROR((G98/G42),0)</f>
        <v>52250</v>
      </c>
      <c r="H114" s="8">
        <f>IFERROR((H98/H42),0)</f>
        <v>67000</v>
      </c>
      <c r="I114" s="8">
        <f>IFERROR((I98/I42),0)</f>
        <v>62844.444444444445</v>
      </c>
      <c r="J114" s="8">
        <f>IFERROR((J98/J42),0)</f>
        <v>22681.81818181818</v>
      </c>
      <c r="K114" s="8">
        <f>IFERROR((K98/K42),0)</f>
        <v>42656.25</v>
      </c>
      <c r="L114" s="8">
        <f>IFERROR((L98/L42),0)</f>
        <v>51093.333333333336</v>
      </c>
      <c r="M114" s="8">
        <f>IFERROR((M98/M42),0)</f>
        <v>37600</v>
      </c>
      <c r="N114" s="8">
        <f>IFERROR((N98/N42),0)</f>
        <v>30112.5</v>
      </c>
      <c r="O114" s="8">
        <f>IFERROR((O98/O42),0)</f>
        <v>35589.28571428572</v>
      </c>
      <c r="P114" s="8">
        <f>IFERROR((P98/P42),0)</f>
        <v>74728.57142857143</v>
      </c>
      <c r="Q114" s="8">
        <f>IFERROR((Q98/Q42),0)</f>
        <v>47687.5</v>
      </c>
      <c r="R114" s="8">
        <f>IFERROR((R98/R42),0)</f>
        <v>32850</v>
      </c>
      <c r="S114" s="8">
        <f>IFERROR((S98/S42),0)</f>
        <v>69678.94736842105</v>
      </c>
      <c r="T114" s="8">
        <f>IFERROR((T98/T42),0)</f>
        <v>59584.21052631579</v>
      </c>
      <c r="U114" s="8">
        <f>IFERROR((U98/U42),0)</f>
        <v>0</v>
      </c>
      <c r="V114" s="8">
        <f>IFERROR((V98/V42),0)</f>
        <v>0</v>
      </c>
      <c r="W114" s="8">
        <f>IFERROR((W98/W42),0)</f>
        <v>0</v>
      </c>
    </row>
    <row r="115">
      <c r="A115" s="0" t="inlineStr">
        <is>
          <t xml:space="preserve">Pipeline per SQL</t>
        </is>
      </c>
      <c r="B115" s="0" t="inlineStr">
        <is>
          <t xml:space="preserve">Kenji Kowalski</t>
        </is>
      </c>
      <c r="C115" s="8">
        <f>IFERROR((C99/C43),0)</f>
        <v>59225</v>
      </c>
      <c r="D115" s="8">
        <f>IFERROR((D99/D43),0)</f>
        <v>91000</v>
      </c>
      <c r="E115" s="8">
        <f>IFERROR((E99/E43),0)</f>
        <v>15400</v>
      </c>
      <c r="F115" s="8">
        <f>IFERROR((F99/F43),0)</f>
        <v>50028.57142857143</v>
      </c>
      <c r="G115" s="8">
        <f>IFERROR((G99/G43),0)</f>
        <v>20466.666666666668</v>
      </c>
      <c r="H115" s="8">
        <f>IFERROR((H99/H43),0)</f>
        <v>38700</v>
      </c>
      <c r="I115" s="8">
        <f>IFERROR((I99/I43),0)</f>
        <v>15450</v>
      </c>
      <c r="J115" s="8">
        <f>IFERROR((J99/J43),0)</f>
        <v>78300</v>
      </c>
      <c r="K115" s="8">
        <f>IFERROR((K99/K43),0)</f>
        <v>69300</v>
      </c>
      <c r="L115" s="8">
        <f>IFERROR((L99/L43),0)</f>
        <v>39600</v>
      </c>
      <c r="M115" s="8">
        <f>IFERROR((M99/M43),0)</f>
        <v>130500</v>
      </c>
      <c r="N115" s="8">
        <f>IFERROR((N99/N43),0)</f>
        <v>48700</v>
      </c>
      <c r="O115" s="8">
        <f>IFERROR((O99/O43),0)</f>
        <v>29540</v>
      </c>
      <c r="P115" s="8">
        <f>IFERROR((P99/P43),0)</f>
        <v>17600</v>
      </c>
      <c r="Q115" s="8">
        <f>IFERROR((Q99/Q43),0)</f>
        <v>65050</v>
      </c>
      <c r="R115" s="8">
        <f>IFERROR((R99/R43),0)</f>
        <v>23900</v>
      </c>
      <c r="S115" s="8">
        <f>IFERROR((S99/S43),0)</f>
        <v>21300</v>
      </c>
      <c r="T115" s="8">
        <f>IFERROR((T99/T43),0)</f>
        <v>17500</v>
      </c>
      <c r="U115" s="8">
        <f>IFERROR((U99/U43),0)</f>
        <v>0</v>
      </c>
      <c r="V115" s="8">
        <f>IFERROR((V99/V43),0)</f>
        <v>0</v>
      </c>
      <c r="W115" s="8">
        <f>IFERROR((W99/W43),0)</f>
        <v>0</v>
      </c>
    </row>
    <row r="116">
      <c r="A116" s="0" t="inlineStr">
        <is>
          <t xml:space="preserve">Pipeline per SQL</t>
        </is>
      </c>
      <c r="B116" s="0" t="inlineStr">
        <is>
          <t xml:space="preserve">Marcus Nair</t>
        </is>
      </c>
      <c r="C116" s="8">
        <f>IFERROR((C100/C44),0)</f>
        <v>27807.14285714286</v>
      </c>
      <c r="D116" s="8">
        <f>IFERROR((D100/D44),0)</f>
        <v>21925</v>
      </c>
      <c r="E116" s="8">
        <f>IFERROR((E100/E44),0)</f>
        <v>29000</v>
      </c>
      <c r="F116" s="8">
        <f>IFERROR((F100/F44),0)</f>
        <v>16027.272727272728</v>
      </c>
      <c r="G116" s="8">
        <f>IFERROR((G100/G44),0)</f>
        <v>36081.818181818184</v>
      </c>
      <c r="H116" s="8">
        <f>IFERROR((H100/H44),0)</f>
        <v>16213.333333333334</v>
      </c>
      <c r="I116" s="8">
        <f>IFERROR((I100/I44),0)</f>
        <v>122000</v>
      </c>
      <c r="J116" s="8">
        <f>IFERROR((J100/J44),0)</f>
        <v>115825</v>
      </c>
      <c r="K116" s="8">
        <f>IFERROR((K100/K44),0)</f>
        <v>36823.529411764706</v>
      </c>
      <c r="L116" s="8">
        <f>IFERROR((L100/L44),0)</f>
        <v>42720</v>
      </c>
      <c r="M116" s="8">
        <f>IFERROR((M100/M44),0)</f>
        <v>94035.71428571429</v>
      </c>
      <c r="N116" s="8">
        <f>IFERROR((N100/N44),0)</f>
        <v>40233.333333333336</v>
      </c>
      <c r="O116" s="8">
        <f>IFERROR((O100/O44),0)</f>
        <v>68500</v>
      </c>
      <c r="P116" s="8">
        <f>IFERROR((P100/P44),0)</f>
        <v>53684.61538461538</v>
      </c>
      <c r="Q116" s="8">
        <f>IFERROR((Q100/Q44),0)</f>
        <v>50780.95238095238</v>
      </c>
      <c r="R116" s="8">
        <f>IFERROR((R100/R44),0)</f>
        <v>39727.27272727273</v>
      </c>
      <c r="S116" s="8">
        <f>IFERROR((S100/S44),0)</f>
        <v>29018.18181818182</v>
      </c>
      <c r="T116" s="8">
        <f>IFERROR((T100/T44),0)</f>
        <v>15181.25</v>
      </c>
      <c r="U116" s="8">
        <f>IFERROR((U100/U44),0)</f>
        <v>0</v>
      </c>
      <c r="V116" s="8">
        <f>IFERROR((V100/V44),0)</f>
        <v>0</v>
      </c>
      <c r="W116" s="8">
        <f>IFERROR((W100/W44),0)</f>
        <v>0</v>
      </c>
    </row>
    <row r="117">
      <c r="A117" s="0" t="inlineStr">
        <is>
          <t xml:space="preserve">Pipeline per SQL</t>
        </is>
      </c>
      <c r="B117" s="0" t="inlineStr">
        <is>
          <t xml:space="preserve">Yuki Rahman</t>
        </is>
      </c>
      <c r="C117" s="8">
        <f>IFERROR((C101/C45),0)</f>
        <v>86200</v>
      </c>
      <c r="D117" s="8">
        <f>IFERROR((D101/D45),0)</f>
        <v>62508.333333333336</v>
      </c>
      <c r="E117" s="8">
        <f>IFERROR((E101/E45),0)</f>
        <v>28066.666666666668</v>
      </c>
      <c r="F117" s="8">
        <f>IFERROR((F101/F45),0)</f>
        <v>21250</v>
      </c>
      <c r="G117" s="8">
        <f>IFERROR((G101/G45),0)</f>
        <v>28650</v>
      </c>
      <c r="H117" s="8">
        <f>IFERROR((H101/H45),0)</f>
        <v>60940</v>
      </c>
      <c r="I117" s="8">
        <f>IFERROR((I101/I45),0)</f>
        <v>15300</v>
      </c>
      <c r="J117" s="8">
        <f>IFERROR((J101/J45),0)</f>
        <v>46200</v>
      </c>
      <c r="K117" s="8">
        <f>IFERROR((K101/K45),0)</f>
        <v>33942.857142857145</v>
      </c>
      <c r="L117" s="8">
        <f>IFERROR((L101/L45),0)</f>
        <v>49500</v>
      </c>
      <c r="M117" s="8">
        <f>IFERROR((M101/M45),0)</f>
        <v>77750</v>
      </c>
      <c r="N117" s="8">
        <f>IFERROR((N101/N45),0)</f>
        <v>69075</v>
      </c>
      <c r="O117" s="8">
        <f>IFERROR((O101/O45),0)</f>
        <v>18733.333333333332</v>
      </c>
      <c r="P117" s="8">
        <f>IFERROR((P101/P45),0)</f>
        <v>69375</v>
      </c>
      <c r="Q117" s="8">
        <f>IFERROR((Q101/Q45),0)</f>
        <v>44740</v>
      </c>
      <c r="R117" s="8">
        <f>IFERROR((R101/R45),0)</f>
        <v>26600</v>
      </c>
      <c r="S117" s="8">
        <f>IFERROR((S101/S45),0)</f>
        <v>23716.666666666668</v>
      </c>
      <c r="T117" s="8">
        <f>IFERROR((T101/T45),0)</f>
        <v>3083.3333333333335</v>
      </c>
      <c r="U117" s="8">
        <f>IFERROR((U101/U45),0)</f>
        <v>0</v>
      </c>
      <c r="V117" s="8">
        <f>IFERROR((V101/V45),0)</f>
        <v>0</v>
      </c>
      <c r="W117" s="8">
        <f>IFERROR((W101/W45),0)</f>
        <v>0</v>
      </c>
    </row>
    <row r="118">
      <c r="A118" s="0" t="inlineStr">
        <is>
          <t xml:space="preserve">Pipeline per SQL</t>
        </is>
      </c>
      <c r="B118" s="0" t="inlineStr">
        <is>
          <t xml:space="preserve">Chloe Patel</t>
        </is>
      </c>
      <c r="C118" s="8">
        <f>IFERROR((C102/C46),0)</f>
        <v>41485.71428571428</v>
      </c>
      <c r="D118" s="8">
        <f>IFERROR((D102/D46),0)</f>
        <v>37918.75</v>
      </c>
      <c r="E118" s="8">
        <f>IFERROR((E102/E46),0)</f>
        <v>53156.25</v>
      </c>
      <c r="F118" s="8">
        <f>IFERROR((F102/F46),0)</f>
        <v>61453.333333333336</v>
      </c>
      <c r="G118" s="8">
        <f>IFERROR((G102/G46),0)</f>
        <v>41411.11111111111</v>
      </c>
      <c r="H118" s="8">
        <f>IFERROR((H102/H46),0)</f>
        <v>21788.88888888889</v>
      </c>
      <c r="I118" s="8">
        <f>IFERROR((I102/I46),0)</f>
        <v>64966.666666666664</v>
      </c>
      <c r="J118" s="8">
        <f>IFERROR((J102/J46),0)</f>
        <v>32635.29411764706</v>
      </c>
      <c r="K118" s="8">
        <f>IFERROR((K102/K46),0)</f>
        <v>37206.666666666664</v>
      </c>
      <c r="L118" s="8">
        <f>IFERROR((L102/L46),0)</f>
        <v>32689.473684210527</v>
      </c>
      <c r="M118" s="8">
        <f>IFERROR((M102/M46),0)</f>
        <v>16745.454545454544</v>
      </c>
      <c r="N118" s="8">
        <f>IFERROR((N102/N46),0)</f>
        <v>17538.46153846154</v>
      </c>
      <c r="O118" s="8">
        <f>IFERROR((O102/O46),0)</f>
        <v>40606.25</v>
      </c>
      <c r="P118" s="8">
        <f>IFERROR((P102/P46),0)</f>
        <v>21311.11111111111</v>
      </c>
      <c r="Q118" s="8">
        <f>IFERROR((Q102/Q46),0)</f>
        <v>45433.333333333336</v>
      </c>
      <c r="R118" s="8">
        <f>IFERROR((R102/R46),0)</f>
        <v>54838.46153846154</v>
      </c>
      <c r="S118" s="8">
        <f>IFERROR((S102/S46),0)</f>
        <v>43671.42857142857</v>
      </c>
      <c r="T118" s="8">
        <f>IFERROR((T102/T46),0)</f>
        <v>32725</v>
      </c>
      <c r="U118" s="8">
        <f>IFERROR((U102/U46),0)</f>
        <v>0</v>
      </c>
      <c r="V118" s="8">
        <f>IFERROR((V102/V46),0)</f>
        <v>0</v>
      </c>
      <c r="W118" s="8">
        <f>IFERROR((W102/W46),0)</f>
        <v>0</v>
      </c>
    </row>
    <row r="119">
      <c r="A119" s="0" t="inlineStr">
        <is>
          <t xml:space="preserve">Pipeline per SQL</t>
        </is>
      </c>
      <c r="B119" s="0" t="inlineStr">
        <is>
          <t xml:space="preserve">Samuel Kowalski</t>
        </is>
      </c>
      <c r="C119" s="8">
        <f>IFERROR((C103/C47),0)</f>
        <v>29766.666666666668</v>
      </c>
      <c r="D119" s="8">
        <f>IFERROR((D103/D47),0)</f>
        <v>37171.42857142857</v>
      </c>
      <c r="E119" s="8">
        <f>IFERROR((E103/E47),0)</f>
        <v>46785.71428571428</v>
      </c>
      <c r="F119" s="8">
        <f>IFERROR((F103/F47),0)</f>
        <v>61733.333333333336</v>
      </c>
      <c r="G119" s="8">
        <f>IFERROR((G103/G47),0)</f>
        <v>116225</v>
      </c>
      <c r="H119" s="8">
        <f>IFERROR((H103/H47),0)</f>
        <v>68020</v>
      </c>
      <c r="I119" s="8">
        <f>IFERROR((I103/I47),0)</f>
        <v>19820</v>
      </c>
      <c r="J119" s="8">
        <f>IFERROR((J103/J47),0)</f>
        <v>22233.333333333332</v>
      </c>
      <c r="K119" s="8">
        <f>IFERROR((K103/K47),0)</f>
        <v>26500</v>
      </c>
      <c r="L119" s="8">
        <f>IFERROR((L103/L47),0)</f>
        <v>42766.666666666664</v>
      </c>
      <c r="M119" s="8">
        <f>IFERROR((M103/M47),0)</f>
        <v>61075</v>
      </c>
      <c r="N119" s="8">
        <f>IFERROR((N103/N47),0)</f>
        <v>18300</v>
      </c>
      <c r="O119" s="8">
        <f>IFERROR((O103/O47),0)</f>
        <v>28050</v>
      </c>
      <c r="P119" s="8">
        <f>IFERROR((P103/P47),0)</f>
        <v>75742.85714285714</v>
      </c>
      <c r="Q119" s="8">
        <f>IFERROR((Q103/Q47),0)</f>
        <v>74833.33333333333</v>
      </c>
      <c r="R119" s="8">
        <f>IFERROR((R103/R47),0)</f>
        <v>8025</v>
      </c>
      <c r="S119" s="8">
        <f>IFERROR((S103/S47),0)</f>
        <v>24680</v>
      </c>
      <c r="T119" s="8">
        <f>IFERROR((T103/T47),0)</f>
        <v>0</v>
      </c>
      <c r="U119" s="8">
        <f>IFERROR((U103/U47),0)</f>
        <v>0</v>
      </c>
      <c r="V119" s="8">
        <f>IFERROR((V103/V47),0)</f>
        <v>0</v>
      </c>
      <c r="W119" s="8">
        <f>IFERROR((W103/W47),0)</f>
        <v>0</v>
      </c>
    </row>
    <row r="120">
      <c r="A120" s="0" t="inlineStr">
        <is>
          <t xml:space="preserve">Pipeline per SQL</t>
        </is>
      </c>
      <c r="B120" s="0" t="inlineStr">
        <is>
          <t xml:space="preserve">Rafael Ivanova</t>
        </is>
      </c>
      <c r="C120" s="8">
        <f>IFERROR((C104/C48),0)</f>
        <v>28233.333333333332</v>
      </c>
      <c r="D120" s="8">
        <f>IFERROR((D104/D48),0)</f>
        <v>55133.333333333336</v>
      </c>
      <c r="E120" s="8">
        <f>IFERROR((E104/E48),0)</f>
        <v>38800</v>
      </c>
      <c r="F120" s="8">
        <f>IFERROR((F104/F48),0)</f>
        <v>37745.454545454544</v>
      </c>
      <c r="G120" s="8">
        <f>IFERROR((G104/G48),0)</f>
        <v>27622.222222222223</v>
      </c>
      <c r="H120" s="8">
        <f>IFERROR((H104/H48),0)</f>
        <v>62287.5</v>
      </c>
      <c r="I120" s="8">
        <f>IFERROR((I104/I48),0)</f>
        <v>24800</v>
      </c>
      <c r="J120" s="8">
        <f>IFERROR((J104/J48),0)</f>
        <v>15800</v>
      </c>
      <c r="K120" s="8">
        <f>IFERROR((K104/K48),0)</f>
        <v>18166.666666666668</v>
      </c>
      <c r="L120" s="8">
        <f>IFERROR((L104/L48),0)</f>
        <v>136766.66666666666</v>
      </c>
      <c r="M120" s="8">
        <f>IFERROR((M104/M48),0)</f>
        <v>34050</v>
      </c>
      <c r="N120" s="8">
        <f>IFERROR((N104/N48),0)</f>
        <v>59705.882352941175</v>
      </c>
      <c r="O120" s="8">
        <f>IFERROR((O104/O48),0)</f>
        <v>41683.333333333336</v>
      </c>
      <c r="P120" s="8">
        <f>IFERROR((P104/P48),0)</f>
        <v>26366.666666666668</v>
      </c>
      <c r="Q120" s="8">
        <f>IFERROR((Q104/Q48),0)</f>
        <v>57016.666666666664</v>
      </c>
      <c r="R120" s="8">
        <f>IFERROR((R104/R48),0)</f>
        <v>42100</v>
      </c>
      <c r="S120" s="8">
        <f>IFERROR((S104/S48),0)</f>
        <v>73600</v>
      </c>
      <c r="T120" s="8">
        <f>IFERROR((T104/T48),0)</f>
        <v>31020</v>
      </c>
      <c r="U120" s="8">
        <f>IFERROR((U104/U48),0)</f>
        <v>0</v>
      </c>
      <c r="V120" s="8">
        <f>IFERROR((V104/V48),0)</f>
        <v>0</v>
      </c>
      <c r="W120" s="8">
        <f>IFERROR((W104/W48),0)</f>
        <v>0</v>
      </c>
    </row>
    <row r="121">
      <c r="A121" s="0" t="inlineStr">
        <is>
          <t xml:space="preserve">Pipeline per SQL</t>
        </is>
      </c>
      <c r="B121" s="0" t="inlineStr">
        <is>
          <t xml:space="preserve">Wei Kowalski</t>
        </is>
      </c>
      <c r="C121" s="8">
        <f>IFERROR((C105/C49),0)</f>
        <v>34266.666666666664</v>
      </c>
      <c r="D121" s="8">
        <f>IFERROR((D105/D49),0)</f>
        <v>46883.333333333336</v>
      </c>
      <c r="E121" s="8">
        <f>IFERROR((E105/E49),0)</f>
        <v>72300</v>
      </c>
      <c r="F121" s="8">
        <f>IFERROR((F105/F49),0)</f>
        <v>60400</v>
      </c>
      <c r="G121" s="8">
        <f>IFERROR((G105/G49),0)</f>
        <v>92933.33333333333</v>
      </c>
      <c r="H121" s="8">
        <f>IFERROR((H105/H49),0)</f>
        <v>76100</v>
      </c>
      <c r="I121" s="8">
        <f>IFERROR((I105/I49),0)</f>
        <v>34600</v>
      </c>
      <c r="J121" s="8">
        <f>IFERROR((J105/J49),0)</f>
        <v>31442.85714285714</v>
      </c>
      <c r="K121" s="8">
        <f>IFERROR((K105/K49),0)</f>
        <v>31300</v>
      </c>
      <c r="L121" s="8">
        <f>IFERROR((L105/L49),0)</f>
        <v>25325</v>
      </c>
      <c r="M121" s="8">
        <f>IFERROR((M105/M49),0)</f>
        <v>41875</v>
      </c>
      <c r="N121" s="8">
        <f>IFERROR((N105/N49),0)</f>
        <v>93514.28571428571</v>
      </c>
      <c r="O121" s="8">
        <f>IFERROR((O105/O49),0)</f>
        <v>44450</v>
      </c>
      <c r="P121" s="8">
        <f>IFERROR((P105/P49),0)</f>
        <v>60950</v>
      </c>
      <c r="Q121" s="8">
        <f>IFERROR((Q105/Q49),0)</f>
        <v>56985.71428571428</v>
      </c>
      <c r="R121" s="8">
        <f>IFERROR((R105/R49),0)</f>
        <v>20840</v>
      </c>
      <c r="S121" s="8">
        <f>IFERROR((S105/S49),0)</f>
        <v>48300</v>
      </c>
      <c r="T121" s="8">
        <f>IFERROR((T105/T49),0)</f>
        <v>55775</v>
      </c>
      <c r="U121" s="8">
        <f>IFERROR((U105/U49),0)</f>
        <v>0</v>
      </c>
      <c r="V121" s="8">
        <f>IFERROR((V105/V49),0)</f>
        <v>0</v>
      </c>
      <c r="W121" s="8">
        <f>IFERROR((W105/W49),0)</f>
        <v>0</v>
      </c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cols>
    <col min="1" max="1" width="18" customWidth="1"/>
    <col min="2" max="2" width="3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</cols>
  <sheetData>
    <row r="1">
      <c r="A1" s="1" t="inlineStr">
        <is>
          <t xml:space="preserve">line</t>
        </is>
      </c>
      <c r="B1" s="1" t="inlineStr">
        <is>
          <t xml:space="preserve">rep</t>
        </is>
      </c>
      <c r="C1" s="1" t="inlineStr">
        <is>
          <t xml:space="preserve">Apr-25</t>
        </is>
      </c>
      <c r="D1" s="1" t="inlineStr">
        <is>
          <t xml:space="preserve">May-25</t>
        </is>
      </c>
      <c r="E1" s="1" t="inlineStr">
        <is>
          <t xml:space="preserve">Jun-25</t>
        </is>
      </c>
      <c r="F1" s="1" t="inlineStr">
        <is>
          <t xml:space="preserve">Jul-25</t>
        </is>
      </c>
      <c r="G1" s="1" t="inlineStr">
        <is>
          <t xml:space="preserve">Aug-25</t>
        </is>
      </c>
      <c r="H1" s="1" t="inlineStr">
        <is>
          <t xml:space="preserve">Sep-25</t>
        </is>
      </c>
      <c r="I1" s="1" t="inlineStr">
        <is>
          <t xml:space="preserve">Oct-25</t>
        </is>
      </c>
      <c r="J1" s="1" t="inlineStr">
        <is>
          <t xml:space="preserve">Nov-25</t>
        </is>
      </c>
      <c r="K1" s="1" t="inlineStr">
        <is>
          <t xml:space="preserve">Dec-25</t>
        </is>
      </c>
      <c r="L1" s="1" t="inlineStr">
        <is>
          <t xml:space="preserve">Jan-26</t>
        </is>
      </c>
      <c r="M1" s="1" t="inlineStr">
        <is>
          <t xml:space="preserve">Feb-26</t>
        </is>
      </c>
      <c r="N1" s="1" t="inlineStr">
        <is>
          <t xml:space="preserve">Mar-26</t>
        </is>
      </c>
      <c r="O1" s="1" t="inlineStr">
        <is>
          <t xml:space="preserve">Apr-26</t>
        </is>
      </c>
      <c r="P1" s="1" t="inlineStr">
        <is>
          <t xml:space="preserve">May-26</t>
        </is>
      </c>
      <c r="Q1" s="1" t="inlineStr">
        <is>
          <t xml:space="preserve">Jun-26</t>
        </is>
      </c>
      <c r="R1" s="1" t="inlineStr">
        <is>
          <t xml:space="preserve">Jul-26</t>
        </is>
      </c>
      <c r="S1" s="1" t="inlineStr">
        <is>
          <t xml:space="preserve">Aug-26</t>
        </is>
      </c>
      <c r="T1" s="1" t="inlineStr">
        <is>
          <t xml:space="preserve">Sep-26</t>
        </is>
      </c>
      <c r="U1" s="1" t="inlineStr">
        <is>
          <t xml:space="preserve">Oct-26</t>
        </is>
      </c>
      <c r="V1" s="1" t="inlineStr">
        <is>
          <t xml:space="preserve">Nov-26</t>
        </is>
      </c>
      <c r="W1" s="1" t="inlineStr">
        <is>
          <t xml:space="preserve">Dec-26</t>
        </is>
      </c>
    </row>
    <row r="2">
      <c r="A2" s="0" t="inlineStr">
        <is>
          <t xml:space="preserve">Bookings</t>
        </is>
      </c>
      <c r="B2" s="0" t="inlineStr">
        <is>
          <t xml:space="preserve">Noor Ortiz</t>
        </is>
      </c>
      <c r="C2" s="4">
        <f>SUMIFS('Opportunities'!$H$2:$H$1775,'Opportunities'!$C$2:$C$1775,"=r01",'Opportunities'!$N$2:$N$1775,"=apr25",'Opportunities'!$P$2:$P$1775,"=1")</f>
        <v>0</v>
      </c>
      <c r="D2" s="4">
        <f>SUMIFS('Opportunities'!$H$2:$H$1775,'Opportunities'!$C$2:$C$1775,"=r01",'Opportunities'!$N$2:$N$1775,"=may25",'Opportunities'!$P$2:$P$1775,"=1")</f>
        <v>0</v>
      </c>
      <c r="E2" s="4">
        <f>SUMIFS('Opportunities'!$H$2:$H$1775,'Opportunities'!$C$2:$C$1775,"=r01",'Opportunities'!$N$2:$N$1775,"=jun25",'Opportunities'!$P$2:$P$1775,"=1")</f>
        <v>0</v>
      </c>
      <c r="F2" s="4">
        <f>SUMIFS('Opportunities'!$H$2:$H$1775,'Opportunities'!$C$2:$C$1775,"=r01",'Opportunities'!$N$2:$N$1775,"=jul25",'Opportunities'!$P$2:$P$1775,"=1")</f>
        <v>0</v>
      </c>
      <c r="G2" s="4">
        <f>SUMIFS('Opportunities'!$H$2:$H$1775,'Opportunities'!$C$2:$C$1775,"=r01",'Opportunities'!$N$2:$N$1775,"=aug25",'Opportunities'!$P$2:$P$1775,"=1")</f>
        <v>0</v>
      </c>
      <c r="H2" s="4">
        <f>SUMIFS('Opportunities'!$H$2:$H$1775,'Opportunities'!$C$2:$C$1775,"=r01",'Opportunities'!$N$2:$N$1775,"=sep25",'Opportunities'!$P$2:$P$1775,"=1")</f>
        <v>0</v>
      </c>
      <c r="I2" s="4">
        <f>SUMIFS('Opportunities'!$H$2:$H$1775,'Opportunities'!$C$2:$C$1775,"=r01",'Opportunities'!$N$2:$N$1775,"=oct25",'Opportunities'!$P$2:$P$1775,"=1")</f>
        <v>0</v>
      </c>
      <c r="J2" s="4">
        <f>SUMIFS('Opportunities'!$H$2:$H$1775,'Opportunities'!$C$2:$C$1775,"=r01",'Opportunities'!$N$2:$N$1775,"=nov25",'Opportunities'!$P$2:$P$1775,"=1")</f>
        <v>94300</v>
      </c>
      <c r="K2" s="4">
        <f>SUMIFS('Opportunities'!$H$2:$H$1775,'Opportunities'!$C$2:$C$1775,"=r01",'Opportunities'!$N$2:$N$1775,"=dec25",'Opportunities'!$P$2:$P$1775,"=1")</f>
        <v>106900</v>
      </c>
      <c r="L2" s="4">
        <f>SUMIFS('Opportunities'!$H$2:$H$1775,'Opportunities'!$C$2:$C$1775,"=r01",'Opportunities'!$N$2:$N$1775,"=jan26",'Opportunities'!$P$2:$P$1775,"=1")</f>
        <v>0</v>
      </c>
      <c r="M2" s="4">
        <f>SUMIFS('Opportunities'!$H$2:$H$1775,'Opportunities'!$C$2:$C$1775,"=r01",'Opportunities'!$N$2:$N$1775,"=feb26",'Opportunities'!$P$2:$P$1775,"=1")</f>
        <v>0</v>
      </c>
      <c r="N2" s="4">
        <f>SUMIFS('Opportunities'!$H$2:$H$1775,'Opportunities'!$C$2:$C$1775,"=r01",'Opportunities'!$N$2:$N$1775,"=mar26",'Opportunities'!$P$2:$P$1775,"=1")</f>
        <v>505900</v>
      </c>
      <c r="O2" s="4">
        <f>SUMIFS('Opportunities'!$H$2:$H$1775,'Opportunities'!$C$2:$C$1775,"=r01",'Opportunities'!$N$2:$N$1775,"=apr26",'Opportunities'!$P$2:$P$1775,"=1")</f>
        <v>0</v>
      </c>
      <c r="P2" s="4">
        <f>SUMIFS('Opportunities'!$H$2:$H$1775,'Opportunities'!$C$2:$C$1775,"=r01",'Opportunities'!$N$2:$N$1775,"=may26",'Opportunities'!$P$2:$P$1775,"=1")</f>
        <v>127500</v>
      </c>
      <c r="Q2" s="4">
        <f>SUMIFS('Opportunities'!$H$2:$H$1775,'Opportunities'!$C$2:$C$1775,"=r01",'Opportunities'!$N$2:$N$1775,"=jun26",'Opportunities'!$P$2:$P$1775,"=1")</f>
        <v>309200</v>
      </c>
      <c r="R2" s="4">
        <f>SUMIFS('Opportunities'!$H$2:$H$1775,'Opportunities'!$C$2:$C$1775,"=r01",'Opportunities'!$N$2:$N$1775,"=jul26",'Opportunities'!$P$2:$P$1775,"=1")</f>
        <v>76800</v>
      </c>
      <c r="S2" s="4">
        <f>SUMIFS('Opportunities'!$H$2:$H$1775,'Opportunities'!$C$2:$C$1775,"=r01",'Opportunities'!$N$2:$N$1775,"=aug26",'Opportunities'!$P$2:$P$1775,"=1")</f>
        <v>61800</v>
      </c>
      <c r="T2" s="4">
        <f>SUMIFS('Opportunities'!$H$2:$H$1775,'Opportunities'!$C$2:$C$1775,"=r01",'Opportunities'!$N$2:$N$1775,"=sep26",'Opportunities'!$P$2:$P$1775,"=1")</f>
        <v>0</v>
      </c>
      <c r="U2" s="4">
        <f>SUMIFS('Opportunities'!$H$2:$H$1775,'Opportunities'!$C$2:$C$1775,"=r01",'Opportunities'!$N$2:$N$1775,"=oct26",'Opportunities'!$P$2:$P$1775,"=1")</f>
        <v>0</v>
      </c>
      <c r="V2" s="4">
        <f>SUMIFS('Opportunities'!$H$2:$H$1775,'Opportunities'!$C$2:$C$1775,"=r01",'Opportunities'!$N$2:$N$1775,"=nov26",'Opportunities'!$P$2:$P$1775,"=1")</f>
        <v>0</v>
      </c>
      <c r="W2" s="4">
        <f>SUMIFS('Opportunities'!$H$2:$H$1775,'Opportunities'!$C$2:$C$1775,"=r01",'Opportunities'!$N$2:$N$1775,"=dec26",'Opportunities'!$P$2:$P$1775,"=1")</f>
        <v>0</v>
      </c>
    </row>
    <row r="3">
      <c r="A3" s="0" t="inlineStr">
        <is>
          <t xml:space="preserve">Bookings</t>
        </is>
      </c>
      <c r="B3" s="0" t="inlineStr">
        <is>
          <t xml:space="preserve">Priya Yilmaz</t>
        </is>
      </c>
      <c r="C3" s="4">
        <f>SUMIFS('Opportunities'!$H$2:$H$1775,'Opportunities'!$C$2:$C$1775,"=r02",'Opportunities'!$N$2:$N$1775,"=apr25",'Opportunities'!$P$2:$P$1775,"=1")</f>
        <v>0</v>
      </c>
      <c r="D3" s="4">
        <f>SUMIFS('Opportunities'!$H$2:$H$1775,'Opportunities'!$C$2:$C$1775,"=r02",'Opportunities'!$N$2:$N$1775,"=may25",'Opportunities'!$P$2:$P$1775,"=1")</f>
        <v>0</v>
      </c>
      <c r="E3" s="4">
        <f>SUMIFS('Opportunities'!$H$2:$H$1775,'Opportunities'!$C$2:$C$1775,"=r02",'Opportunities'!$N$2:$N$1775,"=jun25",'Opportunities'!$P$2:$P$1775,"=1")</f>
        <v>0</v>
      </c>
      <c r="F3" s="4">
        <f>SUMIFS('Opportunities'!$H$2:$H$1775,'Opportunities'!$C$2:$C$1775,"=r02",'Opportunities'!$N$2:$N$1775,"=jul25",'Opportunities'!$P$2:$P$1775,"=1")</f>
        <v>0</v>
      </c>
      <c r="G3" s="4">
        <f>SUMIFS('Opportunities'!$H$2:$H$1775,'Opportunities'!$C$2:$C$1775,"=r02",'Opportunities'!$N$2:$N$1775,"=aug25",'Opportunities'!$P$2:$P$1775,"=1")</f>
        <v>0</v>
      </c>
      <c r="H3" s="4">
        <f>SUMIFS('Opportunities'!$H$2:$H$1775,'Opportunities'!$C$2:$C$1775,"=r02",'Opportunities'!$N$2:$N$1775,"=sep25",'Opportunities'!$P$2:$P$1775,"=1")</f>
        <v>0</v>
      </c>
      <c r="I3" s="4">
        <f>SUMIFS('Opportunities'!$H$2:$H$1775,'Opportunities'!$C$2:$C$1775,"=r02",'Opportunities'!$N$2:$N$1775,"=oct25",'Opportunities'!$P$2:$P$1775,"=1")</f>
        <v>0</v>
      </c>
      <c r="J3" s="4">
        <f>SUMIFS('Opportunities'!$H$2:$H$1775,'Opportunities'!$C$2:$C$1775,"=r02",'Opportunities'!$N$2:$N$1775,"=nov25",'Opportunities'!$P$2:$P$1775,"=1")</f>
        <v>0</v>
      </c>
      <c r="K3" s="4">
        <f>SUMIFS('Opportunities'!$H$2:$H$1775,'Opportunities'!$C$2:$C$1775,"=r02",'Opportunities'!$N$2:$N$1775,"=dec25",'Opportunities'!$P$2:$P$1775,"=1")</f>
        <v>0</v>
      </c>
      <c r="L3" s="4">
        <f>SUMIFS('Opportunities'!$H$2:$H$1775,'Opportunities'!$C$2:$C$1775,"=r02",'Opportunities'!$N$2:$N$1775,"=jan26",'Opportunities'!$P$2:$P$1775,"=1")</f>
        <v>0</v>
      </c>
      <c r="M3" s="4">
        <f>SUMIFS('Opportunities'!$H$2:$H$1775,'Opportunities'!$C$2:$C$1775,"=r02",'Opportunities'!$N$2:$N$1775,"=feb26",'Opportunities'!$P$2:$P$1775,"=1")</f>
        <v>0</v>
      </c>
      <c r="N3" s="4">
        <f>SUMIFS('Opportunities'!$H$2:$H$1775,'Opportunities'!$C$2:$C$1775,"=r02",'Opportunities'!$N$2:$N$1775,"=mar26",'Opportunities'!$P$2:$P$1775,"=1")</f>
        <v>0</v>
      </c>
      <c r="O3" s="4">
        <f>SUMIFS('Opportunities'!$H$2:$H$1775,'Opportunities'!$C$2:$C$1775,"=r02",'Opportunities'!$N$2:$N$1775,"=apr26",'Opportunities'!$P$2:$P$1775,"=1")</f>
        <v>0</v>
      </c>
      <c r="P3" s="4">
        <f>SUMIFS('Opportunities'!$H$2:$H$1775,'Opportunities'!$C$2:$C$1775,"=r02",'Opportunities'!$N$2:$N$1775,"=may26",'Opportunities'!$P$2:$P$1775,"=1")</f>
        <v>0</v>
      </c>
      <c r="Q3" s="4">
        <f>SUMIFS('Opportunities'!$H$2:$H$1775,'Opportunities'!$C$2:$C$1775,"=r02",'Opportunities'!$N$2:$N$1775,"=jun26",'Opportunities'!$P$2:$P$1775,"=1")</f>
        <v>0</v>
      </c>
      <c r="R3" s="4">
        <f>SUMIFS('Opportunities'!$H$2:$H$1775,'Opportunities'!$C$2:$C$1775,"=r02",'Opportunities'!$N$2:$N$1775,"=jul26",'Opportunities'!$P$2:$P$1775,"=1")</f>
        <v>0</v>
      </c>
      <c r="S3" s="4">
        <f>SUMIFS('Opportunities'!$H$2:$H$1775,'Opportunities'!$C$2:$C$1775,"=r02",'Opportunities'!$N$2:$N$1775,"=aug26",'Opportunities'!$P$2:$P$1775,"=1")</f>
        <v>0</v>
      </c>
      <c r="T3" s="4">
        <f>SUMIFS('Opportunities'!$H$2:$H$1775,'Opportunities'!$C$2:$C$1775,"=r02",'Opportunities'!$N$2:$N$1775,"=sep26",'Opportunities'!$P$2:$P$1775,"=1")</f>
        <v>0</v>
      </c>
      <c r="U3" s="4">
        <f>SUMIFS('Opportunities'!$H$2:$H$1775,'Opportunities'!$C$2:$C$1775,"=r02",'Opportunities'!$N$2:$N$1775,"=oct26",'Opportunities'!$P$2:$P$1775,"=1")</f>
        <v>0</v>
      </c>
      <c r="V3" s="4">
        <f>SUMIFS('Opportunities'!$H$2:$H$1775,'Opportunities'!$C$2:$C$1775,"=r02",'Opportunities'!$N$2:$N$1775,"=nov26",'Opportunities'!$P$2:$P$1775,"=1")</f>
        <v>0</v>
      </c>
      <c r="W3" s="4">
        <f>SUMIFS('Opportunities'!$H$2:$H$1775,'Opportunities'!$C$2:$C$1775,"=r02",'Opportunities'!$N$2:$N$1775,"=dec26",'Opportunities'!$P$2:$P$1775,"=1")</f>
        <v>0</v>
      </c>
    </row>
    <row r="4">
      <c r="A4" s="0" t="inlineStr">
        <is>
          <t xml:space="preserve">Bookings</t>
        </is>
      </c>
      <c r="B4" s="0" t="inlineStr">
        <is>
          <t xml:space="preserve">Marcus Schmidt</t>
        </is>
      </c>
      <c r="C4" s="4">
        <f>SUMIFS('Opportunities'!$H$2:$H$1775,'Opportunities'!$C$2:$C$1775,"=r03",'Opportunities'!$N$2:$N$1775,"=apr25",'Opportunities'!$P$2:$P$1775,"=1")</f>
        <v>0</v>
      </c>
      <c r="D4" s="4">
        <f>SUMIFS('Opportunities'!$H$2:$H$1775,'Opportunities'!$C$2:$C$1775,"=r03",'Opportunities'!$N$2:$N$1775,"=may25",'Opportunities'!$P$2:$P$1775,"=1")</f>
        <v>0</v>
      </c>
      <c r="E4" s="4">
        <f>SUMIFS('Opportunities'!$H$2:$H$1775,'Opportunities'!$C$2:$C$1775,"=r03",'Opportunities'!$N$2:$N$1775,"=jun25",'Opportunities'!$P$2:$P$1775,"=1")</f>
        <v>0</v>
      </c>
      <c r="F4" s="4">
        <f>SUMIFS('Opportunities'!$H$2:$H$1775,'Opportunities'!$C$2:$C$1775,"=r03",'Opportunities'!$N$2:$N$1775,"=jul25",'Opportunities'!$P$2:$P$1775,"=1")</f>
        <v>0</v>
      </c>
      <c r="G4" s="4">
        <f>SUMIFS('Opportunities'!$H$2:$H$1775,'Opportunities'!$C$2:$C$1775,"=r03",'Opportunities'!$N$2:$N$1775,"=aug25",'Opportunities'!$P$2:$P$1775,"=1")</f>
        <v>0</v>
      </c>
      <c r="H4" s="4">
        <f>SUMIFS('Opportunities'!$H$2:$H$1775,'Opportunities'!$C$2:$C$1775,"=r03",'Opportunities'!$N$2:$N$1775,"=sep25",'Opportunities'!$P$2:$P$1775,"=1")</f>
        <v>87800</v>
      </c>
      <c r="I4" s="4">
        <f>SUMIFS('Opportunities'!$H$2:$H$1775,'Opportunities'!$C$2:$C$1775,"=r03",'Opportunities'!$N$2:$N$1775,"=oct25",'Opportunities'!$P$2:$P$1775,"=1")</f>
        <v>40700</v>
      </c>
      <c r="J4" s="4">
        <f>SUMIFS('Opportunities'!$H$2:$H$1775,'Opportunities'!$C$2:$C$1775,"=r03",'Opportunities'!$N$2:$N$1775,"=nov25",'Opportunities'!$P$2:$P$1775,"=1")</f>
        <v>46100</v>
      </c>
      <c r="K4" s="4">
        <f>SUMIFS('Opportunities'!$H$2:$H$1775,'Opportunities'!$C$2:$C$1775,"=r03",'Opportunities'!$N$2:$N$1775,"=dec25",'Opportunities'!$P$2:$P$1775,"=1")</f>
        <v>103800</v>
      </c>
      <c r="L4" s="4">
        <f>SUMIFS('Opportunities'!$H$2:$H$1775,'Opportunities'!$C$2:$C$1775,"=r03",'Opportunities'!$N$2:$N$1775,"=jan26",'Opportunities'!$P$2:$P$1775,"=1")</f>
        <v>42200</v>
      </c>
      <c r="M4" s="4">
        <f>SUMIFS('Opportunities'!$H$2:$H$1775,'Opportunities'!$C$2:$C$1775,"=r03",'Opportunities'!$N$2:$N$1775,"=feb26",'Opportunities'!$P$2:$P$1775,"=1")</f>
        <v>101100</v>
      </c>
      <c r="N4" s="4">
        <f>SUMIFS('Opportunities'!$H$2:$H$1775,'Opportunities'!$C$2:$C$1775,"=r03",'Opportunities'!$N$2:$N$1775,"=mar26",'Opportunities'!$P$2:$P$1775,"=1")</f>
        <v>256400</v>
      </c>
      <c r="O4" s="4">
        <f>SUMIFS('Opportunities'!$H$2:$H$1775,'Opportunities'!$C$2:$C$1775,"=r03",'Opportunities'!$N$2:$N$1775,"=apr26",'Opportunities'!$P$2:$P$1775,"=1")</f>
        <v>0</v>
      </c>
      <c r="P4" s="4">
        <f>SUMIFS('Opportunities'!$H$2:$H$1775,'Opportunities'!$C$2:$C$1775,"=r03",'Opportunities'!$N$2:$N$1775,"=may26",'Opportunities'!$P$2:$P$1775,"=1")</f>
        <v>39100</v>
      </c>
      <c r="Q4" s="4">
        <f>SUMIFS('Opportunities'!$H$2:$H$1775,'Opportunities'!$C$2:$C$1775,"=r03",'Opportunities'!$N$2:$N$1775,"=jun26",'Opportunities'!$P$2:$P$1775,"=1")</f>
        <v>134800</v>
      </c>
      <c r="R4" s="4">
        <f>SUMIFS('Opportunities'!$H$2:$H$1775,'Opportunities'!$C$2:$C$1775,"=r03",'Opportunities'!$N$2:$N$1775,"=jul26",'Opportunities'!$P$2:$P$1775,"=1")</f>
        <v>71600</v>
      </c>
      <c r="S4" s="4">
        <f>SUMIFS('Opportunities'!$H$2:$H$1775,'Opportunities'!$C$2:$C$1775,"=r03",'Opportunities'!$N$2:$N$1775,"=aug26",'Opportunities'!$P$2:$P$1775,"=1")</f>
        <v>0</v>
      </c>
      <c r="T4" s="4">
        <f>SUMIFS('Opportunities'!$H$2:$H$1775,'Opportunities'!$C$2:$C$1775,"=r03",'Opportunities'!$N$2:$N$1775,"=sep26",'Opportunities'!$P$2:$P$1775,"=1")</f>
        <v>58200</v>
      </c>
      <c r="U4" s="4">
        <f>SUMIFS('Opportunities'!$H$2:$H$1775,'Opportunities'!$C$2:$C$1775,"=r03",'Opportunities'!$N$2:$N$1775,"=oct26",'Opportunities'!$P$2:$P$1775,"=1")</f>
        <v>0</v>
      </c>
      <c r="V4" s="4">
        <f>SUMIFS('Opportunities'!$H$2:$H$1775,'Opportunities'!$C$2:$C$1775,"=r03",'Opportunities'!$N$2:$N$1775,"=nov26",'Opportunities'!$P$2:$P$1775,"=1")</f>
        <v>0</v>
      </c>
      <c r="W4" s="4">
        <f>SUMIFS('Opportunities'!$H$2:$H$1775,'Opportunities'!$C$2:$C$1775,"=r03",'Opportunities'!$N$2:$N$1775,"=dec26",'Opportunities'!$P$2:$P$1775,"=1")</f>
        <v>0</v>
      </c>
    </row>
    <row r="5">
      <c r="A5" s="0" t="inlineStr">
        <is>
          <t xml:space="preserve">Bookings</t>
        </is>
      </c>
      <c r="B5" s="0" t="inlineStr">
        <is>
          <t xml:space="preserve">Amara Haddad</t>
        </is>
      </c>
      <c r="C5" s="4">
        <f>SUMIFS('Opportunities'!$H$2:$H$1775,'Opportunities'!$C$2:$C$1775,"=r04",'Opportunities'!$N$2:$N$1775,"=apr25",'Opportunities'!$P$2:$P$1775,"=1")</f>
        <v>0</v>
      </c>
      <c r="D5" s="4">
        <f>SUMIFS('Opportunities'!$H$2:$H$1775,'Opportunities'!$C$2:$C$1775,"=r04",'Opportunities'!$N$2:$N$1775,"=may25",'Opportunities'!$P$2:$P$1775,"=1")</f>
        <v>65200</v>
      </c>
      <c r="E5" s="4">
        <f>SUMIFS('Opportunities'!$H$2:$H$1775,'Opportunities'!$C$2:$C$1775,"=r04",'Opportunities'!$N$2:$N$1775,"=jun25",'Opportunities'!$P$2:$P$1775,"=1")</f>
        <v>142600</v>
      </c>
      <c r="F5" s="4">
        <f>SUMIFS('Opportunities'!$H$2:$H$1775,'Opportunities'!$C$2:$C$1775,"=r04",'Opportunities'!$N$2:$N$1775,"=jul25",'Opportunities'!$P$2:$P$1775,"=1")</f>
        <v>94100</v>
      </c>
      <c r="G5" s="4">
        <f>SUMIFS('Opportunities'!$H$2:$H$1775,'Opportunities'!$C$2:$C$1775,"=r04",'Opportunities'!$N$2:$N$1775,"=aug25",'Opportunities'!$P$2:$P$1775,"=1")</f>
        <v>123800</v>
      </c>
      <c r="H5" s="4">
        <f>SUMIFS('Opportunities'!$H$2:$H$1775,'Opportunities'!$C$2:$C$1775,"=r04",'Opportunities'!$N$2:$N$1775,"=sep25",'Opportunities'!$P$2:$P$1775,"=1")</f>
        <v>43700</v>
      </c>
      <c r="I5" s="4">
        <f>SUMIFS('Opportunities'!$H$2:$H$1775,'Opportunities'!$C$2:$C$1775,"=r04",'Opportunities'!$N$2:$N$1775,"=oct25",'Opportunities'!$P$2:$P$1775,"=1")</f>
        <v>35900</v>
      </c>
      <c r="J5" s="4">
        <f>SUMIFS('Opportunities'!$H$2:$H$1775,'Opportunities'!$C$2:$C$1775,"=r04",'Opportunities'!$N$2:$N$1775,"=nov25",'Opportunities'!$P$2:$P$1775,"=1")</f>
        <v>0</v>
      </c>
      <c r="K5" s="4">
        <f>SUMIFS('Opportunities'!$H$2:$H$1775,'Opportunities'!$C$2:$C$1775,"=r04",'Opportunities'!$N$2:$N$1775,"=dec25",'Opportunities'!$P$2:$P$1775,"=1")</f>
        <v>102200</v>
      </c>
      <c r="L5" s="4">
        <f>SUMIFS('Opportunities'!$H$2:$H$1775,'Opportunities'!$C$2:$C$1775,"=r04",'Opportunities'!$N$2:$N$1775,"=jan26",'Opportunities'!$P$2:$P$1775,"=1")</f>
        <v>16900</v>
      </c>
      <c r="M5" s="4">
        <f>SUMIFS('Opportunities'!$H$2:$H$1775,'Opportunities'!$C$2:$C$1775,"=r04",'Opportunities'!$N$2:$N$1775,"=feb26",'Opportunities'!$P$2:$P$1775,"=1")</f>
        <v>0</v>
      </c>
      <c r="N5" s="4">
        <f>SUMIFS('Opportunities'!$H$2:$H$1775,'Opportunities'!$C$2:$C$1775,"=r04",'Opportunities'!$N$2:$N$1775,"=mar26",'Opportunities'!$P$2:$P$1775,"=1")</f>
        <v>33500</v>
      </c>
      <c r="O5" s="4">
        <f>SUMIFS('Opportunities'!$H$2:$H$1775,'Opportunities'!$C$2:$C$1775,"=r04",'Opportunities'!$N$2:$N$1775,"=apr26",'Opportunities'!$P$2:$P$1775,"=1")</f>
        <v>0</v>
      </c>
      <c r="P5" s="4">
        <f>SUMIFS('Opportunities'!$H$2:$H$1775,'Opportunities'!$C$2:$C$1775,"=r04",'Opportunities'!$N$2:$N$1775,"=may26",'Opportunities'!$P$2:$P$1775,"=1")</f>
        <v>37700</v>
      </c>
      <c r="Q5" s="4">
        <f>SUMIFS('Opportunities'!$H$2:$H$1775,'Opportunities'!$C$2:$C$1775,"=r04",'Opportunities'!$N$2:$N$1775,"=jun26",'Opportunities'!$P$2:$P$1775,"=1")</f>
        <v>0</v>
      </c>
      <c r="R5" s="4">
        <f>SUMIFS('Opportunities'!$H$2:$H$1775,'Opportunities'!$C$2:$C$1775,"=r04",'Opportunities'!$N$2:$N$1775,"=jul26",'Opportunities'!$P$2:$P$1775,"=1")</f>
        <v>0</v>
      </c>
      <c r="S5" s="4">
        <f>SUMIFS('Opportunities'!$H$2:$H$1775,'Opportunities'!$C$2:$C$1775,"=r04",'Opportunities'!$N$2:$N$1775,"=aug26",'Opportunities'!$P$2:$P$1775,"=1")</f>
        <v>55300</v>
      </c>
      <c r="T5" s="4">
        <f>SUMIFS('Opportunities'!$H$2:$H$1775,'Opportunities'!$C$2:$C$1775,"=r04",'Opportunities'!$N$2:$N$1775,"=sep26",'Opportunities'!$P$2:$P$1775,"=1")</f>
        <v>0</v>
      </c>
      <c r="U5" s="4">
        <f>SUMIFS('Opportunities'!$H$2:$H$1775,'Opportunities'!$C$2:$C$1775,"=r04",'Opportunities'!$N$2:$N$1775,"=oct26",'Opportunities'!$P$2:$P$1775,"=1")</f>
        <v>0</v>
      </c>
      <c r="V5" s="4">
        <f>SUMIFS('Opportunities'!$H$2:$H$1775,'Opportunities'!$C$2:$C$1775,"=r04",'Opportunities'!$N$2:$N$1775,"=nov26",'Opportunities'!$P$2:$P$1775,"=1")</f>
        <v>0</v>
      </c>
      <c r="W5" s="4">
        <f>SUMIFS('Opportunities'!$H$2:$H$1775,'Opportunities'!$C$2:$C$1775,"=r04",'Opportunities'!$N$2:$N$1775,"=dec26",'Opportunities'!$P$2:$P$1775,"=1")</f>
        <v>0</v>
      </c>
    </row>
    <row r="6">
      <c r="A6" s="0" t="inlineStr">
        <is>
          <t xml:space="preserve">Bookings</t>
        </is>
      </c>
      <c r="B6" s="0" t="inlineStr">
        <is>
          <t xml:space="preserve">Fatima Silva</t>
        </is>
      </c>
      <c r="C6" s="4">
        <f>SUMIFS('Opportunities'!$H$2:$H$1775,'Opportunities'!$C$2:$C$1775,"=r05",'Opportunities'!$N$2:$N$1775,"=apr25",'Opportunities'!$P$2:$P$1775,"=1")</f>
        <v>0</v>
      </c>
      <c r="D6" s="4">
        <f>SUMIFS('Opportunities'!$H$2:$H$1775,'Opportunities'!$C$2:$C$1775,"=r05",'Opportunities'!$N$2:$N$1775,"=may25",'Opportunities'!$P$2:$P$1775,"=1")</f>
        <v>55400</v>
      </c>
      <c r="E6" s="4">
        <f>SUMIFS('Opportunities'!$H$2:$H$1775,'Opportunities'!$C$2:$C$1775,"=r05",'Opportunities'!$N$2:$N$1775,"=jun25",'Opportunities'!$P$2:$P$1775,"=1")</f>
        <v>52000</v>
      </c>
      <c r="F6" s="4">
        <f>SUMIFS('Opportunities'!$H$2:$H$1775,'Opportunities'!$C$2:$C$1775,"=r05",'Opportunities'!$N$2:$N$1775,"=jul25",'Opportunities'!$P$2:$P$1775,"=1")</f>
        <v>43100</v>
      </c>
      <c r="G6" s="4">
        <f>SUMIFS('Opportunities'!$H$2:$H$1775,'Opportunities'!$C$2:$C$1775,"=r05",'Opportunities'!$N$2:$N$1775,"=aug25",'Opportunities'!$P$2:$P$1775,"=1")</f>
        <v>41000</v>
      </c>
      <c r="H6" s="4">
        <f>SUMIFS('Opportunities'!$H$2:$H$1775,'Opportunities'!$C$2:$C$1775,"=r05",'Opportunities'!$N$2:$N$1775,"=sep25",'Opportunities'!$P$2:$P$1775,"=1")</f>
        <v>26400</v>
      </c>
      <c r="I6" s="4">
        <f>SUMIFS('Opportunities'!$H$2:$H$1775,'Opportunities'!$C$2:$C$1775,"=r05",'Opportunities'!$N$2:$N$1775,"=oct25",'Opportunities'!$P$2:$P$1775,"=1")</f>
        <v>32800</v>
      </c>
      <c r="J6" s="4">
        <f>SUMIFS('Opportunities'!$H$2:$H$1775,'Opportunities'!$C$2:$C$1775,"=r05",'Opportunities'!$N$2:$N$1775,"=nov25",'Opportunities'!$P$2:$P$1775,"=1")</f>
        <v>62000</v>
      </c>
      <c r="K6" s="4">
        <f>SUMIFS('Opportunities'!$H$2:$H$1775,'Opportunities'!$C$2:$C$1775,"=r05",'Opportunities'!$N$2:$N$1775,"=dec25",'Opportunities'!$P$2:$P$1775,"=1")</f>
        <v>26700</v>
      </c>
      <c r="L6" s="4">
        <f>SUMIFS('Opportunities'!$H$2:$H$1775,'Opportunities'!$C$2:$C$1775,"=r05",'Opportunities'!$N$2:$N$1775,"=jan26",'Opportunities'!$P$2:$P$1775,"=1")</f>
        <v>27800</v>
      </c>
      <c r="M6" s="4">
        <f>SUMIFS('Opportunities'!$H$2:$H$1775,'Opportunities'!$C$2:$C$1775,"=r05",'Opportunities'!$N$2:$N$1775,"=feb26",'Opportunities'!$P$2:$P$1775,"=1")</f>
        <v>22100</v>
      </c>
      <c r="N6" s="4">
        <f>SUMIFS('Opportunities'!$H$2:$H$1775,'Opportunities'!$C$2:$C$1775,"=r05",'Opportunities'!$N$2:$N$1775,"=mar26",'Opportunities'!$P$2:$P$1775,"=1")</f>
        <v>12600</v>
      </c>
      <c r="O6" s="4">
        <f>SUMIFS('Opportunities'!$H$2:$H$1775,'Opportunities'!$C$2:$C$1775,"=r05",'Opportunities'!$N$2:$N$1775,"=apr26",'Opportunities'!$P$2:$P$1775,"=1")</f>
        <v>18900</v>
      </c>
      <c r="P6" s="4">
        <f>SUMIFS('Opportunities'!$H$2:$H$1775,'Opportunities'!$C$2:$C$1775,"=r05",'Opportunities'!$N$2:$N$1775,"=may26",'Opportunities'!$P$2:$P$1775,"=1")</f>
        <v>58200</v>
      </c>
      <c r="Q6" s="4">
        <f>SUMIFS('Opportunities'!$H$2:$H$1775,'Opportunities'!$C$2:$C$1775,"=r05",'Opportunities'!$N$2:$N$1775,"=jun26",'Opportunities'!$P$2:$P$1775,"=1")</f>
        <v>34500</v>
      </c>
      <c r="R6" s="4">
        <f>SUMIFS('Opportunities'!$H$2:$H$1775,'Opportunities'!$C$2:$C$1775,"=r05",'Opportunities'!$N$2:$N$1775,"=jul26",'Opportunities'!$P$2:$P$1775,"=1")</f>
        <v>36100</v>
      </c>
      <c r="S6" s="4">
        <f>SUMIFS('Opportunities'!$H$2:$H$1775,'Opportunities'!$C$2:$C$1775,"=r05",'Opportunities'!$N$2:$N$1775,"=aug26",'Opportunities'!$P$2:$P$1775,"=1")</f>
        <v>40500</v>
      </c>
      <c r="T6" s="4">
        <f>SUMIFS('Opportunities'!$H$2:$H$1775,'Opportunities'!$C$2:$C$1775,"=r05",'Opportunities'!$N$2:$N$1775,"=sep26",'Opportunities'!$P$2:$P$1775,"=1")</f>
        <v>37600</v>
      </c>
      <c r="U6" s="4">
        <f>SUMIFS('Opportunities'!$H$2:$H$1775,'Opportunities'!$C$2:$C$1775,"=r05",'Opportunities'!$N$2:$N$1775,"=oct26",'Opportunities'!$P$2:$P$1775,"=1")</f>
        <v>0</v>
      </c>
      <c r="V6" s="4">
        <f>SUMIFS('Opportunities'!$H$2:$H$1775,'Opportunities'!$C$2:$C$1775,"=r05",'Opportunities'!$N$2:$N$1775,"=nov26",'Opportunities'!$P$2:$P$1775,"=1")</f>
        <v>0</v>
      </c>
      <c r="W6" s="4">
        <f>SUMIFS('Opportunities'!$H$2:$H$1775,'Opportunities'!$C$2:$C$1775,"=r05",'Opportunities'!$N$2:$N$1775,"=dec26",'Opportunities'!$P$2:$P$1775,"=1")</f>
        <v>0</v>
      </c>
    </row>
    <row r="7">
      <c r="A7" s="0" t="inlineStr">
        <is>
          <t xml:space="preserve">Bookings</t>
        </is>
      </c>
      <c r="B7" s="0" t="inlineStr">
        <is>
          <t xml:space="preserve">Ana Ortiz</t>
        </is>
      </c>
      <c r="C7" s="4">
        <f>SUMIFS('Opportunities'!$H$2:$H$1775,'Opportunities'!$C$2:$C$1775,"=r06",'Opportunities'!$N$2:$N$1775,"=apr25",'Opportunities'!$P$2:$P$1775,"=1")</f>
        <v>6800</v>
      </c>
      <c r="D7" s="4">
        <f>SUMIFS('Opportunities'!$H$2:$H$1775,'Opportunities'!$C$2:$C$1775,"=r06",'Opportunities'!$N$2:$N$1775,"=may25",'Opportunities'!$P$2:$P$1775,"=1")</f>
        <v>0</v>
      </c>
      <c r="E7" s="4">
        <f>SUMIFS('Opportunities'!$H$2:$H$1775,'Opportunities'!$C$2:$C$1775,"=r06",'Opportunities'!$N$2:$N$1775,"=jun25",'Opportunities'!$P$2:$P$1775,"=1")</f>
        <v>14200</v>
      </c>
      <c r="F7" s="4">
        <f>SUMIFS('Opportunities'!$H$2:$H$1775,'Opportunities'!$C$2:$C$1775,"=r06",'Opportunities'!$N$2:$N$1775,"=jul25",'Opportunities'!$P$2:$P$1775,"=1")</f>
        <v>62400</v>
      </c>
      <c r="G7" s="4">
        <f>SUMIFS('Opportunities'!$H$2:$H$1775,'Opportunities'!$C$2:$C$1775,"=r06",'Opportunities'!$N$2:$N$1775,"=aug25",'Opportunities'!$P$2:$P$1775,"=1")</f>
        <v>5000</v>
      </c>
      <c r="H7" s="4">
        <f>SUMIFS('Opportunities'!$H$2:$H$1775,'Opportunities'!$C$2:$C$1775,"=r06",'Opportunities'!$N$2:$N$1775,"=sep25",'Opportunities'!$P$2:$P$1775,"=1")</f>
        <v>29600</v>
      </c>
      <c r="I7" s="4">
        <f>SUMIFS('Opportunities'!$H$2:$H$1775,'Opportunities'!$C$2:$C$1775,"=r06",'Opportunities'!$N$2:$N$1775,"=oct25",'Opportunities'!$P$2:$P$1775,"=1")</f>
        <v>0</v>
      </c>
      <c r="J7" s="4">
        <f>SUMIFS('Opportunities'!$H$2:$H$1775,'Opportunities'!$C$2:$C$1775,"=r06",'Opportunities'!$N$2:$N$1775,"=nov25",'Opportunities'!$P$2:$P$1775,"=1")</f>
        <v>7200</v>
      </c>
      <c r="K7" s="4">
        <f>SUMIFS('Opportunities'!$H$2:$H$1775,'Opportunities'!$C$2:$C$1775,"=r06",'Opportunities'!$N$2:$N$1775,"=dec25",'Opportunities'!$P$2:$P$1775,"=1")</f>
        <v>27800</v>
      </c>
      <c r="L7" s="4">
        <f>SUMIFS('Opportunities'!$H$2:$H$1775,'Opportunities'!$C$2:$C$1775,"=r06",'Opportunities'!$N$2:$N$1775,"=jan26",'Opportunities'!$P$2:$P$1775,"=1")</f>
        <v>22300</v>
      </c>
      <c r="M7" s="4">
        <f>SUMIFS('Opportunities'!$H$2:$H$1775,'Opportunities'!$C$2:$C$1775,"=r06",'Opportunities'!$N$2:$N$1775,"=feb26",'Opportunities'!$P$2:$P$1775,"=1")</f>
        <v>15100</v>
      </c>
      <c r="N7" s="4">
        <f>SUMIFS('Opportunities'!$H$2:$H$1775,'Opportunities'!$C$2:$C$1775,"=r06",'Opportunities'!$N$2:$N$1775,"=mar26",'Opportunities'!$P$2:$P$1775,"=1")</f>
        <v>19600</v>
      </c>
      <c r="O7" s="4">
        <f>SUMIFS('Opportunities'!$H$2:$H$1775,'Opportunities'!$C$2:$C$1775,"=r06",'Opportunities'!$N$2:$N$1775,"=apr26",'Opportunities'!$P$2:$P$1775,"=1")</f>
        <v>8200</v>
      </c>
      <c r="P7" s="4">
        <f>SUMIFS('Opportunities'!$H$2:$H$1775,'Opportunities'!$C$2:$C$1775,"=r06",'Opportunities'!$N$2:$N$1775,"=may26",'Opportunities'!$P$2:$P$1775,"=1")</f>
        <v>34300</v>
      </c>
      <c r="Q7" s="4">
        <f>SUMIFS('Opportunities'!$H$2:$H$1775,'Opportunities'!$C$2:$C$1775,"=r06",'Opportunities'!$N$2:$N$1775,"=jun26",'Opportunities'!$P$2:$P$1775,"=1")</f>
        <v>66500</v>
      </c>
      <c r="R7" s="4">
        <f>SUMIFS('Opportunities'!$H$2:$H$1775,'Opportunities'!$C$2:$C$1775,"=r06",'Opportunities'!$N$2:$N$1775,"=jul26",'Opportunities'!$P$2:$P$1775,"=1")</f>
        <v>38000</v>
      </c>
      <c r="S7" s="4">
        <f>SUMIFS('Opportunities'!$H$2:$H$1775,'Opportunities'!$C$2:$C$1775,"=r06",'Opportunities'!$N$2:$N$1775,"=aug26",'Opportunities'!$P$2:$P$1775,"=1")</f>
        <v>18100</v>
      </c>
      <c r="T7" s="4">
        <f>SUMIFS('Opportunities'!$H$2:$H$1775,'Opportunities'!$C$2:$C$1775,"=r06",'Opportunities'!$N$2:$N$1775,"=sep26",'Opportunities'!$P$2:$P$1775,"=1")</f>
        <v>12600</v>
      </c>
      <c r="U7" s="4">
        <f>SUMIFS('Opportunities'!$H$2:$H$1775,'Opportunities'!$C$2:$C$1775,"=r06",'Opportunities'!$N$2:$N$1775,"=oct26",'Opportunities'!$P$2:$P$1775,"=1")</f>
        <v>0</v>
      </c>
      <c r="V7" s="4">
        <f>SUMIFS('Opportunities'!$H$2:$H$1775,'Opportunities'!$C$2:$C$1775,"=r06",'Opportunities'!$N$2:$N$1775,"=nov26",'Opportunities'!$P$2:$P$1775,"=1")</f>
        <v>0</v>
      </c>
      <c r="W7" s="4">
        <f>SUMIFS('Opportunities'!$H$2:$H$1775,'Opportunities'!$C$2:$C$1775,"=r06",'Opportunities'!$N$2:$N$1775,"=dec26",'Opportunities'!$P$2:$P$1775,"=1")</f>
        <v>0</v>
      </c>
    </row>
    <row r="8">
      <c r="A8" s="0" t="inlineStr">
        <is>
          <t xml:space="preserve">Bookings</t>
        </is>
      </c>
      <c r="B8" s="0" t="inlineStr">
        <is>
          <t xml:space="preserve">Tobias Silva</t>
        </is>
      </c>
      <c r="C8" s="4">
        <f>SUMIFS('Opportunities'!$H$2:$H$1775,'Opportunities'!$C$2:$C$1775,"=r07",'Opportunities'!$N$2:$N$1775,"=apr25",'Opportunities'!$P$2:$P$1775,"=1")</f>
        <v>0</v>
      </c>
      <c r="D8" s="4">
        <f>SUMIFS('Opportunities'!$H$2:$H$1775,'Opportunities'!$C$2:$C$1775,"=r07",'Opportunities'!$N$2:$N$1775,"=may25",'Opportunities'!$P$2:$P$1775,"=1")</f>
        <v>0</v>
      </c>
      <c r="E8" s="4">
        <f>SUMIFS('Opportunities'!$H$2:$H$1775,'Opportunities'!$C$2:$C$1775,"=r07",'Opportunities'!$N$2:$N$1775,"=jun25",'Opportunities'!$P$2:$P$1775,"=1")</f>
        <v>0</v>
      </c>
      <c r="F8" s="4">
        <f>SUMIFS('Opportunities'!$H$2:$H$1775,'Opportunities'!$C$2:$C$1775,"=r07",'Opportunities'!$N$2:$N$1775,"=jul25",'Opportunities'!$P$2:$P$1775,"=1")</f>
        <v>0</v>
      </c>
      <c r="G8" s="4">
        <f>SUMIFS('Opportunities'!$H$2:$H$1775,'Opportunities'!$C$2:$C$1775,"=r07",'Opportunities'!$N$2:$N$1775,"=aug25",'Opportunities'!$P$2:$P$1775,"=1")</f>
        <v>0</v>
      </c>
      <c r="H8" s="4">
        <f>SUMIFS('Opportunities'!$H$2:$H$1775,'Opportunities'!$C$2:$C$1775,"=r07",'Opportunities'!$N$2:$N$1775,"=sep25",'Opportunities'!$P$2:$P$1775,"=1")</f>
        <v>146800</v>
      </c>
      <c r="I8" s="4">
        <f>SUMIFS('Opportunities'!$H$2:$H$1775,'Opportunities'!$C$2:$C$1775,"=r07",'Opportunities'!$N$2:$N$1775,"=oct25",'Opportunities'!$P$2:$P$1775,"=1")</f>
        <v>0</v>
      </c>
      <c r="J8" s="4">
        <f>SUMIFS('Opportunities'!$H$2:$H$1775,'Opportunities'!$C$2:$C$1775,"=r07",'Opportunities'!$N$2:$N$1775,"=nov25",'Opportunities'!$P$2:$P$1775,"=1")</f>
        <v>0</v>
      </c>
      <c r="K8" s="4">
        <f>SUMIFS('Opportunities'!$H$2:$H$1775,'Opportunities'!$C$2:$C$1775,"=r07",'Opportunities'!$N$2:$N$1775,"=dec25",'Opportunities'!$P$2:$P$1775,"=1")</f>
        <v>0</v>
      </c>
      <c r="L8" s="4">
        <f>SUMIFS('Opportunities'!$H$2:$H$1775,'Opportunities'!$C$2:$C$1775,"=r07",'Opportunities'!$N$2:$N$1775,"=jan26",'Opportunities'!$P$2:$P$1775,"=1")</f>
        <v>0</v>
      </c>
      <c r="M8" s="4">
        <f>SUMIFS('Opportunities'!$H$2:$H$1775,'Opportunities'!$C$2:$C$1775,"=r07",'Opportunities'!$N$2:$N$1775,"=feb26",'Opportunities'!$P$2:$P$1775,"=1")</f>
        <v>700000</v>
      </c>
      <c r="N8" s="4">
        <f>SUMIFS('Opportunities'!$H$2:$H$1775,'Opportunities'!$C$2:$C$1775,"=r07",'Opportunities'!$N$2:$N$1775,"=mar26",'Opportunities'!$P$2:$P$1775,"=1")</f>
        <v>712300</v>
      </c>
      <c r="O8" s="4">
        <f>SUMIFS('Opportunities'!$H$2:$H$1775,'Opportunities'!$C$2:$C$1775,"=r07",'Opportunities'!$N$2:$N$1775,"=apr26",'Opportunities'!$P$2:$P$1775,"=1")</f>
        <v>0</v>
      </c>
      <c r="P8" s="4">
        <f>SUMIFS('Opportunities'!$H$2:$H$1775,'Opportunities'!$C$2:$C$1775,"=r07",'Opportunities'!$N$2:$N$1775,"=may26",'Opportunities'!$P$2:$P$1775,"=1")</f>
        <v>0</v>
      </c>
      <c r="Q8" s="4">
        <f>SUMIFS('Opportunities'!$H$2:$H$1775,'Opportunities'!$C$2:$C$1775,"=r07",'Opportunities'!$N$2:$N$1775,"=jun26",'Opportunities'!$P$2:$P$1775,"=1")</f>
        <v>53000</v>
      </c>
      <c r="R8" s="4">
        <f>SUMIFS('Opportunities'!$H$2:$H$1775,'Opportunities'!$C$2:$C$1775,"=r07",'Opportunities'!$N$2:$N$1775,"=jul26",'Opportunities'!$P$2:$P$1775,"=1")</f>
        <v>209000</v>
      </c>
      <c r="S8" s="4">
        <f>SUMIFS('Opportunities'!$H$2:$H$1775,'Opportunities'!$C$2:$C$1775,"=r07",'Opportunities'!$N$2:$N$1775,"=aug26",'Opportunities'!$P$2:$P$1775,"=1")</f>
        <v>0</v>
      </c>
      <c r="T8" s="4">
        <f>SUMIFS('Opportunities'!$H$2:$H$1775,'Opportunities'!$C$2:$C$1775,"=r07",'Opportunities'!$N$2:$N$1775,"=sep26",'Opportunities'!$P$2:$P$1775,"=1")</f>
        <v>287300</v>
      </c>
      <c r="U8" s="4">
        <f>SUMIFS('Opportunities'!$H$2:$H$1775,'Opportunities'!$C$2:$C$1775,"=r07",'Opportunities'!$N$2:$N$1775,"=oct26",'Opportunities'!$P$2:$P$1775,"=1")</f>
        <v>0</v>
      </c>
      <c r="V8" s="4">
        <f>SUMIFS('Opportunities'!$H$2:$H$1775,'Opportunities'!$C$2:$C$1775,"=r07",'Opportunities'!$N$2:$N$1775,"=nov26",'Opportunities'!$P$2:$P$1775,"=1")</f>
        <v>0</v>
      </c>
      <c r="W8" s="4">
        <f>SUMIFS('Opportunities'!$H$2:$H$1775,'Opportunities'!$C$2:$C$1775,"=r07",'Opportunities'!$N$2:$N$1775,"=dec26",'Opportunities'!$P$2:$P$1775,"=1")</f>
        <v>0</v>
      </c>
    </row>
    <row r="9">
      <c r="A9" s="0" t="inlineStr">
        <is>
          <t xml:space="preserve">Bookings</t>
        </is>
      </c>
      <c r="B9" s="0" t="inlineStr">
        <is>
          <t xml:space="preserve">Leila Osei</t>
        </is>
      </c>
      <c r="C9" s="4">
        <f>SUMIFS('Opportunities'!$H$2:$H$1775,'Opportunities'!$C$2:$C$1775,"=r08",'Opportunities'!$N$2:$N$1775,"=apr25",'Opportunities'!$P$2:$P$1775,"=1")</f>
        <v>0</v>
      </c>
      <c r="D9" s="4">
        <f>SUMIFS('Opportunities'!$H$2:$H$1775,'Opportunities'!$C$2:$C$1775,"=r08",'Opportunities'!$N$2:$N$1775,"=may25",'Opportunities'!$P$2:$P$1775,"=1")</f>
        <v>0</v>
      </c>
      <c r="E9" s="4">
        <f>SUMIFS('Opportunities'!$H$2:$H$1775,'Opportunities'!$C$2:$C$1775,"=r08",'Opportunities'!$N$2:$N$1775,"=jun25",'Opportunities'!$P$2:$P$1775,"=1")</f>
        <v>0</v>
      </c>
      <c r="F9" s="4">
        <f>SUMIFS('Opportunities'!$H$2:$H$1775,'Opportunities'!$C$2:$C$1775,"=r08",'Opportunities'!$N$2:$N$1775,"=jul25",'Opportunities'!$P$2:$P$1775,"=1")</f>
        <v>0</v>
      </c>
      <c r="G9" s="4">
        <f>SUMIFS('Opportunities'!$H$2:$H$1775,'Opportunities'!$C$2:$C$1775,"=r08",'Opportunities'!$N$2:$N$1775,"=aug25",'Opportunities'!$P$2:$P$1775,"=1")</f>
        <v>0</v>
      </c>
      <c r="H9" s="4">
        <f>SUMIFS('Opportunities'!$H$2:$H$1775,'Opportunities'!$C$2:$C$1775,"=r08",'Opportunities'!$N$2:$N$1775,"=sep25",'Opportunities'!$P$2:$P$1775,"=1")</f>
        <v>0</v>
      </c>
      <c r="I9" s="4">
        <f>SUMIFS('Opportunities'!$H$2:$H$1775,'Opportunities'!$C$2:$C$1775,"=r08",'Opportunities'!$N$2:$N$1775,"=oct25",'Opportunities'!$P$2:$P$1775,"=1")</f>
        <v>0</v>
      </c>
      <c r="J9" s="4">
        <f>SUMIFS('Opportunities'!$H$2:$H$1775,'Opportunities'!$C$2:$C$1775,"=r08",'Opportunities'!$N$2:$N$1775,"=nov25",'Opportunities'!$P$2:$P$1775,"=1")</f>
        <v>0</v>
      </c>
      <c r="K9" s="4">
        <f>SUMIFS('Opportunities'!$H$2:$H$1775,'Opportunities'!$C$2:$C$1775,"=r08",'Opportunities'!$N$2:$N$1775,"=dec25",'Opportunities'!$P$2:$P$1775,"=1")</f>
        <v>0</v>
      </c>
      <c r="L9" s="4">
        <f>SUMIFS('Opportunities'!$H$2:$H$1775,'Opportunities'!$C$2:$C$1775,"=r08",'Opportunities'!$N$2:$N$1775,"=jan26",'Opportunities'!$P$2:$P$1775,"=1")</f>
        <v>0</v>
      </c>
      <c r="M9" s="4">
        <f>SUMIFS('Opportunities'!$H$2:$H$1775,'Opportunities'!$C$2:$C$1775,"=r08",'Opportunities'!$N$2:$N$1775,"=feb26",'Opportunities'!$P$2:$P$1775,"=1")</f>
        <v>0</v>
      </c>
      <c r="N9" s="4">
        <f>SUMIFS('Opportunities'!$H$2:$H$1775,'Opportunities'!$C$2:$C$1775,"=r08",'Opportunities'!$N$2:$N$1775,"=mar26",'Opportunities'!$P$2:$P$1775,"=1")</f>
        <v>35500</v>
      </c>
      <c r="O9" s="4">
        <f>SUMIFS('Opportunities'!$H$2:$H$1775,'Opportunities'!$C$2:$C$1775,"=r08",'Opportunities'!$N$2:$N$1775,"=apr26",'Opportunities'!$P$2:$P$1775,"=1")</f>
        <v>0</v>
      </c>
      <c r="P9" s="4">
        <f>SUMIFS('Opportunities'!$H$2:$H$1775,'Opportunities'!$C$2:$C$1775,"=r08",'Opportunities'!$N$2:$N$1775,"=may26",'Opportunities'!$P$2:$P$1775,"=1")</f>
        <v>0</v>
      </c>
      <c r="Q9" s="4">
        <f>SUMIFS('Opportunities'!$H$2:$H$1775,'Opportunities'!$C$2:$C$1775,"=r08",'Opportunities'!$N$2:$N$1775,"=jun26",'Opportunities'!$P$2:$P$1775,"=1")</f>
        <v>355000</v>
      </c>
      <c r="R9" s="4">
        <f>SUMIFS('Opportunities'!$H$2:$H$1775,'Opportunities'!$C$2:$C$1775,"=r08",'Opportunities'!$N$2:$N$1775,"=jul26",'Opportunities'!$P$2:$P$1775,"=1")</f>
        <v>244100</v>
      </c>
      <c r="S9" s="4">
        <f>SUMIFS('Opportunities'!$H$2:$H$1775,'Opportunities'!$C$2:$C$1775,"=r08",'Opportunities'!$N$2:$N$1775,"=aug26",'Opportunities'!$P$2:$P$1775,"=1")</f>
        <v>67600</v>
      </c>
      <c r="T9" s="4">
        <f>SUMIFS('Opportunities'!$H$2:$H$1775,'Opportunities'!$C$2:$C$1775,"=r08",'Opportunities'!$N$2:$N$1775,"=sep26",'Opportunities'!$P$2:$P$1775,"=1")</f>
        <v>386300</v>
      </c>
      <c r="U9" s="4">
        <f>SUMIFS('Opportunities'!$H$2:$H$1775,'Opportunities'!$C$2:$C$1775,"=r08",'Opportunities'!$N$2:$N$1775,"=oct26",'Opportunities'!$P$2:$P$1775,"=1")</f>
        <v>0</v>
      </c>
      <c r="V9" s="4">
        <f>SUMIFS('Opportunities'!$H$2:$H$1775,'Opportunities'!$C$2:$C$1775,"=r08",'Opportunities'!$N$2:$N$1775,"=nov26",'Opportunities'!$P$2:$P$1775,"=1")</f>
        <v>0</v>
      </c>
      <c r="W9" s="4">
        <f>SUMIFS('Opportunities'!$H$2:$H$1775,'Opportunities'!$C$2:$C$1775,"=r08",'Opportunities'!$N$2:$N$1775,"=dec26",'Opportunities'!$P$2:$P$1775,"=1")</f>
        <v>0</v>
      </c>
    </row>
    <row r="10">
      <c r="A10" s="0" t="inlineStr">
        <is>
          <t xml:space="preserve">Bookings</t>
        </is>
      </c>
      <c r="B10" s="0" t="inlineStr">
        <is>
          <t xml:space="preserve">Grace Costa</t>
        </is>
      </c>
      <c r="C10" s="4">
        <f>SUMIFS('Opportunities'!$H$2:$H$1775,'Opportunities'!$C$2:$C$1775,"=r09",'Opportunities'!$N$2:$N$1775,"=apr25",'Opportunities'!$P$2:$P$1775,"=1")</f>
        <v>0</v>
      </c>
      <c r="D10" s="4">
        <f>SUMIFS('Opportunities'!$H$2:$H$1775,'Opportunities'!$C$2:$C$1775,"=r09",'Opportunities'!$N$2:$N$1775,"=may25",'Opportunities'!$P$2:$P$1775,"=1")</f>
        <v>32300</v>
      </c>
      <c r="E10" s="4">
        <f>SUMIFS('Opportunities'!$H$2:$H$1775,'Opportunities'!$C$2:$C$1775,"=r09",'Opportunities'!$N$2:$N$1775,"=jun25",'Opportunities'!$P$2:$P$1775,"=1")</f>
        <v>40000</v>
      </c>
      <c r="F10" s="4">
        <f>SUMIFS('Opportunities'!$H$2:$H$1775,'Opportunities'!$C$2:$C$1775,"=r09",'Opportunities'!$N$2:$N$1775,"=jul25",'Opportunities'!$P$2:$P$1775,"=1")</f>
        <v>45400</v>
      </c>
      <c r="G10" s="4">
        <f>SUMIFS('Opportunities'!$H$2:$H$1775,'Opportunities'!$C$2:$C$1775,"=r09",'Opportunities'!$N$2:$N$1775,"=aug25",'Opportunities'!$P$2:$P$1775,"=1")</f>
        <v>30000</v>
      </c>
      <c r="H10" s="4">
        <f>SUMIFS('Opportunities'!$H$2:$H$1775,'Opportunities'!$C$2:$C$1775,"=r09",'Opportunities'!$N$2:$N$1775,"=sep25",'Opportunities'!$P$2:$P$1775,"=1")</f>
        <v>38600</v>
      </c>
      <c r="I10" s="4">
        <f>SUMIFS('Opportunities'!$H$2:$H$1775,'Opportunities'!$C$2:$C$1775,"=r09",'Opportunities'!$N$2:$N$1775,"=oct25",'Opportunities'!$P$2:$P$1775,"=1")</f>
        <v>0</v>
      </c>
      <c r="J10" s="4">
        <f>SUMIFS('Opportunities'!$H$2:$H$1775,'Opportunities'!$C$2:$C$1775,"=r09",'Opportunities'!$N$2:$N$1775,"=nov25",'Opportunities'!$P$2:$P$1775,"=1")</f>
        <v>150400</v>
      </c>
      <c r="K10" s="4">
        <f>SUMIFS('Opportunities'!$H$2:$H$1775,'Opportunities'!$C$2:$C$1775,"=r09",'Opportunities'!$N$2:$N$1775,"=dec25",'Opportunities'!$P$2:$P$1775,"=1")</f>
        <v>195500</v>
      </c>
      <c r="L10" s="4">
        <f>SUMIFS('Opportunities'!$H$2:$H$1775,'Opportunities'!$C$2:$C$1775,"=r09",'Opportunities'!$N$2:$N$1775,"=jan26",'Opportunities'!$P$2:$P$1775,"=1")</f>
        <v>66400</v>
      </c>
      <c r="M10" s="4">
        <f>SUMIFS('Opportunities'!$H$2:$H$1775,'Opportunities'!$C$2:$C$1775,"=r09",'Opportunities'!$N$2:$N$1775,"=feb26",'Opportunities'!$P$2:$P$1775,"=1")</f>
        <v>151700</v>
      </c>
      <c r="N10" s="4">
        <f>SUMIFS('Opportunities'!$H$2:$H$1775,'Opportunities'!$C$2:$C$1775,"=r09",'Opportunities'!$N$2:$N$1775,"=mar26",'Opportunities'!$P$2:$P$1775,"=1")</f>
        <v>105500</v>
      </c>
      <c r="O10" s="4">
        <f>SUMIFS('Opportunities'!$H$2:$H$1775,'Opportunities'!$C$2:$C$1775,"=r09",'Opportunities'!$N$2:$N$1775,"=apr26",'Opportunities'!$P$2:$P$1775,"=1")</f>
        <v>105200</v>
      </c>
      <c r="P10" s="4">
        <f>SUMIFS('Opportunities'!$H$2:$H$1775,'Opportunities'!$C$2:$C$1775,"=r09",'Opportunities'!$N$2:$N$1775,"=may26",'Opportunities'!$P$2:$P$1775,"=1")</f>
        <v>178200</v>
      </c>
      <c r="Q10" s="4">
        <f>SUMIFS('Opportunities'!$H$2:$H$1775,'Opportunities'!$C$2:$C$1775,"=r09",'Opportunities'!$N$2:$N$1775,"=jun26",'Opportunities'!$P$2:$P$1775,"=1")</f>
        <v>364300</v>
      </c>
      <c r="R10" s="4">
        <f>SUMIFS('Opportunities'!$H$2:$H$1775,'Opportunities'!$C$2:$C$1775,"=r09",'Opportunities'!$N$2:$N$1775,"=jul26",'Opportunities'!$P$2:$P$1775,"=1")</f>
        <v>160000</v>
      </c>
      <c r="S10" s="4">
        <f>SUMIFS('Opportunities'!$H$2:$H$1775,'Opportunities'!$C$2:$C$1775,"=r09",'Opportunities'!$N$2:$N$1775,"=aug26",'Opportunities'!$P$2:$P$1775,"=1")</f>
        <v>30100</v>
      </c>
      <c r="T10" s="4">
        <f>SUMIFS('Opportunities'!$H$2:$H$1775,'Opportunities'!$C$2:$C$1775,"=r09",'Opportunities'!$N$2:$N$1775,"=sep26",'Opportunities'!$P$2:$P$1775,"=1")</f>
        <v>192500</v>
      </c>
      <c r="U10" s="4">
        <f>SUMIFS('Opportunities'!$H$2:$H$1775,'Opportunities'!$C$2:$C$1775,"=r09",'Opportunities'!$N$2:$N$1775,"=oct26",'Opportunities'!$P$2:$P$1775,"=1")</f>
        <v>0</v>
      </c>
      <c r="V10" s="4">
        <f>SUMIFS('Opportunities'!$H$2:$H$1775,'Opportunities'!$C$2:$C$1775,"=r09",'Opportunities'!$N$2:$N$1775,"=nov26",'Opportunities'!$P$2:$P$1775,"=1")</f>
        <v>0</v>
      </c>
      <c r="W10" s="4">
        <f>SUMIFS('Opportunities'!$H$2:$H$1775,'Opportunities'!$C$2:$C$1775,"=r09",'Opportunities'!$N$2:$N$1775,"=dec26",'Opportunities'!$P$2:$P$1775,"=1")</f>
        <v>0</v>
      </c>
    </row>
    <row r="11">
      <c r="A11" s="0" t="inlineStr">
        <is>
          <t xml:space="preserve">Bookings</t>
        </is>
      </c>
      <c r="B11" s="0" t="inlineStr">
        <is>
          <t xml:space="preserve">Ingrid Müller</t>
        </is>
      </c>
      <c r="C11" s="4">
        <f>SUMIFS('Opportunities'!$H$2:$H$1775,'Opportunities'!$C$2:$C$1775,"=r10",'Opportunities'!$N$2:$N$1775,"=apr25",'Opportunities'!$P$2:$P$1775,"=1")</f>
        <v>0</v>
      </c>
      <c r="D11" s="4">
        <f>SUMIFS('Opportunities'!$H$2:$H$1775,'Opportunities'!$C$2:$C$1775,"=r10",'Opportunities'!$N$2:$N$1775,"=may25",'Opportunities'!$P$2:$P$1775,"=1")</f>
        <v>0</v>
      </c>
      <c r="E11" s="4">
        <f>SUMIFS('Opportunities'!$H$2:$H$1775,'Opportunities'!$C$2:$C$1775,"=r10",'Opportunities'!$N$2:$N$1775,"=jun25",'Opportunities'!$P$2:$P$1775,"=1")</f>
        <v>0</v>
      </c>
      <c r="F11" s="4">
        <f>SUMIFS('Opportunities'!$H$2:$H$1775,'Opportunities'!$C$2:$C$1775,"=r10",'Opportunities'!$N$2:$N$1775,"=jul25",'Opportunities'!$P$2:$P$1775,"=1")</f>
        <v>0</v>
      </c>
      <c r="G11" s="4">
        <f>SUMIFS('Opportunities'!$H$2:$H$1775,'Opportunities'!$C$2:$C$1775,"=r10",'Opportunities'!$N$2:$N$1775,"=aug25",'Opportunities'!$P$2:$P$1775,"=1")</f>
        <v>0</v>
      </c>
      <c r="H11" s="4">
        <f>SUMIFS('Opportunities'!$H$2:$H$1775,'Opportunities'!$C$2:$C$1775,"=r10",'Opportunities'!$N$2:$N$1775,"=sep25",'Opportunities'!$P$2:$P$1775,"=1")</f>
        <v>0</v>
      </c>
      <c r="I11" s="4">
        <f>SUMIFS('Opportunities'!$H$2:$H$1775,'Opportunities'!$C$2:$C$1775,"=r10",'Opportunities'!$N$2:$N$1775,"=oct25",'Opportunities'!$P$2:$P$1775,"=1")</f>
        <v>0</v>
      </c>
      <c r="J11" s="4">
        <f>SUMIFS('Opportunities'!$H$2:$H$1775,'Opportunities'!$C$2:$C$1775,"=r10",'Opportunities'!$N$2:$N$1775,"=nov25",'Opportunities'!$P$2:$P$1775,"=1")</f>
        <v>0</v>
      </c>
      <c r="K11" s="4">
        <f>SUMIFS('Opportunities'!$H$2:$H$1775,'Opportunities'!$C$2:$C$1775,"=r10",'Opportunities'!$N$2:$N$1775,"=dec25",'Opportunities'!$P$2:$P$1775,"=1")</f>
        <v>0</v>
      </c>
      <c r="L11" s="4">
        <f>SUMIFS('Opportunities'!$H$2:$H$1775,'Opportunities'!$C$2:$C$1775,"=r10",'Opportunities'!$N$2:$N$1775,"=jan26",'Opportunities'!$P$2:$P$1775,"=1")</f>
        <v>0</v>
      </c>
      <c r="M11" s="4">
        <f>SUMIFS('Opportunities'!$H$2:$H$1775,'Opportunities'!$C$2:$C$1775,"=r10",'Opportunities'!$N$2:$N$1775,"=feb26",'Opportunities'!$P$2:$P$1775,"=1")</f>
        <v>0</v>
      </c>
      <c r="N11" s="4">
        <f>SUMIFS('Opportunities'!$H$2:$H$1775,'Opportunities'!$C$2:$C$1775,"=r10",'Opportunities'!$N$2:$N$1775,"=mar26",'Opportunities'!$P$2:$P$1775,"=1")</f>
        <v>0</v>
      </c>
      <c r="O11" s="4">
        <f>SUMIFS('Opportunities'!$H$2:$H$1775,'Opportunities'!$C$2:$C$1775,"=r10",'Opportunities'!$N$2:$N$1775,"=apr26",'Opportunities'!$P$2:$P$1775,"=1")</f>
        <v>71500</v>
      </c>
      <c r="P11" s="4">
        <f>SUMIFS('Opportunities'!$H$2:$H$1775,'Opportunities'!$C$2:$C$1775,"=r10",'Opportunities'!$N$2:$N$1775,"=may26",'Opportunities'!$P$2:$P$1775,"=1")</f>
        <v>0</v>
      </c>
      <c r="Q11" s="4">
        <f>SUMIFS('Opportunities'!$H$2:$H$1775,'Opportunities'!$C$2:$C$1775,"=r10",'Opportunities'!$N$2:$N$1775,"=jun26",'Opportunities'!$P$2:$P$1775,"=1")</f>
        <v>75200</v>
      </c>
      <c r="R11" s="4">
        <f>SUMIFS('Opportunities'!$H$2:$H$1775,'Opportunities'!$C$2:$C$1775,"=r10",'Opportunities'!$N$2:$N$1775,"=jul26",'Opportunities'!$P$2:$P$1775,"=1")</f>
        <v>0</v>
      </c>
      <c r="S11" s="4">
        <f>SUMIFS('Opportunities'!$H$2:$H$1775,'Opportunities'!$C$2:$C$1775,"=r10",'Opportunities'!$N$2:$N$1775,"=aug26",'Opportunities'!$P$2:$P$1775,"=1")</f>
        <v>159400</v>
      </c>
      <c r="T11" s="4">
        <f>SUMIFS('Opportunities'!$H$2:$H$1775,'Opportunities'!$C$2:$C$1775,"=r10",'Opportunities'!$N$2:$N$1775,"=sep26",'Opportunities'!$P$2:$P$1775,"=1")</f>
        <v>86300</v>
      </c>
      <c r="U11" s="4">
        <f>SUMIFS('Opportunities'!$H$2:$H$1775,'Opportunities'!$C$2:$C$1775,"=r10",'Opportunities'!$N$2:$N$1775,"=oct26",'Opportunities'!$P$2:$P$1775,"=1")</f>
        <v>0</v>
      </c>
      <c r="V11" s="4">
        <f>SUMIFS('Opportunities'!$H$2:$H$1775,'Opportunities'!$C$2:$C$1775,"=r10",'Opportunities'!$N$2:$N$1775,"=nov26",'Opportunities'!$P$2:$P$1775,"=1")</f>
        <v>0</v>
      </c>
      <c r="W11" s="4">
        <f>SUMIFS('Opportunities'!$H$2:$H$1775,'Opportunities'!$C$2:$C$1775,"=r10",'Opportunities'!$N$2:$N$1775,"=dec26",'Opportunities'!$P$2:$P$1775,"=1")</f>
        <v>0</v>
      </c>
    </row>
    <row r="12">
      <c r="A12" s="0" t="inlineStr">
        <is>
          <t xml:space="preserve">Bookings</t>
        </is>
      </c>
      <c r="B12" s="0" t="inlineStr">
        <is>
          <t xml:space="preserve">Ingrid Kim</t>
        </is>
      </c>
      <c r="C12" s="4">
        <f>SUMIFS('Opportunities'!$H$2:$H$1775,'Opportunities'!$C$2:$C$1775,"=r11",'Opportunities'!$N$2:$N$1775,"=apr25",'Opportunities'!$P$2:$P$1775,"=1")</f>
        <v>42400</v>
      </c>
      <c r="D12" s="4">
        <f>SUMIFS('Opportunities'!$H$2:$H$1775,'Opportunities'!$C$2:$C$1775,"=r11",'Opportunities'!$N$2:$N$1775,"=may25",'Opportunities'!$P$2:$P$1775,"=1")</f>
        <v>19000</v>
      </c>
      <c r="E12" s="4">
        <f>SUMIFS('Opportunities'!$H$2:$H$1775,'Opportunities'!$C$2:$C$1775,"=r11",'Opportunities'!$N$2:$N$1775,"=jun25",'Opportunities'!$P$2:$P$1775,"=1")</f>
        <v>19200</v>
      </c>
      <c r="F12" s="4">
        <f>SUMIFS('Opportunities'!$H$2:$H$1775,'Opportunities'!$C$2:$C$1775,"=r11",'Opportunities'!$N$2:$N$1775,"=jul25",'Opportunities'!$P$2:$P$1775,"=1")</f>
        <v>0</v>
      </c>
      <c r="G12" s="4">
        <f>SUMIFS('Opportunities'!$H$2:$H$1775,'Opportunities'!$C$2:$C$1775,"=r11",'Opportunities'!$N$2:$N$1775,"=aug25",'Opportunities'!$P$2:$P$1775,"=1")</f>
        <v>52100</v>
      </c>
      <c r="H12" s="4">
        <f>SUMIFS('Opportunities'!$H$2:$H$1775,'Opportunities'!$C$2:$C$1775,"=r11",'Opportunities'!$N$2:$N$1775,"=sep25",'Opportunities'!$P$2:$P$1775,"=1")</f>
        <v>34500</v>
      </c>
      <c r="I12" s="4">
        <f>SUMIFS('Opportunities'!$H$2:$H$1775,'Opportunities'!$C$2:$C$1775,"=r11",'Opportunities'!$N$2:$N$1775,"=oct25",'Opportunities'!$P$2:$P$1775,"=1")</f>
        <v>33600</v>
      </c>
      <c r="J12" s="4">
        <f>SUMIFS('Opportunities'!$H$2:$H$1775,'Opportunities'!$C$2:$C$1775,"=r11",'Opportunities'!$N$2:$N$1775,"=nov25",'Opportunities'!$P$2:$P$1775,"=1")</f>
        <v>37000</v>
      </c>
      <c r="K12" s="4">
        <f>SUMIFS('Opportunities'!$H$2:$H$1775,'Opportunities'!$C$2:$C$1775,"=r11",'Opportunities'!$N$2:$N$1775,"=dec25",'Opportunities'!$P$2:$P$1775,"=1")</f>
        <v>55200</v>
      </c>
      <c r="L12" s="4">
        <f>SUMIFS('Opportunities'!$H$2:$H$1775,'Opportunities'!$C$2:$C$1775,"=r11",'Opportunities'!$N$2:$N$1775,"=jan26",'Opportunities'!$P$2:$P$1775,"=1")</f>
        <v>23500</v>
      </c>
      <c r="M12" s="4">
        <f>SUMIFS('Opportunities'!$H$2:$H$1775,'Opportunities'!$C$2:$C$1775,"=r11",'Opportunities'!$N$2:$N$1775,"=feb26",'Opportunities'!$P$2:$P$1775,"=1")</f>
        <v>33300</v>
      </c>
      <c r="N12" s="4">
        <f>SUMIFS('Opportunities'!$H$2:$H$1775,'Opportunities'!$C$2:$C$1775,"=r11",'Opportunities'!$N$2:$N$1775,"=mar26",'Opportunities'!$P$2:$P$1775,"=1")</f>
        <v>49700</v>
      </c>
      <c r="O12" s="4">
        <f>SUMIFS('Opportunities'!$H$2:$H$1775,'Opportunities'!$C$2:$C$1775,"=r11",'Opportunities'!$N$2:$N$1775,"=apr26",'Opportunities'!$P$2:$P$1775,"=1")</f>
        <v>20500</v>
      </c>
      <c r="P12" s="4">
        <f>SUMIFS('Opportunities'!$H$2:$H$1775,'Opportunities'!$C$2:$C$1775,"=r11",'Opportunities'!$N$2:$N$1775,"=may26",'Opportunities'!$P$2:$P$1775,"=1")</f>
        <v>6000</v>
      </c>
      <c r="Q12" s="4">
        <f>SUMIFS('Opportunities'!$H$2:$H$1775,'Opportunities'!$C$2:$C$1775,"=r11",'Opportunities'!$N$2:$N$1775,"=jun26",'Opportunities'!$P$2:$P$1775,"=1")</f>
        <v>0</v>
      </c>
      <c r="R12" s="4">
        <f>SUMIFS('Opportunities'!$H$2:$H$1775,'Opportunities'!$C$2:$C$1775,"=r11",'Opportunities'!$N$2:$N$1775,"=jul26",'Opportunities'!$P$2:$P$1775,"=1")</f>
        <v>44300</v>
      </c>
      <c r="S12" s="4">
        <f>SUMIFS('Opportunities'!$H$2:$H$1775,'Opportunities'!$C$2:$C$1775,"=r11",'Opportunities'!$N$2:$N$1775,"=aug26",'Opportunities'!$P$2:$P$1775,"=1")</f>
        <v>0</v>
      </c>
      <c r="T12" s="4">
        <f>SUMIFS('Opportunities'!$H$2:$H$1775,'Opportunities'!$C$2:$C$1775,"=r11",'Opportunities'!$N$2:$N$1775,"=sep26",'Opportunities'!$P$2:$P$1775,"=1")</f>
        <v>44800</v>
      </c>
      <c r="U12" s="4">
        <f>SUMIFS('Opportunities'!$H$2:$H$1775,'Opportunities'!$C$2:$C$1775,"=r11",'Opportunities'!$N$2:$N$1775,"=oct26",'Opportunities'!$P$2:$P$1775,"=1")</f>
        <v>0</v>
      </c>
      <c r="V12" s="4">
        <f>SUMIFS('Opportunities'!$H$2:$H$1775,'Opportunities'!$C$2:$C$1775,"=r11",'Opportunities'!$N$2:$N$1775,"=nov26",'Opportunities'!$P$2:$P$1775,"=1")</f>
        <v>0</v>
      </c>
      <c r="W12" s="4">
        <f>SUMIFS('Opportunities'!$H$2:$H$1775,'Opportunities'!$C$2:$C$1775,"=r11",'Opportunities'!$N$2:$N$1775,"=dec26",'Opportunities'!$P$2:$P$1775,"=1")</f>
        <v>0</v>
      </c>
    </row>
    <row r="13">
      <c r="A13" s="0" t="inlineStr">
        <is>
          <t xml:space="preserve">Bookings</t>
        </is>
      </c>
      <c r="B13" s="0" t="inlineStr">
        <is>
          <t xml:space="preserve">Priya Nair</t>
        </is>
      </c>
      <c r="C13" s="4">
        <f>SUMIFS('Opportunities'!$H$2:$H$1775,'Opportunities'!$C$2:$C$1775,"=r12",'Opportunities'!$N$2:$N$1775,"=apr25",'Opportunities'!$P$2:$P$1775,"=1")</f>
        <v>0</v>
      </c>
      <c r="D13" s="4">
        <f>SUMIFS('Opportunities'!$H$2:$H$1775,'Opportunities'!$C$2:$C$1775,"=r12",'Opportunities'!$N$2:$N$1775,"=may25",'Opportunities'!$P$2:$P$1775,"=1")</f>
        <v>63800</v>
      </c>
      <c r="E13" s="4">
        <f>SUMIFS('Opportunities'!$H$2:$H$1775,'Opportunities'!$C$2:$C$1775,"=r12",'Opportunities'!$N$2:$N$1775,"=jun25",'Opportunities'!$P$2:$P$1775,"=1")</f>
        <v>6800</v>
      </c>
      <c r="F13" s="4">
        <f>SUMIFS('Opportunities'!$H$2:$H$1775,'Opportunities'!$C$2:$C$1775,"=r12",'Opportunities'!$N$2:$N$1775,"=jul25",'Opportunities'!$P$2:$P$1775,"=1")</f>
        <v>26200</v>
      </c>
      <c r="G13" s="4">
        <f>SUMIFS('Opportunities'!$H$2:$H$1775,'Opportunities'!$C$2:$C$1775,"=r12",'Opportunities'!$N$2:$N$1775,"=aug25",'Opportunities'!$P$2:$P$1775,"=1")</f>
        <v>6400</v>
      </c>
      <c r="H13" s="4">
        <f>SUMIFS('Opportunities'!$H$2:$H$1775,'Opportunities'!$C$2:$C$1775,"=r12",'Opportunities'!$N$2:$N$1775,"=sep25",'Opportunities'!$P$2:$P$1775,"=1")</f>
        <v>68400</v>
      </c>
      <c r="I13" s="4">
        <f>SUMIFS('Opportunities'!$H$2:$H$1775,'Opportunities'!$C$2:$C$1775,"=r12",'Opportunities'!$N$2:$N$1775,"=oct25",'Opportunities'!$P$2:$P$1775,"=1")</f>
        <v>29700</v>
      </c>
      <c r="J13" s="4">
        <f>SUMIFS('Opportunities'!$H$2:$H$1775,'Opportunities'!$C$2:$C$1775,"=r12",'Opportunities'!$N$2:$N$1775,"=nov25",'Opportunities'!$P$2:$P$1775,"=1")</f>
        <v>25700</v>
      </c>
      <c r="K13" s="4">
        <f>SUMIFS('Opportunities'!$H$2:$H$1775,'Opportunities'!$C$2:$C$1775,"=r12",'Opportunities'!$N$2:$N$1775,"=dec25",'Opportunities'!$P$2:$P$1775,"=1")</f>
        <v>56200</v>
      </c>
      <c r="L13" s="4">
        <f>SUMIFS('Opportunities'!$H$2:$H$1775,'Opportunities'!$C$2:$C$1775,"=r12",'Opportunities'!$N$2:$N$1775,"=jan26",'Opportunities'!$P$2:$P$1775,"=1")</f>
        <v>19600</v>
      </c>
      <c r="M13" s="4">
        <f>SUMIFS('Opportunities'!$H$2:$H$1775,'Opportunities'!$C$2:$C$1775,"=r12",'Opportunities'!$N$2:$N$1775,"=feb26",'Opportunities'!$P$2:$P$1775,"=1")</f>
        <v>0</v>
      </c>
      <c r="N13" s="4">
        <f>SUMIFS('Opportunities'!$H$2:$H$1775,'Opportunities'!$C$2:$C$1775,"=r12",'Opportunities'!$N$2:$N$1775,"=mar26",'Opportunities'!$P$2:$P$1775,"=1")</f>
        <v>56100</v>
      </c>
      <c r="O13" s="4">
        <f>SUMIFS('Opportunities'!$H$2:$H$1775,'Opportunities'!$C$2:$C$1775,"=r12",'Opportunities'!$N$2:$N$1775,"=apr26",'Opportunities'!$P$2:$P$1775,"=1")</f>
        <v>46600</v>
      </c>
      <c r="P13" s="4">
        <f>SUMIFS('Opportunities'!$H$2:$H$1775,'Opportunities'!$C$2:$C$1775,"=r12",'Opportunities'!$N$2:$N$1775,"=may26",'Opportunities'!$P$2:$P$1775,"=1")</f>
        <v>5000</v>
      </c>
      <c r="Q13" s="4">
        <f>SUMIFS('Opportunities'!$H$2:$H$1775,'Opportunities'!$C$2:$C$1775,"=r12",'Opportunities'!$N$2:$N$1775,"=jun26",'Opportunities'!$P$2:$P$1775,"=1")</f>
        <v>52000</v>
      </c>
      <c r="R13" s="4">
        <f>SUMIFS('Opportunities'!$H$2:$H$1775,'Opportunities'!$C$2:$C$1775,"=r12",'Opportunities'!$N$2:$N$1775,"=jul26",'Opportunities'!$P$2:$P$1775,"=1")</f>
        <v>5400</v>
      </c>
      <c r="S13" s="4">
        <f>SUMIFS('Opportunities'!$H$2:$H$1775,'Opportunities'!$C$2:$C$1775,"=r12",'Opportunities'!$N$2:$N$1775,"=aug26",'Opportunities'!$P$2:$P$1775,"=1")</f>
        <v>31800</v>
      </c>
      <c r="T13" s="4">
        <f>SUMIFS('Opportunities'!$H$2:$H$1775,'Opportunities'!$C$2:$C$1775,"=r12",'Opportunities'!$N$2:$N$1775,"=sep26",'Opportunities'!$P$2:$P$1775,"=1")</f>
        <v>0</v>
      </c>
      <c r="U13" s="4">
        <f>SUMIFS('Opportunities'!$H$2:$H$1775,'Opportunities'!$C$2:$C$1775,"=r12",'Opportunities'!$N$2:$N$1775,"=oct26",'Opportunities'!$P$2:$P$1775,"=1")</f>
        <v>0</v>
      </c>
      <c r="V13" s="4">
        <f>SUMIFS('Opportunities'!$H$2:$H$1775,'Opportunities'!$C$2:$C$1775,"=r12",'Opportunities'!$N$2:$N$1775,"=nov26",'Opportunities'!$P$2:$P$1775,"=1")</f>
        <v>0</v>
      </c>
      <c r="W13" s="4">
        <f>SUMIFS('Opportunities'!$H$2:$H$1775,'Opportunities'!$C$2:$C$1775,"=r12",'Opportunities'!$N$2:$N$1775,"=dec26",'Opportunities'!$P$2:$P$1775,"=1")</f>
        <v>0</v>
      </c>
    </row>
    <row r="14">
      <c r="A14" s="0" t="inlineStr">
        <is>
          <t xml:space="preserve">Bookings</t>
        </is>
      </c>
      <c r="B14" s="0" t="inlineStr">
        <is>
          <t xml:space="preserve">Hugo Lindqvist</t>
        </is>
      </c>
      <c r="C14" s="4">
        <f>SUMIFS('Opportunities'!$H$2:$H$1775,'Opportunities'!$C$2:$C$1775,"=r13",'Opportunities'!$N$2:$N$1775,"=apr25",'Opportunities'!$P$2:$P$1775,"=1")</f>
        <v>0</v>
      </c>
      <c r="D14" s="4">
        <f>SUMIFS('Opportunities'!$H$2:$H$1775,'Opportunities'!$C$2:$C$1775,"=r13",'Opportunities'!$N$2:$N$1775,"=may25",'Opportunities'!$P$2:$P$1775,"=1")</f>
        <v>0</v>
      </c>
      <c r="E14" s="4">
        <f>SUMIFS('Opportunities'!$H$2:$H$1775,'Opportunities'!$C$2:$C$1775,"=r13",'Opportunities'!$N$2:$N$1775,"=jun25",'Opportunities'!$P$2:$P$1775,"=1")</f>
        <v>245800</v>
      </c>
      <c r="F14" s="4">
        <f>SUMIFS('Opportunities'!$H$2:$H$1775,'Opportunities'!$C$2:$C$1775,"=r13",'Opportunities'!$N$2:$N$1775,"=jul25",'Opportunities'!$P$2:$P$1775,"=1")</f>
        <v>0</v>
      </c>
      <c r="G14" s="4">
        <f>SUMIFS('Opportunities'!$H$2:$H$1775,'Opportunities'!$C$2:$C$1775,"=r13",'Opportunities'!$N$2:$N$1775,"=aug25",'Opportunities'!$P$2:$P$1775,"=1")</f>
        <v>0</v>
      </c>
      <c r="H14" s="4">
        <f>SUMIFS('Opportunities'!$H$2:$H$1775,'Opportunities'!$C$2:$C$1775,"=r13",'Opportunities'!$N$2:$N$1775,"=sep25",'Opportunities'!$P$2:$P$1775,"=1")</f>
        <v>732500</v>
      </c>
      <c r="I14" s="4">
        <f>SUMIFS('Opportunities'!$H$2:$H$1775,'Opportunities'!$C$2:$C$1775,"=r13",'Opportunities'!$N$2:$N$1775,"=oct25",'Opportunities'!$P$2:$P$1775,"=1")</f>
        <v>121300</v>
      </c>
      <c r="J14" s="4">
        <f>SUMIFS('Opportunities'!$H$2:$H$1775,'Opportunities'!$C$2:$C$1775,"=r13",'Opportunities'!$N$2:$N$1775,"=nov25",'Opportunities'!$P$2:$P$1775,"=1")</f>
        <v>150300</v>
      </c>
      <c r="K14" s="4">
        <f>SUMIFS('Opportunities'!$H$2:$H$1775,'Opportunities'!$C$2:$C$1775,"=r13",'Opportunities'!$N$2:$N$1775,"=dec25",'Opportunities'!$P$2:$P$1775,"=1")</f>
        <v>0</v>
      </c>
      <c r="L14" s="4">
        <f>SUMIFS('Opportunities'!$H$2:$H$1775,'Opportunities'!$C$2:$C$1775,"=r13",'Opportunities'!$N$2:$N$1775,"=jan26",'Opportunities'!$P$2:$P$1775,"=1")</f>
        <v>543300</v>
      </c>
      <c r="M14" s="4">
        <f>SUMIFS('Opportunities'!$H$2:$H$1775,'Opportunities'!$C$2:$C$1775,"=r13",'Opportunities'!$N$2:$N$1775,"=feb26",'Opportunities'!$P$2:$P$1775,"=1")</f>
        <v>0</v>
      </c>
      <c r="N14" s="4">
        <f>SUMIFS('Opportunities'!$H$2:$H$1775,'Opportunities'!$C$2:$C$1775,"=r13",'Opportunities'!$N$2:$N$1775,"=mar26",'Opportunities'!$P$2:$P$1775,"=1")</f>
        <v>0</v>
      </c>
      <c r="O14" s="4">
        <f>SUMIFS('Opportunities'!$H$2:$H$1775,'Opportunities'!$C$2:$C$1775,"=r13",'Opportunities'!$N$2:$N$1775,"=apr26",'Opportunities'!$P$2:$P$1775,"=1")</f>
        <v>148600</v>
      </c>
      <c r="P14" s="4">
        <f>SUMIFS('Opportunities'!$H$2:$H$1775,'Opportunities'!$C$2:$C$1775,"=r13",'Opportunities'!$N$2:$N$1775,"=may26",'Opportunities'!$P$2:$P$1775,"=1")</f>
        <v>108100</v>
      </c>
      <c r="Q14" s="4">
        <f>SUMIFS('Opportunities'!$H$2:$H$1775,'Opportunities'!$C$2:$C$1775,"=r13",'Opportunities'!$N$2:$N$1775,"=jun26",'Opportunities'!$P$2:$P$1775,"=1")</f>
        <v>200300</v>
      </c>
      <c r="R14" s="4">
        <f>SUMIFS('Opportunities'!$H$2:$H$1775,'Opportunities'!$C$2:$C$1775,"=r13",'Opportunities'!$N$2:$N$1775,"=jul26",'Opportunities'!$P$2:$P$1775,"=1")</f>
        <v>0</v>
      </c>
      <c r="S14" s="4">
        <f>SUMIFS('Opportunities'!$H$2:$H$1775,'Opportunities'!$C$2:$C$1775,"=r13",'Opportunities'!$N$2:$N$1775,"=aug26",'Opportunities'!$P$2:$P$1775,"=1")</f>
        <v>0</v>
      </c>
      <c r="T14" s="4">
        <f>SUMIFS('Opportunities'!$H$2:$H$1775,'Opportunities'!$C$2:$C$1775,"=r13",'Opportunities'!$N$2:$N$1775,"=sep26",'Opportunities'!$P$2:$P$1775,"=1")</f>
        <v>376600</v>
      </c>
      <c r="U14" s="4">
        <f>SUMIFS('Opportunities'!$H$2:$H$1775,'Opportunities'!$C$2:$C$1775,"=r13",'Opportunities'!$N$2:$N$1775,"=oct26",'Opportunities'!$P$2:$P$1775,"=1")</f>
        <v>0</v>
      </c>
      <c r="V14" s="4">
        <f>SUMIFS('Opportunities'!$H$2:$H$1775,'Opportunities'!$C$2:$C$1775,"=r13",'Opportunities'!$N$2:$N$1775,"=nov26",'Opportunities'!$P$2:$P$1775,"=1")</f>
        <v>0</v>
      </c>
      <c r="W14" s="4">
        <f>SUMIFS('Opportunities'!$H$2:$H$1775,'Opportunities'!$C$2:$C$1775,"=r13",'Opportunities'!$N$2:$N$1775,"=dec26",'Opportunities'!$P$2:$P$1775,"=1")</f>
        <v>0</v>
      </c>
    </row>
    <row r="15">
      <c r="A15" s="0" t="inlineStr">
        <is>
          <t xml:space="preserve">Bookings</t>
        </is>
      </c>
      <c r="B15" s="0" t="inlineStr">
        <is>
          <t xml:space="preserve">Wei Novak</t>
        </is>
      </c>
      <c r="C15" s="4">
        <f>SUMIFS('Opportunities'!$H$2:$H$1775,'Opportunities'!$C$2:$C$1775,"=r14",'Opportunities'!$N$2:$N$1775,"=apr25",'Opportunities'!$P$2:$P$1775,"=1")</f>
        <v>0</v>
      </c>
      <c r="D15" s="4">
        <f>SUMIFS('Opportunities'!$H$2:$H$1775,'Opportunities'!$C$2:$C$1775,"=r14",'Opportunities'!$N$2:$N$1775,"=may25",'Opportunities'!$P$2:$P$1775,"=1")</f>
        <v>0</v>
      </c>
      <c r="E15" s="4">
        <f>SUMIFS('Opportunities'!$H$2:$H$1775,'Opportunities'!$C$2:$C$1775,"=r14",'Opportunities'!$N$2:$N$1775,"=jun25",'Opportunities'!$P$2:$P$1775,"=1")</f>
        <v>0</v>
      </c>
      <c r="F15" s="4">
        <f>SUMIFS('Opportunities'!$H$2:$H$1775,'Opportunities'!$C$2:$C$1775,"=r14",'Opportunities'!$N$2:$N$1775,"=jul25",'Opportunities'!$P$2:$P$1775,"=1")</f>
        <v>0</v>
      </c>
      <c r="G15" s="4">
        <f>SUMIFS('Opportunities'!$H$2:$H$1775,'Opportunities'!$C$2:$C$1775,"=r14",'Opportunities'!$N$2:$N$1775,"=aug25",'Opportunities'!$P$2:$P$1775,"=1")</f>
        <v>0</v>
      </c>
      <c r="H15" s="4">
        <f>SUMIFS('Opportunities'!$H$2:$H$1775,'Opportunities'!$C$2:$C$1775,"=r14",'Opportunities'!$N$2:$N$1775,"=sep25",'Opportunities'!$P$2:$P$1775,"=1")</f>
        <v>0</v>
      </c>
      <c r="I15" s="4">
        <f>SUMIFS('Opportunities'!$H$2:$H$1775,'Opportunities'!$C$2:$C$1775,"=r14",'Opportunities'!$N$2:$N$1775,"=oct25",'Opportunities'!$P$2:$P$1775,"=1")</f>
        <v>0</v>
      </c>
      <c r="J15" s="4">
        <f>SUMIFS('Opportunities'!$H$2:$H$1775,'Opportunities'!$C$2:$C$1775,"=r14",'Opportunities'!$N$2:$N$1775,"=nov25",'Opportunities'!$P$2:$P$1775,"=1")</f>
        <v>0</v>
      </c>
      <c r="K15" s="4">
        <f>SUMIFS('Opportunities'!$H$2:$H$1775,'Opportunities'!$C$2:$C$1775,"=r14",'Opportunities'!$N$2:$N$1775,"=dec25",'Opportunities'!$P$2:$P$1775,"=1")</f>
        <v>0</v>
      </c>
      <c r="L15" s="4">
        <f>SUMIFS('Opportunities'!$H$2:$H$1775,'Opportunities'!$C$2:$C$1775,"=r14",'Opportunities'!$N$2:$N$1775,"=jan26",'Opportunities'!$P$2:$P$1775,"=1")</f>
        <v>0</v>
      </c>
      <c r="M15" s="4">
        <f>SUMIFS('Opportunities'!$H$2:$H$1775,'Opportunities'!$C$2:$C$1775,"=r14",'Opportunities'!$N$2:$N$1775,"=feb26",'Opportunities'!$P$2:$P$1775,"=1")</f>
        <v>0</v>
      </c>
      <c r="N15" s="4">
        <f>SUMIFS('Opportunities'!$H$2:$H$1775,'Opportunities'!$C$2:$C$1775,"=r14",'Opportunities'!$N$2:$N$1775,"=mar26",'Opportunities'!$P$2:$P$1775,"=1")</f>
        <v>22800</v>
      </c>
      <c r="O15" s="4">
        <f>SUMIFS('Opportunities'!$H$2:$H$1775,'Opportunities'!$C$2:$C$1775,"=r14",'Opportunities'!$N$2:$N$1775,"=apr26",'Opportunities'!$P$2:$P$1775,"=1")</f>
        <v>0</v>
      </c>
      <c r="P15" s="4">
        <f>SUMIFS('Opportunities'!$H$2:$H$1775,'Opportunities'!$C$2:$C$1775,"=r14",'Opportunities'!$N$2:$N$1775,"=may26",'Opportunities'!$P$2:$P$1775,"=1")</f>
        <v>0</v>
      </c>
      <c r="Q15" s="4">
        <f>SUMIFS('Opportunities'!$H$2:$H$1775,'Opportunities'!$C$2:$C$1775,"=r14",'Opportunities'!$N$2:$N$1775,"=jun26",'Opportunities'!$P$2:$P$1775,"=1")</f>
        <v>60000</v>
      </c>
      <c r="R15" s="4">
        <f>SUMIFS('Opportunities'!$H$2:$H$1775,'Opportunities'!$C$2:$C$1775,"=r14",'Opportunities'!$N$2:$N$1775,"=jul26",'Opportunities'!$P$2:$P$1775,"=1")</f>
        <v>0</v>
      </c>
      <c r="S15" s="4">
        <f>SUMIFS('Opportunities'!$H$2:$H$1775,'Opportunities'!$C$2:$C$1775,"=r14",'Opportunities'!$N$2:$N$1775,"=aug26",'Opportunities'!$P$2:$P$1775,"=1")</f>
        <v>92900</v>
      </c>
      <c r="T15" s="4">
        <f>SUMIFS('Opportunities'!$H$2:$H$1775,'Opportunities'!$C$2:$C$1775,"=r14",'Opportunities'!$N$2:$N$1775,"=sep26",'Opportunities'!$P$2:$P$1775,"=1")</f>
        <v>0</v>
      </c>
      <c r="U15" s="4">
        <f>SUMIFS('Opportunities'!$H$2:$H$1775,'Opportunities'!$C$2:$C$1775,"=r14",'Opportunities'!$N$2:$N$1775,"=oct26",'Opportunities'!$P$2:$P$1775,"=1")</f>
        <v>0</v>
      </c>
      <c r="V15" s="4">
        <f>SUMIFS('Opportunities'!$H$2:$H$1775,'Opportunities'!$C$2:$C$1775,"=r14",'Opportunities'!$N$2:$N$1775,"=nov26",'Opportunities'!$P$2:$P$1775,"=1")</f>
        <v>0</v>
      </c>
      <c r="W15" s="4">
        <f>SUMIFS('Opportunities'!$H$2:$H$1775,'Opportunities'!$C$2:$C$1775,"=r14",'Opportunities'!$N$2:$N$1775,"=dec26",'Opportunities'!$P$2:$P$1775,"=1")</f>
        <v>0</v>
      </c>
    </row>
    <row r="16">
      <c r="A16" s="0" t="inlineStr">
        <is>
          <t xml:space="preserve">Bookings</t>
        </is>
      </c>
      <c r="B16" s="0" t="inlineStr">
        <is>
          <t xml:space="preserve">Nikolai Kim</t>
        </is>
      </c>
      <c r="C16" s="4">
        <f>SUMIFS('Opportunities'!$H$2:$H$1775,'Opportunities'!$C$2:$C$1775,"=r15",'Opportunities'!$N$2:$N$1775,"=apr25",'Opportunities'!$P$2:$P$1775,"=1")</f>
        <v>0</v>
      </c>
      <c r="D16" s="4">
        <f>SUMIFS('Opportunities'!$H$2:$H$1775,'Opportunities'!$C$2:$C$1775,"=r15",'Opportunities'!$N$2:$N$1775,"=may25",'Opportunities'!$P$2:$P$1775,"=1")</f>
        <v>39000</v>
      </c>
      <c r="E16" s="4">
        <f>SUMIFS('Opportunities'!$H$2:$H$1775,'Opportunities'!$C$2:$C$1775,"=r15",'Opportunities'!$N$2:$N$1775,"=jun25",'Opportunities'!$P$2:$P$1775,"=1")</f>
        <v>222600</v>
      </c>
      <c r="F16" s="4">
        <f>SUMIFS('Opportunities'!$H$2:$H$1775,'Opportunities'!$C$2:$C$1775,"=r15",'Opportunities'!$N$2:$N$1775,"=jul25",'Opportunities'!$P$2:$P$1775,"=1")</f>
        <v>151000</v>
      </c>
      <c r="G16" s="4">
        <f>SUMIFS('Opportunities'!$H$2:$H$1775,'Opportunities'!$C$2:$C$1775,"=r15",'Opportunities'!$N$2:$N$1775,"=aug25",'Opportunities'!$P$2:$P$1775,"=1")</f>
        <v>0</v>
      </c>
      <c r="H16" s="4">
        <f>SUMIFS('Opportunities'!$H$2:$H$1775,'Opportunities'!$C$2:$C$1775,"=r15",'Opportunities'!$N$2:$N$1775,"=sep25",'Opportunities'!$P$2:$P$1775,"=1")</f>
        <v>165500</v>
      </c>
      <c r="I16" s="4">
        <f>SUMIFS('Opportunities'!$H$2:$H$1775,'Opportunities'!$C$2:$C$1775,"=r15",'Opportunities'!$N$2:$N$1775,"=oct25",'Opportunities'!$P$2:$P$1775,"=1")</f>
        <v>126400</v>
      </c>
      <c r="J16" s="4">
        <f>SUMIFS('Opportunities'!$H$2:$H$1775,'Opportunities'!$C$2:$C$1775,"=r15",'Opportunities'!$N$2:$N$1775,"=nov25",'Opportunities'!$P$2:$P$1775,"=1")</f>
        <v>104600</v>
      </c>
      <c r="K16" s="4">
        <f>SUMIFS('Opportunities'!$H$2:$H$1775,'Opportunities'!$C$2:$C$1775,"=r15",'Opportunities'!$N$2:$N$1775,"=dec25",'Opportunities'!$P$2:$P$1775,"=1")</f>
        <v>73700</v>
      </c>
      <c r="L16" s="4">
        <f>SUMIFS('Opportunities'!$H$2:$H$1775,'Opportunities'!$C$2:$C$1775,"=r15",'Opportunities'!$N$2:$N$1775,"=jan26",'Opportunities'!$P$2:$P$1775,"=1")</f>
        <v>72400</v>
      </c>
      <c r="M16" s="4">
        <f>SUMIFS('Opportunities'!$H$2:$H$1775,'Opportunities'!$C$2:$C$1775,"=r15",'Opportunities'!$N$2:$N$1775,"=feb26",'Opportunities'!$P$2:$P$1775,"=1")</f>
        <v>33700</v>
      </c>
      <c r="N16" s="4">
        <f>SUMIFS('Opportunities'!$H$2:$H$1775,'Opportunities'!$C$2:$C$1775,"=r15",'Opportunities'!$N$2:$N$1775,"=mar26",'Opportunities'!$P$2:$P$1775,"=1")</f>
        <v>56400</v>
      </c>
      <c r="O16" s="4">
        <f>SUMIFS('Opportunities'!$H$2:$H$1775,'Opportunities'!$C$2:$C$1775,"=r15",'Opportunities'!$N$2:$N$1775,"=apr26",'Opportunities'!$P$2:$P$1775,"=1")</f>
        <v>123800</v>
      </c>
      <c r="P16" s="4">
        <f>SUMIFS('Opportunities'!$H$2:$H$1775,'Opportunities'!$C$2:$C$1775,"=r15",'Opportunities'!$N$2:$N$1775,"=may26",'Opportunities'!$P$2:$P$1775,"=1")</f>
        <v>63200</v>
      </c>
      <c r="Q16" s="4">
        <f>SUMIFS('Opportunities'!$H$2:$H$1775,'Opportunities'!$C$2:$C$1775,"=r15",'Opportunities'!$N$2:$N$1775,"=jun26",'Opportunities'!$P$2:$P$1775,"=1")</f>
        <v>44600</v>
      </c>
      <c r="R16" s="4">
        <f>SUMIFS('Opportunities'!$H$2:$H$1775,'Opportunities'!$C$2:$C$1775,"=r15",'Opportunities'!$N$2:$N$1775,"=jul26",'Opportunities'!$P$2:$P$1775,"=1")</f>
        <v>35700</v>
      </c>
      <c r="S16" s="4">
        <f>SUMIFS('Opportunities'!$H$2:$H$1775,'Opportunities'!$C$2:$C$1775,"=r15",'Opportunities'!$N$2:$N$1775,"=aug26",'Opportunities'!$P$2:$P$1775,"=1")</f>
        <v>0</v>
      </c>
      <c r="T16" s="4">
        <f>SUMIFS('Opportunities'!$H$2:$H$1775,'Opportunities'!$C$2:$C$1775,"=r15",'Opportunities'!$N$2:$N$1775,"=sep26",'Opportunities'!$P$2:$P$1775,"=1")</f>
        <v>100700</v>
      </c>
      <c r="U16" s="4">
        <f>SUMIFS('Opportunities'!$H$2:$H$1775,'Opportunities'!$C$2:$C$1775,"=r15",'Opportunities'!$N$2:$N$1775,"=oct26",'Opportunities'!$P$2:$P$1775,"=1")</f>
        <v>0</v>
      </c>
      <c r="V16" s="4">
        <f>SUMIFS('Opportunities'!$H$2:$H$1775,'Opportunities'!$C$2:$C$1775,"=r15",'Opportunities'!$N$2:$N$1775,"=nov26",'Opportunities'!$P$2:$P$1775,"=1")</f>
        <v>0</v>
      </c>
      <c r="W16" s="4">
        <f>SUMIFS('Opportunities'!$H$2:$H$1775,'Opportunities'!$C$2:$C$1775,"=r15",'Opportunities'!$N$2:$N$1775,"=dec26",'Opportunities'!$P$2:$P$1775,"=1")</f>
        <v>0</v>
      </c>
    </row>
    <row r="17">
      <c r="A17" s="0" t="inlineStr">
        <is>
          <t xml:space="preserve">Bookings</t>
        </is>
      </c>
      <c r="B17" s="0" t="inlineStr">
        <is>
          <t xml:space="preserve">Wei Nair</t>
        </is>
      </c>
      <c r="C17" s="4">
        <f>SUMIFS('Opportunities'!$H$2:$H$1775,'Opportunities'!$C$2:$C$1775,"=r16",'Opportunities'!$N$2:$N$1775,"=apr25",'Opportunities'!$P$2:$P$1775,"=1")</f>
        <v>0</v>
      </c>
      <c r="D17" s="4">
        <f>SUMIFS('Opportunities'!$H$2:$H$1775,'Opportunities'!$C$2:$C$1775,"=r16",'Opportunities'!$N$2:$N$1775,"=may25",'Opportunities'!$P$2:$P$1775,"=1")</f>
        <v>6300</v>
      </c>
      <c r="E17" s="4">
        <f>SUMIFS('Opportunities'!$H$2:$H$1775,'Opportunities'!$C$2:$C$1775,"=r16",'Opportunities'!$N$2:$N$1775,"=jun25",'Opportunities'!$P$2:$P$1775,"=1")</f>
        <v>124300</v>
      </c>
      <c r="F17" s="4">
        <f>SUMIFS('Opportunities'!$H$2:$H$1775,'Opportunities'!$C$2:$C$1775,"=r16",'Opportunities'!$N$2:$N$1775,"=jul25",'Opportunities'!$P$2:$P$1775,"=1")</f>
        <v>4300</v>
      </c>
      <c r="G17" s="4">
        <f>SUMIFS('Opportunities'!$H$2:$H$1775,'Opportunities'!$C$2:$C$1775,"=r16",'Opportunities'!$N$2:$N$1775,"=aug25",'Opportunities'!$P$2:$P$1775,"=1")</f>
        <v>28100</v>
      </c>
      <c r="H17" s="4">
        <f>SUMIFS('Opportunities'!$H$2:$H$1775,'Opportunities'!$C$2:$C$1775,"=r16",'Opportunities'!$N$2:$N$1775,"=sep25",'Opportunities'!$P$2:$P$1775,"=1")</f>
        <v>80300</v>
      </c>
      <c r="I17" s="4">
        <f>SUMIFS('Opportunities'!$H$2:$H$1775,'Opportunities'!$C$2:$C$1775,"=r16",'Opportunities'!$N$2:$N$1775,"=oct25",'Opportunities'!$P$2:$P$1775,"=1")</f>
        <v>0</v>
      </c>
      <c r="J17" s="4">
        <f>SUMIFS('Opportunities'!$H$2:$H$1775,'Opportunities'!$C$2:$C$1775,"=r16",'Opportunities'!$N$2:$N$1775,"=nov25",'Opportunities'!$P$2:$P$1775,"=1")</f>
        <v>23200</v>
      </c>
      <c r="K17" s="4">
        <f>SUMIFS('Opportunities'!$H$2:$H$1775,'Opportunities'!$C$2:$C$1775,"=r16",'Opportunities'!$N$2:$N$1775,"=dec25",'Opportunities'!$P$2:$P$1775,"=1")</f>
        <v>164600</v>
      </c>
      <c r="L17" s="4">
        <f>SUMIFS('Opportunities'!$H$2:$H$1775,'Opportunities'!$C$2:$C$1775,"=r16",'Opportunities'!$N$2:$N$1775,"=jan26",'Opportunities'!$P$2:$P$1775,"=1")</f>
        <v>66800</v>
      </c>
      <c r="M17" s="4">
        <f>SUMIFS('Opportunities'!$H$2:$H$1775,'Opportunities'!$C$2:$C$1775,"=r16",'Opportunities'!$N$2:$N$1775,"=feb26",'Opportunities'!$P$2:$P$1775,"=1")</f>
        <v>0</v>
      </c>
      <c r="N17" s="4">
        <f>SUMIFS('Opportunities'!$H$2:$H$1775,'Opportunities'!$C$2:$C$1775,"=r16",'Opportunities'!$N$2:$N$1775,"=mar26",'Opportunities'!$P$2:$P$1775,"=1")</f>
        <v>86300</v>
      </c>
      <c r="O17" s="4">
        <f>SUMIFS('Opportunities'!$H$2:$H$1775,'Opportunities'!$C$2:$C$1775,"=r16",'Opportunities'!$N$2:$N$1775,"=apr26",'Opportunities'!$P$2:$P$1775,"=1")</f>
        <v>36400</v>
      </c>
      <c r="P17" s="4">
        <f>SUMIFS('Opportunities'!$H$2:$H$1775,'Opportunities'!$C$2:$C$1775,"=r16",'Opportunities'!$N$2:$N$1775,"=may26",'Opportunities'!$P$2:$P$1775,"=1")</f>
        <v>26100</v>
      </c>
      <c r="Q17" s="4">
        <f>SUMIFS('Opportunities'!$H$2:$H$1775,'Opportunities'!$C$2:$C$1775,"=r16",'Opportunities'!$N$2:$N$1775,"=jun26",'Opportunities'!$P$2:$P$1775,"=1")</f>
        <v>0</v>
      </c>
      <c r="R17" s="4">
        <f>SUMIFS('Opportunities'!$H$2:$H$1775,'Opportunities'!$C$2:$C$1775,"=r16",'Opportunities'!$N$2:$N$1775,"=jul26",'Opportunities'!$P$2:$P$1775,"=1")</f>
        <v>107600</v>
      </c>
      <c r="S17" s="4">
        <f>SUMIFS('Opportunities'!$H$2:$H$1775,'Opportunities'!$C$2:$C$1775,"=r16",'Opportunities'!$N$2:$N$1775,"=aug26",'Opportunities'!$P$2:$P$1775,"=1")</f>
        <v>0</v>
      </c>
      <c r="T17" s="4">
        <f>SUMIFS('Opportunities'!$H$2:$H$1775,'Opportunities'!$C$2:$C$1775,"=r16",'Opportunities'!$N$2:$N$1775,"=sep26",'Opportunities'!$P$2:$P$1775,"=1")</f>
        <v>0</v>
      </c>
      <c r="U17" s="4">
        <f>SUMIFS('Opportunities'!$H$2:$H$1775,'Opportunities'!$C$2:$C$1775,"=r16",'Opportunities'!$N$2:$N$1775,"=oct26",'Opportunities'!$P$2:$P$1775,"=1")</f>
        <v>0</v>
      </c>
      <c r="V17" s="4">
        <f>SUMIFS('Opportunities'!$H$2:$H$1775,'Opportunities'!$C$2:$C$1775,"=r16",'Opportunities'!$N$2:$N$1775,"=nov26",'Opportunities'!$P$2:$P$1775,"=1")</f>
        <v>0</v>
      </c>
      <c r="W17" s="4">
        <f>SUMIFS('Opportunities'!$H$2:$H$1775,'Opportunities'!$C$2:$C$1775,"=r16",'Opportunities'!$N$2:$N$1775,"=dec26",'Opportunities'!$P$2:$P$1775,"=1")</f>
        <v>0</v>
      </c>
    </row>
    <row r="18">
      <c r="A18" s="0" t="inlineStr">
        <is>
          <t xml:space="preserve">Bookings</t>
        </is>
      </c>
      <c r="B18" s="0" t="inlineStr">
        <is>
          <t xml:space="preserve">Liam Silva</t>
        </is>
      </c>
      <c r="C18" s="4">
        <f>SUMIFS('Opportunities'!$H$2:$H$1775,'Opportunities'!$C$2:$C$1775,"=r17",'Opportunities'!$N$2:$N$1775,"=apr25",'Opportunities'!$P$2:$P$1775,"=1")</f>
        <v>0</v>
      </c>
      <c r="D18" s="4">
        <f>SUMIFS('Opportunities'!$H$2:$H$1775,'Opportunities'!$C$2:$C$1775,"=r17",'Opportunities'!$N$2:$N$1775,"=may25",'Opportunities'!$P$2:$P$1775,"=1")</f>
        <v>3500</v>
      </c>
      <c r="E18" s="4">
        <f>SUMIFS('Opportunities'!$H$2:$H$1775,'Opportunities'!$C$2:$C$1775,"=r17",'Opportunities'!$N$2:$N$1775,"=jun25",'Opportunities'!$P$2:$P$1775,"=1")</f>
        <v>0</v>
      </c>
      <c r="F18" s="4">
        <f>SUMIFS('Opportunities'!$H$2:$H$1775,'Opportunities'!$C$2:$C$1775,"=r17",'Opportunities'!$N$2:$N$1775,"=jul25",'Opportunities'!$P$2:$P$1775,"=1")</f>
        <v>15600</v>
      </c>
      <c r="G18" s="4">
        <f>SUMIFS('Opportunities'!$H$2:$H$1775,'Opportunities'!$C$2:$C$1775,"=r17",'Opportunities'!$N$2:$N$1775,"=aug25",'Opportunities'!$P$2:$P$1775,"=1")</f>
        <v>19400</v>
      </c>
      <c r="H18" s="4">
        <f>SUMIFS('Opportunities'!$H$2:$H$1775,'Opportunities'!$C$2:$C$1775,"=r17",'Opportunities'!$N$2:$N$1775,"=sep25",'Opportunities'!$P$2:$P$1775,"=1")</f>
        <v>36500</v>
      </c>
      <c r="I18" s="4">
        <f>SUMIFS('Opportunities'!$H$2:$H$1775,'Opportunities'!$C$2:$C$1775,"=r17",'Opportunities'!$N$2:$N$1775,"=oct25",'Opportunities'!$P$2:$P$1775,"=1")</f>
        <v>18600</v>
      </c>
      <c r="J18" s="4">
        <f>SUMIFS('Opportunities'!$H$2:$H$1775,'Opportunities'!$C$2:$C$1775,"=r17",'Opportunities'!$N$2:$N$1775,"=nov25",'Opportunities'!$P$2:$P$1775,"=1")</f>
        <v>9300</v>
      </c>
      <c r="K18" s="4">
        <f>SUMIFS('Opportunities'!$H$2:$H$1775,'Opportunities'!$C$2:$C$1775,"=r17",'Opportunities'!$N$2:$N$1775,"=dec25",'Opportunities'!$P$2:$P$1775,"=1")</f>
        <v>73800</v>
      </c>
      <c r="L18" s="4">
        <f>SUMIFS('Opportunities'!$H$2:$H$1775,'Opportunities'!$C$2:$C$1775,"=r17",'Opportunities'!$N$2:$N$1775,"=jan26",'Opportunities'!$P$2:$P$1775,"=1")</f>
        <v>28100</v>
      </c>
      <c r="M18" s="4">
        <f>SUMIFS('Opportunities'!$H$2:$H$1775,'Opportunities'!$C$2:$C$1775,"=r17",'Opportunities'!$N$2:$N$1775,"=feb26",'Opportunities'!$P$2:$P$1775,"=1")</f>
        <v>9300</v>
      </c>
      <c r="N18" s="4">
        <f>SUMIFS('Opportunities'!$H$2:$H$1775,'Opportunities'!$C$2:$C$1775,"=r17",'Opportunities'!$N$2:$N$1775,"=mar26",'Opportunities'!$P$2:$P$1775,"=1")</f>
        <v>86500</v>
      </c>
      <c r="O18" s="4">
        <f>SUMIFS('Opportunities'!$H$2:$H$1775,'Opportunities'!$C$2:$C$1775,"=r17",'Opportunities'!$N$2:$N$1775,"=apr26",'Opportunities'!$P$2:$P$1775,"=1")</f>
        <v>35800</v>
      </c>
      <c r="P18" s="4">
        <f>SUMIFS('Opportunities'!$H$2:$H$1775,'Opportunities'!$C$2:$C$1775,"=r17",'Opportunities'!$N$2:$N$1775,"=may26",'Opportunities'!$P$2:$P$1775,"=1")</f>
        <v>0</v>
      </c>
      <c r="Q18" s="4">
        <f>SUMIFS('Opportunities'!$H$2:$H$1775,'Opportunities'!$C$2:$C$1775,"=r17",'Opportunities'!$N$2:$N$1775,"=jun26",'Opportunities'!$P$2:$P$1775,"=1")</f>
        <v>8700</v>
      </c>
      <c r="R18" s="4">
        <f>SUMIFS('Opportunities'!$H$2:$H$1775,'Opportunities'!$C$2:$C$1775,"=r17",'Opportunities'!$N$2:$N$1775,"=jul26",'Opportunities'!$P$2:$P$1775,"=1")</f>
        <v>39700</v>
      </c>
      <c r="S18" s="4">
        <f>SUMIFS('Opportunities'!$H$2:$H$1775,'Opportunities'!$C$2:$C$1775,"=r17",'Opportunities'!$N$2:$N$1775,"=aug26",'Opportunities'!$P$2:$P$1775,"=1")</f>
        <v>17100</v>
      </c>
      <c r="T18" s="4">
        <f>SUMIFS('Opportunities'!$H$2:$H$1775,'Opportunities'!$C$2:$C$1775,"=r17",'Opportunities'!$N$2:$N$1775,"=sep26",'Opportunities'!$P$2:$P$1775,"=1")</f>
        <v>46200</v>
      </c>
      <c r="U18" s="4">
        <f>SUMIFS('Opportunities'!$H$2:$H$1775,'Opportunities'!$C$2:$C$1775,"=r17",'Opportunities'!$N$2:$N$1775,"=oct26",'Opportunities'!$P$2:$P$1775,"=1")</f>
        <v>0</v>
      </c>
      <c r="V18" s="4">
        <f>SUMIFS('Opportunities'!$H$2:$H$1775,'Opportunities'!$C$2:$C$1775,"=r17",'Opportunities'!$N$2:$N$1775,"=nov26",'Opportunities'!$P$2:$P$1775,"=1")</f>
        <v>0</v>
      </c>
      <c r="W18" s="4">
        <f>SUMIFS('Opportunities'!$H$2:$H$1775,'Opportunities'!$C$2:$C$1775,"=r17",'Opportunities'!$N$2:$N$1775,"=dec26",'Opportunities'!$P$2:$P$1775,"=1")</f>
        <v>0</v>
      </c>
    </row>
    <row r="19">
      <c r="A19" s="0" t="inlineStr">
        <is>
          <t xml:space="preserve">Bookings</t>
        </is>
      </c>
      <c r="B19" s="0" t="inlineStr">
        <is>
          <t xml:space="preserve">Samuel Silva</t>
        </is>
      </c>
      <c r="C19" s="4">
        <f>SUMIFS('Opportunities'!$H$2:$H$1775,'Opportunities'!$C$2:$C$1775,"=r18",'Opportunities'!$N$2:$N$1775,"=apr25",'Opportunities'!$P$2:$P$1775,"=1")</f>
        <v>0</v>
      </c>
      <c r="D19" s="4">
        <f>SUMIFS('Opportunities'!$H$2:$H$1775,'Opportunities'!$C$2:$C$1775,"=r18",'Opportunities'!$N$2:$N$1775,"=may25",'Opportunities'!$P$2:$P$1775,"=1")</f>
        <v>16900</v>
      </c>
      <c r="E19" s="4">
        <f>SUMIFS('Opportunities'!$H$2:$H$1775,'Opportunities'!$C$2:$C$1775,"=r18",'Opportunities'!$N$2:$N$1775,"=jun25",'Opportunities'!$P$2:$P$1775,"=1")</f>
        <v>17000</v>
      </c>
      <c r="F19" s="4">
        <f>SUMIFS('Opportunities'!$H$2:$H$1775,'Opportunities'!$C$2:$C$1775,"=r18",'Opportunities'!$N$2:$N$1775,"=jul25",'Opportunities'!$P$2:$P$1775,"=1")</f>
        <v>84300</v>
      </c>
      <c r="G19" s="4">
        <f>SUMIFS('Opportunities'!$H$2:$H$1775,'Opportunities'!$C$2:$C$1775,"=r18",'Opportunities'!$N$2:$N$1775,"=aug25",'Opportunities'!$P$2:$P$1775,"=1")</f>
        <v>10000</v>
      </c>
      <c r="H19" s="4">
        <f>SUMIFS('Opportunities'!$H$2:$H$1775,'Opportunities'!$C$2:$C$1775,"=r18",'Opportunities'!$N$2:$N$1775,"=sep25",'Opportunities'!$P$2:$P$1775,"=1")</f>
        <v>59800</v>
      </c>
      <c r="I19" s="4">
        <f>SUMIFS('Opportunities'!$H$2:$H$1775,'Opportunities'!$C$2:$C$1775,"=r18",'Opportunities'!$N$2:$N$1775,"=oct25",'Opportunities'!$P$2:$P$1775,"=1")</f>
        <v>21700</v>
      </c>
      <c r="J19" s="4">
        <f>SUMIFS('Opportunities'!$H$2:$H$1775,'Opportunities'!$C$2:$C$1775,"=r18",'Opportunities'!$N$2:$N$1775,"=nov25",'Opportunities'!$P$2:$P$1775,"=1")</f>
        <v>51900</v>
      </c>
      <c r="K19" s="4">
        <f>SUMIFS('Opportunities'!$H$2:$H$1775,'Opportunities'!$C$2:$C$1775,"=r18",'Opportunities'!$N$2:$N$1775,"=dec25",'Opportunities'!$P$2:$P$1775,"=1")</f>
        <v>23300</v>
      </c>
      <c r="L19" s="4">
        <f>SUMIFS('Opportunities'!$H$2:$H$1775,'Opportunities'!$C$2:$C$1775,"=r18",'Opportunities'!$N$2:$N$1775,"=jan26",'Opportunities'!$P$2:$P$1775,"=1")</f>
        <v>32000</v>
      </c>
      <c r="M19" s="4">
        <f>SUMIFS('Opportunities'!$H$2:$H$1775,'Opportunities'!$C$2:$C$1775,"=r18",'Opportunities'!$N$2:$N$1775,"=feb26",'Opportunities'!$P$2:$P$1775,"=1")</f>
        <v>69900</v>
      </c>
      <c r="N19" s="4">
        <f>SUMIFS('Opportunities'!$H$2:$H$1775,'Opportunities'!$C$2:$C$1775,"=r18",'Opportunities'!$N$2:$N$1775,"=mar26",'Opportunities'!$P$2:$P$1775,"=1")</f>
        <v>67500</v>
      </c>
      <c r="O19" s="4">
        <f>SUMIFS('Opportunities'!$H$2:$H$1775,'Opportunities'!$C$2:$C$1775,"=r18",'Opportunities'!$N$2:$N$1775,"=apr26",'Opportunities'!$P$2:$P$1775,"=1")</f>
        <v>31300</v>
      </c>
      <c r="P19" s="4">
        <f>SUMIFS('Opportunities'!$H$2:$H$1775,'Opportunities'!$C$2:$C$1775,"=r18",'Opportunities'!$N$2:$N$1775,"=may26",'Opportunities'!$P$2:$P$1775,"=1")</f>
        <v>5400</v>
      </c>
      <c r="Q19" s="4">
        <f>SUMIFS('Opportunities'!$H$2:$H$1775,'Opportunities'!$C$2:$C$1775,"=r18",'Opportunities'!$N$2:$N$1775,"=jun26",'Opportunities'!$P$2:$P$1775,"=1")</f>
        <v>63400</v>
      </c>
      <c r="R19" s="4">
        <f>SUMIFS('Opportunities'!$H$2:$H$1775,'Opportunities'!$C$2:$C$1775,"=r18",'Opportunities'!$N$2:$N$1775,"=jul26",'Opportunities'!$P$2:$P$1775,"=1")</f>
        <v>27400</v>
      </c>
      <c r="S19" s="4">
        <f>SUMIFS('Opportunities'!$H$2:$H$1775,'Opportunities'!$C$2:$C$1775,"=r18",'Opportunities'!$N$2:$N$1775,"=aug26",'Opportunities'!$P$2:$P$1775,"=1")</f>
        <v>25200</v>
      </c>
      <c r="T19" s="4">
        <f>SUMIFS('Opportunities'!$H$2:$H$1775,'Opportunities'!$C$2:$C$1775,"=r18",'Opportunities'!$N$2:$N$1775,"=sep26",'Opportunities'!$P$2:$P$1775,"=1")</f>
        <v>18700</v>
      </c>
      <c r="U19" s="4">
        <f>SUMIFS('Opportunities'!$H$2:$H$1775,'Opportunities'!$C$2:$C$1775,"=r18",'Opportunities'!$N$2:$N$1775,"=oct26",'Opportunities'!$P$2:$P$1775,"=1")</f>
        <v>0</v>
      </c>
      <c r="V19" s="4">
        <f>SUMIFS('Opportunities'!$H$2:$H$1775,'Opportunities'!$C$2:$C$1775,"=r18",'Opportunities'!$N$2:$N$1775,"=nov26",'Opportunities'!$P$2:$P$1775,"=1")</f>
        <v>0</v>
      </c>
      <c r="W19" s="4">
        <f>SUMIFS('Opportunities'!$H$2:$H$1775,'Opportunities'!$C$2:$C$1775,"=r18",'Opportunities'!$N$2:$N$1775,"=dec26",'Opportunities'!$P$2:$P$1775,"=1")</f>
        <v>0</v>
      </c>
    </row>
    <row r="20">
      <c r="A20" s="0" t="inlineStr">
        <is>
          <t xml:space="preserve">Bookings</t>
        </is>
      </c>
      <c r="B20" s="0" t="inlineStr">
        <is>
          <t xml:space="preserve">Yuki Larsen</t>
        </is>
      </c>
      <c r="C20" s="4">
        <f>SUMIFS('Opportunities'!$H$2:$H$1775,'Opportunities'!$C$2:$C$1775,"=r19",'Opportunities'!$N$2:$N$1775,"=apr25",'Opportunities'!$P$2:$P$1775,"=1")</f>
        <v>0</v>
      </c>
      <c r="D20" s="4">
        <f>SUMIFS('Opportunities'!$H$2:$H$1775,'Opportunities'!$C$2:$C$1775,"=r19",'Opportunities'!$N$2:$N$1775,"=may25",'Opportunities'!$P$2:$P$1775,"=1")</f>
        <v>0</v>
      </c>
      <c r="E20" s="4">
        <f>SUMIFS('Opportunities'!$H$2:$H$1775,'Opportunities'!$C$2:$C$1775,"=r19",'Opportunities'!$N$2:$N$1775,"=jun25",'Opportunities'!$P$2:$P$1775,"=1")</f>
        <v>0</v>
      </c>
      <c r="F20" s="4">
        <f>SUMIFS('Opportunities'!$H$2:$H$1775,'Opportunities'!$C$2:$C$1775,"=r19",'Opportunities'!$N$2:$N$1775,"=jul25",'Opportunities'!$P$2:$P$1775,"=1")</f>
        <v>0</v>
      </c>
      <c r="G20" s="4">
        <f>SUMIFS('Opportunities'!$H$2:$H$1775,'Opportunities'!$C$2:$C$1775,"=r19",'Opportunities'!$N$2:$N$1775,"=aug25",'Opportunities'!$P$2:$P$1775,"=1")</f>
        <v>82000</v>
      </c>
      <c r="H20" s="4">
        <f>SUMIFS('Opportunities'!$H$2:$H$1775,'Opportunities'!$C$2:$C$1775,"=r19",'Opportunities'!$N$2:$N$1775,"=sep25",'Opportunities'!$P$2:$P$1775,"=1")</f>
        <v>66500</v>
      </c>
      <c r="I20" s="4">
        <f>SUMIFS('Opportunities'!$H$2:$H$1775,'Opportunities'!$C$2:$C$1775,"=r19",'Opportunities'!$N$2:$N$1775,"=oct25",'Opportunities'!$P$2:$P$1775,"=1")</f>
        <v>0</v>
      </c>
      <c r="J20" s="4">
        <f>SUMIFS('Opportunities'!$H$2:$H$1775,'Opportunities'!$C$2:$C$1775,"=r19",'Opportunities'!$N$2:$N$1775,"=nov25",'Opportunities'!$P$2:$P$1775,"=1")</f>
        <v>0</v>
      </c>
      <c r="K20" s="4">
        <f>SUMIFS('Opportunities'!$H$2:$H$1775,'Opportunities'!$C$2:$C$1775,"=r19",'Opportunities'!$N$2:$N$1775,"=dec25",'Opportunities'!$P$2:$P$1775,"=1")</f>
        <v>0</v>
      </c>
      <c r="L20" s="4">
        <f>SUMIFS('Opportunities'!$H$2:$H$1775,'Opportunities'!$C$2:$C$1775,"=r19",'Opportunities'!$N$2:$N$1775,"=jan26",'Opportunities'!$P$2:$P$1775,"=1")</f>
        <v>0</v>
      </c>
      <c r="M20" s="4">
        <f>SUMIFS('Opportunities'!$H$2:$H$1775,'Opportunities'!$C$2:$C$1775,"=r19",'Opportunities'!$N$2:$N$1775,"=feb26",'Opportunities'!$P$2:$P$1775,"=1")</f>
        <v>0</v>
      </c>
      <c r="N20" s="4">
        <f>SUMIFS('Opportunities'!$H$2:$H$1775,'Opportunities'!$C$2:$C$1775,"=r19",'Opportunities'!$N$2:$N$1775,"=mar26",'Opportunities'!$P$2:$P$1775,"=1")</f>
        <v>0</v>
      </c>
      <c r="O20" s="4">
        <f>SUMIFS('Opportunities'!$H$2:$H$1775,'Opportunities'!$C$2:$C$1775,"=r19",'Opportunities'!$N$2:$N$1775,"=apr26",'Opportunities'!$P$2:$P$1775,"=1")</f>
        <v>188400</v>
      </c>
      <c r="P20" s="4">
        <f>SUMIFS('Opportunities'!$H$2:$H$1775,'Opportunities'!$C$2:$C$1775,"=r19",'Opportunities'!$N$2:$N$1775,"=may26",'Opportunities'!$P$2:$P$1775,"=1")</f>
        <v>0</v>
      </c>
      <c r="Q20" s="4">
        <f>SUMIFS('Opportunities'!$H$2:$H$1775,'Opportunities'!$C$2:$C$1775,"=r19",'Opportunities'!$N$2:$N$1775,"=jun26",'Opportunities'!$P$2:$P$1775,"=1")</f>
        <v>0</v>
      </c>
      <c r="R20" s="4">
        <f>SUMIFS('Opportunities'!$H$2:$H$1775,'Opportunities'!$C$2:$C$1775,"=r19",'Opportunities'!$N$2:$N$1775,"=jul26",'Opportunities'!$P$2:$P$1775,"=1")</f>
        <v>0</v>
      </c>
      <c r="S20" s="4">
        <f>SUMIFS('Opportunities'!$H$2:$H$1775,'Opportunities'!$C$2:$C$1775,"=r19",'Opportunities'!$N$2:$N$1775,"=aug26",'Opportunities'!$P$2:$P$1775,"=1")</f>
        <v>157600</v>
      </c>
      <c r="T20" s="4">
        <f>SUMIFS('Opportunities'!$H$2:$H$1775,'Opportunities'!$C$2:$C$1775,"=r19",'Opportunities'!$N$2:$N$1775,"=sep26",'Opportunities'!$P$2:$P$1775,"=1")</f>
        <v>0</v>
      </c>
      <c r="U20" s="4">
        <f>SUMIFS('Opportunities'!$H$2:$H$1775,'Opportunities'!$C$2:$C$1775,"=r19",'Opportunities'!$N$2:$N$1775,"=oct26",'Opportunities'!$P$2:$P$1775,"=1")</f>
        <v>0</v>
      </c>
      <c r="V20" s="4">
        <f>SUMIFS('Opportunities'!$H$2:$H$1775,'Opportunities'!$C$2:$C$1775,"=r19",'Opportunities'!$N$2:$N$1775,"=nov26",'Opportunities'!$P$2:$P$1775,"=1")</f>
        <v>0</v>
      </c>
      <c r="W20" s="4">
        <f>SUMIFS('Opportunities'!$H$2:$H$1775,'Opportunities'!$C$2:$C$1775,"=r19",'Opportunities'!$N$2:$N$1775,"=dec26",'Opportunities'!$P$2:$P$1775,"=1")</f>
        <v>0</v>
      </c>
    </row>
    <row r="21">
      <c r="A21" s="0" t="inlineStr">
        <is>
          <t xml:space="preserve">Bookings</t>
        </is>
      </c>
      <c r="B21" s="0" t="inlineStr">
        <is>
          <t xml:space="preserve">Nikolai Sato</t>
        </is>
      </c>
      <c r="C21" s="4">
        <f>SUMIFS('Opportunities'!$H$2:$H$1775,'Opportunities'!$C$2:$C$1775,"=r20",'Opportunities'!$N$2:$N$1775,"=apr25",'Opportunities'!$P$2:$P$1775,"=1")</f>
        <v>0</v>
      </c>
      <c r="D21" s="4">
        <f>SUMIFS('Opportunities'!$H$2:$H$1775,'Opportunities'!$C$2:$C$1775,"=r20",'Opportunities'!$N$2:$N$1775,"=may25",'Opportunities'!$P$2:$P$1775,"=1")</f>
        <v>0</v>
      </c>
      <c r="E21" s="4">
        <f>SUMIFS('Opportunities'!$H$2:$H$1775,'Opportunities'!$C$2:$C$1775,"=r20",'Opportunities'!$N$2:$N$1775,"=jun25",'Opportunities'!$P$2:$P$1775,"=1")</f>
        <v>99700</v>
      </c>
      <c r="F21" s="4">
        <f>SUMIFS('Opportunities'!$H$2:$H$1775,'Opportunities'!$C$2:$C$1775,"=r20",'Opportunities'!$N$2:$N$1775,"=jul25",'Opportunities'!$P$2:$P$1775,"=1")</f>
        <v>0</v>
      </c>
      <c r="G21" s="4">
        <f>SUMIFS('Opportunities'!$H$2:$H$1775,'Opportunities'!$C$2:$C$1775,"=r20",'Opportunities'!$N$2:$N$1775,"=aug25",'Opportunities'!$P$2:$P$1775,"=1")</f>
        <v>0</v>
      </c>
      <c r="H21" s="4">
        <f>SUMIFS('Opportunities'!$H$2:$H$1775,'Opportunities'!$C$2:$C$1775,"=r20",'Opportunities'!$N$2:$N$1775,"=sep25",'Opportunities'!$P$2:$P$1775,"=1")</f>
        <v>278700</v>
      </c>
      <c r="I21" s="4">
        <f>SUMIFS('Opportunities'!$H$2:$H$1775,'Opportunities'!$C$2:$C$1775,"=r20",'Opportunities'!$N$2:$N$1775,"=oct25",'Opportunities'!$P$2:$P$1775,"=1")</f>
        <v>0</v>
      </c>
      <c r="J21" s="4">
        <f>SUMIFS('Opportunities'!$H$2:$H$1775,'Opportunities'!$C$2:$C$1775,"=r20",'Opportunities'!$N$2:$N$1775,"=nov25",'Opportunities'!$P$2:$P$1775,"=1")</f>
        <v>64300</v>
      </c>
      <c r="K21" s="4">
        <f>SUMIFS('Opportunities'!$H$2:$H$1775,'Opportunities'!$C$2:$C$1775,"=r20",'Opportunities'!$N$2:$N$1775,"=dec25",'Opportunities'!$P$2:$P$1775,"=1")</f>
        <v>0</v>
      </c>
      <c r="L21" s="4">
        <f>SUMIFS('Opportunities'!$H$2:$H$1775,'Opportunities'!$C$2:$C$1775,"=r20",'Opportunities'!$N$2:$N$1775,"=jan26",'Opportunities'!$P$2:$P$1775,"=1")</f>
        <v>0</v>
      </c>
      <c r="M21" s="4">
        <f>SUMIFS('Opportunities'!$H$2:$H$1775,'Opportunities'!$C$2:$C$1775,"=r20",'Opportunities'!$N$2:$N$1775,"=feb26",'Opportunities'!$P$2:$P$1775,"=1")</f>
        <v>89800</v>
      </c>
      <c r="N21" s="4">
        <f>SUMIFS('Opportunities'!$H$2:$H$1775,'Opportunities'!$C$2:$C$1775,"=r20",'Opportunities'!$N$2:$N$1775,"=mar26",'Opportunities'!$P$2:$P$1775,"=1")</f>
        <v>0</v>
      </c>
      <c r="O21" s="4">
        <f>SUMIFS('Opportunities'!$H$2:$H$1775,'Opportunities'!$C$2:$C$1775,"=r20",'Opportunities'!$N$2:$N$1775,"=apr26",'Opportunities'!$P$2:$P$1775,"=1")</f>
        <v>0</v>
      </c>
      <c r="P21" s="4">
        <f>SUMIFS('Opportunities'!$H$2:$H$1775,'Opportunities'!$C$2:$C$1775,"=r20",'Opportunities'!$N$2:$N$1775,"=may26",'Opportunities'!$P$2:$P$1775,"=1")</f>
        <v>0</v>
      </c>
      <c r="Q21" s="4">
        <f>SUMIFS('Opportunities'!$H$2:$H$1775,'Opportunities'!$C$2:$C$1775,"=r20",'Opportunities'!$N$2:$N$1775,"=jun26",'Opportunities'!$P$2:$P$1775,"=1")</f>
        <v>0</v>
      </c>
      <c r="R21" s="4">
        <f>SUMIFS('Opportunities'!$H$2:$H$1775,'Opportunities'!$C$2:$C$1775,"=r20",'Opportunities'!$N$2:$N$1775,"=jul26",'Opportunities'!$P$2:$P$1775,"=1")</f>
        <v>0</v>
      </c>
      <c r="S21" s="4">
        <f>SUMIFS('Opportunities'!$H$2:$H$1775,'Opportunities'!$C$2:$C$1775,"=r20",'Opportunities'!$N$2:$N$1775,"=aug26",'Opportunities'!$P$2:$P$1775,"=1")</f>
        <v>103400</v>
      </c>
      <c r="T21" s="4">
        <f>SUMIFS('Opportunities'!$H$2:$H$1775,'Opportunities'!$C$2:$C$1775,"=r20",'Opportunities'!$N$2:$N$1775,"=sep26",'Opportunities'!$P$2:$P$1775,"=1")</f>
        <v>0</v>
      </c>
      <c r="U21" s="4">
        <f>SUMIFS('Opportunities'!$H$2:$H$1775,'Opportunities'!$C$2:$C$1775,"=r20",'Opportunities'!$N$2:$N$1775,"=oct26",'Opportunities'!$P$2:$P$1775,"=1")</f>
        <v>0</v>
      </c>
      <c r="V21" s="4">
        <f>SUMIFS('Opportunities'!$H$2:$H$1775,'Opportunities'!$C$2:$C$1775,"=r20",'Opportunities'!$N$2:$N$1775,"=nov26",'Opportunities'!$P$2:$P$1775,"=1")</f>
        <v>0</v>
      </c>
      <c r="W21" s="4">
        <f>SUMIFS('Opportunities'!$H$2:$H$1775,'Opportunities'!$C$2:$C$1775,"=r20",'Opportunities'!$N$2:$N$1775,"=dec26",'Opportunities'!$P$2:$P$1775,"=1")</f>
        <v>0</v>
      </c>
    </row>
    <row r="22">
      <c r="A22" s="0" t="inlineStr">
        <is>
          <t xml:space="preserve">Bookings</t>
        </is>
      </c>
      <c r="B22" s="0" t="inlineStr">
        <is>
          <t xml:space="preserve">Elena Silva</t>
        </is>
      </c>
      <c r="C22" s="4">
        <f>SUMIFS('Opportunities'!$H$2:$H$1775,'Opportunities'!$C$2:$C$1775,"=r21",'Opportunities'!$N$2:$N$1775,"=apr25",'Opportunities'!$P$2:$P$1775,"=1")</f>
        <v>0</v>
      </c>
      <c r="D22" s="4">
        <f>SUMIFS('Opportunities'!$H$2:$H$1775,'Opportunities'!$C$2:$C$1775,"=r21",'Opportunities'!$N$2:$N$1775,"=may25",'Opportunities'!$P$2:$P$1775,"=1")</f>
        <v>48300</v>
      </c>
      <c r="E22" s="4">
        <f>SUMIFS('Opportunities'!$H$2:$H$1775,'Opportunities'!$C$2:$C$1775,"=r21",'Opportunities'!$N$2:$N$1775,"=jun25",'Opportunities'!$P$2:$P$1775,"=1")</f>
        <v>62900</v>
      </c>
      <c r="F22" s="4">
        <f>SUMIFS('Opportunities'!$H$2:$H$1775,'Opportunities'!$C$2:$C$1775,"=r21",'Opportunities'!$N$2:$N$1775,"=jul25",'Opportunities'!$P$2:$P$1775,"=1")</f>
        <v>28300</v>
      </c>
      <c r="G22" s="4">
        <f>SUMIFS('Opportunities'!$H$2:$H$1775,'Opportunities'!$C$2:$C$1775,"=r21",'Opportunities'!$N$2:$N$1775,"=aug25",'Opportunities'!$P$2:$P$1775,"=1")</f>
        <v>29400</v>
      </c>
      <c r="H22" s="4">
        <f>SUMIFS('Opportunities'!$H$2:$H$1775,'Opportunities'!$C$2:$C$1775,"=r21",'Opportunities'!$N$2:$N$1775,"=sep25",'Opportunities'!$P$2:$P$1775,"=1")</f>
        <v>228400</v>
      </c>
      <c r="I22" s="4">
        <f>SUMIFS('Opportunities'!$H$2:$H$1775,'Opportunities'!$C$2:$C$1775,"=r21",'Opportunities'!$N$2:$N$1775,"=oct25",'Opportunities'!$P$2:$P$1775,"=1")</f>
        <v>32500</v>
      </c>
      <c r="J22" s="4">
        <f>SUMIFS('Opportunities'!$H$2:$H$1775,'Opportunities'!$C$2:$C$1775,"=r21",'Opportunities'!$N$2:$N$1775,"=nov25",'Opportunities'!$P$2:$P$1775,"=1")</f>
        <v>21900</v>
      </c>
      <c r="K22" s="4">
        <f>SUMIFS('Opportunities'!$H$2:$H$1775,'Opportunities'!$C$2:$C$1775,"=r21",'Opportunities'!$N$2:$N$1775,"=dec25",'Opportunities'!$P$2:$P$1775,"=1")</f>
        <v>176000</v>
      </c>
      <c r="L22" s="4">
        <f>SUMIFS('Opportunities'!$H$2:$H$1775,'Opportunities'!$C$2:$C$1775,"=r21",'Opportunities'!$N$2:$N$1775,"=jan26",'Opportunities'!$P$2:$P$1775,"=1")</f>
        <v>137200</v>
      </c>
      <c r="M22" s="4">
        <f>SUMIFS('Opportunities'!$H$2:$H$1775,'Opportunities'!$C$2:$C$1775,"=r21",'Opportunities'!$N$2:$N$1775,"=feb26",'Opportunities'!$P$2:$P$1775,"=1")</f>
        <v>0</v>
      </c>
      <c r="N22" s="4">
        <f>SUMIFS('Opportunities'!$H$2:$H$1775,'Opportunities'!$C$2:$C$1775,"=r21",'Opportunities'!$N$2:$N$1775,"=mar26",'Opportunities'!$P$2:$P$1775,"=1")</f>
        <v>0</v>
      </c>
      <c r="O22" s="4">
        <f>SUMIFS('Opportunities'!$H$2:$H$1775,'Opportunities'!$C$2:$C$1775,"=r21",'Opportunities'!$N$2:$N$1775,"=apr26",'Opportunities'!$P$2:$P$1775,"=1")</f>
        <v>12600</v>
      </c>
      <c r="P22" s="4">
        <f>SUMIFS('Opportunities'!$H$2:$H$1775,'Opportunities'!$C$2:$C$1775,"=r21",'Opportunities'!$N$2:$N$1775,"=may26",'Opportunities'!$P$2:$P$1775,"=1")</f>
        <v>42600</v>
      </c>
      <c r="Q22" s="4">
        <f>SUMIFS('Opportunities'!$H$2:$H$1775,'Opportunities'!$C$2:$C$1775,"=r21",'Opportunities'!$N$2:$N$1775,"=jun26",'Opportunities'!$P$2:$P$1775,"=1")</f>
        <v>128700</v>
      </c>
      <c r="R22" s="4">
        <f>SUMIFS('Opportunities'!$H$2:$H$1775,'Opportunities'!$C$2:$C$1775,"=r21",'Opportunities'!$N$2:$N$1775,"=jul26",'Opportunities'!$P$2:$P$1775,"=1")</f>
        <v>61800</v>
      </c>
      <c r="S22" s="4">
        <f>SUMIFS('Opportunities'!$H$2:$H$1775,'Opportunities'!$C$2:$C$1775,"=r21",'Opportunities'!$N$2:$N$1775,"=aug26",'Opportunities'!$P$2:$P$1775,"=1")</f>
        <v>46700</v>
      </c>
      <c r="T22" s="4">
        <f>SUMIFS('Opportunities'!$H$2:$H$1775,'Opportunities'!$C$2:$C$1775,"=r21",'Opportunities'!$N$2:$N$1775,"=sep26",'Opportunities'!$P$2:$P$1775,"=1")</f>
        <v>83100</v>
      </c>
      <c r="U22" s="4">
        <f>SUMIFS('Opportunities'!$H$2:$H$1775,'Opportunities'!$C$2:$C$1775,"=r21",'Opportunities'!$N$2:$N$1775,"=oct26",'Opportunities'!$P$2:$P$1775,"=1")</f>
        <v>0</v>
      </c>
      <c r="V22" s="4">
        <f>SUMIFS('Opportunities'!$H$2:$H$1775,'Opportunities'!$C$2:$C$1775,"=r21",'Opportunities'!$N$2:$N$1775,"=nov26",'Opportunities'!$P$2:$P$1775,"=1")</f>
        <v>0</v>
      </c>
      <c r="W22" s="4">
        <f>SUMIFS('Opportunities'!$H$2:$H$1775,'Opportunities'!$C$2:$C$1775,"=r21",'Opportunities'!$N$2:$N$1775,"=dec26",'Opportunities'!$P$2:$P$1775,"=1")</f>
        <v>0</v>
      </c>
    </row>
    <row r="23">
      <c r="A23" s="0" t="inlineStr">
        <is>
          <t xml:space="preserve">Bookings</t>
        </is>
      </c>
      <c r="B23" s="0" t="inlineStr">
        <is>
          <t xml:space="preserve">Arjun Müller</t>
        </is>
      </c>
      <c r="C23" s="4">
        <f>SUMIFS('Opportunities'!$H$2:$H$1775,'Opportunities'!$C$2:$C$1775,"=r22",'Opportunities'!$N$2:$N$1775,"=apr25",'Opportunities'!$P$2:$P$1775,"=1")</f>
        <v>0</v>
      </c>
      <c r="D23" s="4">
        <f>SUMIFS('Opportunities'!$H$2:$H$1775,'Opportunities'!$C$2:$C$1775,"=r22",'Opportunities'!$N$2:$N$1775,"=may25",'Opportunities'!$P$2:$P$1775,"=1")</f>
        <v>25000</v>
      </c>
      <c r="E23" s="4">
        <f>SUMIFS('Opportunities'!$H$2:$H$1775,'Opportunities'!$C$2:$C$1775,"=r22",'Opportunities'!$N$2:$N$1775,"=jun25",'Opportunities'!$P$2:$P$1775,"=1")</f>
        <v>0</v>
      </c>
      <c r="F23" s="4">
        <f>SUMIFS('Opportunities'!$H$2:$H$1775,'Opportunities'!$C$2:$C$1775,"=r22",'Opportunities'!$N$2:$N$1775,"=jul25",'Opportunities'!$P$2:$P$1775,"=1")</f>
        <v>43500</v>
      </c>
      <c r="G23" s="4">
        <f>SUMIFS('Opportunities'!$H$2:$H$1775,'Opportunities'!$C$2:$C$1775,"=r22",'Opportunities'!$N$2:$N$1775,"=aug25",'Opportunities'!$P$2:$P$1775,"=1")</f>
        <v>34100</v>
      </c>
      <c r="H23" s="4">
        <f>SUMIFS('Opportunities'!$H$2:$H$1775,'Opportunities'!$C$2:$C$1775,"=r22",'Opportunities'!$N$2:$N$1775,"=sep25",'Opportunities'!$P$2:$P$1775,"=1")</f>
        <v>0</v>
      </c>
      <c r="I23" s="4">
        <f>SUMIFS('Opportunities'!$H$2:$H$1775,'Opportunities'!$C$2:$C$1775,"=r22",'Opportunities'!$N$2:$N$1775,"=oct25",'Opportunities'!$P$2:$P$1775,"=1")</f>
        <v>32000</v>
      </c>
      <c r="J23" s="4">
        <f>SUMIFS('Opportunities'!$H$2:$H$1775,'Opportunities'!$C$2:$C$1775,"=r22",'Opportunities'!$N$2:$N$1775,"=nov25",'Opportunities'!$P$2:$P$1775,"=1")</f>
        <v>23800</v>
      </c>
      <c r="K23" s="4">
        <f>SUMIFS('Opportunities'!$H$2:$H$1775,'Opportunities'!$C$2:$C$1775,"=r22",'Opportunities'!$N$2:$N$1775,"=dec25",'Opportunities'!$P$2:$P$1775,"=1")</f>
        <v>120000</v>
      </c>
      <c r="L23" s="4">
        <f>SUMIFS('Opportunities'!$H$2:$H$1775,'Opportunities'!$C$2:$C$1775,"=r22",'Opportunities'!$N$2:$N$1775,"=jan26",'Opportunities'!$P$2:$P$1775,"=1")</f>
        <v>0</v>
      </c>
      <c r="M23" s="4">
        <f>SUMIFS('Opportunities'!$H$2:$H$1775,'Opportunities'!$C$2:$C$1775,"=r22",'Opportunities'!$N$2:$N$1775,"=feb26",'Opportunities'!$P$2:$P$1775,"=1")</f>
        <v>0</v>
      </c>
      <c r="N23" s="4">
        <f>SUMIFS('Opportunities'!$H$2:$H$1775,'Opportunities'!$C$2:$C$1775,"=r22",'Opportunities'!$N$2:$N$1775,"=mar26",'Opportunities'!$P$2:$P$1775,"=1")</f>
        <v>0</v>
      </c>
      <c r="O23" s="4">
        <f>SUMIFS('Opportunities'!$H$2:$H$1775,'Opportunities'!$C$2:$C$1775,"=r22",'Opportunities'!$N$2:$N$1775,"=apr26",'Opportunities'!$P$2:$P$1775,"=1")</f>
        <v>27300</v>
      </c>
      <c r="P23" s="4">
        <f>SUMIFS('Opportunities'!$H$2:$H$1775,'Opportunities'!$C$2:$C$1775,"=r22",'Opportunities'!$N$2:$N$1775,"=may26",'Opportunities'!$P$2:$P$1775,"=1")</f>
        <v>70100</v>
      </c>
      <c r="Q23" s="4">
        <f>SUMIFS('Opportunities'!$H$2:$H$1775,'Opportunities'!$C$2:$C$1775,"=r22",'Opportunities'!$N$2:$N$1775,"=jun26",'Opportunities'!$P$2:$P$1775,"=1")</f>
        <v>96500</v>
      </c>
      <c r="R23" s="4">
        <f>SUMIFS('Opportunities'!$H$2:$H$1775,'Opportunities'!$C$2:$C$1775,"=r22",'Opportunities'!$N$2:$N$1775,"=jul26",'Opportunities'!$P$2:$P$1775,"=1")</f>
        <v>86400</v>
      </c>
      <c r="S23" s="4">
        <f>SUMIFS('Opportunities'!$H$2:$H$1775,'Opportunities'!$C$2:$C$1775,"=r22",'Opportunities'!$N$2:$N$1775,"=aug26",'Opportunities'!$P$2:$P$1775,"=1")</f>
        <v>30500</v>
      </c>
      <c r="T23" s="4">
        <f>SUMIFS('Opportunities'!$H$2:$H$1775,'Opportunities'!$C$2:$C$1775,"=r22",'Opportunities'!$N$2:$N$1775,"=sep26",'Opportunities'!$P$2:$P$1775,"=1")</f>
        <v>45300</v>
      </c>
      <c r="U23" s="4">
        <f>SUMIFS('Opportunities'!$H$2:$H$1775,'Opportunities'!$C$2:$C$1775,"=r22",'Opportunities'!$N$2:$N$1775,"=oct26",'Opportunities'!$P$2:$P$1775,"=1")</f>
        <v>0</v>
      </c>
      <c r="V23" s="4">
        <f>SUMIFS('Opportunities'!$H$2:$H$1775,'Opportunities'!$C$2:$C$1775,"=r22",'Opportunities'!$N$2:$N$1775,"=nov26",'Opportunities'!$P$2:$P$1775,"=1")</f>
        <v>0</v>
      </c>
      <c r="W23" s="4">
        <f>SUMIFS('Opportunities'!$H$2:$H$1775,'Opportunities'!$C$2:$C$1775,"=r22",'Opportunities'!$N$2:$N$1775,"=dec26",'Opportunities'!$P$2:$P$1775,"=1")</f>
        <v>0</v>
      </c>
    </row>
    <row r="24">
      <c r="A24" s="0" t="inlineStr">
        <is>
          <t xml:space="preserve">Bookings</t>
        </is>
      </c>
      <c r="B24" s="0" t="inlineStr">
        <is>
          <t xml:space="preserve">Nikolai Park</t>
        </is>
      </c>
      <c r="C24" s="4">
        <f>SUMIFS('Opportunities'!$H$2:$H$1775,'Opportunities'!$C$2:$C$1775,"=r23",'Opportunities'!$N$2:$N$1775,"=apr25",'Opportunities'!$P$2:$P$1775,"=1")</f>
        <v>0</v>
      </c>
      <c r="D24" s="4">
        <f>SUMIFS('Opportunities'!$H$2:$H$1775,'Opportunities'!$C$2:$C$1775,"=r23",'Opportunities'!$N$2:$N$1775,"=may25",'Opportunities'!$P$2:$P$1775,"=1")</f>
        <v>0</v>
      </c>
      <c r="E24" s="4">
        <f>SUMIFS('Opportunities'!$H$2:$H$1775,'Opportunities'!$C$2:$C$1775,"=r23",'Opportunities'!$N$2:$N$1775,"=jun25",'Opportunities'!$P$2:$P$1775,"=1")</f>
        <v>0</v>
      </c>
      <c r="F24" s="4">
        <f>SUMIFS('Opportunities'!$H$2:$H$1775,'Opportunities'!$C$2:$C$1775,"=r23",'Opportunities'!$N$2:$N$1775,"=jul25",'Opportunities'!$P$2:$P$1775,"=1")</f>
        <v>0</v>
      </c>
      <c r="G24" s="4">
        <f>SUMIFS('Opportunities'!$H$2:$H$1775,'Opportunities'!$C$2:$C$1775,"=r23",'Opportunities'!$N$2:$N$1775,"=aug25",'Opportunities'!$P$2:$P$1775,"=1")</f>
        <v>0</v>
      </c>
      <c r="H24" s="4">
        <f>SUMIFS('Opportunities'!$H$2:$H$1775,'Opportunities'!$C$2:$C$1775,"=r23",'Opportunities'!$N$2:$N$1775,"=sep25",'Opportunities'!$P$2:$P$1775,"=1")</f>
        <v>0</v>
      </c>
      <c r="I24" s="4">
        <f>SUMIFS('Opportunities'!$H$2:$H$1775,'Opportunities'!$C$2:$C$1775,"=r23",'Opportunities'!$N$2:$N$1775,"=oct25",'Opportunities'!$P$2:$P$1775,"=1")</f>
        <v>0</v>
      </c>
      <c r="J24" s="4">
        <f>SUMIFS('Opportunities'!$H$2:$H$1775,'Opportunities'!$C$2:$C$1775,"=r23",'Opportunities'!$N$2:$N$1775,"=nov25",'Opportunities'!$P$2:$P$1775,"=1")</f>
        <v>0</v>
      </c>
      <c r="K24" s="4">
        <f>SUMIFS('Opportunities'!$H$2:$H$1775,'Opportunities'!$C$2:$C$1775,"=r23",'Opportunities'!$N$2:$N$1775,"=dec25",'Opportunities'!$P$2:$P$1775,"=1")</f>
        <v>0</v>
      </c>
      <c r="L24" s="4">
        <f>SUMIFS('Opportunities'!$H$2:$H$1775,'Opportunities'!$C$2:$C$1775,"=r23",'Opportunities'!$N$2:$N$1775,"=jan26",'Opportunities'!$P$2:$P$1775,"=1")</f>
        <v>0</v>
      </c>
      <c r="M24" s="4">
        <f>SUMIFS('Opportunities'!$H$2:$H$1775,'Opportunities'!$C$2:$C$1775,"=r23",'Opportunities'!$N$2:$N$1775,"=feb26",'Opportunities'!$P$2:$P$1775,"=1")</f>
        <v>0</v>
      </c>
      <c r="N24" s="4">
        <f>SUMIFS('Opportunities'!$H$2:$H$1775,'Opportunities'!$C$2:$C$1775,"=r23",'Opportunities'!$N$2:$N$1775,"=mar26",'Opportunities'!$P$2:$P$1775,"=1")</f>
        <v>0</v>
      </c>
      <c r="O24" s="4">
        <f>SUMIFS('Opportunities'!$H$2:$H$1775,'Opportunities'!$C$2:$C$1775,"=r23",'Opportunities'!$N$2:$N$1775,"=apr26",'Opportunities'!$P$2:$P$1775,"=1")</f>
        <v>0</v>
      </c>
      <c r="P24" s="4">
        <f>SUMIFS('Opportunities'!$H$2:$H$1775,'Opportunities'!$C$2:$C$1775,"=r23",'Opportunities'!$N$2:$N$1775,"=may26",'Opportunities'!$P$2:$P$1775,"=1")</f>
        <v>0</v>
      </c>
      <c r="Q24" s="4">
        <f>SUMIFS('Opportunities'!$H$2:$H$1775,'Opportunities'!$C$2:$C$1775,"=r23",'Opportunities'!$N$2:$N$1775,"=jun26",'Opportunities'!$P$2:$P$1775,"=1")</f>
        <v>11000</v>
      </c>
      <c r="R24" s="4">
        <f>SUMIFS('Opportunities'!$H$2:$H$1775,'Opportunities'!$C$2:$C$1775,"=r23",'Opportunities'!$N$2:$N$1775,"=jul26",'Opportunities'!$P$2:$P$1775,"=1")</f>
        <v>27800</v>
      </c>
      <c r="S24" s="4">
        <f>SUMIFS('Opportunities'!$H$2:$H$1775,'Opportunities'!$C$2:$C$1775,"=r23",'Opportunities'!$N$2:$N$1775,"=aug26",'Opportunities'!$P$2:$P$1775,"=1")</f>
        <v>0</v>
      </c>
      <c r="T24" s="4">
        <f>SUMIFS('Opportunities'!$H$2:$H$1775,'Opportunities'!$C$2:$C$1775,"=r23",'Opportunities'!$N$2:$N$1775,"=sep26",'Opportunities'!$P$2:$P$1775,"=1")</f>
        <v>0</v>
      </c>
      <c r="U24" s="4">
        <f>SUMIFS('Opportunities'!$H$2:$H$1775,'Opportunities'!$C$2:$C$1775,"=r23",'Opportunities'!$N$2:$N$1775,"=oct26",'Opportunities'!$P$2:$P$1775,"=1")</f>
        <v>0</v>
      </c>
      <c r="V24" s="4">
        <f>SUMIFS('Opportunities'!$H$2:$H$1775,'Opportunities'!$C$2:$C$1775,"=r23",'Opportunities'!$N$2:$N$1775,"=nov26",'Opportunities'!$P$2:$P$1775,"=1")</f>
        <v>0</v>
      </c>
      <c r="W24" s="4">
        <f>SUMIFS('Opportunities'!$H$2:$H$1775,'Opportunities'!$C$2:$C$1775,"=r23",'Opportunities'!$N$2:$N$1775,"=dec26",'Opportunities'!$P$2:$P$1775,"=1")</f>
        <v>0</v>
      </c>
    </row>
    <row r="25">
      <c r="A25" s="0" t="inlineStr">
        <is>
          <t xml:space="preserve">Bookings</t>
        </is>
      </c>
      <c r="B25" s="0" t="inlineStr">
        <is>
          <t xml:space="preserve">Ingrid Dubois</t>
        </is>
      </c>
      <c r="C25" s="4">
        <f>SUMIFS('Opportunities'!$H$2:$H$1775,'Opportunities'!$C$2:$C$1775,"=r24",'Opportunities'!$N$2:$N$1775,"=apr25",'Opportunities'!$P$2:$P$1775,"=1")</f>
        <v>0</v>
      </c>
      <c r="D25" s="4">
        <f>SUMIFS('Opportunities'!$H$2:$H$1775,'Opportunities'!$C$2:$C$1775,"=r24",'Opportunities'!$N$2:$N$1775,"=may25",'Opportunities'!$P$2:$P$1775,"=1")</f>
        <v>0</v>
      </c>
      <c r="E25" s="4">
        <f>SUMIFS('Opportunities'!$H$2:$H$1775,'Opportunities'!$C$2:$C$1775,"=r24",'Opportunities'!$N$2:$N$1775,"=jun25",'Opportunities'!$P$2:$P$1775,"=1")</f>
        <v>0</v>
      </c>
      <c r="F25" s="4">
        <f>SUMIFS('Opportunities'!$H$2:$H$1775,'Opportunities'!$C$2:$C$1775,"=r24",'Opportunities'!$N$2:$N$1775,"=jul25",'Opportunities'!$P$2:$P$1775,"=1")</f>
        <v>28000</v>
      </c>
      <c r="G25" s="4">
        <f>SUMIFS('Opportunities'!$H$2:$H$1775,'Opportunities'!$C$2:$C$1775,"=r24",'Opportunities'!$N$2:$N$1775,"=aug25",'Opportunities'!$P$2:$P$1775,"=1")</f>
        <v>9600</v>
      </c>
      <c r="H25" s="4">
        <f>SUMIFS('Opportunities'!$H$2:$H$1775,'Opportunities'!$C$2:$C$1775,"=r24",'Opportunities'!$N$2:$N$1775,"=sep25",'Opportunities'!$P$2:$P$1775,"=1")</f>
        <v>86700</v>
      </c>
      <c r="I25" s="4">
        <f>SUMIFS('Opportunities'!$H$2:$H$1775,'Opportunities'!$C$2:$C$1775,"=r24",'Opportunities'!$N$2:$N$1775,"=oct25",'Opportunities'!$P$2:$P$1775,"=1")</f>
        <v>15200</v>
      </c>
      <c r="J25" s="4">
        <f>SUMIFS('Opportunities'!$H$2:$H$1775,'Opportunities'!$C$2:$C$1775,"=r24",'Opportunities'!$N$2:$N$1775,"=nov25",'Opportunities'!$P$2:$P$1775,"=1")</f>
        <v>0</v>
      </c>
      <c r="K25" s="4">
        <f>SUMIFS('Opportunities'!$H$2:$H$1775,'Opportunities'!$C$2:$C$1775,"=r24",'Opportunities'!$N$2:$N$1775,"=dec25",'Opportunities'!$P$2:$P$1775,"=1")</f>
        <v>68200</v>
      </c>
      <c r="L25" s="4">
        <f>SUMIFS('Opportunities'!$H$2:$H$1775,'Opportunities'!$C$2:$C$1775,"=r24",'Opportunities'!$N$2:$N$1775,"=jan26",'Opportunities'!$P$2:$P$1775,"=1")</f>
        <v>15000</v>
      </c>
      <c r="M25" s="4">
        <f>SUMIFS('Opportunities'!$H$2:$H$1775,'Opportunities'!$C$2:$C$1775,"=r24",'Opportunities'!$N$2:$N$1775,"=feb26",'Opportunities'!$P$2:$P$1775,"=1")</f>
        <v>7000</v>
      </c>
      <c r="N25" s="4">
        <f>SUMIFS('Opportunities'!$H$2:$H$1775,'Opportunities'!$C$2:$C$1775,"=r24",'Opportunities'!$N$2:$N$1775,"=mar26",'Opportunities'!$P$2:$P$1775,"=1")</f>
        <v>8900</v>
      </c>
      <c r="O25" s="4">
        <f>SUMIFS('Opportunities'!$H$2:$H$1775,'Opportunities'!$C$2:$C$1775,"=r24",'Opportunities'!$N$2:$N$1775,"=apr26",'Opportunities'!$P$2:$P$1775,"=1")</f>
        <v>15400</v>
      </c>
      <c r="P25" s="4">
        <f>SUMIFS('Opportunities'!$H$2:$H$1775,'Opportunities'!$C$2:$C$1775,"=r24",'Opportunities'!$N$2:$N$1775,"=may26",'Opportunities'!$P$2:$P$1775,"=1")</f>
        <v>24500</v>
      </c>
      <c r="Q25" s="4">
        <f>SUMIFS('Opportunities'!$H$2:$H$1775,'Opportunities'!$C$2:$C$1775,"=r24",'Opportunities'!$N$2:$N$1775,"=jun26",'Opportunities'!$P$2:$P$1775,"=1")</f>
        <v>80800</v>
      </c>
      <c r="R25" s="4">
        <f>SUMIFS('Opportunities'!$H$2:$H$1775,'Opportunities'!$C$2:$C$1775,"=r24",'Opportunities'!$N$2:$N$1775,"=jul26",'Opportunities'!$P$2:$P$1775,"=1")</f>
        <v>95100</v>
      </c>
      <c r="S25" s="4">
        <f>SUMIFS('Opportunities'!$H$2:$H$1775,'Opportunities'!$C$2:$C$1775,"=r24",'Opportunities'!$N$2:$N$1775,"=aug26",'Opportunities'!$P$2:$P$1775,"=1")</f>
        <v>15700</v>
      </c>
      <c r="T25" s="4">
        <f>SUMIFS('Opportunities'!$H$2:$H$1775,'Opportunities'!$C$2:$C$1775,"=r24",'Opportunities'!$N$2:$N$1775,"=sep26",'Opportunities'!$P$2:$P$1775,"=1")</f>
        <v>7100</v>
      </c>
      <c r="U25" s="4">
        <f>SUMIFS('Opportunities'!$H$2:$H$1775,'Opportunities'!$C$2:$C$1775,"=r24",'Opportunities'!$N$2:$N$1775,"=oct26",'Opportunities'!$P$2:$P$1775,"=1")</f>
        <v>0</v>
      </c>
      <c r="V25" s="4">
        <f>SUMIFS('Opportunities'!$H$2:$H$1775,'Opportunities'!$C$2:$C$1775,"=r24",'Opportunities'!$N$2:$N$1775,"=nov26",'Opportunities'!$P$2:$P$1775,"=1")</f>
        <v>0</v>
      </c>
      <c r="W25" s="4">
        <f>SUMIFS('Opportunities'!$H$2:$H$1775,'Opportunities'!$C$2:$C$1775,"=r24",'Opportunities'!$N$2:$N$1775,"=dec26",'Opportunities'!$P$2:$P$1775,"=1")</f>
        <v>0</v>
      </c>
    </row>
    <row r="26">
      <c r="A26" s="0" t="inlineStr">
        <is>
          <t xml:space="preserve">Deals won</t>
        </is>
      </c>
      <c r="B26" s="0" t="inlineStr">
        <is>
          <t xml:space="preserve">Noor Ortiz</t>
        </is>
      </c>
      <c r="C26" s="4">
        <f>COUNTIFS('Opportunities'!$C$2:$C$1775,"=r01",'Opportunities'!$N$2:$N$1775,"=apr25",'Opportunities'!$P$2:$P$1775,"=1",'Opportunities'!$H$2:$H$1775,"&lt;&gt;")</f>
        <v>0</v>
      </c>
      <c r="D26" s="4">
        <f>COUNTIFS('Opportunities'!$C$2:$C$1775,"=r01",'Opportunities'!$N$2:$N$1775,"=may25",'Opportunities'!$P$2:$P$1775,"=1",'Opportunities'!$H$2:$H$1775,"&lt;&gt;")</f>
        <v>0</v>
      </c>
      <c r="E26" s="4">
        <f>COUNTIFS('Opportunities'!$C$2:$C$1775,"=r01",'Opportunities'!$N$2:$N$1775,"=jun25",'Opportunities'!$P$2:$P$1775,"=1",'Opportunities'!$H$2:$H$1775,"&lt;&gt;")</f>
        <v>0</v>
      </c>
      <c r="F26" s="4">
        <f>COUNTIFS('Opportunities'!$C$2:$C$1775,"=r01",'Opportunities'!$N$2:$N$1775,"=jul25",'Opportunities'!$P$2:$P$1775,"=1",'Opportunities'!$H$2:$H$1775,"&lt;&gt;")</f>
        <v>0</v>
      </c>
      <c r="G26" s="4">
        <f>COUNTIFS('Opportunities'!$C$2:$C$1775,"=r01",'Opportunities'!$N$2:$N$1775,"=aug25",'Opportunities'!$P$2:$P$1775,"=1",'Opportunities'!$H$2:$H$1775,"&lt;&gt;")</f>
        <v>0</v>
      </c>
      <c r="H26" s="4">
        <f>COUNTIFS('Opportunities'!$C$2:$C$1775,"=r01",'Opportunities'!$N$2:$N$1775,"=sep25",'Opportunities'!$P$2:$P$1775,"=1",'Opportunities'!$H$2:$H$1775,"&lt;&gt;")</f>
        <v>0</v>
      </c>
      <c r="I26" s="4">
        <f>COUNTIFS('Opportunities'!$C$2:$C$1775,"=r01",'Opportunities'!$N$2:$N$1775,"=oct25",'Opportunities'!$P$2:$P$1775,"=1",'Opportunities'!$H$2:$H$1775,"&lt;&gt;")</f>
        <v>0</v>
      </c>
      <c r="J26" s="4">
        <f>COUNTIFS('Opportunities'!$C$2:$C$1775,"=r01",'Opportunities'!$N$2:$N$1775,"=nov25",'Opportunities'!$P$2:$P$1775,"=1",'Opportunities'!$H$2:$H$1775,"&lt;&gt;")</f>
        <v>1</v>
      </c>
      <c r="K26" s="4">
        <f>COUNTIFS('Opportunities'!$C$2:$C$1775,"=r01",'Opportunities'!$N$2:$N$1775,"=dec25",'Opportunities'!$P$2:$P$1775,"=1",'Opportunities'!$H$2:$H$1775,"&lt;&gt;")</f>
        <v>1</v>
      </c>
      <c r="L26" s="4">
        <f>COUNTIFS('Opportunities'!$C$2:$C$1775,"=r01",'Opportunities'!$N$2:$N$1775,"=jan26",'Opportunities'!$P$2:$P$1775,"=1",'Opportunities'!$H$2:$H$1775,"&lt;&gt;")</f>
        <v>0</v>
      </c>
      <c r="M26" s="4">
        <f>COUNTIFS('Opportunities'!$C$2:$C$1775,"=r01",'Opportunities'!$N$2:$N$1775,"=feb26",'Opportunities'!$P$2:$P$1775,"=1",'Opportunities'!$H$2:$H$1775,"&lt;&gt;")</f>
        <v>0</v>
      </c>
      <c r="N26" s="4">
        <f>COUNTIFS('Opportunities'!$C$2:$C$1775,"=r01",'Opportunities'!$N$2:$N$1775,"=mar26",'Opportunities'!$P$2:$P$1775,"=1",'Opportunities'!$H$2:$H$1775,"&lt;&gt;")</f>
        <v>2</v>
      </c>
      <c r="O26" s="4">
        <f>COUNTIFS('Opportunities'!$C$2:$C$1775,"=r01",'Opportunities'!$N$2:$N$1775,"=apr26",'Opportunities'!$P$2:$P$1775,"=1",'Opportunities'!$H$2:$H$1775,"&lt;&gt;")</f>
        <v>0</v>
      </c>
      <c r="P26" s="4">
        <f>COUNTIFS('Opportunities'!$C$2:$C$1775,"=r01",'Opportunities'!$N$2:$N$1775,"=may26",'Opportunities'!$P$2:$P$1775,"=1",'Opportunities'!$H$2:$H$1775,"&lt;&gt;")</f>
        <v>1</v>
      </c>
      <c r="Q26" s="4">
        <f>COUNTIFS('Opportunities'!$C$2:$C$1775,"=r01",'Opportunities'!$N$2:$N$1775,"=jun26",'Opportunities'!$P$2:$P$1775,"=1",'Opportunities'!$H$2:$H$1775,"&lt;&gt;")</f>
        <v>3</v>
      </c>
      <c r="R26" s="4">
        <f>COUNTIFS('Opportunities'!$C$2:$C$1775,"=r01",'Opportunities'!$N$2:$N$1775,"=jul26",'Opportunities'!$P$2:$P$1775,"=1",'Opportunities'!$H$2:$H$1775,"&lt;&gt;")</f>
        <v>1</v>
      </c>
      <c r="S26" s="4">
        <f>COUNTIFS('Opportunities'!$C$2:$C$1775,"=r01",'Opportunities'!$N$2:$N$1775,"=aug26",'Opportunities'!$P$2:$P$1775,"=1",'Opportunities'!$H$2:$H$1775,"&lt;&gt;")</f>
        <v>2</v>
      </c>
      <c r="T26" s="4">
        <f>COUNTIFS('Opportunities'!$C$2:$C$1775,"=r01",'Opportunities'!$N$2:$N$1775,"=sep26",'Opportunities'!$P$2:$P$1775,"=1",'Opportunities'!$H$2:$H$1775,"&lt;&gt;")</f>
        <v>0</v>
      </c>
      <c r="U26" s="4">
        <f>COUNTIFS('Opportunities'!$C$2:$C$1775,"=r01",'Opportunities'!$N$2:$N$1775,"=oct26",'Opportunities'!$P$2:$P$1775,"=1",'Opportunities'!$H$2:$H$1775,"&lt;&gt;")</f>
        <v>0</v>
      </c>
      <c r="V26" s="4">
        <f>COUNTIFS('Opportunities'!$C$2:$C$1775,"=r01",'Opportunities'!$N$2:$N$1775,"=nov26",'Opportunities'!$P$2:$P$1775,"=1",'Opportunities'!$H$2:$H$1775,"&lt;&gt;")</f>
        <v>0</v>
      </c>
      <c r="W26" s="4">
        <f>COUNTIFS('Opportunities'!$C$2:$C$1775,"=r01",'Opportunities'!$N$2:$N$1775,"=dec26",'Opportunities'!$P$2:$P$1775,"=1",'Opportunities'!$H$2:$H$1775,"&lt;&gt;")</f>
        <v>0</v>
      </c>
    </row>
    <row r="27">
      <c r="A27" s="0" t="inlineStr">
        <is>
          <t xml:space="preserve">Deals won</t>
        </is>
      </c>
      <c r="B27" s="0" t="inlineStr">
        <is>
          <t xml:space="preserve">Priya Yilmaz</t>
        </is>
      </c>
      <c r="C27" s="4">
        <f>COUNTIFS('Opportunities'!$C$2:$C$1775,"=r02",'Opportunities'!$N$2:$N$1775,"=apr25",'Opportunities'!$P$2:$P$1775,"=1",'Opportunities'!$H$2:$H$1775,"&lt;&gt;")</f>
        <v>0</v>
      </c>
      <c r="D27" s="4">
        <f>COUNTIFS('Opportunities'!$C$2:$C$1775,"=r02",'Opportunities'!$N$2:$N$1775,"=may25",'Opportunities'!$P$2:$P$1775,"=1",'Opportunities'!$H$2:$H$1775,"&lt;&gt;")</f>
        <v>0</v>
      </c>
      <c r="E27" s="4">
        <f>COUNTIFS('Opportunities'!$C$2:$C$1775,"=r02",'Opportunities'!$N$2:$N$1775,"=jun25",'Opportunities'!$P$2:$P$1775,"=1",'Opportunities'!$H$2:$H$1775,"&lt;&gt;")</f>
        <v>0</v>
      </c>
      <c r="F27" s="4">
        <f>COUNTIFS('Opportunities'!$C$2:$C$1775,"=r02",'Opportunities'!$N$2:$N$1775,"=jul25",'Opportunities'!$P$2:$P$1775,"=1",'Opportunities'!$H$2:$H$1775,"&lt;&gt;")</f>
        <v>0</v>
      </c>
      <c r="G27" s="4">
        <f>COUNTIFS('Opportunities'!$C$2:$C$1775,"=r02",'Opportunities'!$N$2:$N$1775,"=aug25",'Opportunities'!$P$2:$P$1775,"=1",'Opportunities'!$H$2:$H$1775,"&lt;&gt;")</f>
        <v>0</v>
      </c>
      <c r="H27" s="4">
        <f>COUNTIFS('Opportunities'!$C$2:$C$1775,"=r02",'Opportunities'!$N$2:$N$1775,"=sep25",'Opportunities'!$P$2:$P$1775,"=1",'Opportunities'!$H$2:$H$1775,"&lt;&gt;")</f>
        <v>0</v>
      </c>
      <c r="I27" s="4">
        <f>COUNTIFS('Opportunities'!$C$2:$C$1775,"=r02",'Opportunities'!$N$2:$N$1775,"=oct25",'Opportunities'!$P$2:$P$1775,"=1",'Opportunities'!$H$2:$H$1775,"&lt;&gt;")</f>
        <v>0</v>
      </c>
      <c r="J27" s="4">
        <f>COUNTIFS('Opportunities'!$C$2:$C$1775,"=r02",'Opportunities'!$N$2:$N$1775,"=nov25",'Opportunities'!$P$2:$P$1775,"=1",'Opportunities'!$H$2:$H$1775,"&lt;&gt;")</f>
        <v>0</v>
      </c>
      <c r="K27" s="4">
        <f>COUNTIFS('Opportunities'!$C$2:$C$1775,"=r02",'Opportunities'!$N$2:$N$1775,"=dec25",'Opportunities'!$P$2:$P$1775,"=1",'Opportunities'!$H$2:$H$1775,"&lt;&gt;")</f>
        <v>0</v>
      </c>
      <c r="L27" s="4">
        <f>COUNTIFS('Opportunities'!$C$2:$C$1775,"=r02",'Opportunities'!$N$2:$N$1775,"=jan26",'Opportunities'!$P$2:$P$1775,"=1",'Opportunities'!$H$2:$H$1775,"&lt;&gt;")</f>
        <v>0</v>
      </c>
      <c r="M27" s="4">
        <f>COUNTIFS('Opportunities'!$C$2:$C$1775,"=r02",'Opportunities'!$N$2:$N$1775,"=feb26",'Opportunities'!$P$2:$P$1775,"=1",'Opportunities'!$H$2:$H$1775,"&lt;&gt;")</f>
        <v>0</v>
      </c>
      <c r="N27" s="4">
        <f>COUNTIFS('Opportunities'!$C$2:$C$1775,"=r02",'Opportunities'!$N$2:$N$1775,"=mar26",'Opportunities'!$P$2:$P$1775,"=1",'Opportunities'!$H$2:$H$1775,"&lt;&gt;")</f>
        <v>0</v>
      </c>
      <c r="O27" s="4">
        <f>COUNTIFS('Opportunities'!$C$2:$C$1775,"=r02",'Opportunities'!$N$2:$N$1775,"=apr26",'Opportunities'!$P$2:$P$1775,"=1",'Opportunities'!$H$2:$H$1775,"&lt;&gt;")</f>
        <v>0</v>
      </c>
      <c r="P27" s="4">
        <f>COUNTIFS('Opportunities'!$C$2:$C$1775,"=r02",'Opportunities'!$N$2:$N$1775,"=may26",'Opportunities'!$P$2:$P$1775,"=1",'Opportunities'!$H$2:$H$1775,"&lt;&gt;")</f>
        <v>0</v>
      </c>
      <c r="Q27" s="4">
        <f>COUNTIFS('Opportunities'!$C$2:$C$1775,"=r02",'Opportunities'!$N$2:$N$1775,"=jun26",'Opportunities'!$P$2:$P$1775,"=1",'Opportunities'!$H$2:$H$1775,"&lt;&gt;")</f>
        <v>0</v>
      </c>
      <c r="R27" s="4">
        <f>COUNTIFS('Opportunities'!$C$2:$C$1775,"=r02",'Opportunities'!$N$2:$N$1775,"=jul26",'Opportunities'!$P$2:$P$1775,"=1",'Opportunities'!$H$2:$H$1775,"&lt;&gt;")</f>
        <v>0</v>
      </c>
      <c r="S27" s="4">
        <f>COUNTIFS('Opportunities'!$C$2:$C$1775,"=r02",'Opportunities'!$N$2:$N$1775,"=aug26",'Opportunities'!$P$2:$P$1775,"=1",'Opportunities'!$H$2:$H$1775,"&lt;&gt;")</f>
        <v>0</v>
      </c>
      <c r="T27" s="4">
        <f>COUNTIFS('Opportunities'!$C$2:$C$1775,"=r02",'Opportunities'!$N$2:$N$1775,"=sep26",'Opportunities'!$P$2:$P$1775,"=1",'Opportunities'!$H$2:$H$1775,"&lt;&gt;")</f>
        <v>0</v>
      </c>
      <c r="U27" s="4">
        <f>COUNTIFS('Opportunities'!$C$2:$C$1775,"=r02",'Opportunities'!$N$2:$N$1775,"=oct26",'Opportunities'!$P$2:$P$1775,"=1",'Opportunities'!$H$2:$H$1775,"&lt;&gt;")</f>
        <v>0</v>
      </c>
      <c r="V27" s="4">
        <f>COUNTIFS('Opportunities'!$C$2:$C$1775,"=r02",'Opportunities'!$N$2:$N$1775,"=nov26",'Opportunities'!$P$2:$P$1775,"=1",'Opportunities'!$H$2:$H$1775,"&lt;&gt;")</f>
        <v>0</v>
      </c>
      <c r="W27" s="4">
        <f>COUNTIFS('Opportunities'!$C$2:$C$1775,"=r02",'Opportunities'!$N$2:$N$1775,"=dec26",'Opportunities'!$P$2:$P$1775,"=1",'Opportunities'!$H$2:$H$1775,"&lt;&gt;")</f>
        <v>0</v>
      </c>
    </row>
    <row r="28">
      <c r="A28" s="0" t="inlineStr">
        <is>
          <t xml:space="preserve">Deals won</t>
        </is>
      </c>
      <c r="B28" s="0" t="inlineStr">
        <is>
          <t xml:space="preserve">Marcus Schmidt</t>
        </is>
      </c>
      <c r="C28" s="4">
        <f>COUNTIFS('Opportunities'!$C$2:$C$1775,"=r03",'Opportunities'!$N$2:$N$1775,"=apr25",'Opportunities'!$P$2:$P$1775,"=1",'Opportunities'!$H$2:$H$1775,"&lt;&gt;")</f>
        <v>0</v>
      </c>
      <c r="D28" s="4">
        <f>COUNTIFS('Opportunities'!$C$2:$C$1775,"=r03",'Opportunities'!$N$2:$N$1775,"=may25",'Opportunities'!$P$2:$P$1775,"=1",'Opportunities'!$H$2:$H$1775,"&lt;&gt;")</f>
        <v>0</v>
      </c>
      <c r="E28" s="4">
        <f>COUNTIFS('Opportunities'!$C$2:$C$1775,"=r03",'Opportunities'!$N$2:$N$1775,"=jun25",'Opportunities'!$P$2:$P$1775,"=1",'Opportunities'!$H$2:$H$1775,"&lt;&gt;")</f>
        <v>0</v>
      </c>
      <c r="F28" s="4">
        <f>COUNTIFS('Opportunities'!$C$2:$C$1775,"=r03",'Opportunities'!$N$2:$N$1775,"=jul25",'Opportunities'!$P$2:$P$1775,"=1",'Opportunities'!$H$2:$H$1775,"&lt;&gt;")</f>
        <v>0</v>
      </c>
      <c r="G28" s="4">
        <f>COUNTIFS('Opportunities'!$C$2:$C$1775,"=r03",'Opportunities'!$N$2:$N$1775,"=aug25",'Opportunities'!$P$2:$P$1775,"=1",'Opportunities'!$H$2:$H$1775,"&lt;&gt;")</f>
        <v>0</v>
      </c>
      <c r="H28" s="4">
        <f>COUNTIFS('Opportunities'!$C$2:$C$1775,"=r03",'Opportunities'!$N$2:$N$1775,"=sep25",'Opportunities'!$P$2:$P$1775,"=1",'Opportunities'!$H$2:$H$1775,"&lt;&gt;")</f>
        <v>1</v>
      </c>
      <c r="I28" s="4">
        <f>COUNTIFS('Opportunities'!$C$2:$C$1775,"=r03",'Opportunities'!$N$2:$N$1775,"=oct25",'Opportunities'!$P$2:$P$1775,"=1",'Opportunities'!$H$2:$H$1775,"&lt;&gt;")</f>
        <v>1</v>
      </c>
      <c r="J28" s="4">
        <f>COUNTIFS('Opportunities'!$C$2:$C$1775,"=r03",'Opportunities'!$N$2:$N$1775,"=nov25",'Opportunities'!$P$2:$P$1775,"=1",'Opportunities'!$H$2:$H$1775,"&lt;&gt;")</f>
        <v>1</v>
      </c>
      <c r="K28" s="4">
        <f>COUNTIFS('Opportunities'!$C$2:$C$1775,"=r03",'Opportunities'!$N$2:$N$1775,"=dec25",'Opportunities'!$P$2:$P$1775,"=1",'Opportunities'!$H$2:$H$1775,"&lt;&gt;")</f>
        <v>3</v>
      </c>
      <c r="L28" s="4">
        <f>COUNTIFS('Opportunities'!$C$2:$C$1775,"=r03",'Opportunities'!$N$2:$N$1775,"=jan26",'Opportunities'!$P$2:$P$1775,"=1",'Opportunities'!$H$2:$H$1775,"&lt;&gt;")</f>
        <v>1</v>
      </c>
      <c r="M28" s="4">
        <f>COUNTIFS('Opportunities'!$C$2:$C$1775,"=r03",'Opportunities'!$N$2:$N$1775,"=feb26",'Opportunities'!$P$2:$P$1775,"=1",'Opportunities'!$H$2:$H$1775,"&lt;&gt;")</f>
        <v>2</v>
      </c>
      <c r="N28" s="4">
        <f>COUNTIFS('Opportunities'!$C$2:$C$1775,"=r03",'Opportunities'!$N$2:$N$1775,"=mar26",'Opportunities'!$P$2:$P$1775,"=1",'Opportunities'!$H$2:$H$1775,"&lt;&gt;")</f>
        <v>6</v>
      </c>
      <c r="O28" s="4">
        <f>COUNTIFS('Opportunities'!$C$2:$C$1775,"=r03",'Opportunities'!$N$2:$N$1775,"=apr26",'Opportunities'!$P$2:$P$1775,"=1",'Opportunities'!$H$2:$H$1775,"&lt;&gt;")</f>
        <v>0</v>
      </c>
      <c r="P28" s="4">
        <f>COUNTIFS('Opportunities'!$C$2:$C$1775,"=r03",'Opportunities'!$N$2:$N$1775,"=may26",'Opportunities'!$P$2:$P$1775,"=1",'Opportunities'!$H$2:$H$1775,"&lt;&gt;")</f>
        <v>2</v>
      </c>
      <c r="Q28" s="4">
        <f>COUNTIFS('Opportunities'!$C$2:$C$1775,"=r03",'Opportunities'!$N$2:$N$1775,"=jun26",'Opportunities'!$P$2:$P$1775,"=1",'Opportunities'!$H$2:$H$1775,"&lt;&gt;")</f>
        <v>3</v>
      </c>
      <c r="R28" s="4">
        <f>COUNTIFS('Opportunities'!$C$2:$C$1775,"=r03",'Opportunities'!$N$2:$N$1775,"=jul26",'Opportunities'!$P$2:$P$1775,"=1",'Opportunities'!$H$2:$H$1775,"&lt;&gt;")</f>
        <v>2</v>
      </c>
      <c r="S28" s="4">
        <f>COUNTIFS('Opportunities'!$C$2:$C$1775,"=r03",'Opportunities'!$N$2:$N$1775,"=aug26",'Opportunities'!$P$2:$P$1775,"=1",'Opportunities'!$H$2:$H$1775,"&lt;&gt;")</f>
        <v>0</v>
      </c>
      <c r="T28" s="4">
        <f>COUNTIFS('Opportunities'!$C$2:$C$1775,"=r03",'Opportunities'!$N$2:$N$1775,"=sep26",'Opportunities'!$P$2:$P$1775,"=1",'Opportunities'!$H$2:$H$1775,"&lt;&gt;")</f>
        <v>3</v>
      </c>
      <c r="U28" s="4">
        <f>COUNTIFS('Opportunities'!$C$2:$C$1775,"=r03",'Opportunities'!$N$2:$N$1775,"=oct26",'Opportunities'!$P$2:$P$1775,"=1",'Opportunities'!$H$2:$H$1775,"&lt;&gt;")</f>
        <v>0</v>
      </c>
      <c r="V28" s="4">
        <f>COUNTIFS('Opportunities'!$C$2:$C$1775,"=r03",'Opportunities'!$N$2:$N$1775,"=nov26",'Opportunities'!$P$2:$P$1775,"=1",'Opportunities'!$H$2:$H$1775,"&lt;&gt;")</f>
        <v>0</v>
      </c>
      <c r="W28" s="4">
        <f>COUNTIFS('Opportunities'!$C$2:$C$1775,"=r03",'Opportunities'!$N$2:$N$1775,"=dec26",'Opportunities'!$P$2:$P$1775,"=1",'Opportunities'!$H$2:$H$1775,"&lt;&gt;")</f>
        <v>0</v>
      </c>
    </row>
    <row r="29">
      <c r="A29" s="0" t="inlineStr">
        <is>
          <t xml:space="preserve">Deals won</t>
        </is>
      </c>
      <c r="B29" s="0" t="inlineStr">
        <is>
          <t xml:space="preserve">Amara Haddad</t>
        </is>
      </c>
      <c r="C29" s="4">
        <f>COUNTIFS('Opportunities'!$C$2:$C$1775,"=r04",'Opportunities'!$N$2:$N$1775,"=apr25",'Opportunities'!$P$2:$P$1775,"=1",'Opportunities'!$H$2:$H$1775,"&lt;&gt;")</f>
        <v>0</v>
      </c>
      <c r="D29" s="4">
        <f>COUNTIFS('Opportunities'!$C$2:$C$1775,"=r04",'Opportunities'!$N$2:$N$1775,"=may25",'Opportunities'!$P$2:$P$1775,"=1",'Opportunities'!$H$2:$H$1775,"&lt;&gt;")</f>
        <v>2</v>
      </c>
      <c r="E29" s="4">
        <f>COUNTIFS('Opportunities'!$C$2:$C$1775,"=r04",'Opportunities'!$N$2:$N$1775,"=jun25",'Opportunities'!$P$2:$P$1775,"=1",'Opportunities'!$H$2:$H$1775,"&lt;&gt;")</f>
        <v>2</v>
      </c>
      <c r="F29" s="4">
        <f>COUNTIFS('Opportunities'!$C$2:$C$1775,"=r04",'Opportunities'!$N$2:$N$1775,"=jul25",'Opportunities'!$P$2:$P$1775,"=1",'Opportunities'!$H$2:$H$1775,"&lt;&gt;")</f>
        <v>2</v>
      </c>
      <c r="G29" s="4">
        <f>COUNTIFS('Opportunities'!$C$2:$C$1775,"=r04",'Opportunities'!$N$2:$N$1775,"=aug25",'Opportunities'!$P$2:$P$1775,"=1",'Opportunities'!$H$2:$H$1775,"&lt;&gt;")</f>
        <v>2</v>
      </c>
      <c r="H29" s="4">
        <f>COUNTIFS('Opportunities'!$C$2:$C$1775,"=r04",'Opportunities'!$N$2:$N$1775,"=sep25",'Opportunities'!$P$2:$P$1775,"=1",'Opportunities'!$H$2:$H$1775,"&lt;&gt;")</f>
        <v>2</v>
      </c>
      <c r="I29" s="4">
        <f>COUNTIFS('Opportunities'!$C$2:$C$1775,"=r04",'Opportunities'!$N$2:$N$1775,"=oct25",'Opportunities'!$P$2:$P$1775,"=1",'Opportunities'!$H$2:$H$1775,"&lt;&gt;")</f>
        <v>2</v>
      </c>
      <c r="J29" s="4">
        <f>COUNTIFS('Opportunities'!$C$2:$C$1775,"=r04",'Opportunities'!$N$2:$N$1775,"=nov25",'Opportunities'!$P$2:$P$1775,"=1",'Opportunities'!$H$2:$H$1775,"&lt;&gt;")</f>
        <v>0</v>
      </c>
      <c r="K29" s="4">
        <f>COUNTIFS('Opportunities'!$C$2:$C$1775,"=r04",'Opportunities'!$N$2:$N$1775,"=dec25",'Opportunities'!$P$2:$P$1775,"=1",'Opportunities'!$H$2:$H$1775,"&lt;&gt;")</f>
        <v>3</v>
      </c>
      <c r="L29" s="4">
        <f>COUNTIFS('Opportunities'!$C$2:$C$1775,"=r04",'Opportunities'!$N$2:$N$1775,"=jan26",'Opportunities'!$P$2:$P$1775,"=1",'Opportunities'!$H$2:$H$1775,"&lt;&gt;")</f>
        <v>1</v>
      </c>
      <c r="M29" s="4">
        <f>COUNTIFS('Opportunities'!$C$2:$C$1775,"=r04",'Opportunities'!$N$2:$N$1775,"=feb26",'Opportunities'!$P$2:$P$1775,"=1",'Opportunities'!$H$2:$H$1775,"&lt;&gt;")</f>
        <v>0</v>
      </c>
      <c r="N29" s="4">
        <f>COUNTIFS('Opportunities'!$C$2:$C$1775,"=r04",'Opportunities'!$N$2:$N$1775,"=mar26",'Opportunities'!$P$2:$P$1775,"=1",'Opportunities'!$H$2:$H$1775,"&lt;&gt;")</f>
        <v>1</v>
      </c>
      <c r="O29" s="4">
        <f>COUNTIFS('Opportunities'!$C$2:$C$1775,"=r04",'Opportunities'!$N$2:$N$1775,"=apr26",'Opportunities'!$P$2:$P$1775,"=1",'Opportunities'!$H$2:$H$1775,"&lt;&gt;")</f>
        <v>0</v>
      </c>
      <c r="P29" s="4">
        <f>COUNTIFS('Opportunities'!$C$2:$C$1775,"=r04",'Opportunities'!$N$2:$N$1775,"=may26",'Opportunities'!$P$2:$P$1775,"=1",'Opportunities'!$H$2:$H$1775,"&lt;&gt;")</f>
        <v>1</v>
      </c>
      <c r="Q29" s="4">
        <f>COUNTIFS('Opportunities'!$C$2:$C$1775,"=r04",'Opportunities'!$N$2:$N$1775,"=jun26",'Opportunities'!$P$2:$P$1775,"=1",'Opportunities'!$H$2:$H$1775,"&lt;&gt;")</f>
        <v>0</v>
      </c>
      <c r="R29" s="4">
        <f>COUNTIFS('Opportunities'!$C$2:$C$1775,"=r04",'Opportunities'!$N$2:$N$1775,"=jul26",'Opportunities'!$P$2:$P$1775,"=1",'Opportunities'!$H$2:$H$1775,"&lt;&gt;")</f>
        <v>0</v>
      </c>
      <c r="S29" s="4">
        <f>COUNTIFS('Opportunities'!$C$2:$C$1775,"=r04",'Opportunities'!$N$2:$N$1775,"=aug26",'Opportunities'!$P$2:$P$1775,"=1",'Opportunities'!$H$2:$H$1775,"&lt;&gt;")</f>
        <v>1</v>
      </c>
      <c r="T29" s="4">
        <f>COUNTIFS('Opportunities'!$C$2:$C$1775,"=r04",'Opportunities'!$N$2:$N$1775,"=sep26",'Opportunities'!$P$2:$P$1775,"=1",'Opportunities'!$H$2:$H$1775,"&lt;&gt;")</f>
        <v>0</v>
      </c>
      <c r="U29" s="4">
        <f>COUNTIFS('Opportunities'!$C$2:$C$1775,"=r04",'Opportunities'!$N$2:$N$1775,"=oct26",'Opportunities'!$P$2:$P$1775,"=1",'Opportunities'!$H$2:$H$1775,"&lt;&gt;")</f>
        <v>0</v>
      </c>
      <c r="V29" s="4">
        <f>COUNTIFS('Opportunities'!$C$2:$C$1775,"=r04",'Opportunities'!$N$2:$N$1775,"=nov26",'Opportunities'!$P$2:$P$1775,"=1",'Opportunities'!$H$2:$H$1775,"&lt;&gt;")</f>
        <v>0</v>
      </c>
      <c r="W29" s="4">
        <f>COUNTIFS('Opportunities'!$C$2:$C$1775,"=r04",'Opportunities'!$N$2:$N$1775,"=dec26",'Opportunities'!$P$2:$P$1775,"=1",'Opportunities'!$H$2:$H$1775,"&lt;&gt;")</f>
        <v>0</v>
      </c>
    </row>
    <row r="30">
      <c r="A30" s="0" t="inlineStr">
        <is>
          <t xml:space="preserve">Deals won</t>
        </is>
      </c>
      <c r="B30" s="0" t="inlineStr">
        <is>
          <t xml:space="preserve">Fatima Silva</t>
        </is>
      </c>
      <c r="C30" s="4">
        <f>COUNTIFS('Opportunities'!$C$2:$C$1775,"=r05",'Opportunities'!$N$2:$N$1775,"=apr25",'Opportunities'!$P$2:$P$1775,"=1",'Opportunities'!$H$2:$H$1775,"&lt;&gt;")</f>
        <v>0</v>
      </c>
      <c r="D30" s="4">
        <f>COUNTIFS('Opportunities'!$C$2:$C$1775,"=r05",'Opportunities'!$N$2:$N$1775,"=may25",'Opportunities'!$P$2:$P$1775,"=1",'Opportunities'!$H$2:$H$1775,"&lt;&gt;")</f>
        <v>3</v>
      </c>
      <c r="E30" s="4">
        <f>COUNTIFS('Opportunities'!$C$2:$C$1775,"=r05",'Opportunities'!$N$2:$N$1775,"=jun25",'Opportunities'!$P$2:$P$1775,"=1",'Opportunities'!$H$2:$H$1775,"&lt;&gt;")</f>
        <v>5</v>
      </c>
      <c r="F30" s="4">
        <f>COUNTIFS('Opportunities'!$C$2:$C$1775,"=r05",'Opportunities'!$N$2:$N$1775,"=jul25",'Opportunities'!$P$2:$P$1775,"=1",'Opportunities'!$H$2:$H$1775,"&lt;&gt;")</f>
        <v>4</v>
      </c>
      <c r="G30" s="4">
        <f>COUNTIFS('Opportunities'!$C$2:$C$1775,"=r05",'Opportunities'!$N$2:$N$1775,"=aug25",'Opportunities'!$P$2:$P$1775,"=1",'Opportunities'!$H$2:$H$1775,"&lt;&gt;")</f>
        <v>2</v>
      </c>
      <c r="H30" s="4">
        <f>COUNTIFS('Opportunities'!$C$2:$C$1775,"=r05",'Opportunities'!$N$2:$N$1775,"=sep25",'Opportunities'!$P$2:$P$1775,"=1",'Opportunities'!$H$2:$H$1775,"&lt;&gt;")</f>
        <v>5</v>
      </c>
      <c r="I30" s="4">
        <f>COUNTIFS('Opportunities'!$C$2:$C$1775,"=r05",'Opportunities'!$N$2:$N$1775,"=oct25",'Opportunities'!$P$2:$P$1775,"=1",'Opportunities'!$H$2:$H$1775,"&lt;&gt;")</f>
        <v>2</v>
      </c>
      <c r="J30" s="4">
        <f>COUNTIFS('Opportunities'!$C$2:$C$1775,"=r05",'Opportunities'!$N$2:$N$1775,"=nov25",'Opportunities'!$P$2:$P$1775,"=1",'Opportunities'!$H$2:$H$1775,"&lt;&gt;")</f>
        <v>4</v>
      </c>
      <c r="K30" s="4">
        <f>COUNTIFS('Opportunities'!$C$2:$C$1775,"=r05",'Opportunities'!$N$2:$N$1775,"=dec25",'Opportunities'!$P$2:$P$1775,"=1",'Opportunities'!$H$2:$H$1775,"&lt;&gt;")</f>
        <v>2</v>
      </c>
      <c r="L30" s="4">
        <f>COUNTIFS('Opportunities'!$C$2:$C$1775,"=r05",'Opportunities'!$N$2:$N$1775,"=jan26",'Opportunities'!$P$2:$P$1775,"=1",'Opportunities'!$H$2:$H$1775,"&lt;&gt;")</f>
        <v>3</v>
      </c>
      <c r="M30" s="4">
        <f>COUNTIFS('Opportunities'!$C$2:$C$1775,"=r05",'Opportunities'!$N$2:$N$1775,"=feb26",'Opportunities'!$P$2:$P$1775,"=1",'Opportunities'!$H$2:$H$1775,"&lt;&gt;")</f>
        <v>1</v>
      </c>
      <c r="N30" s="4">
        <f>COUNTIFS('Opportunities'!$C$2:$C$1775,"=r05",'Opportunities'!$N$2:$N$1775,"=mar26",'Opportunities'!$P$2:$P$1775,"=1",'Opportunities'!$H$2:$H$1775,"&lt;&gt;")</f>
        <v>1</v>
      </c>
      <c r="O30" s="4">
        <f>COUNTIFS('Opportunities'!$C$2:$C$1775,"=r05",'Opportunities'!$N$2:$N$1775,"=apr26",'Opportunities'!$P$2:$P$1775,"=1",'Opportunities'!$H$2:$H$1775,"&lt;&gt;")</f>
        <v>2</v>
      </c>
      <c r="P30" s="4">
        <f>COUNTIFS('Opportunities'!$C$2:$C$1775,"=r05",'Opportunities'!$N$2:$N$1775,"=may26",'Opportunities'!$P$2:$P$1775,"=1",'Opportunities'!$H$2:$H$1775,"&lt;&gt;")</f>
        <v>4</v>
      </c>
      <c r="Q30" s="4">
        <f>COUNTIFS('Opportunities'!$C$2:$C$1775,"=r05",'Opportunities'!$N$2:$N$1775,"=jun26",'Opportunities'!$P$2:$P$1775,"=1",'Opportunities'!$H$2:$H$1775,"&lt;&gt;")</f>
        <v>3</v>
      </c>
      <c r="R30" s="4">
        <f>COUNTIFS('Opportunities'!$C$2:$C$1775,"=r05",'Opportunities'!$N$2:$N$1775,"=jul26",'Opportunities'!$P$2:$P$1775,"=1",'Opportunities'!$H$2:$H$1775,"&lt;&gt;")</f>
        <v>5</v>
      </c>
      <c r="S30" s="4">
        <f>COUNTIFS('Opportunities'!$C$2:$C$1775,"=r05",'Opportunities'!$N$2:$N$1775,"=aug26",'Opportunities'!$P$2:$P$1775,"=1",'Opportunities'!$H$2:$H$1775,"&lt;&gt;")</f>
        <v>3</v>
      </c>
      <c r="T30" s="4">
        <f>COUNTIFS('Opportunities'!$C$2:$C$1775,"=r05",'Opportunities'!$N$2:$N$1775,"=sep26",'Opportunities'!$P$2:$P$1775,"=1",'Opportunities'!$H$2:$H$1775,"&lt;&gt;")</f>
        <v>3</v>
      </c>
      <c r="U30" s="4">
        <f>COUNTIFS('Opportunities'!$C$2:$C$1775,"=r05",'Opportunities'!$N$2:$N$1775,"=oct26",'Opportunities'!$P$2:$P$1775,"=1",'Opportunities'!$H$2:$H$1775,"&lt;&gt;")</f>
        <v>0</v>
      </c>
      <c r="V30" s="4">
        <f>COUNTIFS('Opportunities'!$C$2:$C$1775,"=r05",'Opportunities'!$N$2:$N$1775,"=nov26",'Opportunities'!$P$2:$P$1775,"=1",'Opportunities'!$H$2:$H$1775,"&lt;&gt;")</f>
        <v>0</v>
      </c>
      <c r="W30" s="4">
        <f>COUNTIFS('Opportunities'!$C$2:$C$1775,"=r05",'Opportunities'!$N$2:$N$1775,"=dec26",'Opportunities'!$P$2:$P$1775,"=1",'Opportunities'!$H$2:$H$1775,"&lt;&gt;")</f>
        <v>0</v>
      </c>
    </row>
    <row r="31">
      <c r="A31" s="0" t="inlineStr">
        <is>
          <t xml:space="preserve">Deals won</t>
        </is>
      </c>
      <c r="B31" s="0" t="inlineStr">
        <is>
          <t xml:space="preserve">Ana Ortiz</t>
        </is>
      </c>
      <c r="C31" s="4">
        <f>COUNTIFS('Opportunities'!$C$2:$C$1775,"=r06",'Opportunities'!$N$2:$N$1775,"=apr25",'Opportunities'!$P$2:$P$1775,"=1",'Opportunities'!$H$2:$H$1775,"&lt;&gt;")</f>
        <v>1</v>
      </c>
      <c r="D31" s="4">
        <f>COUNTIFS('Opportunities'!$C$2:$C$1775,"=r06",'Opportunities'!$N$2:$N$1775,"=may25",'Opportunities'!$P$2:$P$1775,"=1",'Opportunities'!$H$2:$H$1775,"&lt;&gt;")</f>
        <v>0</v>
      </c>
      <c r="E31" s="4">
        <f>COUNTIFS('Opportunities'!$C$2:$C$1775,"=r06",'Opportunities'!$N$2:$N$1775,"=jun25",'Opportunities'!$P$2:$P$1775,"=1",'Opportunities'!$H$2:$H$1775,"&lt;&gt;")</f>
        <v>2</v>
      </c>
      <c r="F31" s="4">
        <f>COUNTIFS('Opportunities'!$C$2:$C$1775,"=r06",'Opportunities'!$N$2:$N$1775,"=jul25",'Opportunities'!$P$2:$P$1775,"=1",'Opportunities'!$H$2:$H$1775,"&lt;&gt;")</f>
        <v>5</v>
      </c>
      <c r="G31" s="4">
        <f>COUNTIFS('Opportunities'!$C$2:$C$1775,"=r06",'Opportunities'!$N$2:$N$1775,"=aug25",'Opportunities'!$P$2:$P$1775,"=1",'Opportunities'!$H$2:$H$1775,"&lt;&gt;")</f>
        <v>1</v>
      </c>
      <c r="H31" s="4">
        <f>COUNTIFS('Opportunities'!$C$2:$C$1775,"=r06",'Opportunities'!$N$2:$N$1775,"=sep25",'Opportunities'!$P$2:$P$1775,"=1",'Opportunities'!$H$2:$H$1775,"&lt;&gt;")</f>
        <v>4</v>
      </c>
      <c r="I31" s="4">
        <f>COUNTIFS('Opportunities'!$C$2:$C$1775,"=r06",'Opportunities'!$N$2:$N$1775,"=oct25",'Opportunities'!$P$2:$P$1775,"=1",'Opportunities'!$H$2:$H$1775,"&lt;&gt;")</f>
        <v>0</v>
      </c>
      <c r="J31" s="4">
        <f>COUNTIFS('Opportunities'!$C$2:$C$1775,"=r06",'Opportunities'!$N$2:$N$1775,"=nov25",'Opportunities'!$P$2:$P$1775,"=1",'Opportunities'!$H$2:$H$1775,"&lt;&gt;")</f>
        <v>1</v>
      </c>
      <c r="K31" s="4">
        <f>COUNTIFS('Opportunities'!$C$2:$C$1775,"=r06",'Opportunities'!$N$2:$N$1775,"=dec25",'Opportunities'!$P$2:$P$1775,"=1",'Opportunities'!$H$2:$H$1775,"&lt;&gt;")</f>
        <v>4</v>
      </c>
      <c r="L31" s="4">
        <f>COUNTIFS('Opportunities'!$C$2:$C$1775,"=r06",'Opportunities'!$N$2:$N$1775,"=jan26",'Opportunities'!$P$2:$P$1775,"=1",'Opportunities'!$H$2:$H$1775,"&lt;&gt;")</f>
        <v>2</v>
      </c>
      <c r="M31" s="4">
        <f>COUNTIFS('Opportunities'!$C$2:$C$1775,"=r06",'Opportunities'!$N$2:$N$1775,"=feb26",'Opportunities'!$P$2:$P$1775,"=1",'Opportunities'!$H$2:$H$1775,"&lt;&gt;")</f>
        <v>2</v>
      </c>
      <c r="N31" s="4">
        <f>COUNTIFS('Opportunities'!$C$2:$C$1775,"=r06",'Opportunities'!$N$2:$N$1775,"=mar26",'Opportunities'!$P$2:$P$1775,"=1",'Opportunities'!$H$2:$H$1775,"&lt;&gt;")</f>
        <v>2</v>
      </c>
      <c r="O31" s="4">
        <f>COUNTIFS('Opportunities'!$C$2:$C$1775,"=r06",'Opportunities'!$N$2:$N$1775,"=apr26",'Opportunities'!$P$2:$P$1775,"=1",'Opportunities'!$H$2:$H$1775,"&lt;&gt;")</f>
        <v>1</v>
      </c>
      <c r="P31" s="4">
        <f>COUNTIFS('Opportunities'!$C$2:$C$1775,"=r06",'Opportunities'!$N$2:$N$1775,"=may26",'Opportunities'!$P$2:$P$1775,"=1",'Opportunities'!$H$2:$H$1775,"&lt;&gt;")</f>
        <v>3</v>
      </c>
      <c r="Q31" s="4">
        <f>COUNTIFS('Opportunities'!$C$2:$C$1775,"=r06",'Opportunities'!$N$2:$N$1775,"=jun26",'Opportunities'!$P$2:$P$1775,"=1",'Opportunities'!$H$2:$H$1775,"&lt;&gt;")</f>
        <v>6</v>
      </c>
      <c r="R31" s="4">
        <f>COUNTIFS('Opportunities'!$C$2:$C$1775,"=r06",'Opportunities'!$N$2:$N$1775,"=jul26",'Opportunities'!$P$2:$P$1775,"=1",'Opportunities'!$H$2:$H$1775,"&lt;&gt;")</f>
        <v>3</v>
      </c>
      <c r="S31" s="4">
        <f>COUNTIFS('Opportunities'!$C$2:$C$1775,"=r06",'Opportunities'!$N$2:$N$1775,"=aug26",'Opportunities'!$P$2:$P$1775,"=1",'Opportunities'!$H$2:$H$1775,"&lt;&gt;")</f>
        <v>2</v>
      </c>
      <c r="T31" s="4">
        <f>COUNTIFS('Opportunities'!$C$2:$C$1775,"=r06",'Opportunities'!$N$2:$N$1775,"=sep26",'Opportunities'!$P$2:$P$1775,"=1",'Opportunities'!$H$2:$H$1775,"&lt;&gt;")</f>
        <v>1</v>
      </c>
      <c r="U31" s="4">
        <f>COUNTIFS('Opportunities'!$C$2:$C$1775,"=r06",'Opportunities'!$N$2:$N$1775,"=oct26",'Opportunities'!$P$2:$P$1775,"=1",'Opportunities'!$H$2:$H$1775,"&lt;&gt;")</f>
        <v>0</v>
      </c>
      <c r="V31" s="4">
        <f>COUNTIFS('Opportunities'!$C$2:$C$1775,"=r06",'Opportunities'!$N$2:$N$1775,"=nov26",'Opportunities'!$P$2:$P$1775,"=1",'Opportunities'!$H$2:$H$1775,"&lt;&gt;")</f>
        <v>0</v>
      </c>
      <c r="W31" s="4">
        <f>COUNTIFS('Opportunities'!$C$2:$C$1775,"=r06",'Opportunities'!$N$2:$N$1775,"=dec26",'Opportunities'!$P$2:$P$1775,"=1",'Opportunities'!$H$2:$H$1775,"&lt;&gt;")</f>
        <v>0</v>
      </c>
    </row>
    <row r="32">
      <c r="A32" s="0" t="inlineStr">
        <is>
          <t xml:space="preserve">Deals won</t>
        </is>
      </c>
      <c r="B32" s="0" t="inlineStr">
        <is>
          <t xml:space="preserve">Tobias Silva</t>
        </is>
      </c>
      <c r="C32" s="4">
        <f>COUNTIFS('Opportunities'!$C$2:$C$1775,"=r07",'Opportunities'!$N$2:$N$1775,"=apr25",'Opportunities'!$P$2:$P$1775,"=1",'Opportunities'!$H$2:$H$1775,"&lt;&gt;")</f>
        <v>0</v>
      </c>
      <c r="D32" s="4">
        <f>COUNTIFS('Opportunities'!$C$2:$C$1775,"=r07",'Opportunities'!$N$2:$N$1775,"=may25",'Opportunities'!$P$2:$P$1775,"=1",'Opportunities'!$H$2:$H$1775,"&lt;&gt;")</f>
        <v>0</v>
      </c>
      <c r="E32" s="4">
        <f>COUNTIFS('Opportunities'!$C$2:$C$1775,"=r07",'Opportunities'!$N$2:$N$1775,"=jun25",'Opportunities'!$P$2:$P$1775,"=1",'Opportunities'!$H$2:$H$1775,"&lt;&gt;")</f>
        <v>0</v>
      </c>
      <c r="F32" s="4">
        <f>COUNTIFS('Opportunities'!$C$2:$C$1775,"=r07",'Opportunities'!$N$2:$N$1775,"=jul25",'Opportunities'!$P$2:$P$1775,"=1",'Opportunities'!$H$2:$H$1775,"&lt;&gt;")</f>
        <v>0</v>
      </c>
      <c r="G32" s="4">
        <f>COUNTIFS('Opportunities'!$C$2:$C$1775,"=r07",'Opportunities'!$N$2:$N$1775,"=aug25",'Opportunities'!$P$2:$P$1775,"=1",'Opportunities'!$H$2:$H$1775,"&lt;&gt;")</f>
        <v>0</v>
      </c>
      <c r="H32" s="4">
        <f>COUNTIFS('Opportunities'!$C$2:$C$1775,"=r07",'Opportunities'!$N$2:$N$1775,"=sep25",'Opportunities'!$P$2:$P$1775,"=1",'Opportunities'!$H$2:$H$1775,"&lt;&gt;")</f>
        <v>1</v>
      </c>
      <c r="I32" s="4">
        <f>COUNTIFS('Opportunities'!$C$2:$C$1775,"=r07",'Opportunities'!$N$2:$N$1775,"=oct25",'Opportunities'!$P$2:$P$1775,"=1",'Opportunities'!$H$2:$H$1775,"&lt;&gt;")</f>
        <v>0</v>
      </c>
      <c r="J32" s="4">
        <f>COUNTIFS('Opportunities'!$C$2:$C$1775,"=r07",'Opportunities'!$N$2:$N$1775,"=nov25",'Opportunities'!$P$2:$P$1775,"=1",'Opportunities'!$H$2:$H$1775,"&lt;&gt;")</f>
        <v>0</v>
      </c>
      <c r="K32" s="4">
        <f>COUNTIFS('Opportunities'!$C$2:$C$1775,"=r07",'Opportunities'!$N$2:$N$1775,"=dec25",'Opportunities'!$P$2:$P$1775,"=1",'Opportunities'!$H$2:$H$1775,"&lt;&gt;")</f>
        <v>0</v>
      </c>
      <c r="L32" s="4">
        <f>COUNTIFS('Opportunities'!$C$2:$C$1775,"=r07",'Opportunities'!$N$2:$N$1775,"=jan26",'Opportunities'!$P$2:$P$1775,"=1",'Opportunities'!$H$2:$H$1775,"&lt;&gt;")</f>
        <v>0</v>
      </c>
      <c r="M32" s="4">
        <f>COUNTIFS('Opportunities'!$C$2:$C$1775,"=r07",'Opportunities'!$N$2:$N$1775,"=feb26",'Opportunities'!$P$2:$P$1775,"=1",'Opportunities'!$H$2:$H$1775,"&lt;&gt;")</f>
        <v>1</v>
      </c>
      <c r="N32" s="4">
        <f>COUNTIFS('Opportunities'!$C$2:$C$1775,"=r07",'Opportunities'!$N$2:$N$1775,"=mar26",'Opportunities'!$P$2:$P$1775,"=1",'Opportunities'!$H$2:$H$1775,"&lt;&gt;")</f>
        <v>2</v>
      </c>
      <c r="O32" s="4">
        <f>COUNTIFS('Opportunities'!$C$2:$C$1775,"=r07",'Opportunities'!$N$2:$N$1775,"=apr26",'Opportunities'!$P$2:$P$1775,"=1",'Opportunities'!$H$2:$H$1775,"&lt;&gt;")</f>
        <v>0</v>
      </c>
      <c r="P32" s="4">
        <f>COUNTIFS('Opportunities'!$C$2:$C$1775,"=r07",'Opportunities'!$N$2:$N$1775,"=may26",'Opportunities'!$P$2:$P$1775,"=1",'Opportunities'!$H$2:$H$1775,"&lt;&gt;")</f>
        <v>0</v>
      </c>
      <c r="Q32" s="4">
        <f>COUNTIFS('Opportunities'!$C$2:$C$1775,"=r07",'Opportunities'!$N$2:$N$1775,"=jun26",'Opportunities'!$P$2:$P$1775,"=1",'Opportunities'!$H$2:$H$1775,"&lt;&gt;")</f>
        <v>1</v>
      </c>
      <c r="R32" s="4">
        <f>COUNTIFS('Opportunities'!$C$2:$C$1775,"=r07",'Opportunities'!$N$2:$N$1775,"=jul26",'Opportunities'!$P$2:$P$1775,"=1",'Opportunities'!$H$2:$H$1775,"&lt;&gt;")</f>
        <v>1</v>
      </c>
      <c r="S32" s="4">
        <f>COUNTIFS('Opportunities'!$C$2:$C$1775,"=r07",'Opportunities'!$N$2:$N$1775,"=aug26",'Opportunities'!$P$2:$P$1775,"=1",'Opportunities'!$H$2:$H$1775,"&lt;&gt;")</f>
        <v>0</v>
      </c>
      <c r="T32" s="4">
        <f>COUNTIFS('Opportunities'!$C$2:$C$1775,"=r07",'Opportunities'!$N$2:$N$1775,"=sep26",'Opportunities'!$P$2:$P$1775,"=1",'Opportunities'!$H$2:$H$1775,"&lt;&gt;")</f>
        <v>1</v>
      </c>
      <c r="U32" s="4">
        <f>COUNTIFS('Opportunities'!$C$2:$C$1775,"=r07",'Opportunities'!$N$2:$N$1775,"=oct26",'Opportunities'!$P$2:$P$1775,"=1",'Opportunities'!$H$2:$H$1775,"&lt;&gt;")</f>
        <v>0</v>
      </c>
      <c r="V32" s="4">
        <f>COUNTIFS('Opportunities'!$C$2:$C$1775,"=r07",'Opportunities'!$N$2:$N$1775,"=nov26",'Opportunities'!$P$2:$P$1775,"=1",'Opportunities'!$H$2:$H$1775,"&lt;&gt;")</f>
        <v>0</v>
      </c>
      <c r="W32" s="4">
        <f>COUNTIFS('Opportunities'!$C$2:$C$1775,"=r07",'Opportunities'!$N$2:$N$1775,"=dec26",'Opportunities'!$P$2:$P$1775,"=1",'Opportunities'!$H$2:$H$1775,"&lt;&gt;")</f>
        <v>0</v>
      </c>
    </row>
    <row r="33">
      <c r="A33" s="0" t="inlineStr">
        <is>
          <t xml:space="preserve">Deals won</t>
        </is>
      </c>
      <c r="B33" s="0" t="inlineStr">
        <is>
          <t xml:space="preserve">Leila Osei</t>
        </is>
      </c>
      <c r="C33" s="4">
        <f>COUNTIFS('Opportunities'!$C$2:$C$1775,"=r08",'Opportunities'!$N$2:$N$1775,"=apr25",'Opportunities'!$P$2:$P$1775,"=1",'Opportunities'!$H$2:$H$1775,"&lt;&gt;")</f>
        <v>0</v>
      </c>
      <c r="D33" s="4">
        <f>COUNTIFS('Opportunities'!$C$2:$C$1775,"=r08",'Opportunities'!$N$2:$N$1775,"=may25",'Opportunities'!$P$2:$P$1775,"=1",'Opportunities'!$H$2:$H$1775,"&lt;&gt;")</f>
        <v>0</v>
      </c>
      <c r="E33" s="4">
        <f>COUNTIFS('Opportunities'!$C$2:$C$1775,"=r08",'Opportunities'!$N$2:$N$1775,"=jun25",'Opportunities'!$P$2:$P$1775,"=1",'Opportunities'!$H$2:$H$1775,"&lt;&gt;")</f>
        <v>0</v>
      </c>
      <c r="F33" s="4">
        <f>COUNTIFS('Opportunities'!$C$2:$C$1775,"=r08",'Opportunities'!$N$2:$N$1775,"=jul25",'Opportunities'!$P$2:$P$1775,"=1",'Opportunities'!$H$2:$H$1775,"&lt;&gt;")</f>
        <v>0</v>
      </c>
      <c r="G33" s="4">
        <f>COUNTIFS('Opportunities'!$C$2:$C$1775,"=r08",'Opportunities'!$N$2:$N$1775,"=aug25",'Opportunities'!$P$2:$P$1775,"=1",'Opportunities'!$H$2:$H$1775,"&lt;&gt;")</f>
        <v>0</v>
      </c>
      <c r="H33" s="4">
        <f>COUNTIFS('Opportunities'!$C$2:$C$1775,"=r08",'Opportunities'!$N$2:$N$1775,"=sep25",'Opportunities'!$P$2:$P$1775,"=1",'Opportunities'!$H$2:$H$1775,"&lt;&gt;")</f>
        <v>0</v>
      </c>
      <c r="I33" s="4">
        <f>COUNTIFS('Opportunities'!$C$2:$C$1775,"=r08",'Opportunities'!$N$2:$N$1775,"=oct25",'Opportunities'!$P$2:$P$1775,"=1",'Opportunities'!$H$2:$H$1775,"&lt;&gt;")</f>
        <v>0</v>
      </c>
      <c r="J33" s="4">
        <f>COUNTIFS('Opportunities'!$C$2:$C$1775,"=r08",'Opportunities'!$N$2:$N$1775,"=nov25",'Opportunities'!$P$2:$P$1775,"=1",'Opportunities'!$H$2:$H$1775,"&lt;&gt;")</f>
        <v>0</v>
      </c>
      <c r="K33" s="4">
        <f>COUNTIFS('Opportunities'!$C$2:$C$1775,"=r08",'Opportunities'!$N$2:$N$1775,"=dec25",'Opportunities'!$P$2:$P$1775,"=1",'Opportunities'!$H$2:$H$1775,"&lt;&gt;")</f>
        <v>0</v>
      </c>
      <c r="L33" s="4">
        <f>COUNTIFS('Opportunities'!$C$2:$C$1775,"=r08",'Opportunities'!$N$2:$N$1775,"=jan26",'Opportunities'!$P$2:$P$1775,"=1",'Opportunities'!$H$2:$H$1775,"&lt;&gt;")</f>
        <v>0</v>
      </c>
      <c r="M33" s="4">
        <f>COUNTIFS('Opportunities'!$C$2:$C$1775,"=r08",'Opportunities'!$N$2:$N$1775,"=feb26",'Opportunities'!$P$2:$P$1775,"=1",'Opportunities'!$H$2:$H$1775,"&lt;&gt;")</f>
        <v>0</v>
      </c>
      <c r="N33" s="4">
        <f>COUNTIFS('Opportunities'!$C$2:$C$1775,"=r08",'Opportunities'!$N$2:$N$1775,"=mar26",'Opportunities'!$P$2:$P$1775,"=1",'Opportunities'!$H$2:$H$1775,"&lt;&gt;")</f>
        <v>1</v>
      </c>
      <c r="O33" s="4">
        <f>COUNTIFS('Opportunities'!$C$2:$C$1775,"=r08",'Opportunities'!$N$2:$N$1775,"=apr26",'Opportunities'!$P$2:$P$1775,"=1",'Opportunities'!$H$2:$H$1775,"&lt;&gt;")</f>
        <v>0</v>
      </c>
      <c r="P33" s="4">
        <f>COUNTIFS('Opportunities'!$C$2:$C$1775,"=r08",'Opportunities'!$N$2:$N$1775,"=may26",'Opportunities'!$P$2:$P$1775,"=1",'Opportunities'!$H$2:$H$1775,"&lt;&gt;")</f>
        <v>0</v>
      </c>
      <c r="Q33" s="4">
        <f>COUNTIFS('Opportunities'!$C$2:$C$1775,"=r08",'Opportunities'!$N$2:$N$1775,"=jun26",'Opportunities'!$P$2:$P$1775,"=1",'Opportunities'!$H$2:$H$1775,"&lt;&gt;")</f>
        <v>3</v>
      </c>
      <c r="R33" s="4">
        <f>COUNTIFS('Opportunities'!$C$2:$C$1775,"=r08",'Opportunities'!$N$2:$N$1775,"=jul26",'Opportunities'!$P$2:$P$1775,"=1",'Opportunities'!$H$2:$H$1775,"&lt;&gt;")</f>
        <v>2</v>
      </c>
      <c r="S33" s="4">
        <f>COUNTIFS('Opportunities'!$C$2:$C$1775,"=r08",'Opportunities'!$N$2:$N$1775,"=aug26",'Opportunities'!$P$2:$P$1775,"=1",'Opportunities'!$H$2:$H$1775,"&lt;&gt;")</f>
        <v>1</v>
      </c>
      <c r="T33" s="4">
        <f>COUNTIFS('Opportunities'!$C$2:$C$1775,"=r08",'Opportunities'!$N$2:$N$1775,"=sep26",'Opportunities'!$P$2:$P$1775,"=1",'Opportunities'!$H$2:$H$1775,"&lt;&gt;")</f>
        <v>1</v>
      </c>
      <c r="U33" s="4">
        <f>COUNTIFS('Opportunities'!$C$2:$C$1775,"=r08",'Opportunities'!$N$2:$N$1775,"=oct26",'Opportunities'!$P$2:$P$1775,"=1",'Opportunities'!$H$2:$H$1775,"&lt;&gt;")</f>
        <v>0</v>
      </c>
      <c r="V33" s="4">
        <f>COUNTIFS('Opportunities'!$C$2:$C$1775,"=r08",'Opportunities'!$N$2:$N$1775,"=nov26",'Opportunities'!$P$2:$P$1775,"=1",'Opportunities'!$H$2:$H$1775,"&lt;&gt;")</f>
        <v>0</v>
      </c>
      <c r="W33" s="4">
        <f>COUNTIFS('Opportunities'!$C$2:$C$1775,"=r08",'Opportunities'!$N$2:$N$1775,"=dec26",'Opportunities'!$P$2:$P$1775,"=1",'Opportunities'!$H$2:$H$1775,"&lt;&gt;")</f>
        <v>0</v>
      </c>
    </row>
    <row r="34">
      <c r="A34" s="0" t="inlineStr">
        <is>
          <t xml:space="preserve">Deals won</t>
        </is>
      </c>
      <c r="B34" s="0" t="inlineStr">
        <is>
          <t xml:space="preserve">Grace Costa</t>
        </is>
      </c>
      <c r="C34" s="4">
        <f>COUNTIFS('Opportunities'!$C$2:$C$1775,"=r09",'Opportunities'!$N$2:$N$1775,"=apr25",'Opportunities'!$P$2:$P$1775,"=1",'Opportunities'!$H$2:$H$1775,"&lt;&gt;")</f>
        <v>0</v>
      </c>
      <c r="D34" s="4">
        <f>COUNTIFS('Opportunities'!$C$2:$C$1775,"=r09",'Opportunities'!$N$2:$N$1775,"=may25",'Opportunities'!$P$2:$P$1775,"=1",'Opportunities'!$H$2:$H$1775,"&lt;&gt;")</f>
        <v>1</v>
      </c>
      <c r="E34" s="4">
        <f>COUNTIFS('Opportunities'!$C$2:$C$1775,"=r09",'Opportunities'!$N$2:$N$1775,"=jun25",'Opportunities'!$P$2:$P$1775,"=1",'Opportunities'!$H$2:$H$1775,"&lt;&gt;")</f>
        <v>2</v>
      </c>
      <c r="F34" s="4">
        <f>COUNTIFS('Opportunities'!$C$2:$C$1775,"=r09",'Opportunities'!$N$2:$N$1775,"=jul25",'Opportunities'!$P$2:$P$1775,"=1",'Opportunities'!$H$2:$H$1775,"&lt;&gt;")</f>
        <v>2</v>
      </c>
      <c r="G34" s="4">
        <f>COUNTIFS('Opportunities'!$C$2:$C$1775,"=r09",'Opportunities'!$N$2:$N$1775,"=aug25",'Opportunities'!$P$2:$P$1775,"=1",'Opportunities'!$H$2:$H$1775,"&lt;&gt;")</f>
        <v>1</v>
      </c>
      <c r="H34" s="4">
        <f>COUNTIFS('Opportunities'!$C$2:$C$1775,"=r09",'Opportunities'!$N$2:$N$1775,"=sep25",'Opportunities'!$P$2:$P$1775,"=1",'Opportunities'!$H$2:$H$1775,"&lt;&gt;")</f>
        <v>1</v>
      </c>
      <c r="I34" s="4">
        <f>COUNTIFS('Opportunities'!$C$2:$C$1775,"=r09",'Opportunities'!$N$2:$N$1775,"=oct25",'Opportunities'!$P$2:$P$1775,"=1",'Opportunities'!$H$2:$H$1775,"&lt;&gt;")</f>
        <v>0</v>
      </c>
      <c r="J34" s="4">
        <f>COUNTIFS('Opportunities'!$C$2:$C$1775,"=r09",'Opportunities'!$N$2:$N$1775,"=nov25",'Opportunities'!$P$2:$P$1775,"=1",'Opportunities'!$H$2:$H$1775,"&lt;&gt;")</f>
        <v>3</v>
      </c>
      <c r="K34" s="4">
        <f>COUNTIFS('Opportunities'!$C$2:$C$1775,"=r09",'Opportunities'!$N$2:$N$1775,"=dec25",'Opportunities'!$P$2:$P$1775,"=1",'Opportunities'!$H$2:$H$1775,"&lt;&gt;")</f>
        <v>5</v>
      </c>
      <c r="L34" s="4">
        <f>COUNTIFS('Opportunities'!$C$2:$C$1775,"=r09",'Opportunities'!$N$2:$N$1775,"=jan26",'Opportunities'!$P$2:$P$1775,"=1",'Opportunities'!$H$2:$H$1775,"&lt;&gt;")</f>
        <v>2</v>
      </c>
      <c r="M34" s="4">
        <f>COUNTIFS('Opportunities'!$C$2:$C$1775,"=r09",'Opportunities'!$N$2:$N$1775,"=feb26",'Opportunities'!$P$2:$P$1775,"=1",'Opportunities'!$H$2:$H$1775,"&lt;&gt;")</f>
        <v>3</v>
      </c>
      <c r="N34" s="4">
        <f>COUNTIFS('Opportunities'!$C$2:$C$1775,"=r09",'Opportunities'!$N$2:$N$1775,"=mar26",'Opportunities'!$P$2:$P$1775,"=1",'Opportunities'!$H$2:$H$1775,"&lt;&gt;")</f>
        <v>4</v>
      </c>
      <c r="O34" s="4">
        <f>COUNTIFS('Opportunities'!$C$2:$C$1775,"=r09",'Opportunities'!$N$2:$N$1775,"=apr26",'Opportunities'!$P$2:$P$1775,"=1",'Opportunities'!$H$2:$H$1775,"&lt;&gt;")</f>
        <v>3</v>
      </c>
      <c r="P34" s="4">
        <f>COUNTIFS('Opportunities'!$C$2:$C$1775,"=r09",'Opportunities'!$N$2:$N$1775,"=may26",'Opportunities'!$P$2:$P$1775,"=1",'Opportunities'!$H$2:$H$1775,"&lt;&gt;")</f>
        <v>3</v>
      </c>
      <c r="Q34" s="4">
        <f>COUNTIFS('Opportunities'!$C$2:$C$1775,"=r09",'Opportunities'!$N$2:$N$1775,"=jun26",'Opportunities'!$P$2:$P$1775,"=1",'Opportunities'!$H$2:$H$1775,"&lt;&gt;")</f>
        <v>7</v>
      </c>
      <c r="R34" s="4">
        <f>COUNTIFS('Opportunities'!$C$2:$C$1775,"=r09",'Opportunities'!$N$2:$N$1775,"=jul26",'Opportunities'!$P$2:$P$1775,"=1",'Opportunities'!$H$2:$H$1775,"&lt;&gt;")</f>
        <v>5</v>
      </c>
      <c r="S34" s="4">
        <f>COUNTIFS('Opportunities'!$C$2:$C$1775,"=r09",'Opportunities'!$N$2:$N$1775,"=aug26",'Opportunities'!$P$2:$P$1775,"=1",'Opportunities'!$H$2:$H$1775,"&lt;&gt;")</f>
        <v>1</v>
      </c>
      <c r="T34" s="4">
        <f>COUNTIFS('Opportunities'!$C$2:$C$1775,"=r09",'Opportunities'!$N$2:$N$1775,"=sep26",'Opportunities'!$P$2:$P$1775,"=1",'Opportunities'!$H$2:$H$1775,"&lt;&gt;")</f>
        <v>3</v>
      </c>
      <c r="U34" s="4">
        <f>COUNTIFS('Opportunities'!$C$2:$C$1775,"=r09",'Opportunities'!$N$2:$N$1775,"=oct26",'Opportunities'!$P$2:$P$1775,"=1",'Opportunities'!$H$2:$H$1775,"&lt;&gt;")</f>
        <v>0</v>
      </c>
      <c r="V34" s="4">
        <f>COUNTIFS('Opportunities'!$C$2:$C$1775,"=r09",'Opportunities'!$N$2:$N$1775,"=nov26",'Opportunities'!$P$2:$P$1775,"=1",'Opportunities'!$H$2:$H$1775,"&lt;&gt;")</f>
        <v>0</v>
      </c>
      <c r="W34" s="4">
        <f>COUNTIFS('Opportunities'!$C$2:$C$1775,"=r09",'Opportunities'!$N$2:$N$1775,"=dec26",'Opportunities'!$P$2:$P$1775,"=1",'Opportunities'!$H$2:$H$1775,"&lt;&gt;")</f>
        <v>0</v>
      </c>
    </row>
    <row r="35">
      <c r="A35" s="0" t="inlineStr">
        <is>
          <t xml:space="preserve">Deals won</t>
        </is>
      </c>
      <c r="B35" s="0" t="inlineStr">
        <is>
          <t xml:space="preserve">Ingrid Müller</t>
        </is>
      </c>
      <c r="C35" s="4">
        <f>COUNTIFS('Opportunities'!$C$2:$C$1775,"=r10",'Opportunities'!$N$2:$N$1775,"=apr25",'Opportunities'!$P$2:$P$1775,"=1",'Opportunities'!$H$2:$H$1775,"&lt;&gt;")</f>
        <v>0</v>
      </c>
      <c r="D35" s="4">
        <f>COUNTIFS('Opportunities'!$C$2:$C$1775,"=r10",'Opportunities'!$N$2:$N$1775,"=may25",'Opportunities'!$P$2:$P$1775,"=1",'Opportunities'!$H$2:$H$1775,"&lt;&gt;")</f>
        <v>0</v>
      </c>
      <c r="E35" s="4">
        <f>COUNTIFS('Opportunities'!$C$2:$C$1775,"=r10",'Opportunities'!$N$2:$N$1775,"=jun25",'Opportunities'!$P$2:$P$1775,"=1",'Opportunities'!$H$2:$H$1775,"&lt;&gt;")</f>
        <v>0</v>
      </c>
      <c r="F35" s="4">
        <f>COUNTIFS('Opportunities'!$C$2:$C$1775,"=r10",'Opportunities'!$N$2:$N$1775,"=jul25",'Opportunities'!$P$2:$P$1775,"=1",'Opportunities'!$H$2:$H$1775,"&lt;&gt;")</f>
        <v>0</v>
      </c>
      <c r="G35" s="4">
        <f>COUNTIFS('Opportunities'!$C$2:$C$1775,"=r10",'Opportunities'!$N$2:$N$1775,"=aug25",'Opportunities'!$P$2:$P$1775,"=1",'Opportunities'!$H$2:$H$1775,"&lt;&gt;")</f>
        <v>0</v>
      </c>
      <c r="H35" s="4">
        <f>COUNTIFS('Opportunities'!$C$2:$C$1775,"=r10",'Opportunities'!$N$2:$N$1775,"=sep25",'Opportunities'!$P$2:$P$1775,"=1",'Opportunities'!$H$2:$H$1775,"&lt;&gt;")</f>
        <v>0</v>
      </c>
      <c r="I35" s="4">
        <f>COUNTIFS('Opportunities'!$C$2:$C$1775,"=r10",'Opportunities'!$N$2:$N$1775,"=oct25",'Opportunities'!$P$2:$P$1775,"=1",'Opportunities'!$H$2:$H$1775,"&lt;&gt;")</f>
        <v>0</v>
      </c>
      <c r="J35" s="4">
        <f>COUNTIFS('Opportunities'!$C$2:$C$1775,"=r10",'Opportunities'!$N$2:$N$1775,"=nov25",'Opportunities'!$P$2:$P$1775,"=1",'Opportunities'!$H$2:$H$1775,"&lt;&gt;")</f>
        <v>0</v>
      </c>
      <c r="K35" s="4">
        <f>COUNTIFS('Opportunities'!$C$2:$C$1775,"=r10",'Opportunities'!$N$2:$N$1775,"=dec25",'Opportunities'!$P$2:$P$1775,"=1",'Opportunities'!$H$2:$H$1775,"&lt;&gt;")</f>
        <v>0</v>
      </c>
      <c r="L35" s="4">
        <f>COUNTIFS('Opportunities'!$C$2:$C$1775,"=r10",'Opportunities'!$N$2:$N$1775,"=jan26",'Opportunities'!$P$2:$P$1775,"=1",'Opportunities'!$H$2:$H$1775,"&lt;&gt;")</f>
        <v>0</v>
      </c>
      <c r="M35" s="4">
        <f>COUNTIFS('Opportunities'!$C$2:$C$1775,"=r10",'Opportunities'!$N$2:$N$1775,"=feb26",'Opportunities'!$P$2:$P$1775,"=1",'Opportunities'!$H$2:$H$1775,"&lt;&gt;")</f>
        <v>0</v>
      </c>
      <c r="N35" s="4">
        <f>COUNTIFS('Opportunities'!$C$2:$C$1775,"=r10",'Opportunities'!$N$2:$N$1775,"=mar26",'Opportunities'!$P$2:$P$1775,"=1",'Opportunities'!$H$2:$H$1775,"&lt;&gt;")</f>
        <v>0</v>
      </c>
      <c r="O35" s="4">
        <f>COUNTIFS('Opportunities'!$C$2:$C$1775,"=r10",'Opportunities'!$N$2:$N$1775,"=apr26",'Opportunities'!$P$2:$P$1775,"=1",'Opportunities'!$H$2:$H$1775,"&lt;&gt;")</f>
        <v>1</v>
      </c>
      <c r="P35" s="4">
        <f>COUNTIFS('Opportunities'!$C$2:$C$1775,"=r10",'Opportunities'!$N$2:$N$1775,"=may26",'Opportunities'!$P$2:$P$1775,"=1",'Opportunities'!$H$2:$H$1775,"&lt;&gt;")</f>
        <v>0</v>
      </c>
      <c r="Q35" s="4">
        <f>COUNTIFS('Opportunities'!$C$2:$C$1775,"=r10",'Opportunities'!$N$2:$N$1775,"=jun26",'Opportunities'!$P$2:$P$1775,"=1",'Opportunities'!$H$2:$H$1775,"&lt;&gt;")</f>
        <v>2</v>
      </c>
      <c r="R35" s="4">
        <f>COUNTIFS('Opportunities'!$C$2:$C$1775,"=r10",'Opportunities'!$N$2:$N$1775,"=jul26",'Opportunities'!$P$2:$P$1775,"=1",'Opportunities'!$H$2:$H$1775,"&lt;&gt;")</f>
        <v>0</v>
      </c>
      <c r="S35" s="4">
        <f>COUNTIFS('Opportunities'!$C$2:$C$1775,"=r10",'Opportunities'!$N$2:$N$1775,"=aug26",'Opportunities'!$P$2:$P$1775,"=1",'Opportunities'!$H$2:$H$1775,"&lt;&gt;")</f>
        <v>3</v>
      </c>
      <c r="T35" s="4">
        <f>COUNTIFS('Opportunities'!$C$2:$C$1775,"=r10",'Opportunities'!$N$2:$N$1775,"=sep26",'Opportunities'!$P$2:$P$1775,"=1",'Opportunities'!$H$2:$H$1775,"&lt;&gt;")</f>
        <v>3</v>
      </c>
      <c r="U35" s="4">
        <f>COUNTIFS('Opportunities'!$C$2:$C$1775,"=r10",'Opportunities'!$N$2:$N$1775,"=oct26",'Opportunities'!$P$2:$P$1775,"=1",'Opportunities'!$H$2:$H$1775,"&lt;&gt;")</f>
        <v>0</v>
      </c>
      <c r="V35" s="4">
        <f>COUNTIFS('Opportunities'!$C$2:$C$1775,"=r10",'Opportunities'!$N$2:$N$1775,"=nov26",'Opportunities'!$P$2:$P$1775,"=1",'Opportunities'!$H$2:$H$1775,"&lt;&gt;")</f>
        <v>0</v>
      </c>
      <c r="W35" s="4">
        <f>COUNTIFS('Opportunities'!$C$2:$C$1775,"=r10",'Opportunities'!$N$2:$N$1775,"=dec26",'Opportunities'!$P$2:$P$1775,"=1",'Opportunities'!$H$2:$H$1775,"&lt;&gt;")</f>
        <v>0</v>
      </c>
    </row>
    <row r="36">
      <c r="A36" s="0" t="inlineStr">
        <is>
          <t xml:space="preserve">Deals won</t>
        </is>
      </c>
      <c r="B36" s="0" t="inlineStr">
        <is>
          <t xml:space="preserve">Ingrid Kim</t>
        </is>
      </c>
      <c r="C36" s="4">
        <f>COUNTIFS('Opportunities'!$C$2:$C$1775,"=r11",'Opportunities'!$N$2:$N$1775,"=apr25",'Opportunities'!$P$2:$P$1775,"=1",'Opportunities'!$H$2:$H$1775,"&lt;&gt;")</f>
        <v>2</v>
      </c>
      <c r="D36" s="4">
        <f>COUNTIFS('Opportunities'!$C$2:$C$1775,"=r11",'Opportunities'!$N$2:$N$1775,"=may25",'Opportunities'!$P$2:$P$1775,"=1",'Opportunities'!$H$2:$H$1775,"&lt;&gt;")</f>
        <v>2</v>
      </c>
      <c r="E36" s="4">
        <f>COUNTIFS('Opportunities'!$C$2:$C$1775,"=r11",'Opportunities'!$N$2:$N$1775,"=jun25",'Opportunities'!$P$2:$P$1775,"=1",'Opportunities'!$H$2:$H$1775,"&lt;&gt;")</f>
        <v>3</v>
      </c>
      <c r="F36" s="4">
        <f>COUNTIFS('Opportunities'!$C$2:$C$1775,"=r11",'Opportunities'!$N$2:$N$1775,"=jul25",'Opportunities'!$P$2:$P$1775,"=1",'Opportunities'!$H$2:$H$1775,"&lt;&gt;")</f>
        <v>0</v>
      </c>
      <c r="G36" s="4">
        <f>COUNTIFS('Opportunities'!$C$2:$C$1775,"=r11",'Opportunities'!$N$2:$N$1775,"=aug25",'Opportunities'!$P$2:$P$1775,"=1",'Opportunities'!$H$2:$H$1775,"&lt;&gt;")</f>
        <v>5</v>
      </c>
      <c r="H36" s="4">
        <f>COUNTIFS('Opportunities'!$C$2:$C$1775,"=r11",'Opportunities'!$N$2:$N$1775,"=sep25",'Opportunities'!$P$2:$P$1775,"=1",'Opportunities'!$H$2:$H$1775,"&lt;&gt;")</f>
        <v>3</v>
      </c>
      <c r="I36" s="4">
        <f>COUNTIFS('Opportunities'!$C$2:$C$1775,"=r11",'Opportunities'!$N$2:$N$1775,"=oct25",'Opportunities'!$P$2:$P$1775,"=1",'Opportunities'!$H$2:$H$1775,"&lt;&gt;")</f>
        <v>2</v>
      </c>
      <c r="J36" s="4">
        <f>COUNTIFS('Opportunities'!$C$2:$C$1775,"=r11",'Opportunities'!$N$2:$N$1775,"=nov25",'Opportunities'!$P$2:$P$1775,"=1",'Opportunities'!$H$2:$H$1775,"&lt;&gt;")</f>
        <v>2</v>
      </c>
      <c r="K36" s="4">
        <f>COUNTIFS('Opportunities'!$C$2:$C$1775,"=r11",'Opportunities'!$N$2:$N$1775,"=dec25",'Opportunities'!$P$2:$P$1775,"=1",'Opportunities'!$H$2:$H$1775,"&lt;&gt;")</f>
        <v>2</v>
      </c>
      <c r="L36" s="4">
        <f>COUNTIFS('Opportunities'!$C$2:$C$1775,"=r11",'Opportunities'!$N$2:$N$1775,"=jan26",'Opportunities'!$P$2:$P$1775,"=1",'Opportunities'!$H$2:$H$1775,"&lt;&gt;")</f>
        <v>2</v>
      </c>
      <c r="M36" s="4">
        <f>COUNTIFS('Opportunities'!$C$2:$C$1775,"=r11",'Opportunities'!$N$2:$N$1775,"=feb26",'Opportunities'!$P$2:$P$1775,"=1",'Opportunities'!$H$2:$H$1775,"&lt;&gt;")</f>
        <v>3</v>
      </c>
      <c r="N36" s="4">
        <f>COUNTIFS('Opportunities'!$C$2:$C$1775,"=r11",'Opportunities'!$N$2:$N$1775,"=mar26",'Opportunities'!$P$2:$P$1775,"=1",'Opportunities'!$H$2:$H$1775,"&lt;&gt;")</f>
        <v>6</v>
      </c>
      <c r="O36" s="4">
        <f>COUNTIFS('Opportunities'!$C$2:$C$1775,"=r11",'Opportunities'!$N$2:$N$1775,"=apr26",'Opportunities'!$P$2:$P$1775,"=1",'Opportunities'!$H$2:$H$1775,"&lt;&gt;")</f>
        <v>1</v>
      </c>
      <c r="P36" s="4">
        <f>COUNTIFS('Opportunities'!$C$2:$C$1775,"=r11",'Opportunities'!$N$2:$N$1775,"=may26",'Opportunities'!$P$2:$P$1775,"=1",'Opportunities'!$H$2:$H$1775,"&lt;&gt;")</f>
        <v>1</v>
      </c>
      <c r="Q36" s="4">
        <f>COUNTIFS('Opportunities'!$C$2:$C$1775,"=r11",'Opportunities'!$N$2:$N$1775,"=jun26",'Opportunities'!$P$2:$P$1775,"=1",'Opportunities'!$H$2:$H$1775,"&lt;&gt;")</f>
        <v>0</v>
      </c>
      <c r="R36" s="4">
        <f>COUNTIFS('Opportunities'!$C$2:$C$1775,"=r11",'Opportunities'!$N$2:$N$1775,"=jul26",'Opportunities'!$P$2:$P$1775,"=1",'Opportunities'!$H$2:$H$1775,"&lt;&gt;")</f>
        <v>4</v>
      </c>
      <c r="S36" s="4">
        <f>COUNTIFS('Opportunities'!$C$2:$C$1775,"=r11",'Opportunities'!$N$2:$N$1775,"=aug26",'Opportunities'!$P$2:$P$1775,"=1",'Opportunities'!$H$2:$H$1775,"&lt;&gt;")</f>
        <v>0</v>
      </c>
      <c r="T36" s="4">
        <f>COUNTIFS('Opportunities'!$C$2:$C$1775,"=r11",'Opportunities'!$N$2:$N$1775,"=sep26",'Opportunities'!$P$2:$P$1775,"=1",'Opportunities'!$H$2:$H$1775,"&lt;&gt;")</f>
        <v>1</v>
      </c>
      <c r="U36" s="4">
        <f>COUNTIFS('Opportunities'!$C$2:$C$1775,"=r11",'Opportunities'!$N$2:$N$1775,"=oct26",'Opportunities'!$P$2:$P$1775,"=1",'Opportunities'!$H$2:$H$1775,"&lt;&gt;")</f>
        <v>0</v>
      </c>
      <c r="V36" s="4">
        <f>COUNTIFS('Opportunities'!$C$2:$C$1775,"=r11",'Opportunities'!$N$2:$N$1775,"=nov26",'Opportunities'!$P$2:$P$1775,"=1",'Opportunities'!$H$2:$H$1775,"&lt;&gt;")</f>
        <v>0</v>
      </c>
      <c r="W36" s="4">
        <f>COUNTIFS('Opportunities'!$C$2:$C$1775,"=r11",'Opportunities'!$N$2:$N$1775,"=dec26",'Opportunities'!$P$2:$P$1775,"=1",'Opportunities'!$H$2:$H$1775,"&lt;&gt;")</f>
        <v>0</v>
      </c>
    </row>
    <row r="37">
      <c r="A37" s="0" t="inlineStr">
        <is>
          <t xml:space="preserve">Deals won</t>
        </is>
      </c>
      <c r="B37" s="0" t="inlineStr">
        <is>
          <t xml:space="preserve">Priya Nair</t>
        </is>
      </c>
      <c r="C37" s="4">
        <f>COUNTIFS('Opportunities'!$C$2:$C$1775,"=r12",'Opportunities'!$N$2:$N$1775,"=apr25",'Opportunities'!$P$2:$P$1775,"=1",'Opportunities'!$H$2:$H$1775,"&lt;&gt;")</f>
        <v>0</v>
      </c>
      <c r="D37" s="4">
        <f>COUNTIFS('Opportunities'!$C$2:$C$1775,"=r12",'Opportunities'!$N$2:$N$1775,"=may25",'Opportunities'!$P$2:$P$1775,"=1",'Opportunities'!$H$2:$H$1775,"&lt;&gt;")</f>
        <v>5</v>
      </c>
      <c r="E37" s="4">
        <f>COUNTIFS('Opportunities'!$C$2:$C$1775,"=r12",'Opportunities'!$N$2:$N$1775,"=jun25",'Opportunities'!$P$2:$P$1775,"=1",'Opportunities'!$H$2:$H$1775,"&lt;&gt;")</f>
        <v>2</v>
      </c>
      <c r="F37" s="4">
        <f>COUNTIFS('Opportunities'!$C$2:$C$1775,"=r12",'Opportunities'!$N$2:$N$1775,"=jul25",'Opportunities'!$P$2:$P$1775,"=1",'Opportunities'!$H$2:$H$1775,"&lt;&gt;")</f>
        <v>2</v>
      </c>
      <c r="G37" s="4">
        <f>COUNTIFS('Opportunities'!$C$2:$C$1775,"=r12",'Opportunities'!$N$2:$N$1775,"=aug25",'Opportunities'!$P$2:$P$1775,"=1",'Opportunities'!$H$2:$H$1775,"&lt;&gt;")</f>
        <v>1</v>
      </c>
      <c r="H37" s="4">
        <f>COUNTIFS('Opportunities'!$C$2:$C$1775,"=r12",'Opportunities'!$N$2:$N$1775,"=sep25",'Opportunities'!$P$2:$P$1775,"=1",'Opportunities'!$H$2:$H$1775,"&lt;&gt;")</f>
        <v>4</v>
      </c>
      <c r="I37" s="4">
        <f>COUNTIFS('Opportunities'!$C$2:$C$1775,"=r12",'Opportunities'!$N$2:$N$1775,"=oct25",'Opportunities'!$P$2:$P$1775,"=1",'Opportunities'!$H$2:$H$1775,"&lt;&gt;")</f>
        <v>2</v>
      </c>
      <c r="J37" s="4">
        <f>COUNTIFS('Opportunities'!$C$2:$C$1775,"=r12",'Opportunities'!$N$2:$N$1775,"=nov25",'Opportunities'!$P$2:$P$1775,"=1",'Opportunities'!$H$2:$H$1775,"&lt;&gt;")</f>
        <v>2</v>
      </c>
      <c r="K37" s="4">
        <f>COUNTIFS('Opportunities'!$C$2:$C$1775,"=r12",'Opportunities'!$N$2:$N$1775,"=dec25",'Opportunities'!$P$2:$P$1775,"=1",'Opportunities'!$H$2:$H$1775,"&lt;&gt;")</f>
        <v>4</v>
      </c>
      <c r="L37" s="4">
        <f>COUNTIFS('Opportunities'!$C$2:$C$1775,"=r12",'Opportunities'!$N$2:$N$1775,"=jan26",'Opportunities'!$P$2:$P$1775,"=1",'Opportunities'!$H$2:$H$1775,"&lt;&gt;")</f>
        <v>1</v>
      </c>
      <c r="M37" s="4">
        <f>COUNTIFS('Opportunities'!$C$2:$C$1775,"=r12",'Opportunities'!$N$2:$N$1775,"=feb26",'Opportunities'!$P$2:$P$1775,"=1",'Opportunities'!$H$2:$H$1775,"&lt;&gt;")</f>
        <v>0</v>
      </c>
      <c r="N37" s="4">
        <f>COUNTIFS('Opportunities'!$C$2:$C$1775,"=r12",'Opportunities'!$N$2:$N$1775,"=mar26",'Opportunities'!$P$2:$P$1775,"=1",'Opportunities'!$H$2:$H$1775,"&lt;&gt;")</f>
        <v>3</v>
      </c>
      <c r="O37" s="4">
        <f>COUNTIFS('Opportunities'!$C$2:$C$1775,"=r12",'Opportunities'!$N$2:$N$1775,"=apr26",'Opportunities'!$P$2:$P$1775,"=1",'Opportunities'!$H$2:$H$1775,"&lt;&gt;")</f>
        <v>4</v>
      </c>
      <c r="P37" s="4">
        <f>COUNTIFS('Opportunities'!$C$2:$C$1775,"=r12",'Opportunities'!$N$2:$N$1775,"=may26",'Opportunities'!$P$2:$P$1775,"=1",'Opportunities'!$H$2:$H$1775,"&lt;&gt;")</f>
        <v>1</v>
      </c>
      <c r="Q37" s="4">
        <f>COUNTIFS('Opportunities'!$C$2:$C$1775,"=r12",'Opportunities'!$N$2:$N$1775,"=jun26",'Opportunities'!$P$2:$P$1775,"=1",'Opportunities'!$H$2:$H$1775,"&lt;&gt;")</f>
        <v>5</v>
      </c>
      <c r="R37" s="4">
        <f>COUNTIFS('Opportunities'!$C$2:$C$1775,"=r12",'Opportunities'!$N$2:$N$1775,"=jul26",'Opportunities'!$P$2:$P$1775,"=1",'Opportunities'!$H$2:$H$1775,"&lt;&gt;")</f>
        <v>1</v>
      </c>
      <c r="S37" s="4">
        <f>COUNTIFS('Opportunities'!$C$2:$C$1775,"=r12",'Opportunities'!$N$2:$N$1775,"=aug26",'Opportunities'!$P$2:$P$1775,"=1",'Opportunities'!$H$2:$H$1775,"&lt;&gt;")</f>
        <v>2</v>
      </c>
      <c r="T37" s="4">
        <f>COUNTIFS('Opportunities'!$C$2:$C$1775,"=r12",'Opportunities'!$N$2:$N$1775,"=sep26",'Opportunities'!$P$2:$P$1775,"=1",'Opportunities'!$H$2:$H$1775,"&lt;&gt;")</f>
        <v>0</v>
      </c>
      <c r="U37" s="4">
        <f>COUNTIFS('Opportunities'!$C$2:$C$1775,"=r12",'Opportunities'!$N$2:$N$1775,"=oct26",'Opportunities'!$P$2:$P$1775,"=1",'Opportunities'!$H$2:$H$1775,"&lt;&gt;")</f>
        <v>0</v>
      </c>
      <c r="V37" s="4">
        <f>COUNTIFS('Opportunities'!$C$2:$C$1775,"=r12",'Opportunities'!$N$2:$N$1775,"=nov26",'Opportunities'!$P$2:$P$1775,"=1",'Opportunities'!$H$2:$H$1775,"&lt;&gt;")</f>
        <v>0</v>
      </c>
      <c r="W37" s="4">
        <f>COUNTIFS('Opportunities'!$C$2:$C$1775,"=r12",'Opportunities'!$N$2:$N$1775,"=dec26",'Opportunities'!$P$2:$P$1775,"=1",'Opportunities'!$H$2:$H$1775,"&lt;&gt;")</f>
        <v>0</v>
      </c>
    </row>
    <row r="38">
      <c r="A38" s="0" t="inlineStr">
        <is>
          <t xml:space="preserve">Deals won</t>
        </is>
      </c>
      <c r="B38" s="0" t="inlineStr">
        <is>
          <t xml:space="preserve">Hugo Lindqvist</t>
        </is>
      </c>
      <c r="C38" s="4">
        <f>COUNTIFS('Opportunities'!$C$2:$C$1775,"=r13",'Opportunities'!$N$2:$N$1775,"=apr25",'Opportunities'!$P$2:$P$1775,"=1",'Opportunities'!$H$2:$H$1775,"&lt;&gt;")</f>
        <v>0</v>
      </c>
      <c r="D38" s="4">
        <f>COUNTIFS('Opportunities'!$C$2:$C$1775,"=r13",'Opportunities'!$N$2:$N$1775,"=may25",'Opportunities'!$P$2:$P$1775,"=1",'Opportunities'!$H$2:$H$1775,"&lt;&gt;")</f>
        <v>0</v>
      </c>
      <c r="E38" s="4">
        <f>COUNTIFS('Opportunities'!$C$2:$C$1775,"=r13",'Opportunities'!$N$2:$N$1775,"=jun25",'Opportunities'!$P$2:$P$1775,"=1",'Opportunities'!$H$2:$H$1775,"&lt;&gt;")</f>
        <v>1</v>
      </c>
      <c r="F38" s="4">
        <f>COUNTIFS('Opportunities'!$C$2:$C$1775,"=r13",'Opportunities'!$N$2:$N$1775,"=jul25",'Opportunities'!$P$2:$P$1775,"=1",'Opportunities'!$H$2:$H$1775,"&lt;&gt;")</f>
        <v>0</v>
      </c>
      <c r="G38" s="4">
        <f>COUNTIFS('Opportunities'!$C$2:$C$1775,"=r13",'Opportunities'!$N$2:$N$1775,"=aug25",'Opportunities'!$P$2:$P$1775,"=1",'Opportunities'!$H$2:$H$1775,"&lt;&gt;")</f>
        <v>0</v>
      </c>
      <c r="H38" s="4">
        <f>COUNTIFS('Opportunities'!$C$2:$C$1775,"=r13",'Opportunities'!$N$2:$N$1775,"=sep25",'Opportunities'!$P$2:$P$1775,"=1",'Opportunities'!$H$2:$H$1775,"&lt;&gt;")</f>
        <v>6</v>
      </c>
      <c r="I38" s="4">
        <f>COUNTIFS('Opportunities'!$C$2:$C$1775,"=r13",'Opportunities'!$N$2:$N$1775,"=oct25",'Opportunities'!$P$2:$P$1775,"=1",'Opportunities'!$H$2:$H$1775,"&lt;&gt;")</f>
        <v>1</v>
      </c>
      <c r="J38" s="4">
        <f>COUNTIFS('Opportunities'!$C$2:$C$1775,"=r13",'Opportunities'!$N$2:$N$1775,"=nov25",'Opportunities'!$P$2:$P$1775,"=1",'Opportunities'!$H$2:$H$1775,"&lt;&gt;")</f>
        <v>2</v>
      </c>
      <c r="K38" s="4">
        <f>COUNTIFS('Opportunities'!$C$2:$C$1775,"=r13",'Opportunities'!$N$2:$N$1775,"=dec25",'Opportunities'!$P$2:$P$1775,"=1",'Opportunities'!$H$2:$H$1775,"&lt;&gt;")</f>
        <v>0</v>
      </c>
      <c r="L38" s="4">
        <f>COUNTIFS('Opportunities'!$C$2:$C$1775,"=r13",'Opportunities'!$N$2:$N$1775,"=jan26",'Opportunities'!$P$2:$P$1775,"=1",'Opportunities'!$H$2:$H$1775,"&lt;&gt;")</f>
        <v>2</v>
      </c>
      <c r="M38" s="4">
        <f>COUNTIFS('Opportunities'!$C$2:$C$1775,"=r13",'Opportunities'!$N$2:$N$1775,"=feb26",'Opportunities'!$P$2:$P$1775,"=1",'Opportunities'!$H$2:$H$1775,"&lt;&gt;")</f>
        <v>0</v>
      </c>
      <c r="N38" s="4">
        <f>COUNTIFS('Opportunities'!$C$2:$C$1775,"=r13",'Opportunities'!$N$2:$N$1775,"=mar26",'Opportunities'!$P$2:$P$1775,"=1",'Opportunities'!$H$2:$H$1775,"&lt;&gt;")</f>
        <v>0</v>
      </c>
      <c r="O38" s="4">
        <f>COUNTIFS('Opportunities'!$C$2:$C$1775,"=r13",'Opportunities'!$N$2:$N$1775,"=apr26",'Opportunities'!$P$2:$P$1775,"=1",'Opportunities'!$H$2:$H$1775,"&lt;&gt;")</f>
        <v>2</v>
      </c>
      <c r="P38" s="4">
        <f>COUNTIFS('Opportunities'!$C$2:$C$1775,"=r13",'Opportunities'!$N$2:$N$1775,"=may26",'Opportunities'!$P$2:$P$1775,"=1",'Opportunities'!$H$2:$H$1775,"&lt;&gt;")</f>
        <v>1</v>
      </c>
      <c r="Q38" s="4">
        <f>COUNTIFS('Opportunities'!$C$2:$C$1775,"=r13",'Opportunities'!$N$2:$N$1775,"=jun26",'Opportunities'!$P$2:$P$1775,"=1",'Opportunities'!$H$2:$H$1775,"&lt;&gt;")</f>
        <v>2</v>
      </c>
      <c r="R38" s="4">
        <f>COUNTIFS('Opportunities'!$C$2:$C$1775,"=r13",'Opportunities'!$N$2:$N$1775,"=jul26",'Opportunities'!$P$2:$P$1775,"=1",'Opportunities'!$H$2:$H$1775,"&lt;&gt;")</f>
        <v>0</v>
      </c>
      <c r="S38" s="4">
        <f>COUNTIFS('Opportunities'!$C$2:$C$1775,"=r13",'Opportunities'!$N$2:$N$1775,"=aug26",'Opportunities'!$P$2:$P$1775,"=1",'Opportunities'!$H$2:$H$1775,"&lt;&gt;")</f>
        <v>0</v>
      </c>
      <c r="T38" s="4">
        <f>COUNTIFS('Opportunities'!$C$2:$C$1775,"=r13",'Opportunities'!$N$2:$N$1775,"=sep26",'Opportunities'!$P$2:$P$1775,"=1",'Opportunities'!$H$2:$H$1775,"&lt;&gt;")</f>
        <v>2</v>
      </c>
      <c r="U38" s="4">
        <f>COUNTIFS('Opportunities'!$C$2:$C$1775,"=r13",'Opportunities'!$N$2:$N$1775,"=oct26",'Opportunities'!$P$2:$P$1775,"=1",'Opportunities'!$H$2:$H$1775,"&lt;&gt;")</f>
        <v>0</v>
      </c>
      <c r="V38" s="4">
        <f>COUNTIFS('Opportunities'!$C$2:$C$1775,"=r13",'Opportunities'!$N$2:$N$1775,"=nov26",'Opportunities'!$P$2:$P$1775,"=1",'Opportunities'!$H$2:$H$1775,"&lt;&gt;")</f>
        <v>0</v>
      </c>
      <c r="W38" s="4">
        <f>COUNTIFS('Opportunities'!$C$2:$C$1775,"=r13",'Opportunities'!$N$2:$N$1775,"=dec26",'Opportunities'!$P$2:$P$1775,"=1",'Opportunities'!$H$2:$H$1775,"&lt;&gt;")</f>
        <v>0</v>
      </c>
    </row>
    <row r="39">
      <c r="A39" s="0" t="inlineStr">
        <is>
          <t xml:space="preserve">Deals won</t>
        </is>
      </c>
      <c r="B39" s="0" t="inlineStr">
        <is>
          <t xml:space="preserve">Wei Novak</t>
        </is>
      </c>
      <c r="C39" s="4">
        <f>COUNTIFS('Opportunities'!$C$2:$C$1775,"=r14",'Opportunities'!$N$2:$N$1775,"=apr25",'Opportunities'!$P$2:$P$1775,"=1",'Opportunities'!$H$2:$H$1775,"&lt;&gt;")</f>
        <v>0</v>
      </c>
      <c r="D39" s="4">
        <f>COUNTIFS('Opportunities'!$C$2:$C$1775,"=r14",'Opportunities'!$N$2:$N$1775,"=may25",'Opportunities'!$P$2:$P$1775,"=1",'Opportunities'!$H$2:$H$1775,"&lt;&gt;")</f>
        <v>0</v>
      </c>
      <c r="E39" s="4">
        <f>COUNTIFS('Opportunities'!$C$2:$C$1775,"=r14",'Opportunities'!$N$2:$N$1775,"=jun25",'Opportunities'!$P$2:$P$1775,"=1",'Opportunities'!$H$2:$H$1775,"&lt;&gt;")</f>
        <v>0</v>
      </c>
      <c r="F39" s="4">
        <f>COUNTIFS('Opportunities'!$C$2:$C$1775,"=r14",'Opportunities'!$N$2:$N$1775,"=jul25",'Opportunities'!$P$2:$P$1775,"=1",'Opportunities'!$H$2:$H$1775,"&lt;&gt;")</f>
        <v>0</v>
      </c>
      <c r="G39" s="4">
        <f>COUNTIFS('Opportunities'!$C$2:$C$1775,"=r14",'Opportunities'!$N$2:$N$1775,"=aug25",'Opportunities'!$P$2:$P$1775,"=1",'Opportunities'!$H$2:$H$1775,"&lt;&gt;")</f>
        <v>0</v>
      </c>
      <c r="H39" s="4">
        <f>COUNTIFS('Opportunities'!$C$2:$C$1775,"=r14",'Opportunities'!$N$2:$N$1775,"=sep25",'Opportunities'!$P$2:$P$1775,"=1",'Opportunities'!$H$2:$H$1775,"&lt;&gt;")</f>
        <v>0</v>
      </c>
      <c r="I39" s="4">
        <f>COUNTIFS('Opportunities'!$C$2:$C$1775,"=r14",'Opportunities'!$N$2:$N$1775,"=oct25",'Opportunities'!$P$2:$P$1775,"=1",'Opportunities'!$H$2:$H$1775,"&lt;&gt;")</f>
        <v>0</v>
      </c>
      <c r="J39" s="4">
        <f>COUNTIFS('Opportunities'!$C$2:$C$1775,"=r14",'Opportunities'!$N$2:$N$1775,"=nov25",'Opportunities'!$P$2:$P$1775,"=1",'Opportunities'!$H$2:$H$1775,"&lt;&gt;")</f>
        <v>0</v>
      </c>
      <c r="K39" s="4">
        <f>COUNTIFS('Opportunities'!$C$2:$C$1775,"=r14",'Opportunities'!$N$2:$N$1775,"=dec25",'Opportunities'!$P$2:$P$1775,"=1",'Opportunities'!$H$2:$H$1775,"&lt;&gt;")</f>
        <v>0</v>
      </c>
      <c r="L39" s="4">
        <f>COUNTIFS('Opportunities'!$C$2:$C$1775,"=r14",'Opportunities'!$N$2:$N$1775,"=jan26",'Opportunities'!$P$2:$P$1775,"=1",'Opportunities'!$H$2:$H$1775,"&lt;&gt;")</f>
        <v>0</v>
      </c>
      <c r="M39" s="4">
        <f>COUNTIFS('Opportunities'!$C$2:$C$1775,"=r14",'Opportunities'!$N$2:$N$1775,"=feb26",'Opportunities'!$P$2:$P$1775,"=1",'Opportunities'!$H$2:$H$1775,"&lt;&gt;")</f>
        <v>0</v>
      </c>
      <c r="N39" s="4">
        <f>COUNTIFS('Opportunities'!$C$2:$C$1775,"=r14",'Opportunities'!$N$2:$N$1775,"=mar26",'Opportunities'!$P$2:$P$1775,"=1",'Opportunities'!$H$2:$H$1775,"&lt;&gt;")</f>
        <v>1</v>
      </c>
      <c r="O39" s="4">
        <f>COUNTIFS('Opportunities'!$C$2:$C$1775,"=r14",'Opportunities'!$N$2:$N$1775,"=apr26",'Opportunities'!$P$2:$P$1775,"=1",'Opportunities'!$H$2:$H$1775,"&lt;&gt;")</f>
        <v>0</v>
      </c>
      <c r="P39" s="4">
        <f>COUNTIFS('Opportunities'!$C$2:$C$1775,"=r14",'Opportunities'!$N$2:$N$1775,"=may26",'Opportunities'!$P$2:$P$1775,"=1",'Opportunities'!$H$2:$H$1775,"&lt;&gt;")</f>
        <v>0</v>
      </c>
      <c r="Q39" s="4">
        <f>COUNTIFS('Opportunities'!$C$2:$C$1775,"=r14",'Opportunities'!$N$2:$N$1775,"=jun26",'Opportunities'!$P$2:$P$1775,"=1",'Opportunities'!$H$2:$H$1775,"&lt;&gt;")</f>
        <v>1</v>
      </c>
      <c r="R39" s="4">
        <f>COUNTIFS('Opportunities'!$C$2:$C$1775,"=r14",'Opportunities'!$N$2:$N$1775,"=jul26",'Opportunities'!$P$2:$P$1775,"=1",'Opportunities'!$H$2:$H$1775,"&lt;&gt;")</f>
        <v>0</v>
      </c>
      <c r="S39" s="4">
        <f>COUNTIFS('Opportunities'!$C$2:$C$1775,"=r14",'Opportunities'!$N$2:$N$1775,"=aug26",'Opportunities'!$P$2:$P$1775,"=1",'Opportunities'!$H$2:$H$1775,"&lt;&gt;")</f>
        <v>1</v>
      </c>
      <c r="T39" s="4">
        <f>COUNTIFS('Opportunities'!$C$2:$C$1775,"=r14",'Opportunities'!$N$2:$N$1775,"=sep26",'Opportunities'!$P$2:$P$1775,"=1",'Opportunities'!$H$2:$H$1775,"&lt;&gt;")</f>
        <v>0</v>
      </c>
      <c r="U39" s="4">
        <f>COUNTIFS('Opportunities'!$C$2:$C$1775,"=r14",'Opportunities'!$N$2:$N$1775,"=oct26",'Opportunities'!$P$2:$P$1775,"=1",'Opportunities'!$H$2:$H$1775,"&lt;&gt;")</f>
        <v>0</v>
      </c>
      <c r="V39" s="4">
        <f>COUNTIFS('Opportunities'!$C$2:$C$1775,"=r14",'Opportunities'!$N$2:$N$1775,"=nov26",'Opportunities'!$P$2:$P$1775,"=1",'Opportunities'!$H$2:$H$1775,"&lt;&gt;")</f>
        <v>0</v>
      </c>
      <c r="W39" s="4">
        <f>COUNTIFS('Opportunities'!$C$2:$C$1775,"=r14",'Opportunities'!$N$2:$N$1775,"=dec26",'Opportunities'!$P$2:$P$1775,"=1",'Opportunities'!$H$2:$H$1775,"&lt;&gt;")</f>
        <v>0</v>
      </c>
    </row>
    <row r="40">
      <c r="A40" s="0" t="inlineStr">
        <is>
          <t xml:space="preserve">Deals won</t>
        </is>
      </c>
      <c r="B40" s="0" t="inlineStr">
        <is>
          <t xml:space="preserve">Nikolai Kim</t>
        </is>
      </c>
      <c r="C40" s="4">
        <f>COUNTIFS('Opportunities'!$C$2:$C$1775,"=r15",'Opportunities'!$N$2:$N$1775,"=apr25",'Opportunities'!$P$2:$P$1775,"=1",'Opportunities'!$H$2:$H$1775,"&lt;&gt;")</f>
        <v>0</v>
      </c>
      <c r="D40" s="4">
        <f>COUNTIFS('Opportunities'!$C$2:$C$1775,"=r15",'Opportunities'!$N$2:$N$1775,"=may25",'Opportunities'!$P$2:$P$1775,"=1",'Opportunities'!$H$2:$H$1775,"&lt;&gt;")</f>
        <v>1</v>
      </c>
      <c r="E40" s="4">
        <f>COUNTIFS('Opportunities'!$C$2:$C$1775,"=r15",'Opportunities'!$N$2:$N$1775,"=jun25",'Opportunities'!$P$2:$P$1775,"=1",'Opportunities'!$H$2:$H$1775,"&lt;&gt;")</f>
        <v>4</v>
      </c>
      <c r="F40" s="4">
        <f>COUNTIFS('Opportunities'!$C$2:$C$1775,"=r15",'Opportunities'!$N$2:$N$1775,"=jul25",'Opportunities'!$P$2:$P$1775,"=1",'Opportunities'!$H$2:$H$1775,"&lt;&gt;")</f>
        <v>2</v>
      </c>
      <c r="G40" s="4">
        <f>COUNTIFS('Opportunities'!$C$2:$C$1775,"=r15",'Opportunities'!$N$2:$N$1775,"=aug25",'Opportunities'!$P$2:$P$1775,"=1",'Opportunities'!$H$2:$H$1775,"&lt;&gt;")</f>
        <v>0</v>
      </c>
      <c r="H40" s="4">
        <f>COUNTIFS('Opportunities'!$C$2:$C$1775,"=r15",'Opportunities'!$N$2:$N$1775,"=sep25",'Opportunities'!$P$2:$P$1775,"=1",'Opportunities'!$H$2:$H$1775,"&lt;&gt;")</f>
        <v>4</v>
      </c>
      <c r="I40" s="4">
        <f>COUNTIFS('Opportunities'!$C$2:$C$1775,"=r15",'Opportunities'!$N$2:$N$1775,"=oct25",'Opportunities'!$P$2:$P$1775,"=1",'Opportunities'!$H$2:$H$1775,"&lt;&gt;")</f>
        <v>3</v>
      </c>
      <c r="J40" s="4">
        <f>COUNTIFS('Opportunities'!$C$2:$C$1775,"=r15",'Opportunities'!$N$2:$N$1775,"=nov25",'Opportunities'!$P$2:$P$1775,"=1",'Opportunities'!$H$2:$H$1775,"&lt;&gt;")</f>
        <v>2</v>
      </c>
      <c r="K40" s="4">
        <f>COUNTIFS('Opportunities'!$C$2:$C$1775,"=r15",'Opportunities'!$N$2:$N$1775,"=dec25",'Opportunities'!$P$2:$P$1775,"=1",'Opportunities'!$H$2:$H$1775,"&lt;&gt;")</f>
        <v>2</v>
      </c>
      <c r="L40" s="4">
        <f>COUNTIFS('Opportunities'!$C$2:$C$1775,"=r15",'Opportunities'!$N$2:$N$1775,"=jan26",'Opportunities'!$P$2:$P$1775,"=1",'Opportunities'!$H$2:$H$1775,"&lt;&gt;")</f>
        <v>2</v>
      </c>
      <c r="M40" s="4">
        <f>COUNTIFS('Opportunities'!$C$2:$C$1775,"=r15",'Opportunities'!$N$2:$N$1775,"=feb26",'Opportunities'!$P$2:$P$1775,"=1",'Opportunities'!$H$2:$H$1775,"&lt;&gt;")</f>
        <v>1</v>
      </c>
      <c r="N40" s="4">
        <f>COUNTIFS('Opportunities'!$C$2:$C$1775,"=r15",'Opportunities'!$N$2:$N$1775,"=mar26",'Opportunities'!$P$2:$P$1775,"=1",'Opportunities'!$H$2:$H$1775,"&lt;&gt;")</f>
        <v>1</v>
      </c>
      <c r="O40" s="4">
        <f>COUNTIFS('Opportunities'!$C$2:$C$1775,"=r15",'Opportunities'!$N$2:$N$1775,"=apr26",'Opportunities'!$P$2:$P$1775,"=1",'Opportunities'!$H$2:$H$1775,"&lt;&gt;")</f>
        <v>2</v>
      </c>
      <c r="P40" s="4">
        <f>COUNTIFS('Opportunities'!$C$2:$C$1775,"=r15",'Opportunities'!$N$2:$N$1775,"=may26",'Opportunities'!$P$2:$P$1775,"=1",'Opportunities'!$H$2:$H$1775,"&lt;&gt;")</f>
        <v>3</v>
      </c>
      <c r="Q40" s="4">
        <f>COUNTIFS('Opportunities'!$C$2:$C$1775,"=r15",'Opportunities'!$N$2:$N$1775,"=jun26",'Opportunities'!$P$2:$P$1775,"=1",'Opportunities'!$H$2:$H$1775,"&lt;&gt;")</f>
        <v>2</v>
      </c>
      <c r="R40" s="4">
        <f>COUNTIFS('Opportunities'!$C$2:$C$1775,"=r15",'Opportunities'!$N$2:$N$1775,"=jul26",'Opportunities'!$P$2:$P$1775,"=1",'Opportunities'!$H$2:$H$1775,"&lt;&gt;")</f>
        <v>1</v>
      </c>
      <c r="S40" s="4">
        <f>COUNTIFS('Opportunities'!$C$2:$C$1775,"=r15",'Opportunities'!$N$2:$N$1775,"=aug26",'Opportunities'!$P$2:$P$1775,"=1",'Opportunities'!$H$2:$H$1775,"&lt;&gt;")</f>
        <v>0</v>
      </c>
      <c r="T40" s="4">
        <f>COUNTIFS('Opportunities'!$C$2:$C$1775,"=r15",'Opportunities'!$N$2:$N$1775,"=sep26",'Opportunities'!$P$2:$P$1775,"=1",'Opportunities'!$H$2:$H$1775,"&lt;&gt;")</f>
        <v>3</v>
      </c>
      <c r="U40" s="4">
        <f>COUNTIFS('Opportunities'!$C$2:$C$1775,"=r15",'Opportunities'!$N$2:$N$1775,"=oct26",'Opportunities'!$P$2:$P$1775,"=1",'Opportunities'!$H$2:$H$1775,"&lt;&gt;")</f>
        <v>0</v>
      </c>
      <c r="V40" s="4">
        <f>COUNTIFS('Opportunities'!$C$2:$C$1775,"=r15",'Opportunities'!$N$2:$N$1775,"=nov26",'Opportunities'!$P$2:$P$1775,"=1",'Opportunities'!$H$2:$H$1775,"&lt;&gt;")</f>
        <v>0</v>
      </c>
      <c r="W40" s="4">
        <f>COUNTIFS('Opportunities'!$C$2:$C$1775,"=r15",'Opportunities'!$N$2:$N$1775,"=dec26",'Opportunities'!$P$2:$P$1775,"=1",'Opportunities'!$H$2:$H$1775,"&lt;&gt;")</f>
        <v>0</v>
      </c>
    </row>
    <row r="41">
      <c r="A41" s="0" t="inlineStr">
        <is>
          <t xml:space="preserve">Deals won</t>
        </is>
      </c>
      <c r="B41" s="0" t="inlineStr">
        <is>
          <t xml:space="preserve">Wei Nair</t>
        </is>
      </c>
      <c r="C41" s="4">
        <f>COUNTIFS('Opportunities'!$C$2:$C$1775,"=r16",'Opportunities'!$N$2:$N$1775,"=apr25",'Opportunities'!$P$2:$P$1775,"=1",'Opportunities'!$H$2:$H$1775,"&lt;&gt;")</f>
        <v>0</v>
      </c>
      <c r="D41" s="4">
        <f>COUNTIFS('Opportunities'!$C$2:$C$1775,"=r16",'Opportunities'!$N$2:$N$1775,"=may25",'Opportunities'!$P$2:$P$1775,"=1",'Opportunities'!$H$2:$H$1775,"&lt;&gt;")</f>
        <v>1</v>
      </c>
      <c r="E41" s="4">
        <f>COUNTIFS('Opportunities'!$C$2:$C$1775,"=r16",'Opportunities'!$N$2:$N$1775,"=jun25",'Opportunities'!$P$2:$P$1775,"=1",'Opportunities'!$H$2:$H$1775,"&lt;&gt;")</f>
        <v>3</v>
      </c>
      <c r="F41" s="4">
        <f>COUNTIFS('Opportunities'!$C$2:$C$1775,"=r16",'Opportunities'!$N$2:$N$1775,"=jul25",'Opportunities'!$P$2:$P$1775,"=1",'Opportunities'!$H$2:$H$1775,"&lt;&gt;")</f>
        <v>1</v>
      </c>
      <c r="G41" s="4">
        <f>COUNTIFS('Opportunities'!$C$2:$C$1775,"=r16",'Opportunities'!$N$2:$N$1775,"=aug25",'Opportunities'!$P$2:$P$1775,"=1",'Opportunities'!$H$2:$H$1775,"&lt;&gt;")</f>
        <v>1</v>
      </c>
      <c r="H41" s="4">
        <f>COUNTIFS('Opportunities'!$C$2:$C$1775,"=r16",'Opportunities'!$N$2:$N$1775,"=sep25",'Opportunities'!$P$2:$P$1775,"=1",'Opportunities'!$H$2:$H$1775,"&lt;&gt;")</f>
        <v>3</v>
      </c>
      <c r="I41" s="4">
        <f>COUNTIFS('Opportunities'!$C$2:$C$1775,"=r16",'Opportunities'!$N$2:$N$1775,"=oct25",'Opportunities'!$P$2:$P$1775,"=1",'Opportunities'!$H$2:$H$1775,"&lt;&gt;")</f>
        <v>0</v>
      </c>
      <c r="J41" s="4">
        <f>COUNTIFS('Opportunities'!$C$2:$C$1775,"=r16",'Opportunities'!$N$2:$N$1775,"=nov25",'Opportunities'!$P$2:$P$1775,"=1",'Opportunities'!$H$2:$H$1775,"&lt;&gt;")</f>
        <v>1</v>
      </c>
      <c r="K41" s="4">
        <f>COUNTIFS('Opportunities'!$C$2:$C$1775,"=r16",'Opportunities'!$N$2:$N$1775,"=dec25",'Opportunities'!$P$2:$P$1775,"=1",'Opportunities'!$H$2:$H$1775,"&lt;&gt;")</f>
        <v>3</v>
      </c>
      <c r="L41" s="4">
        <f>COUNTIFS('Opportunities'!$C$2:$C$1775,"=r16",'Opportunities'!$N$2:$N$1775,"=jan26",'Opportunities'!$P$2:$P$1775,"=1",'Opportunities'!$H$2:$H$1775,"&lt;&gt;")</f>
        <v>2</v>
      </c>
      <c r="M41" s="4">
        <f>COUNTIFS('Opportunities'!$C$2:$C$1775,"=r16",'Opportunities'!$N$2:$N$1775,"=feb26",'Opportunities'!$P$2:$P$1775,"=1",'Opportunities'!$H$2:$H$1775,"&lt;&gt;")</f>
        <v>0</v>
      </c>
      <c r="N41" s="4">
        <f>COUNTIFS('Opportunities'!$C$2:$C$1775,"=r16",'Opportunities'!$N$2:$N$1775,"=mar26",'Opportunities'!$P$2:$P$1775,"=1",'Opportunities'!$H$2:$H$1775,"&lt;&gt;")</f>
        <v>2</v>
      </c>
      <c r="O41" s="4">
        <f>COUNTIFS('Opportunities'!$C$2:$C$1775,"=r16",'Opportunities'!$N$2:$N$1775,"=apr26",'Opportunities'!$P$2:$P$1775,"=1",'Opportunities'!$H$2:$H$1775,"&lt;&gt;")</f>
        <v>1</v>
      </c>
      <c r="P41" s="4">
        <f>COUNTIFS('Opportunities'!$C$2:$C$1775,"=r16",'Opportunities'!$N$2:$N$1775,"=may26",'Opportunities'!$P$2:$P$1775,"=1",'Opportunities'!$H$2:$H$1775,"&lt;&gt;")</f>
        <v>2</v>
      </c>
      <c r="Q41" s="4">
        <f>COUNTIFS('Opportunities'!$C$2:$C$1775,"=r16",'Opportunities'!$N$2:$N$1775,"=jun26",'Opportunities'!$P$2:$P$1775,"=1",'Opportunities'!$H$2:$H$1775,"&lt;&gt;")</f>
        <v>0</v>
      </c>
      <c r="R41" s="4">
        <f>COUNTIFS('Opportunities'!$C$2:$C$1775,"=r16",'Opportunities'!$N$2:$N$1775,"=jul26",'Opportunities'!$P$2:$P$1775,"=1",'Opportunities'!$H$2:$H$1775,"&lt;&gt;")</f>
        <v>2</v>
      </c>
      <c r="S41" s="4">
        <f>COUNTIFS('Opportunities'!$C$2:$C$1775,"=r16",'Opportunities'!$N$2:$N$1775,"=aug26",'Opportunities'!$P$2:$P$1775,"=1",'Opportunities'!$H$2:$H$1775,"&lt;&gt;")</f>
        <v>0</v>
      </c>
      <c r="T41" s="4">
        <f>COUNTIFS('Opportunities'!$C$2:$C$1775,"=r16",'Opportunities'!$N$2:$N$1775,"=sep26",'Opportunities'!$P$2:$P$1775,"=1",'Opportunities'!$H$2:$H$1775,"&lt;&gt;")</f>
        <v>0</v>
      </c>
      <c r="U41" s="4">
        <f>COUNTIFS('Opportunities'!$C$2:$C$1775,"=r16",'Opportunities'!$N$2:$N$1775,"=oct26",'Opportunities'!$P$2:$P$1775,"=1",'Opportunities'!$H$2:$H$1775,"&lt;&gt;")</f>
        <v>0</v>
      </c>
      <c r="V41" s="4">
        <f>COUNTIFS('Opportunities'!$C$2:$C$1775,"=r16",'Opportunities'!$N$2:$N$1775,"=nov26",'Opportunities'!$P$2:$P$1775,"=1",'Opportunities'!$H$2:$H$1775,"&lt;&gt;")</f>
        <v>0</v>
      </c>
      <c r="W41" s="4">
        <f>COUNTIFS('Opportunities'!$C$2:$C$1775,"=r16",'Opportunities'!$N$2:$N$1775,"=dec26",'Opportunities'!$P$2:$P$1775,"=1",'Opportunities'!$H$2:$H$1775,"&lt;&gt;")</f>
        <v>0</v>
      </c>
    </row>
    <row r="42">
      <c r="A42" s="0" t="inlineStr">
        <is>
          <t xml:space="preserve">Deals won</t>
        </is>
      </c>
      <c r="B42" s="0" t="inlineStr">
        <is>
          <t xml:space="preserve">Liam Silva</t>
        </is>
      </c>
      <c r="C42" s="4">
        <f>COUNTIFS('Opportunities'!$C$2:$C$1775,"=r17",'Opportunities'!$N$2:$N$1775,"=apr25",'Opportunities'!$P$2:$P$1775,"=1",'Opportunities'!$H$2:$H$1775,"&lt;&gt;")</f>
        <v>0</v>
      </c>
      <c r="D42" s="4">
        <f>COUNTIFS('Opportunities'!$C$2:$C$1775,"=r17",'Opportunities'!$N$2:$N$1775,"=may25",'Opportunities'!$P$2:$P$1775,"=1",'Opportunities'!$H$2:$H$1775,"&lt;&gt;")</f>
        <v>1</v>
      </c>
      <c r="E42" s="4">
        <f>COUNTIFS('Opportunities'!$C$2:$C$1775,"=r17",'Opportunities'!$N$2:$N$1775,"=jun25",'Opportunities'!$P$2:$P$1775,"=1",'Opportunities'!$H$2:$H$1775,"&lt;&gt;")</f>
        <v>0</v>
      </c>
      <c r="F42" s="4">
        <f>COUNTIFS('Opportunities'!$C$2:$C$1775,"=r17",'Opportunities'!$N$2:$N$1775,"=jul25",'Opportunities'!$P$2:$P$1775,"=1",'Opportunities'!$H$2:$H$1775,"&lt;&gt;")</f>
        <v>1</v>
      </c>
      <c r="G42" s="4">
        <f>COUNTIFS('Opportunities'!$C$2:$C$1775,"=r17",'Opportunities'!$N$2:$N$1775,"=aug25",'Opportunities'!$P$2:$P$1775,"=1",'Opportunities'!$H$2:$H$1775,"&lt;&gt;")</f>
        <v>3</v>
      </c>
      <c r="H42" s="4">
        <f>COUNTIFS('Opportunities'!$C$2:$C$1775,"=r17",'Opportunities'!$N$2:$N$1775,"=sep25",'Opportunities'!$P$2:$P$1775,"=1",'Opportunities'!$H$2:$H$1775,"&lt;&gt;")</f>
        <v>3</v>
      </c>
      <c r="I42" s="4">
        <f>COUNTIFS('Opportunities'!$C$2:$C$1775,"=r17",'Opportunities'!$N$2:$N$1775,"=oct25",'Opportunities'!$P$2:$P$1775,"=1",'Opportunities'!$H$2:$H$1775,"&lt;&gt;")</f>
        <v>2</v>
      </c>
      <c r="J42" s="4">
        <f>COUNTIFS('Opportunities'!$C$2:$C$1775,"=r17",'Opportunities'!$N$2:$N$1775,"=nov25",'Opportunities'!$P$2:$P$1775,"=1",'Opportunities'!$H$2:$H$1775,"&lt;&gt;")</f>
        <v>2</v>
      </c>
      <c r="K42" s="4">
        <f>COUNTIFS('Opportunities'!$C$2:$C$1775,"=r17",'Opportunities'!$N$2:$N$1775,"=dec25",'Opportunities'!$P$2:$P$1775,"=1",'Opportunities'!$H$2:$H$1775,"&lt;&gt;")</f>
        <v>6</v>
      </c>
      <c r="L42" s="4">
        <f>COUNTIFS('Opportunities'!$C$2:$C$1775,"=r17",'Opportunities'!$N$2:$N$1775,"=jan26",'Opportunities'!$P$2:$P$1775,"=1",'Opportunities'!$H$2:$H$1775,"&lt;&gt;")</f>
        <v>3</v>
      </c>
      <c r="M42" s="4">
        <f>COUNTIFS('Opportunities'!$C$2:$C$1775,"=r17",'Opportunities'!$N$2:$N$1775,"=feb26",'Opportunities'!$P$2:$P$1775,"=1",'Opportunities'!$H$2:$H$1775,"&lt;&gt;")</f>
        <v>1</v>
      </c>
      <c r="N42" s="4">
        <f>COUNTIFS('Opportunities'!$C$2:$C$1775,"=r17",'Opportunities'!$N$2:$N$1775,"=mar26",'Opportunities'!$P$2:$P$1775,"=1",'Opportunities'!$H$2:$H$1775,"&lt;&gt;")</f>
        <v>5</v>
      </c>
      <c r="O42" s="4">
        <f>COUNTIFS('Opportunities'!$C$2:$C$1775,"=r17",'Opportunities'!$N$2:$N$1775,"=apr26",'Opportunities'!$P$2:$P$1775,"=1",'Opportunities'!$H$2:$H$1775,"&lt;&gt;")</f>
        <v>2</v>
      </c>
      <c r="P42" s="4">
        <f>COUNTIFS('Opportunities'!$C$2:$C$1775,"=r17",'Opportunities'!$N$2:$N$1775,"=may26",'Opportunities'!$P$2:$P$1775,"=1",'Opportunities'!$H$2:$H$1775,"&lt;&gt;")</f>
        <v>0</v>
      </c>
      <c r="Q42" s="4">
        <f>COUNTIFS('Opportunities'!$C$2:$C$1775,"=r17",'Opportunities'!$N$2:$N$1775,"=jun26",'Opportunities'!$P$2:$P$1775,"=1",'Opportunities'!$H$2:$H$1775,"&lt;&gt;")</f>
        <v>1</v>
      </c>
      <c r="R42" s="4">
        <f>COUNTIFS('Opportunities'!$C$2:$C$1775,"=r17",'Opportunities'!$N$2:$N$1775,"=jul26",'Opportunities'!$P$2:$P$1775,"=1",'Opportunities'!$H$2:$H$1775,"&lt;&gt;")</f>
        <v>3</v>
      </c>
      <c r="S42" s="4">
        <f>COUNTIFS('Opportunities'!$C$2:$C$1775,"=r17",'Opportunities'!$N$2:$N$1775,"=aug26",'Opportunities'!$P$2:$P$1775,"=1",'Opportunities'!$H$2:$H$1775,"&lt;&gt;")</f>
        <v>2</v>
      </c>
      <c r="T42" s="4">
        <f>COUNTIFS('Opportunities'!$C$2:$C$1775,"=r17",'Opportunities'!$N$2:$N$1775,"=sep26",'Opportunities'!$P$2:$P$1775,"=1",'Opportunities'!$H$2:$H$1775,"&lt;&gt;")</f>
        <v>2</v>
      </c>
      <c r="U42" s="4">
        <f>COUNTIFS('Opportunities'!$C$2:$C$1775,"=r17",'Opportunities'!$N$2:$N$1775,"=oct26",'Opportunities'!$P$2:$P$1775,"=1",'Opportunities'!$H$2:$H$1775,"&lt;&gt;")</f>
        <v>0</v>
      </c>
      <c r="V42" s="4">
        <f>COUNTIFS('Opportunities'!$C$2:$C$1775,"=r17",'Opportunities'!$N$2:$N$1775,"=nov26",'Opportunities'!$P$2:$P$1775,"=1",'Opportunities'!$H$2:$H$1775,"&lt;&gt;")</f>
        <v>0</v>
      </c>
      <c r="W42" s="4">
        <f>COUNTIFS('Opportunities'!$C$2:$C$1775,"=r17",'Opportunities'!$N$2:$N$1775,"=dec26",'Opportunities'!$P$2:$P$1775,"=1",'Opportunities'!$H$2:$H$1775,"&lt;&gt;")</f>
        <v>0</v>
      </c>
    </row>
    <row r="43">
      <c r="A43" s="0" t="inlineStr">
        <is>
          <t xml:space="preserve">Deals won</t>
        </is>
      </c>
      <c r="B43" s="0" t="inlineStr">
        <is>
          <t xml:space="preserve">Samuel Silva</t>
        </is>
      </c>
      <c r="C43" s="4">
        <f>COUNTIFS('Opportunities'!$C$2:$C$1775,"=r18",'Opportunities'!$N$2:$N$1775,"=apr25",'Opportunities'!$P$2:$P$1775,"=1",'Opportunities'!$H$2:$H$1775,"&lt;&gt;")</f>
        <v>0</v>
      </c>
      <c r="D43" s="4">
        <f>COUNTIFS('Opportunities'!$C$2:$C$1775,"=r18",'Opportunities'!$N$2:$N$1775,"=may25",'Opportunities'!$P$2:$P$1775,"=1",'Opportunities'!$H$2:$H$1775,"&lt;&gt;")</f>
        <v>1</v>
      </c>
      <c r="E43" s="4">
        <f>COUNTIFS('Opportunities'!$C$2:$C$1775,"=r18",'Opportunities'!$N$2:$N$1775,"=jun25",'Opportunities'!$P$2:$P$1775,"=1",'Opportunities'!$H$2:$H$1775,"&lt;&gt;")</f>
        <v>2</v>
      </c>
      <c r="F43" s="4">
        <f>COUNTIFS('Opportunities'!$C$2:$C$1775,"=r18",'Opportunities'!$N$2:$N$1775,"=jul25",'Opportunities'!$P$2:$P$1775,"=1",'Opportunities'!$H$2:$H$1775,"&lt;&gt;")</f>
        <v>3</v>
      </c>
      <c r="G43" s="4">
        <f>COUNTIFS('Opportunities'!$C$2:$C$1775,"=r18",'Opportunities'!$N$2:$N$1775,"=aug25",'Opportunities'!$P$2:$P$1775,"=1",'Opportunities'!$H$2:$H$1775,"&lt;&gt;")</f>
        <v>1</v>
      </c>
      <c r="H43" s="4">
        <f>COUNTIFS('Opportunities'!$C$2:$C$1775,"=r18",'Opportunities'!$N$2:$N$1775,"=sep25",'Opportunities'!$P$2:$P$1775,"=1",'Opportunities'!$H$2:$H$1775,"&lt;&gt;")</f>
        <v>4</v>
      </c>
      <c r="I43" s="4">
        <f>COUNTIFS('Opportunities'!$C$2:$C$1775,"=r18",'Opportunities'!$N$2:$N$1775,"=oct25",'Opportunities'!$P$2:$P$1775,"=1",'Opportunities'!$H$2:$H$1775,"&lt;&gt;")</f>
        <v>1</v>
      </c>
      <c r="J43" s="4">
        <f>COUNTIFS('Opportunities'!$C$2:$C$1775,"=r18",'Opportunities'!$N$2:$N$1775,"=nov25",'Opportunities'!$P$2:$P$1775,"=1",'Opportunities'!$H$2:$H$1775,"&lt;&gt;")</f>
        <v>3</v>
      </c>
      <c r="K43" s="4">
        <f>COUNTIFS('Opportunities'!$C$2:$C$1775,"=r18",'Opportunities'!$N$2:$N$1775,"=dec25",'Opportunities'!$P$2:$P$1775,"=1",'Opportunities'!$H$2:$H$1775,"&lt;&gt;")</f>
        <v>2</v>
      </c>
      <c r="L43" s="4">
        <f>COUNTIFS('Opportunities'!$C$2:$C$1775,"=r18",'Opportunities'!$N$2:$N$1775,"=jan26",'Opportunities'!$P$2:$P$1775,"=1",'Opportunities'!$H$2:$H$1775,"&lt;&gt;")</f>
        <v>3</v>
      </c>
      <c r="M43" s="4">
        <f>COUNTIFS('Opportunities'!$C$2:$C$1775,"=r18",'Opportunities'!$N$2:$N$1775,"=feb26",'Opportunities'!$P$2:$P$1775,"=1",'Opportunities'!$H$2:$H$1775,"&lt;&gt;")</f>
        <v>4</v>
      </c>
      <c r="N43" s="4">
        <f>COUNTIFS('Opportunities'!$C$2:$C$1775,"=r18",'Opportunities'!$N$2:$N$1775,"=mar26",'Opportunities'!$P$2:$P$1775,"=1",'Opportunities'!$H$2:$H$1775,"&lt;&gt;")</f>
        <v>7</v>
      </c>
      <c r="O43" s="4">
        <f>COUNTIFS('Opportunities'!$C$2:$C$1775,"=r18",'Opportunities'!$N$2:$N$1775,"=apr26",'Opportunities'!$P$2:$P$1775,"=1",'Opportunities'!$H$2:$H$1775,"&lt;&gt;")</f>
        <v>2</v>
      </c>
      <c r="P43" s="4">
        <f>COUNTIFS('Opportunities'!$C$2:$C$1775,"=r18",'Opportunities'!$N$2:$N$1775,"=may26",'Opportunities'!$P$2:$P$1775,"=1",'Opportunities'!$H$2:$H$1775,"&lt;&gt;")</f>
        <v>1</v>
      </c>
      <c r="Q43" s="4">
        <f>COUNTIFS('Opportunities'!$C$2:$C$1775,"=r18",'Opportunities'!$N$2:$N$1775,"=jun26",'Opportunities'!$P$2:$P$1775,"=1",'Opportunities'!$H$2:$H$1775,"&lt;&gt;")</f>
        <v>4</v>
      </c>
      <c r="R43" s="4">
        <f>COUNTIFS('Opportunities'!$C$2:$C$1775,"=r18",'Opportunities'!$N$2:$N$1775,"=jul26",'Opportunities'!$P$2:$P$1775,"=1",'Opportunities'!$H$2:$H$1775,"&lt;&gt;")</f>
        <v>3</v>
      </c>
      <c r="S43" s="4">
        <f>COUNTIFS('Opportunities'!$C$2:$C$1775,"=r18",'Opportunities'!$N$2:$N$1775,"=aug26",'Opportunities'!$P$2:$P$1775,"=1",'Opportunities'!$H$2:$H$1775,"&lt;&gt;")</f>
        <v>2</v>
      </c>
      <c r="T43" s="4">
        <f>COUNTIFS('Opportunities'!$C$2:$C$1775,"=r18",'Opportunities'!$N$2:$N$1775,"=sep26",'Opportunities'!$P$2:$P$1775,"=1",'Opportunities'!$H$2:$H$1775,"&lt;&gt;")</f>
        <v>2</v>
      </c>
      <c r="U43" s="4">
        <f>COUNTIFS('Opportunities'!$C$2:$C$1775,"=r18",'Opportunities'!$N$2:$N$1775,"=oct26",'Opportunities'!$P$2:$P$1775,"=1",'Opportunities'!$H$2:$H$1775,"&lt;&gt;")</f>
        <v>0</v>
      </c>
      <c r="V43" s="4">
        <f>COUNTIFS('Opportunities'!$C$2:$C$1775,"=r18",'Opportunities'!$N$2:$N$1775,"=nov26",'Opportunities'!$P$2:$P$1775,"=1",'Opportunities'!$H$2:$H$1775,"&lt;&gt;")</f>
        <v>0</v>
      </c>
      <c r="W43" s="4">
        <f>COUNTIFS('Opportunities'!$C$2:$C$1775,"=r18",'Opportunities'!$N$2:$N$1775,"=dec26",'Opportunities'!$P$2:$P$1775,"=1",'Opportunities'!$H$2:$H$1775,"&lt;&gt;")</f>
        <v>0</v>
      </c>
    </row>
    <row r="44">
      <c r="A44" s="0" t="inlineStr">
        <is>
          <t xml:space="preserve">Deals won</t>
        </is>
      </c>
      <c r="B44" s="0" t="inlineStr">
        <is>
          <t xml:space="preserve">Yuki Larsen</t>
        </is>
      </c>
      <c r="C44" s="4">
        <f>COUNTIFS('Opportunities'!$C$2:$C$1775,"=r19",'Opportunities'!$N$2:$N$1775,"=apr25",'Opportunities'!$P$2:$P$1775,"=1",'Opportunities'!$H$2:$H$1775,"&lt;&gt;")</f>
        <v>0</v>
      </c>
      <c r="D44" s="4">
        <f>COUNTIFS('Opportunities'!$C$2:$C$1775,"=r19",'Opportunities'!$N$2:$N$1775,"=may25",'Opportunities'!$P$2:$P$1775,"=1",'Opportunities'!$H$2:$H$1775,"&lt;&gt;")</f>
        <v>0</v>
      </c>
      <c r="E44" s="4">
        <f>COUNTIFS('Opportunities'!$C$2:$C$1775,"=r19",'Opportunities'!$N$2:$N$1775,"=jun25",'Opportunities'!$P$2:$P$1775,"=1",'Opportunities'!$H$2:$H$1775,"&lt;&gt;")</f>
        <v>0</v>
      </c>
      <c r="F44" s="4">
        <f>COUNTIFS('Opportunities'!$C$2:$C$1775,"=r19",'Opportunities'!$N$2:$N$1775,"=jul25",'Opportunities'!$P$2:$P$1775,"=1",'Opportunities'!$H$2:$H$1775,"&lt;&gt;")</f>
        <v>0</v>
      </c>
      <c r="G44" s="4">
        <f>COUNTIFS('Opportunities'!$C$2:$C$1775,"=r19",'Opportunities'!$N$2:$N$1775,"=aug25",'Opportunities'!$P$2:$P$1775,"=1",'Opportunities'!$H$2:$H$1775,"&lt;&gt;")</f>
        <v>1</v>
      </c>
      <c r="H44" s="4">
        <f>COUNTIFS('Opportunities'!$C$2:$C$1775,"=r19",'Opportunities'!$N$2:$N$1775,"=sep25",'Opportunities'!$P$2:$P$1775,"=1",'Opportunities'!$H$2:$H$1775,"&lt;&gt;")</f>
        <v>1</v>
      </c>
      <c r="I44" s="4">
        <f>COUNTIFS('Opportunities'!$C$2:$C$1775,"=r19",'Opportunities'!$N$2:$N$1775,"=oct25",'Opportunities'!$P$2:$P$1775,"=1",'Opportunities'!$H$2:$H$1775,"&lt;&gt;")</f>
        <v>0</v>
      </c>
      <c r="J44" s="4">
        <f>COUNTIFS('Opportunities'!$C$2:$C$1775,"=r19",'Opportunities'!$N$2:$N$1775,"=nov25",'Opportunities'!$P$2:$P$1775,"=1",'Opportunities'!$H$2:$H$1775,"&lt;&gt;")</f>
        <v>0</v>
      </c>
      <c r="K44" s="4">
        <f>COUNTIFS('Opportunities'!$C$2:$C$1775,"=r19",'Opportunities'!$N$2:$N$1775,"=dec25",'Opportunities'!$P$2:$P$1775,"=1",'Opportunities'!$H$2:$H$1775,"&lt;&gt;")</f>
        <v>0</v>
      </c>
      <c r="L44" s="4">
        <f>COUNTIFS('Opportunities'!$C$2:$C$1775,"=r19",'Opportunities'!$N$2:$N$1775,"=jan26",'Opportunities'!$P$2:$P$1775,"=1",'Opportunities'!$H$2:$H$1775,"&lt;&gt;")</f>
        <v>0</v>
      </c>
      <c r="M44" s="4">
        <f>COUNTIFS('Opportunities'!$C$2:$C$1775,"=r19",'Opportunities'!$N$2:$N$1775,"=feb26",'Opportunities'!$P$2:$P$1775,"=1",'Opportunities'!$H$2:$H$1775,"&lt;&gt;")</f>
        <v>0</v>
      </c>
      <c r="N44" s="4">
        <f>COUNTIFS('Opportunities'!$C$2:$C$1775,"=r19",'Opportunities'!$N$2:$N$1775,"=mar26",'Opportunities'!$P$2:$P$1775,"=1",'Opportunities'!$H$2:$H$1775,"&lt;&gt;")</f>
        <v>0</v>
      </c>
      <c r="O44" s="4">
        <f>COUNTIFS('Opportunities'!$C$2:$C$1775,"=r19",'Opportunities'!$N$2:$N$1775,"=apr26",'Opportunities'!$P$2:$P$1775,"=1",'Opportunities'!$H$2:$H$1775,"&lt;&gt;")</f>
        <v>1</v>
      </c>
      <c r="P44" s="4">
        <f>COUNTIFS('Opportunities'!$C$2:$C$1775,"=r19",'Opportunities'!$N$2:$N$1775,"=may26",'Opportunities'!$P$2:$P$1775,"=1",'Opportunities'!$H$2:$H$1775,"&lt;&gt;")</f>
        <v>0</v>
      </c>
      <c r="Q44" s="4">
        <f>COUNTIFS('Opportunities'!$C$2:$C$1775,"=r19",'Opportunities'!$N$2:$N$1775,"=jun26",'Opportunities'!$P$2:$P$1775,"=1",'Opportunities'!$H$2:$H$1775,"&lt;&gt;")</f>
        <v>0</v>
      </c>
      <c r="R44" s="4">
        <f>COUNTIFS('Opportunities'!$C$2:$C$1775,"=r19",'Opportunities'!$N$2:$N$1775,"=jul26",'Opportunities'!$P$2:$P$1775,"=1",'Opportunities'!$H$2:$H$1775,"&lt;&gt;")</f>
        <v>0</v>
      </c>
      <c r="S44" s="4">
        <f>COUNTIFS('Opportunities'!$C$2:$C$1775,"=r19",'Opportunities'!$N$2:$N$1775,"=aug26",'Opportunities'!$P$2:$P$1775,"=1",'Opportunities'!$H$2:$H$1775,"&lt;&gt;")</f>
        <v>1</v>
      </c>
      <c r="T44" s="4">
        <f>COUNTIFS('Opportunities'!$C$2:$C$1775,"=r19",'Opportunities'!$N$2:$N$1775,"=sep26",'Opportunities'!$P$2:$P$1775,"=1",'Opportunities'!$H$2:$H$1775,"&lt;&gt;")</f>
        <v>0</v>
      </c>
      <c r="U44" s="4">
        <f>COUNTIFS('Opportunities'!$C$2:$C$1775,"=r19",'Opportunities'!$N$2:$N$1775,"=oct26",'Opportunities'!$P$2:$P$1775,"=1",'Opportunities'!$H$2:$H$1775,"&lt;&gt;")</f>
        <v>0</v>
      </c>
      <c r="V44" s="4">
        <f>COUNTIFS('Opportunities'!$C$2:$C$1775,"=r19",'Opportunities'!$N$2:$N$1775,"=nov26",'Opportunities'!$P$2:$P$1775,"=1",'Opportunities'!$H$2:$H$1775,"&lt;&gt;")</f>
        <v>0</v>
      </c>
      <c r="W44" s="4">
        <f>COUNTIFS('Opportunities'!$C$2:$C$1775,"=r19",'Opportunities'!$N$2:$N$1775,"=dec26",'Opportunities'!$P$2:$P$1775,"=1",'Opportunities'!$H$2:$H$1775,"&lt;&gt;")</f>
        <v>0</v>
      </c>
    </row>
    <row r="45">
      <c r="A45" s="0" t="inlineStr">
        <is>
          <t xml:space="preserve">Deals won</t>
        </is>
      </c>
      <c r="B45" s="0" t="inlineStr">
        <is>
          <t xml:space="preserve">Nikolai Sato</t>
        </is>
      </c>
      <c r="C45" s="4">
        <f>COUNTIFS('Opportunities'!$C$2:$C$1775,"=r20",'Opportunities'!$N$2:$N$1775,"=apr25",'Opportunities'!$P$2:$P$1775,"=1",'Opportunities'!$H$2:$H$1775,"&lt;&gt;")</f>
        <v>0</v>
      </c>
      <c r="D45" s="4">
        <f>COUNTIFS('Opportunities'!$C$2:$C$1775,"=r20",'Opportunities'!$N$2:$N$1775,"=may25",'Opportunities'!$P$2:$P$1775,"=1",'Opportunities'!$H$2:$H$1775,"&lt;&gt;")</f>
        <v>0</v>
      </c>
      <c r="E45" s="4">
        <f>COUNTIFS('Opportunities'!$C$2:$C$1775,"=r20",'Opportunities'!$N$2:$N$1775,"=jun25",'Opportunities'!$P$2:$P$1775,"=1",'Opportunities'!$H$2:$H$1775,"&lt;&gt;")</f>
        <v>1</v>
      </c>
      <c r="F45" s="4">
        <f>COUNTIFS('Opportunities'!$C$2:$C$1775,"=r20",'Opportunities'!$N$2:$N$1775,"=jul25",'Opportunities'!$P$2:$P$1775,"=1",'Opportunities'!$H$2:$H$1775,"&lt;&gt;")</f>
        <v>0</v>
      </c>
      <c r="G45" s="4">
        <f>COUNTIFS('Opportunities'!$C$2:$C$1775,"=r20",'Opportunities'!$N$2:$N$1775,"=aug25",'Opportunities'!$P$2:$P$1775,"=1",'Opportunities'!$H$2:$H$1775,"&lt;&gt;")</f>
        <v>0</v>
      </c>
      <c r="H45" s="4">
        <f>COUNTIFS('Opportunities'!$C$2:$C$1775,"=r20",'Opportunities'!$N$2:$N$1775,"=sep25",'Opportunities'!$P$2:$P$1775,"=1",'Opportunities'!$H$2:$H$1775,"&lt;&gt;")</f>
        <v>2</v>
      </c>
      <c r="I45" s="4">
        <f>COUNTIFS('Opportunities'!$C$2:$C$1775,"=r20",'Opportunities'!$N$2:$N$1775,"=oct25",'Opportunities'!$P$2:$P$1775,"=1",'Opportunities'!$H$2:$H$1775,"&lt;&gt;")</f>
        <v>0</v>
      </c>
      <c r="J45" s="4">
        <f>COUNTIFS('Opportunities'!$C$2:$C$1775,"=r20",'Opportunities'!$N$2:$N$1775,"=nov25",'Opportunities'!$P$2:$P$1775,"=1",'Opportunities'!$H$2:$H$1775,"&lt;&gt;")</f>
        <v>1</v>
      </c>
      <c r="K45" s="4">
        <f>COUNTIFS('Opportunities'!$C$2:$C$1775,"=r20",'Opportunities'!$N$2:$N$1775,"=dec25",'Opportunities'!$P$2:$P$1775,"=1",'Opportunities'!$H$2:$H$1775,"&lt;&gt;")</f>
        <v>0</v>
      </c>
      <c r="L45" s="4">
        <f>COUNTIFS('Opportunities'!$C$2:$C$1775,"=r20",'Opportunities'!$N$2:$N$1775,"=jan26",'Opportunities'!$P$2:$P$1775,"=1",'Opportunities'!$H$2:$H$1775,"&lt;&gt;")</f>
        <v>0</v>
      </c>
      <c r="M45" s="4">
        <f>COUNTIFS('Opportunities'!$C$2:$C$1775,"=r20",'Opportunities'!$N$2:$N$1775,"=feb26",'Opportunities'!$P$2:$P$1775,"=1",'Opportunities'!$H$2:$H$1775,"&lt;&gt;")</f>
        <v>1</v>
      </c>
      <c r="N45" s="4">
        <f>COUNTIFS('Opportunities'!$C$2:$C$1775,"=r20",'Opportunities'!$N$2:$N$1775,"=mar26",'Opportunities'!$P$2:$P$1775,"=1",'Opportunities'!$H$2:$H$1775,"&lt;&gt;")</f>
        <v>0</v>
      </c>
      <c r="O45" s="4">
        <f>COUNTIFS('Opportunities'!$C$2:$C$1775,"=r20",'Opportunities'!$N$2:$N$1775,"=apr26",'Opportunities'!$P$2:$P$1775,"=1",'Opportunities'!$H$2:$H$1775,"&lt;&gt;")</f>
        <v>0</v>
      </c>
      <c r="P45" s="4">
        <f>COUNTIFS('Opportunities'!$C$2:$C$1775,"=r20",'Opportunities'!$N$2:$N$1775,"=may26",'Opportunities'!$P$2:$P$1775,"=1",'Opportunities'!$H$2:$H$1775,"&lt;&gt;")</f>
        <v>0</v>
      </c>
      <c r="Q45" s="4">
        <f>COUNTIFS('Opportunities'!$C$2:$C$1775,"=r20",'Opportunities'!$N$2:$N$1775,"=jun26",'Opportunities'!$P$2:$P$1775,"=1",'Opportunities'!$H$2:$H$1775,"&lt;&gt;")</f>
        <v>0</v>
      </c>
      <c r="R45" s="4">
        <f>COUNTIFS('Opportunities'!$C$2:$C$1775,"=r20",'Opportunities'!$N$2:$N$1775,"=jul26",'Opportunities'!$P$2:$P$1775,"=1",'Opportunities'!$H$2:$H$1775,"&lt;&gt;")</f>
        <v>0</v>
      </c>
      <c r="S45" s="4">
        <f>COUNTIFS('Opportunities'!$C$2:$C$1775,"=r20",'Opportunities'!$N$2:$N$1775,"=aug26",'Opportunities'!$P$2:$P$1775,"=1",'Opportunities'!$H$2:$H$1775,"&lt;&gt;")</f>
        <v>1</v>
      </c>
      <c r="T45" s="4">
        <f>COUNTIFS('Opportunities'!$C$2:$C$1775,"=r20",'Opportunities'!$N$2:$N$1775,"=sep26",'Opportunities'!$P$2:$P$1775,"=1",'Opportunities'!$H$2:$H$1775,"&lt;&gt;")</f>
        <v>0</v>
      </c>
      <c r="U45" s="4">
        <f>COUNTIFS('Opportunities'!$C$2:$C$1775,"=r20",'Opportunities'!$N$2:$N$1775,"=oct26",'Opportunities'!$P$2:$P$1775,"=1",'Opportunities'!$H$2:$H$1775,"&lt;&gt;")</f>
        <v>0</v>
      </c>
      <c r="V45" s="4">
        <f>COUNTIFS('Opportunities'!$C$2:$C$1775,"=r20",'Opportunities'!$N$2:$N$1775,"=nov26",'Opportunities'!$P$2:$P$1775,"=1",'Opportunities'!$H$2:$H$1775,"&lt;&gt;")</f>
        <v>0</v>
      </c>
      <c r="W45" s="4">
        <f>COUNTIFS('Opportunities'!$C$2:$C$1775,"=r20",'Opportunities'!$N$2:$N$1775,"=dec26",'Opportunities'!$P$2:$P$1775,"=1",'Opportunities'!$H$2:$H$1775,"&lt;&gt;")</f>
        <v>0</v>
      </c>
    </row>
    <row r="46">
      <c r="A46" s="0" t="inlineStr">
        <is>
          <t xml:space="preserve">Deals won</t>
        </is>
      </c>
      <c r="B46" s="0" t="inlineStr">
        <is>
          <t xml:space="preserve">Elena Silva</t>
        </is>
      </c>
      <c r="C46" s="4">
        <f>COUNTIFS('Opportunities'!$C$2:$C$1775,"=r21",'Opportunities'!$N$2:$N$1775,"=apr25",'Opportunities'!$P$2:$P$1775,"=1",'Opportunities'!$H$2:$H$1775,"&lt;&gt;")</f>
        <v>0</v>
      </c>
      <c r="D46" s="4">
        <f>COUNTIFS('Opportunities'!$C$2:$C$1775,"=r21",'Opportunities'!$N$2:$N$1775,"=may25",'Opportunities'!$P$2:$P$1775,"=1",'Opportunities'!$H$2:$H$1775,"&lt;&gt;")</f>
        <v>1</v>
      </c>
      <c r="E46" s="4">
        <f>COUNTIFS('Opportunities'!$C$2:$C$1775,"=r21",'Opportunities'!$N$2:$N$1775,"=jun25",'Opportunities'!$P$2:$P$1775,"=1",'Opportunities'!$H$2:$H$1775,"&lt;&gt;")</f>
        <v>2</v>
      </c>
      <c r="F46" s="4">
        <f>COUNTIFS('Opportunities'!$C$2:$C$1775,"=r21",'Opportunities'!$N$2:$N$1775,"=jul25",'Opportunities'!$P$2:$P$1775,"=1",'Opportunities'!$H$2:$H$1775,"&lt;&gt;")</f>
        <v>1</v>
      </c>
      <c r="G46" s="4">
        <f>COUNTIFS('Opportunities'!$C$2:$C$1775,"=r21",'Opportunities'!$N$2:$N$1775,"=aug25",'Opportunities'!$P$2:$P$1775,"=1",'Opportunities'!$H$2:$H$1775,"&lt;&gt;")</f>
        <v>1</v>
      </c>
      <c r="H46" s="4">
        <f>COUNTIFS('Opportunities'!$C$2:$C$1775,"=r21",'Opportunities'!$N$2:$N$1775,"=sep25",'Opportunities'!$P$2:$P$1775,"=1",'Opportunities'!$H$2:$H$1775,"&lt;&gt;")</f>
        <v>4</v>
      </c>
      <c r="I46" s="4">
        <f>COUNTIFS('Opportunities'!$C$2:$C$1775,"=r21",'Opportunities'!$N$2:$N$1775,"=oct25",'Opportunities'!$P$2:$P$1775,"=1",'Opportunities'!$H$2:$H$1775,"&lt;&gt;")</f>
        <v>1</v>
      </c>
      <c r="J46" s="4">
        <f>COUNTIFS('Opportunities'!$C$2:$C$1775,"=r21",'Opportunities'!$N$2:$N$1775,"=nov25",'Opportunities'!$P$2:$P$1775,"=1",'Opportunities'!$H$2:$H$1775,"&lt;&gt;")</f>
        <v>1</v>
      </c>
      <c r="K46" s="4">
        <f>COUNTIFS('Opportunities'!$C$2:$C$1775,"=r21",'Opportunities'!$N$2:$N$1775,"=dec25",'Opportunities'!$P$2:$P$1775,"=1",'Opportunities'!$H$2:$H$1775,"&lt;&gt;")</f>
        <v>4</v>
      </c>
      <c r="L46" s="4">
        <f>COUNTIFS('Opportunities'!$C$2:$C$1775,"=r21",'Opportunities'!$N$2:$N$1775,"=jan26",'Opportunities'!$P$2:$P$1775,"=1",'Opportunities'!$H$2:$H$1775,"&lt;&gt;")</f>
        <v>2</v>
      </c>
      <c r="M46" s="4">
        <f>COUNTIFS('Opportunities'!$C$2:$C$1775,"=r21",'Opportunities'!$N$2:$N$1775,"=feb26",'Opportunities'!$P$2:$P$1775,"=1",'Opportunities'!$H$2:$H$1775,"&lt;&gt;")</f>
        <v>0</v>
      </c>
      <c r="N46" s="4">
        <f>COUNTIFS('Opportunities'!$C$2:$C$1775,"=r21",'Opportunities'!$N$2:$N$1775,"=mar26",'Opportunities'!$P$2:$P$1775,"=1",'Opportunities'!$H$2:$H$1775,"&lt;&gt;")</f>
        <v>0</v>
      </c>
      <c r="O46" s="4">
        <f>COUNTIFS('Opportunities'!$C$2:$C$1775,"=r21",'Opportunities'!$N$2:$N$1775,"=apr26",'Opportunities'!$P$2:$P$1775,"=1",'Opportunities'!$H$2:$H$1775,"&lt;&gt;")</f>
        <v>1</v>
      </c>
      <c r="P46" s="4">
        <f>COUNTIFS('Opportunities'!$C$2:$C$1775,"=r21",'Opportunities'!$N$2:$N$1775,"=may26",'Opportunities'!$P$2:$P$1775,"=1",'Opportunities'!$H$2:$H$1775,"&lt;&gt;")</f>
        <v>1</v>
      </c>
      <c r="Q46" s="4">
        <f>COUNTIFS('Opportunities'!$C$2:$C$1775,"=r21",'Opportunities'!$N$2:$N$1775,"=jun26",'Opportunities'!$P$2:$P$1775,"=1",'Opportunities'!$H$2:$H$1775,"&lt;&gt;")</f>
        <v>3</v>
      </c>
      <c r="R46" s="4">
        <f>COUNTIFS('Opportunities'!$C$2:$C$1775,"=r21",'Opportunities'!$N$2:$N$1775,"=jul26",'Opportunities'!$P$2:$P$1775,"=1",'Opportunities'!$H$2:$H$1775,"&lt;&gt;")</f>
        <v>2</v>
      </c>
      <c r="S46" s="4">
        <f>COUNTIFS('Opportunities'!$C$2:$C$1775,"=r21",'Opportunities'!$N$2:$N$1775,"=aug26",'Opportunities'!$P$2:$P$1775,"=1",'Opportunities'!$H$2:$H$1775,"&lt;&gt;")</f>
        <v>2</v>
      </c>
      <c r="T46" s="4">
        <f>COUNTIFS('Opportunities'!$C$2:$C$1775,"=r21",'Opportunities'!$N$2:$N$1775,"=sep26",'Opportunities'!$P$2:$P$1775,"=1",'Opportunities'!$H$2:$H$1775,"&lt;&gt;")</f>
        <v>3</v>
      </c>
      <c r="U46" s="4">
        <f>COUNTIFS('Opportunities'!$C$2:$C$1775,"=r21",'Opportunities'!$N$2:$N$1775,"=oct26",'Opportunities'!$P$2:$P$1775,"=1",'Opportunities'!$H$2:$H$1775,"&lt;&gt;")</f>
        <v>0</v>
      </c>
      <c r="V46" s="4">
        <f>COUNTIFS('Opportunities'!$C$2:$C$1775,"=r21",'Opportunities'!$N$2:$N$1775,"=nov26",'Opportunities'!$P$2:$P$1775,"=1",'Opportunities'!$H$2:$H$1775,"&lt;&gt;")</f>
        <v>0</v>
      </c>
      <c r="W46" s="4">
        <f>COUNTIFS('Opportunities'!$C$2:$C$1775,"=r21",'Opportunities'!$N$2:$N$1775,"=dec26",'Opportunities'!$P$2:$P$1775,"=1",'Opportunities'!$H$2:$H$1775,"&lt;&gt;")</f>
        <v>0</v>
      </c>
    </row>
    <row r="47">
      <c r="A47" s="0" t="inlineStr">
        <is>
          <t xml:space="preserve">Deals won</t>
        </is>
      </c>
      <c r="B47" s="0" t="inlineStr">
        <is>
          <t xml:space="preserve">Arjun Müller</t>
        </is>
      </c>
      <c r="C47" s="4">
        <f>COUNTIFS('Opportunities'!$C$2:$C$1775,"=r22",'Opportunities'!$N$2:$N$1775,"=apr25",'Opportunities'!$P$2:$P$1775,"=1",'Opportunities'!$H$2:$H$1775,"&lt;&gt;")</f>
        <v>0</v>
      </c>
      <c r="D47" s="4">
        <f>COUNTIFS('Opportunities'!$C$2:$C$1775,"=r22",'Opportunities'!$N$2:$N$1775,"=may25",'Opportunities'!$P$2:$P$1775,"=1",'Opportunities'!$H$2:$H$1775,"&lt;&gt;")</f>
        <v>1</v>
      </c>
      <c r="E47" s="4">
        <f>COUNTIFS('Opportunities'!$C$2:$C$1775,"=r22",'Opportunities'!$N$2:$N$1775,"=jun25",'Opportunities'!$P$2:$P$1775,"=1",'Opportunities'!$H$2:$H$1775,"&lt;&gt;")</f>
        <v>0</v>
      </c>
      <c r="F47" s="4">
        <f>COUNTIFS('Opportunities'!$C$2:$C$1775,"=r22",'Opportunities'!$N$2:$N$1775,"=jul25",'Opportunities'!$P$2:$P$1775,"=1",'Opportunities'!$H$2:$H$1775,"&lt;&gt;")</f>
        <v>1</v>
      </c>
      <c r="G47" s="4">
        <f>COUNTIFS('Opportunities'!$C$2:$C$1775,"=r22",'Opportunities'!$N$2:$N$1775,"=aug25",'Opportunities'!$P$2:$P$1775,"=1",'Opportunities'!$H$2:$H$1775,"&lt;&gt;")</f>
        <v>2</v>
      </c>
      <c r="H47" s="4">
        <f>COUNTIFS('Opportunities'!$C$2:$C$1775,"=r22",'Opportunities'!$N$2:$N$1775,"=sep25",'Opportunities'!$P$2:$P$1775,"=1",'Opportunities'!$H$2:$H$1775,"&lt;&gt;")</f>
        <v>0</v>
      </c>
      <c r="I47" s="4">
        <f>COUNTIFS('Opportunities'!$C$2:$C$1775,"=r22",'Opportunities'!$N$2:$N$1775,"=oct25",'Opportunities'!$P$2:$P$1775,"=1",'Opportunities'!$H$2:$H$1775,"&lt;&gt;")</f>
        <v>1</v>
      </c>
      <c r="J47" s="4">
        <f>COUNTIFS('Opportunities'!$C$2:$C$1775,"=r22",'Opportunities'!$N$2:$N$1775,"=nov25",'Opportunities'!$P$2:$P$1775,"=1",'Opportunities'!$H$2:$H$1775,"&lt;&gt;")</f>
        <v>1</v>
      </c>
      <c r="K47" s="4">
        <f>COUNTIFS('Opportunities'!$C$2:$C$1775,"=r22",'Opportunities'!$N$2:$N$1775,"=dec25",'Opportunities'!$P$2:$P$1775,"=1",'Opportunities'!$H$2:$H$1775,"&lt;&gt;")</f>
        <v>2</v>
      </c>
      <c r="L47" s="4">
        <f>COUNTIFS('Opportunities'!$C$2:$C$1775,"=r22",'Opportunities'!$N$2:$N$1775,"=jan26",'Opportunities'!$P$2:$P$1775,"=1",'Opportunities'!$H$2:$H$1775,"&lt;&gt;")</f>
        <v>0</v>
      </c>
      <c r="M47" s="4">
        <f>COUNTIFS('Opportunities'!$C$2:$C$1775,"=r22",'Opportunities'!$N$2:$N$1775,"=feb26",'Opportunities'!$P$2:$P$1775,"=1",'Opportunities'!$H$2:$H$1775,"&lt;&gt;")</f>
        <v>0</v>
      </c>
      <c r="N47" s="4">
        <f>COUNTIFS('Opportunities'!$C$2:$C$1775,"=r22",'Opportunities'!$N$2:$N$1775,"=mar26",'Opportunities'!$P$2:$P$1775,"=1",'Opportunities'!$H$2:$H$1775,"&lt;&gt;")</f>
        <v>0</v>
      </c>
      <c r="O47" s="4">
        <f>COUNTIFS('Opportunities'!$C$2:$C$1775,"=r22",'Opportunities'!$N$2:$N$1775,"=apr26",'Opportunities'!$P$2:$P$1775,"=1",'Opportunities'!$H$2:$H$1775,"&lt;&gt;")</f>
        <v>1</v>
      </c>
      <c r="P47" s="4">
        <f>COUNTIFS('Opportunities'!$C$2:$C$1775,"=r22",'Opportunities'!$N$2:$N$1775,"=may26",'Opportunities'!$P$2:$P$1775,"=1",'Opportunities'!$H$2:$H$1775,"&lt;&gt;")</f>
        <v>2</v>
      </c>
      <c r="Q47" s="4">
        <f>COUNTIFS('Opportunities'!$C$2:$C$1775,"=r22",'Opportunities'!$N$2:$N$1775,"=jun26",'Opportunities'!$P$2:$P$1775,"=1",'Opportunities'!$H$2:$H$1775,"&lt;&gt;")</f>
        <v>4</v>
      </c>
      <c r="R47" s="4">
        <f>COUNTIFS('Opportunities'!$C$2:$C$1775,"=r22",'Opportunities'!$N$2:$N$1775,"=jul26",'Opportunities'!$P$2:$P$1775,"=1",'Opportunities'!$H$2:$H$1775,"&lt;&gt;")</f>
        <v>2</v>
      </c>
      <c r="S47" s="4">
        <f>COUNTIFS('Opportunities'!$C$2:$C$1775,"=r22",'Opportunities'!$N$2:$N$1775,"=aug26",'Opportunities'!$P$2:$P$1775,"=1",'Opportunities'!$H$2:$H$1775,"&lt;&gt;")</f>
        <v>1</v>
      </c>
      <c r="T47" s="4">
        <f>COUNTIFS('Opportunities'!$C$2:$C$1775,"=r22",'Opportunities'!$N$2:$N$1775,"=sep26",'Opportunities'!$P$2:$P$1775,"=1",'Opportunities'!$H$2:$H$1775,"&lt;&gt;")</f>
        <v>1</v>
      </c>
      <c r="U47" s="4">
        <f>COUNTIFS('Opportunities'!$C$2:$C$1775,"=r22",'Opportunities'!$N$2:$N$1775,"=oct26",'Opportunities'!$P$2:$P$1775,"=1",'Opportunities'!$H$2:$H$1775,"&lt;&gt;")</f>
        <v>0</v>
      </c>
      <c r="V47" s="4">
        <f>COUNTIFS('Opportunities'!$C$2:$C$1775,"=r22",'Opportunities'!$N$2:$N$1775,"=nov26",'Opportunities'!$P$2:$P$1775,"=1",'Opportunities'!$H$2:$H$1775,"&lt;&gt;")</f>
        <v>0</v>
      </c>
      <c r="W47" s="4">
        <f>COUNTIFS('Opportunities'!$C$2:$C$1775,"=r22",'Opportunities'!$N$2:$N$1775,"=dec26",'Opportunities'!$P$2:$P$1775,"=1",'Opportunities'!$H$2:$H$1775,"&lt;&gt;")</f>
        <v>0</v>
      </c>
    </row>
    <row r="48">
      <c r="A48" s="0" t="inlineStr">
        <is>
          <t xml:space="preserve">Deals won</t>
        </is>
      </c>
      <c r="B48" s="0" t="inlineStr">
        <is>
          <t xml:space="preserve">Nikolai Park</t>
        </is>
      </c>
      <c r="C48" s="4">
        <f>COUNTIFS('Opportunities'!$C$2:$C$1775,"=r23",'Opportunities'!$N$2:$N$1775,"=apr25",'Opportunities'!$P$2:$P$1775,"=1",'Opportunities'!$H$2:$H$1775,"&lt;&gt;")</f>
        <v>0</v>
      </c>
      <c r="D48" s="4">
        <f>COUNTIFS('Opportunities'!$C$2:$C$1775,"=r23",'Opportunities'!$N$2:$N$1775,"=may25",'Opportunities'!$P$2:$P$1775,"=1",'Opportunities'!$H$2:$H$1775,"&lt;&gt;")</f>
        <v>0</v>
      </c>
      <c r="E48" s="4">
        <f>COUNTIFS('Opportunities'!$C$2:$C$1775,"=r23",'Opportunities'!$N$2:$N$1775,"=jun25",'Opportunities'!$P$2:$P$1775,"=1",'Opportunities'!$H$2:$H$1775,"&lt;&gt;")</f>
        <v>0</v>
      </c>
      <c r="F48" s="4">
        <f>COUNTIFS('Opportunities'!$C$2:$C$1775,"=r23",'Opportunities'!$N$2:$N$1775,"=jul25",'Opportunities'!$P$2:$P$1775,"=1",'Opportunities'!$H$2:$H$1775,"&lt;&gt;")</f>
        <v>0</v>
      </c>
      <c r="G48" s="4">
        <f>COUNTIFS('Opportunities'!$C$2:$C$1775,"=r23",'Opportunities'!$N$2:$N$1775,"=aug25",'Opportunities'!$P$2:$P$1775,"=1",'Opportunities'!$H$2:$H$1775,"&lt;&gt;")</f>
        <v>0</v>
      </c>
      <c r="H48" s="4">
        <f>COUNTIFS('Opportunities'!$C$2:$C$1775,"=r23",'Opportunities'!$N$2:$N$1775,"=sep25",'Opportunities'!$P$2:$P$1775,"=1",'Opportunities'!$H$2:$H$1775,"&lt;&gt;")</f>
        <v>0</v>
      </c>
      <c r="I48" s="4">
        <f>COUNTIFS('Opportunities'!$C$2:$C$1775,"=r23",'Opportunities'!$N$2:$N$1775,"=oct25",'Opportunities'!$P$2:$P$1775,"=1",'Opportunities'!$H$2:$H$1775,"&lt;&gt;")</f>
        <v>0</v>
      </c>
      <c r="J48" s="4">
        <f>COUNTIFS('Opportunities'!$C$2:$C$1775,"=r23",'Opportunities'!$N$2:$N$1775,"=nov25",'Opportunities'!$P$2:$P$1775,"=1",'Opportunities'!$H$2:$H$1775,"&lt;&gt;")</f>
        <v>0</v>
      </c>
      <c r="K48" s="4">
        <f>COUNTIFS('Opportunities'!$C$2:$C$1775,"=r23",'Opportunities'!$N$2:$N$1775,"=dec25",'Opportunities'!$P$2:$P$1775,"=1",'Opportunities'!$H$2:$H$1775,"&lt;&gt;")</f>
        <v>0</v>
      </c>
      <c r="L48" s="4">
        <f>COUNTIFS('Opportunities'!$C$2:$C$1775,"=r23",'Opportunities'!$N$2:$N$1775,"=jan26",'Opportunities'!$P$2:$P$1775,"=1",'Opportunities'!$H$2:$H$1775,"&lt;&gt;")</f>
        <v>0</v>
      </c>
      <c r="M48" s="4">
        <f>COUNTIFS('Opportunities'!$C$2:$C$1775,"=r23",'Opportunities'!$N$2:$N$1775,"=feb26",'Opportunities'!$P$2:$P$1775,"=1",'Opportunities'!$H$2:$H$1775,"&lt;&gt;")</f>
        <v>0</v>
      </c>
      <c r="N48" s="4">
        <f>COUNTIFS('Opportunities'!$C$2:$C$1775,"=r23",'Opportunities'!$N$2:$N$1775,"=mar26",'Opportunities'!$P$2:$P$1775,"=1",'Opportunities'!$H$2:$H$1775,"&lt;&gt;")</f>
        <v>0</v>
      </c>
      <c r="O48" s="4">
        <f>COUNTIFS('Opportunities'!$C$2:$C$1775,"=r23",'Opportunities'!$N$2:$N$1775,"=apr26",'Opportunities'!$P$2:$P$1775,"=1",'Opportunities'!$H$2:$H$1775,"&lt;&gt;")</f>
        <v>0</v>
      </c>
      <c r="P48" s="4">
        <f>COUNTIFS('Opportunities'!$C$2:$C$1775,"=r23",'Opportunities'!$N$2:$N$1775,"=may26",'Opportunities'!$P$2:$P$1775,"=1",'Opportunities'!$H$2:$H$1775,"&lt;&gt;")</f>
        <v>0</v>
      </c>
      <c r="Q48" s="4">
        <f>COUNTIFS('Opportunities'!$C$2:$C$1775,"=r23",'Opportunities'!$N$2:$N$1775,"=jun26",'Opportunities'!$P$2:$P$1775,"=1",'Opportunities'!$H$2:$H$1775,"&lt;&gt;")</f>
        <v>1</v>
      </c>
      <c r="R48" s="4">
        <f>COUNTIFS('Opportunities'!$C$2:$C$1775,"=r23",'Opportunities'!$N$2:$N$1775,"=jul26",'Opportunities'!$P$2:$P$1775,"=1",'Opportunities'!$H$2:$H$1775,"&lt;&gt;")</f>
        <v>2</v>
      </c>
      <c r="S48" s="4">
        <f>COUNTIFS('Opportunities'!$C$2:$C$1775,"=r23",'Opportunities'!$N$2:$N$1775,"=aug26",'Opportunities'!$P$2:$P$1775,"=1",'Opportunities'!$H$2:$H$1775,"&lt;&gt;")</f>
        <v>0</v>
      </c>
      <c r="T48" s="4">
        <f>COUNTIFS('Opportunities'!$C$2:$C$1775,"=r23",'Opportunities'!$N$2:$N$1775,"=sep26",'Opportunities'!$P$2:$P$1775,"=1",'Opportunities'!$H$2:$H$1775,"&lt;&gt;")</f>
        <v>0</v>
      </c>
      <c r="U48" s="4">
        <f>COUNTIFS('Opportunities'!$C$2:$C$1775,"=r23",'Opportunities'!$N$2:$N$1775,"=oct26",'Opportunities'!$P$2:$P$1775,"=1",'Opportunities'!$H$2:$H$1775,"&lt;&gt;")</f>
        <v>0</v>
      </c>
      <c r="V48" s="4">
        <f>COUNTIFS('Opportunities'!$C$2:$C$1775,"=r23",'Opportunities'!$N$2:$N$1775,"=nov26",'Opportunities'!$P$2:$P$1775,"=1",'Opportunities'!$H$2:$H$1775,"&lt;&gt;")</f>
        <v>0</v>
      </c>
      <c r="W48" s="4">
        <f>COUNTIFS('Opportunities'!$C$2:$C$1775,"=r23",'Opportunities'!$N$2:$N$1775,"=dec26",'Opportunities'!$P$2:$P$1775,"=1",'Opportunities'!$H$2:$H$1775,"&lt;&gt;")</f>
        <v>0</v>
      </c>
    </row>
    <row r="49">
      <c r="A49" s="0" t="inlineStr">
        <is>
          <t xml:space="preserve">Deals won</t>
        </is>
      </c>
      <c r="B49" s="0" t="inlineStr">
        <is>
          <t xml:space="preserve">Ingrid Dubois</t>
        </is>
      </c>
      <c r="C49" s="4">
        <f>COUNTIFS('Opportunities'!$C$2:$C$1775,"=r24",'Opportunities'!$N$2:$N$1775,"=apr25",'Opportunities'!$P$2:$P$1775,"=1",'Opportunities'!$H$2:$H$1775,"&lt;&gt;")</f>
        <v>0</v>
      </c>
      <c r="D49" s="4">
        <f>COUNTIFS('Opportunities'!$C$2:$C$1775,"=r24",'Opportunities'!$N$2:$N$1775,"=may25",'Opportunities'!$P$2:$P$1775,"=1",'Opportunities'!$H$2:$H$1775,"&lt;&gt;")</f>
        <v>0</v>
      </c>
      <c r="E49" s="4">
        <f>COUNTIFS('Opportunities'!$C$2:$C$1775,"=r24",'Opportunities'!$N$2:$N$1775,"=jun25",'Opportunities'!$P$2:$P$1775,"=1",'Opportunities'!$H$2:$H$1775,"&lt;&gt;")</f>
        <v>0</v>
      </c>
      <c r="F49" s="4">
        <f>COUNTIFS('Opportunities'!$C$2:$C$1775,"=r24",'Opportunities'!$N$2:$N$1775,"=jul25",'Opportunities'!$P$2:$P$1775,"=1",'Opportunities'!$H$2:$H$1775,"&lt;&gt;")</f>
        <v>3</v>
      </c>
      <c r="G49" s="4">
        <f>COUNTIFS('Opportunities'!$C$2:$C$1775,"=r24",'Opportunities'!$N$2:$N$1775,"=aug25",'Opportunities'!$P$2:$P$1775,"=1",'Opportunities'!$H$2:$H$1775,"&lt;&gt;")</f>
        <v>1</v>
      </c>
      <c r="H49" s="4">
        <f>COUNTIFS('Opportunities'!$C$2:$C$1775,"=r24",'Opportunities'!$N$2:$N$1775,"=sep25",'Opportunities'!$P$2:$P$1775,"=1",'Opportunities'!$H$2:$H$1775,"&lt;&gt;")</f>
        <v>5</v>
      </c>
      <c r="I49" s="4">
        <f>COUNTIFS('Opportunities'!$C$2:$C$1775,"=r24",'Opportunities'!$N$2:$N$1775,"=oct25",'Opportunities'!$P$2:$P$1775,"=1",'Opportunities'!$H$2:$H$1775,"&lt;&gt;")</f>
        <v>1</v>
      </c>
      <c r="J49" s="4">
        <f>COUNTIFS('Opportunities'!$C$2:$C$1775,"=r24",'Opportunities'!$N$2:$N$1775,"=nov25",'Opportunities'!$P$2:$P$1775,"=1",'Opportunities'!$H$2:$H$1775,"&lt;&gt;")</f>
        <v>0</v>
      </c>
      <c r="K49" s="4">
        <f>COUNTIFS('Opportunities'!$C$2:$C$1775,"=r24",'Opportunities'!$N$2:$N$1775,"=dec25",'Opportunities'!$P$2:$P$1775,"=1",'Opportunities'!$H$2:$H$1775,"&lt;&gt;")</f>
        <v>5</v>
      </c>
      <c r="L49" s="4">
        <f>COUNTIFS('Opportunities'!$C$2:$C$1775,"=r24",'Opportunities'!$N$2:$N$1775,"=jan26",'Opportunities'!$P$2:$P$1775,"=1",'Opportunities'!$H$2:$H$1775,"&lt;&gt;")</f>
        <v>1</v>
      </c>
      <c r="M49" s="4">
        <f>COUNTIFS('Opportunities'!$C$2:$C$1775,"=r24",'Opportunities'!$N$2:$N$1775,"=feb26",'Opportunities'!$P$2:$P$1775,"=1",'Opportunities'!$H$2:$H$1775,"&lt;&gt;")</f>
        <v>1</v>
      </c>
      <c r="N49" s="4">
        <f>COUNTIFS('Opportunities'!$C$2:$C$1775,"=r24",'Opportunities'!$N$2:$N$1775,"=mar26",'Opportunities'!$P$2:$P$1775,"=1",'Opportunities'!$H$2:$H$1775,"&lt;&gt;")</f>
        <v>1</v>
      </c>
      <c r="O49" s="4">
        <f>COUNTIFS('Opportunities'!$C$2:$C$1775,"=r24",'Opportunities'!$N$2:$N$1775,"=apr26",'Opportunities'!$P$2:$P$1775,"=1",'Opportunities'!$H$2:$H$1775,"&lt;&gt;")</f>
        <v>1</v>
      </c>
      <c r="P49" s="4">
        <f>COUNTIFS('Opportunities'!$C$2:$C$1775,"=r24",'Opportunities'!$N$2:$N$1775,"=may26",'Opportunities'!$P$2:$P$1775,"=1",'Opportunities'!$H$2:$H$1775,"&lt;&gt;")</f>
        <v>2</v>
      </c>
      <c r="Q49" s="4">
        <f>COUNTIFS('Opportunities'!$C$2:$C$1775,"=r24",'Opportunities'!$N$2:$N$1775,"=jun26",'Opportunities'!$P$2:$P$1775,"=1",'Opportunities'!$H$2:$H$1775,"&lt;&gt;")</f>
        <v>5</v>
      </c>
      <c r="R49" s="4">
        <f>COUNTIFS('Opportunities'!$C$2:$C$1775,"=r24",'Opportunities'!$N$2:$N$1775,"=jul26",'Opportunities'!$P$2:$P$1775,"=1",'Opportunities'!$H$2:$H$1775,"&lt;&gt;")</f>
        <v>4</v>
      </c>
      <c r="S49" s="4">
        <f>COUNTIFS('Opportunities'!$C$2:$C$1775,"=r24",'Opportunities'!$N$2:$N$1775,"=aug26",'Opportunities'!$P$2:$P$1775,"=1",'Opportunities'!$H$2:$H$1775,"&lt;&gt;")</f>
        <v>1</v>
      </c>
      <c r="T49" s="4">
        <f>COUNTIFS('Opportunities'!$C$2:$C$1775,"=r24",'Opportunities'!$N$2:$N$1775,"=sep26",'Opportunities'!$P$2:$P$1775,"=1",'Opportunities'!$H$2:$H$1775,"&lt;&gt;")</f>
        <v>2</v>
      </c>
      <c r="U49" s="4">
        <f>COUNTIFS('Opportunities'!$C$2:$C$1775,"=r24",'Opportunities'!$N$2:$N$1775,"=oct26",'Opportunities'!$P$2:$P$1775,"=1",'Opportunities'!$H$2:$H$1775,"&lt;&gt;")</f>
        <v>0</v>
      </c>
      <c r="V49" s="4">
        <f>COUNTIFS('Opportunities'!$C$2:$C$1775,"=r24",'Opportunities'!$N$2:$N$1775,"=nov26",'Opportunities'!$P$2:$P$1775,"=1",'Opportunities'!$H$2:$H$1775,"&lt;&gt;")</f>
        <v>0</v>
      </c>
      <c r="W49" s="4">
        <f>COUNTIFS('Opportunities'!$C$2:$C$1775,"=r24",'Opportunities'!$N$2:$N$1775,"=dec26",'Opportunities'!$P$2:$P$1775,"=1",'Opportunities'!$H$2:$H$1775,"&lt;&gt;")</f>
        <v>0</v>
      </c>
    </row>
    <row r="50">
      <c r="A50" s="0" t="inlineStr">
        <is>
          <t xml:space="preserve">Deals lost</t>
        </is>
      </c>
      <c r="B50" s="0" t="inlineStr">
        <is>
          <t xml:space="preserve">Noor Ortiz</t>
        </is>
      </c>
      <c r="C50" s="4">
        <f>COUNTIFS('Opportunities'!$C$2:$C$1775,"=r01",'Opportunities'!$N$2:$N$1775,"=apr25",'Opportunities'!$Q$2:$Q$1775,"=1",'Opportunities'!$H$2:$H$1775,"&lt;&gt;")</f>
        <v>0</v>
      </c>
      <c r="D50" s="4">
        <f>COUNTIFS('Opportunities'!$C$2:$C$1775,"=r01",'Opportunities'!$N$2:$N$1775,"=may25",'Opportunities'!$Q$2:$Q$1775,"=1",'Opportunities'!$H$2:$H$1775,"&lt;&gt;")</f>
        <v>0</v>
      </c>
      <c r="E50" s="4">
        <f>COUNTIFS('Opportunities'!$C$2:$C$1775,"=r01",'Opportunities'!$N$2:$N$1775,"=jun25",'Opportunities'!$Q$2:$Q$1775,"=1",'Opportunities'!$H$2:$H$1775,"&lt;&gt;")</f>
        <v>0</v>
      </c>
      <c r="F50" s="4">
        <f>COUNTIFS('Opportunities'!$C$2:$C$1775,"=r01",'Opportunities'!$N$2:$N$1775,"=jul25",'Opportunities'!$Q$2:$Q$1775,"=1",'Opportunities'!$H$2:$H$1775,"&lt;&gt;")</f>
        <v>3</v>
      </c>
      <c r="G50" s="4">
        <f>COUNTIFS('Opportunities'!$C$2:$C$1775,"=r01",'Opportunities'!$N$2:$N$1775,"=aug25",'Opportunities'!$Q$2:$Q$1775,"=1",'Opportunities'!$H$2:$H$1775,"&lt;&gt;")</f>
        <v>3</v>
      </c>
      <c r="H50" s="4">
        <f>COUNTIFS('Opportunities'!$C$2:$C$1775,"=r01",'Opportunities'!$N$2:$N$1775,"=sep25",'Opportunities'!$Q$2:$Q$1775,"=1",'Opportunities'!$H$2:$H$1775,"&lt;&gt;")</f>
        <v>3</v>
      </c>
      <c r="I50" s="4">
        <f>COUNTIFS('Opportunities'!$C$2:$C$1775,"=r01",'Opportunities'!$N$2:$N$1775,"=oct25",'Opportunities'!$Q$2:$Q$1775,"=1",'Opportunities'!$H$2:$H$1775,"&lt;&gt;")</f>
        <v>2</v>
      </c>
      <c r="J50" s="4">
        <f>COUNTIFS('Opportunities'!$C$2:$C$1775,"=r01",'Opportunities'!$N$2:$N$1775,"=nov25",'Opportunities'!$Q$2:$Q$1775,"=1",'Opportunities'!$H$2:$H$1775,"&lt;&gt;")</f>
        <v>2</v>
      </c>
      <c r="K50" s="4">
        <f>COUNTIFS('Opportunities'!$C$2:$C$1775,"=r01",'Opportunities'!$N$2:$N$1775,"=dec25",'Opportunities'!$Q$2:$Q$1775,"=1",'Opportunities'!$H$2:$H$1775,"&lt;&gt;")</f>
        <v>5</v>
      </c>
      <c r="L50" s="4">
        <f>COUNTIFS('Opportunities'!$C$2:$C$1775,"=r01",'Opportunities'!$N$2:$N$1775,"=jan26",'Opportunities'!$Q$2:$Q$1775,"=1",'Opportunities'!$H$2:$H$1775,"&lt;&gt;")</f>
        <v>4</v>
      </c>
      <c r="M50" s="4">
        <f>COUNTIFS('Opportunities'!$C$2:$C$1775,"=r01",'Opportunities'!$N$2:$N$1775,"=feb26",'Opportunities'!$Q$2:$Q$1775,"=1",'Opportunities'!$H$2:$H$1775,"&lt;&gt;")</f>
        <v>2</v>
      </c>
      <c r="N50" s="4">
        <f>COUNTIFS('Opportunities'!$C$2:$C$1775,"=r01",'Opportunities'!$N$2:$N$1775,"=mar26",'Opportunities'!$Q$2:$Q$1775,"=1",'Opportunities'!$H$2:$H$1775,"&lt;&gt;")</f>
        <v>3</v>
      </c>
      <c r="O50" s="4">
        <f>COUNTIFS('Opportunities'!$C$2:$C$1775,"=r01",'Opportunities'!$N$2:$N$1775,"=apr26",'Opportunities'!$Q$2:$Q$1775,"=1",'Opportunities'!$H$2:$H$1775,"&lt;&gt;")</f>
        <v>3</v>
      </c>
      <c r="P50" s="4">
        <f>COUNTIFS('Opportunities'!$C$2:$C$1775,"=r01",'Opportunities'!$N$2:$N$1775,"=may26",'Opportunities'!$Q$2:$Q$1775,"=1",'Opportunities'!$H$2:$H$1775,"&lt;&gt;")</f>
        <v>4</v>
      </c>
      <c r="Q50" s="4">
        <f>COUNTIFS('Opportunities'!$C$2:$C$1775,"=r01",'Opportunities'!$N$2:$N$1775,"=jun26",'Opportunities'!$Q$2:$Q$1775,"=1",'Opportunities'!$H$2:$H$1775,"&lt;&gt;")</f>
        <v>4</v>
      </c>
      <c r="R50" s="4">
        <f>COUNTIFS('Opportunities'!$C$2:$C$1775,"=r01",'Opportunities'!$N$2:$N$1775,"=jul26",'Opportunities'!$Q$2:$Q$1775,"=1",'Opportunities'!$H$2:$H$1775,"&lt;&gt;")</f>
        <v>5</v>
      </c>
      <c r="S50" s="4">
        <f>COUNTIFS('Opportunities'!$C$2:$C$1775,"=r01",'Opportunities'!$N$2:$N$1775,"=aug26",'Opportunities'!$Q$2:$Q$1775,"=1",'Opportunities'!$H$2:$H$1775,"&lt;&gt;")</f>
        <v>2</v>
      </c>
      <c r="T50" s="4">
        <f>COUNTIFS('Opportunities'!$C$2:$C$1775,"=r01",'Opportunities'!$N$2:$N$1775,"=sep26",'Opportunities'!$Q$2:$Q$1775,"=1",'Opportunities'!$H$2:$H$1775,"&lt;&gt;")</f>
        <v>2</v>
      </c>
      <c r="U50" s="4">
        <f>COUNTIFS('Opportunities'!$C$2:$C$1775,"=r01",'Opportunities'!$N$2:$N$1775,"=oct26",'Opportunities'!$Q$2:$Q$1775,"=1",'Opportunities'!$H$2:$H$1775,"&lt;&gt;")</f>
        <v>0</v>
      </c>
      <c r="V50" s="4">
        <f>COUNTIFS('Opportunities'!$C$2:$C$1775,"=r01",'Opportunities'!$N$2:$N$1775,"=nov26",'Opportunities'!$Q$2:$Q$1775,"=1",'Opportunities'!$H$2:$H$1775,"&lt;&gt;")</f>
        <v>0</v>
      </c>
      <c r="W50" s="4">
        <f>COUNTIFS('Opportunities'!$C$2:$C$1775,"=r01",'Opportunities'!$N$2:$N$1775,"=dec26",'Opportunities'!$Q$2:$Q$1775,"=1",'Opportunities'!$H$2:$H$1775,"&lt;&gt;")</f>
        <v>0</v>
      </c>
    </row>
    <row r="51">
      <c r="A51" s="0" t="inlineStr">
        <is>
          <t xml:space="preserve">Deals lost</t>
        </is>
      </c>
      <c r="B51" s="0" t="inlineStr">
        <is>
          <t xml:space="preserve">Priya Yilmaz</t>
        </is>
      </c>
      <c r="C51" s="4">
        <f>COUNTIFS('Opportunities'!$C$2:$C$1775,"=r02",'Opportunities'!$N$2:$N$1775,"=apr25",'Opportunities'!$Q$2:$Q$1775,"=1",'Opportunities'!$H$2:$H$1775,"&lt;&gt;")</f>
        <v>0</v>
      </c>
      <c r="D51" s="4">
        <f>COUNTIFS('Opportunities'!$C$2:$C$1775,"=r02",'Opportunities'!$N$2:$N$1775,"=may25",'Opportunities'!$Q$2:$Q$1775,"=1",'Opportunities'!$H$2:$H$1775,"&lt;&gt;")</f>
        <v>0</v>
      </c>
      <c r="E51" s="4">
        <f>COUNTIFS('Opportunities'!$C$2:$C$1775,"=r02",'Opportunities'!$N$2:$N$1775,"=jun25",'Opportunities'!$Q$2:$Q$1775,"=1",'Opportunities'!$H$2:$H$1775,"&lt;&gt;")</f>
        <v>0</v>
      </c>
      <c r="F51" s="4">
        <f>COUNTIFS('Opportunities'!$C$2:$C$1775,"=r02",'Opportunities'!$N$2:$N$1775,"=jul25",'Opportunities'!$Q$2:$Q$1775,"=1",'Opportunities'!$H$2:$H$1775,"&lt;&gt;")</f>
        <v>0</v>
      </c>
      <c r="G51" s="4">
        <f>COUNTIFS('Opportunities'!$C$2:$C$1775,"=r02",'Opportunities'!$N$2:$N$1775,"=aug25",'Opportunities'!$Q$2:$Q$1775,"=1",'Opportunities'!$H$2:$H$1775,"&lt;&gt;")</f>
        <v>0</v>
      </c>
      <c r="H51" s="4">
        <f>COUNTIFS('Opportunities'!$C$2:$C$1775,"=r02",'Opportunities'!$N$2:$N$1775,"=sep25",'Opportunities'!$Q$2:$Q$1775,"=1",'Opportunities'!$H$2:$H$1775,"&lt;&gt;")</f>
        <v>0</v>
      </c>
      <c r="I51" s="4">
        <f>COUNTIFS('Opportunities'!$C$2:$C$1775,"=r02",'Opportunities'!$N$2:$N$1775,"=oct25",'Opportunities'!$Q$2:$Q$1775,"=1",'Opportunities'!$H$2:$H$1775,"&lt;&gt;")</f>
        <v>0</v>
      </c>
      <c r="J51" s="4">
        <f>COUNTIFS('Opportunities'!$C$2:$C$1775,"=r02",'Opportunities'!$N$2:$N$1775,"=nov25",'Opportunities'!$Q$2:$Q$1775,"=1",'Opportunities'!$H$2:$H$1775,"&lt;&gt;")</f>
        <v>0</v>
      </c>
      <c r="K51" s="4">
        <f>COUNTIFS('Opportunities'!$C$2:$C$1775,"=r02",'Opportunities'!$N$2:$N$1775,"=dec25",'Opportunities'!$Q$2:$Q$1775,"=1",'Opportunities'!$H$2:$H$1775,"&lt;&gt;")</f>
        <v>0</v>
      </c>
      <c r="L51" s="4">
        <f>COUNTIFS('Opportunities'!$C$2:$C$1775,"=r02",'Opportunities'!$N$2:$N$1775,"=jan26",'Opportunities'!$Q$2:$Q$1775,"=1",'Opportunities'!$H$2:$H$1775,"&lt;&gt;")</f>
        <v>0</v>
      </c>
      <c r="M51" s="4">
        <f>COUNTIFS('Opportunities'!$C$2:$C$1775,"=r02",'Opportunities'!$N$2:$N$1775,"=feb26",'Opportunities'!$Q$2:$Q$1775,"=1",'Opportunities'!$H$2:$H$1775,"&lt;&gt;")</f>
        <v>0</v>
      </c>
      <c r="N51" s="4">
        <f>COUNTIFS('Opportunities'!$C$2:$C$1775,"=r02",'Opportunities'!$N$2:$N$1775,"=mar26",'Opportunities'!$Q$2:$Q$1775,"=1",'Opportunities'!$H$2:$H$1775,"&lt;&gt;")</f>
        <v>0</v>
      </c>
      <c r="O51" s="4">
        <f>COUNTIFS('Opportunities'!$C$2:$C$1775,"=r02",'Opportunities'!$N$2:$N$1775,"=apr26",'Opportunities'!$Q$2:$Q$1775,"=1",'Opportunities'!$H$2:$H$1775,"&lt;&gt;")</f>
        <v>0</v>
      </c>
      <c r="P51" s="4">
        <f>COUNTIFS('Opportunities'!$C$2:$C$1775,"=r02",'Opportunities'!$N$2:$N$1775,"=may26",'Opportunities'!$Q$2:$Q$1775,"=1",'Opportunities'!$H$2:$H$1775,"&lt;&gt;")</f>
        <v>0</v>
      </c>
      <c r="Q51" s="4">
        <f>COUNTIFS('Opportunities'!$C$2:$C$1775,"=r02",'Opportunities'!$N$2:$N$1775,"=jun26",'Opportunities'!$Q$2:$Q$1775,"=1",'Opportunities'!$H$2:$H$1775,"&lt;&gt;")</f>
        <v>0</v>
      </c>
      <c r="R51" s="4">
        <f>COUNTIFS('Opportunities'!$C$2:$C$1775,"=r02",'Opportunities'!$N$2:$N$1775,"=jul26",'Opportunities'!$Q$2:$Q$1775,"=1",'Opportunities'!$H$2:$H$1775,"&lt;&gt;")</f>
        <v>0</v>
      </c>
      <c r="S51" s="4">
        <f>COUNTIFS('Opportunities'!$C$2:$C$1775,"=r02",'Opportunities'!$N$2:$N$1775,"=aug26",'Opportunities'!$Q$2:$Q$1775,"=1",'Opportunities'!$H$2:$H$1775,"&lt;&gt;")</f>
        <v>0</v>
      </c>
      <c r="T51" s="4">
        <f>COUNTIFS('Opportunities'!$C$2:$C$1775,"=r02",'Opportunities'!$N$2:$N$1775,"=sep26",'Opportunities'!$Q$2:$Q$1775,"=1",'Opportunities'!$H$2:$H$1775,"&lt;&gt;")</f>
        <v>0</v>
      </c>
      <c r="U51" s="4">
        <f>COUNTIFS('Opportunities'!$C$2:$C$1775,"=r02",'Opportunities'!$N$2:$N$1775,"=oct26",'Opportunities'!$Q$2:$Q$1775,"=1",'Opportunities'!$H$2:$H$1775,"&lt;&gt;")</f>
        <v>0</v>
      </c>
      <c r="V51" s="4">
        <f>COUNTIFS('Opportunities'!$C$2:$C$1775,"=r02",'Opportunities'!$N$2:$N$1775,"=nov26",'Opportunities'!$Q$2:$Q$1775,"=1",'Opportunities'!$H$2:$H$1775,"&lt;&gt;")</f>
        <v>0</v>
      </c>
      <c r="W51" s="4">
        <f>COUNTIFS('Opportunities'!$C$2:$C$1775,"=r02",'Opportunities'!$N$2:$N$1775,"=dec26",'Opportunities'!$Q$2:$Q$1775,"=1",'Opportunities'!$H$2:$H$1775,"&lt;&gt;")</f>
        <v>0</v>
      </c>
    </row>
    <row r="52">
      <c r="A52" s="0" t="inlineStr">
        <is>
          <t xml:space="preserve">Deals lost</t>
        </is>
      </c>
      <c r="B52" s="0" t="inlineStr">
        <is>
          <t xml:space="preserve">Marcus Schmidt</t>
        </is>
      </c>
      <c r="C52" s="4">
        <f>COUNTIFS('Opportunities'!$C$2:$C$1775,"=r03",'Opportunities'!$N$2:$N$1775,"=apr25",'Opportunities'!$Q$2:$Q$1775,"=1",'Opportunities'!$H$2:$H$1775,"&lt;&gt;")</f>
        <v>0</v>
      </c>
      <c r="D52" s="4">
        <f>COUNTIFS('Opportunities'!$C$2:$C$1775,"=r03",'Opportunities'!$N$2:$N$1775,"=may25",'Opportunities'!$Q$2:$Q$1775,"=1",'Opportunities'!$H$2:$H$1775,"&lt;&gt;")</f>
        <v>0</v>
      </c>
      <c r="E52" s="4">
        <f>COUNTIFS('Opportunities'!$C$2:$C$1775,"=r03",'Opportunities'!$N$2:$N$1775,"=jun25",'Opportunities'!$Q$2:$Q$1775,"=1",'Opportunities'!$H$2:$H$1775,"&lt;&gt;")</f>
        <v>0</v>
      </c>
      <c r="F52" s="4">
        <f>COUNTIFS('Opportunities'!$C$2:$C$1775,"=r03",'Opportunities'!$N$2:$N$1775,"=jul25",'Opportunities'!$Q$2:$Q$1775,"=1",'Opportunities'!$H$2:$H$1775,"&lt;&gt;")</f>
        <v>0</v>
      </c>
      <c r="G52" s="4">
        <f>COUNTIFS('Opportunities'!$C$2:$C$1775,"=r03",'Opportunities'!$N$2:$N$1775,"=aug25",'Opportunities'!$Q$2:$Q$1775,"=1",'Opportunities'!$H$2:$H$1775,"&lt;&gt;")</f>
        <v>0</v>
      </c>
      <c r="H52" s="4">
        <f>COUNTIFS('Opportunities'!$C$2:$C$1775,"=r03",'Opportunities'!$N$2:$N$1775,"=sep25",'Opportunities'!$Q$2:$Q$1775,"=1",'Opportunities'!$H$2:$H$1775,"&lt;&gt;")</f>
        <v>1</v>
      </c>
      <c r="I52" s="4">
        <f>COUNTIFS('Opportunities'!$C$2:$C$1775,"=r03",'Opportunities'!$N$2:$N$1775,"=oct25",'Opportunities'!$Q$2:$Q$1775,"=1",'Opportunities'!$H$2:$H$1775,"&lt;&gt;")</f>
        <v>1</v>
      </c>
      <c r="J52" s="4">
        <f>COUNTIFS('Opportunities'!$C$2:$C$1775,"=r03",'Opportunities'!$N$2:$N$1775,"=nov25",'Opportunities'!$Q$2:$Q$1775,"=1",'Opportunities'!$H$2:$H$1775,"&lt;&gt;")</f>
        <v>2</v>
      </c>
      <c r="K52" s="4">
        <f>COUNTIFS('Opportunities'!$C$2:$C$1775,"=r03",'Opportunities'!$N$2:$N$1775,"=dec25",'Opportunities'!$Q$2:$Q$1775,"=1",'Opportunities'!$H$2:$H$1775,"&lt;&gt;")</f>
        <v>1</v>
      </c>
      <c r="L52" s="4">
        <f>COUNTIFS('Opportunities'!$C$2:$C$1775,"=r03",'Opportunities'!$N$2:$N$1775,"=jan26",'Opportunities'!$Q$2:$Q$1775,"=1",'Opportunities'!$H$2:$H$1775,"&lt;&gt;")</f>
        <v>2</v>
      </c>
      <c r="M52" s="4">
        <f>COUNTIFS('Opportunities'!$C$2:$C$1775,"=r03",'Opportunities'!$N$2:$N$1775,"=feb26",'Opportunities'!$Q$2:$Q$1775,"=1",'Opportunities'!$H$2:$H$1775,"&lt;&gt;")</f>
        <v>5</v>
      </c>
      <c r="N52" s="4">
        <f>COUNTIFS('Opportunities'!$C$2:$C$1775,"=r03",'Opportunities'!$N$2:$N$1775,"=mar26",'Opportunities'!$Q$2:$Q$1775,"=1",'Opportunities'!$H$2:$H$1775,"&lt;&gt;")</f>
        <v>4</v>
      </c>
      <c r="O52" s="4">
        <f>COUNTIFS('Opportunities'!$C$2:$C$1775,"=r03",'Opportunities'!$N$2:$N$1775,"=apr26",'Opportunities'!$Q$2:$Q$1775,"=1",'Opportunities'!$H$2:$H$1775,"&lt;&gt;")</f>
        <v>0</v>
      </c>
      <c r="P52" s="4">
        <f>COUNTIFS('Opportunities'!$C$2:$C$1775,"=r03",'Opportunities'!$N$2:$N$1775,"=may26",'Opportunities'!$Q$2:$Q$1775,"=1",'Opportunities'!$H$2:$H$1775,"&lt;&gt;")</f>
        <v>5</v>
      </c>
      <c r="Q52" s="4">
        <f>COUNTIFS('Opportunities'!$C$2:$C$1775,"=r03",'Opportunities'!$N$2:$N$1775,"=jun26",'Opportunities'!$Q$2:$Q$1775,"=1",'Opportunities'!$H$2:$H$1775,"&lt;&gt;")</f>
        <v>10</v>
      </c>
      <c r="R52" s="4">
        <f>COUNTIFS('Opportunities'!$C$2:$C$1775,"=r03",'Opportunities'!$N$2:$N$1775,"=jul26",'Opportunities'!$Q$2:$Q$1775,"=1",'Opportunities'!$H$2:$H$1775,"&lt;&gt;")</f>
        <v>3</v>
      </c>
      <c r="S52" s="4">
        <f>COUNTIFS('Opportunities'!$C$2:$C$1775,"=r03",'Opportunities'!$N$2:$N$1775,"=aug26",'Opportunities'!$Q$2:$Q$1775,"=1",'Opportunities'!$H$2:$H$1775,"&lt;&gt;")</f>
        <v>4</v>
      </c>
      <c r="T52" s="4">
        <f>COUNTIFS('Opportunities'!$C$2:$C$1775,"=r03",'Opportunities'!$N$2:$N$1775,"=sep26",'Opportunities'!$Q$2:$Q$1775,"=1",'Opportunities'!$H$2:$H$1775,"&lt;&gt;")</f>
        <v>2</v>
      </c>
      <c r="U52" s="4">
        <f>COUNTIFS('Opportunities'!$C$2:$C$1775,"=r03",'Opportunities'!$N$2:$N$1775,"=oct26",'Opportunities'!$Q$2:$Q$1775,"=1",'Opportunities'!$H$2:$H$1775,"&lt;&gt;")</f>
        <v>0</v>
      </c>
      <c r="V52" s="4">
        <f>COUNTIFS('Opportunities'!$C$2:$C$1775,"=r03",'Opportunities'!$N$2:$N$1775,"=nov26",'Opportunities'!$Q$2:$Q$1775,"=1",'Opportunities'!$H$2:$H$1775,"&lt;&gt;")</f>
        <v>0</v>
      </c>
      <c r="W52" s="4">
        <f>COUNTIFS('Opportunities'!$C$2:$C$1775,"=r03",'Opportunities'!$N$2:$N$1775,"=dec26",'Opportunities'!$Q$2:$Q$1775,"=1",'Opportunities'!$H$2:$H$1775,"&lt;&gt;")</f>
        <v>0</v>
      </c>
    </row>
    <row r="53">
      <c r="A53" s="0" t="inlineStr">
        <is>
          <t xml:space="preserve">Deals lost</t>
        </is>
      </c>
      <c r="B53" s="0" t="inlineStr">
        <is>
          <t xml:space="preserve">Amara Haddad</t>
        </is>
      </c>
      <c r="C53" s="4">
        <f>COUNTIFS('Opportunities'!$C$2:$C$1775,"=r04",'Opportunities'!$N$2:$N$1775,"=apr25",'Opportunities'!$Q$2:$Q$1775,"=1",'Opportunities'!$H$2:$H$1775,"&lt;&gt;")</f>
        <v>1</v>
      </c>
      <c r="D53" s="4">
        <f>COUNTIFS('Opportunities'!$C$2:$C$1775,"=r04",'Opportunities'!$N$2:$N$1775,"=may25",'Opportunities'!$Q$2:$Q$1775,"=1",'Opportunities'!$H$2:$H$1775,"&lt;&gt;")</f>
        <v>2</v>
      </c>
      <c r="E53" s="4">
        <f>COUNTIFS('Opportunities'!$C$2:$C$1775,"=r04",'Opportunities'!$N$2:$N$1775,"=jun25",'Opportunities'!$Q$2:$Q$1775,"=1",'Opportunities'!$H$2:$H$1775,"&lt;&gt;")</f>
        <v>12</v>
      </c>
      <c r="F53" s="4">
        <f>COUNTIFS('Opportunities'!$C$2:$C$1775,"=r04",'Opportunities'!$N$2:$N$1775,"=jul25",'Opportunities'!$Q$2:$Q$1775,"=1",'Opportunities'!$H$2:$H$1775,"&lt;&gt;")</f>
        <v>7</v>
      </c>
      <c r="G53" s="4">
        <f>COUNTIFS('Opportunities'!$C$2:$C$1775,"=r04",'Opportunities'!$N$2:$N$1775,"=aug25",'Opportunities'!$Q$2:$Q$1775,"=1",'Opportunities'!$H$2:$H$1775,"&lt;&gt;")</f>
        <v>7</v>
      </c>
      <c r="H53" s="4">
        <f>COUNTIFS('Opportunities'!$C$2:$C$1775,"=r04",'Opportunities'!$N$2:$N$1775,"=sep25",'Opportunities'!$Q$2:$Q$1775,"=1",'Opportunities'!$H$2:$H$1775,"&lt;&gt;")</f>
        <v>10</v>
      </c>
      <c r="I53" s="4">
        <f>COUNTIFS('Opportunities'!$C$2:$C$1775,"=r04",'Opportunities'!$N$2:$N$1775,"=oct25",'Opportunities'!$Q$2:$Q$1775,"=1",'Opportunities'!$H$2:$H$1775,"&lt;&gt;")</f>
        <v>3</v>
      </c>
      <c r="J53" s="4">
        <f>COUNTIFS('Opportunities'!$C$2:$C$1775,"=r04",'Opportunities'!$N$2:$N$1775,"=nov25",'Opportunities'!$Q$2:$Q$1775,"=1",'Opportunities'!$H$2:$H$1775,"&lt;&gt;")</f>
        <v>1</v>
      </c>
      <c r="K53" s="4">
        <f>COUNTIFS('Opportunities'!$C$2:$C$1775,"=r04",'Opportunities'!$N$2:$N$1775,"=dec25",'Opportunities'!$Q$2:$Q$1775,"=1",'Opportunities'!$H$2:$H$1775,"&lt;&gt;")</f>
        <v>3</v>
      </c>
      <c r="L53" s="4">
        <f>COUNTIFS('Opportunities'!$C$2:$C$1775,"=r04",'Opportunities'!$N$2:$N$1775,"=jan26",'Opportunities'!$Q$2:$Q$1775,"=1",'Opportunities'!$H$2:$H$1775,"&lt;&gt;")</f>
        <v>4</v>
      </c>
      <c r="M53" s="4">
        <f>COUNTIFS('Opportunities'!$C$2:$C$1775,"=r04",'Opportunities'!$N$2:$N$1775,"=feb26",'Opportunities'!$Q$2:$Q$1775,"=1",'Opportunities'!$H$2:$H$1775,"&lt;&gt;")</f>
        <v>3</v>
      </c>
      <c r="N53" s="4">
        <f>COUNTIFS('Opportunities'!$C$2:$C$1775,"=r04",'Opportunities'!$N$2:$N$1775,"=mar26",'Opportunities'!$Q$2:$Q$1775,"=1",'Opportunities'!$H$2:$H$1775,"&lt;&gt;")</f>
        <v>5</v>
      </c>
      <c r="O53" s="4">
        <f>COUNTIFS('Opportunities'!$C$2:$C$1775,"=r04",'Opportunities'!$N$2:$N$1775,"=apr26",'Opportunities'!$Q$2:$Q$1775,"=1",'Opportunities'!$H$2:$H$1775,"&lt;&gt;")</f>
        <v>1</v>
      </c>
      <c r="P53" s="4">
        <f>COUNTIFS('Opportunities'!$C$2:$C$1775,"=r04",'Opportunities'!$N$2:$N$1775,"=may26",'Opportunities'!$Q$2:$Q$1775,"=1",'Opportunities'!$H$2:$H$1775,"&lt;&gt;")</f>
        <v>3</v>
      </c>
      <c r="Q53" s="4">
        <f>COUNTIFS('Opportunities'!$C$2:$C$1775,"=r04",'Opportunities'!$N$2:$N$1775,"=jun26",'Opportunities'!$Q$2:$Q$1775,"=1",'Opportunities'!$H$2:$H$1775,"&lt;&gt;")</f>
        <v>5</v>
      </c>
      <c r="R53" s="4">
        <f>COUNTIFS('Opportunities'!$C$2:$C$1775,"=r04",'Opportunities'!$N$2:$N$1775,"=jul26",'Opportunities'!$Q$2:$Q$1775,"=1",'Opportunities'!$H$2:$H$1775,"&lt;&gt;")</f>
        <v>3</v>
      </c>
      <c r="S53" s="4">
        <f>COUNTIFS('Opportunities'!$C$2:$C$1775,"=r04",'Opportunities'!$N$2:$N$1775,"=aug26",'Opportunities'!$Q$2:$Q$1775,"=1",'Opportunities'!$H$2:$H$1775,"&lt;&gt;")</f>
        <v>4</v>
      </c>
      <c r="T53" s="4">
        <f>COUNTIFS('Opportunities'!$C$2:$C$1775,"=r04",'Opportunities'!$N$2:$N$1775,"=sep26",'Opportunities'!$Q$2:$Q$1775,"=1",'Opportunities'!$H$2:$H$1775,"&lt;&gt;")</f>
        <v>1</v>
      </c>
      <c r="U53" s="4">
        <f>COUNTIFS('Opportunities'!$C$2:$C$1775,"=r04",'Opportunities'!$N$2:$N$1775,"=oct26",'Opportunities'!$Q$2:$Q$1775,"=1",'Opportunities'!$H$2:$H$1775,"&lt;&gt;")</f>
        <v>0</v>
      </c>
      <c r="V53" s="4">
        <f>COUNTIFS('Opportunities'!$C$2:$C$1775,"=r04",'Opportunities'!$N$2:$N$1775,"=nov26",'Opportunities'!$Q$2:$Q$1775,"=1",'Opportunities'!$H$2:$H$1775,"&lt;&gt;")</f>
        <v>0</v>
      </c>
      <c r="W53" s="4">
        <f>COUNTIFS('Opportunities'!$C$2:$C$1775,"=r04",'Opportunities'!$N$2:$N$1775,"=dec26",'Opportunities'!$Q$2:$Q$1775,"=1",'Opportunities'!$H$2:$H$1775,"&lt;&gt;")</f>
        <v>0</v>
      </c>
    </row>
    <row r="54">
      <c r="A54" s="0" t="inlineStr">
        <is>
          <t xml:space="preserve">Deals lost</t>
        </is>
      </c>
      <c r="B54" s="0" t="inlineStr">
        <is>
          <t xml:space="preserve">Fatima Silva</t>
        </is>
      </c>
      <c r="C54" s="4">
        <f>COUNTIFS('Opportunities'!$C$2:$C$1775,"=r05",'Opportunities'!$N$2:$N$1775,"=apr25",'Opportunities'!$Q$2:$Q$1775,"=1",'Opportunities'!$H$2:$H$1775,"&lt;&gt;")</f>
        <v>1</v>
      </c>
      <c r="D54" s="4">
        <f>COUNTIFS('Opportunities'!$C$2:$C$1775,"=r05",'Opportunities'!$N$2:$N$1775,"=may25",'Opportunities'!$Q$2:$Q$1775,"=1",'Opportunities'!$H$2:$H$1775,"&lt;&gt;")</f>
        <v>6</v>
      </c>
      <c r="E54" s="4">
        <f>COUNTIFS('Opportunities'!$C$2:$C$1775,"=r05",'Opportunities'!$N$2:$N$1775,"=jun25",'Opportunities'!$Q$2:$Q$1775,"=1",'Opportunities'!$H$2:$H$1775,"&lt;&gt;")</f>
        <v>15</v>
      </c>
      <c r="F54" s="4">
        <f>COUNTIFS('Opportunities'!$C$2:$C$1775,"=r05",'Opportunities'!$N$2:$N$1775,"=jul25",'Opportunities'!$Q$2:$Q$1775,"=1",'Opportunities'!$H$2:$H$1775,"&lt;&gt;")</f>
        <v>9</v>
      </c>
      <c r="G54" s="4">
        <f>COUNTIFS('Opportunities'!$C$2:$C$1775,"=r05",'Opportunities'!$N$2:$N$1775,"=aug25",'Opportunities'!$Q$2:$Q$1775,"=1",'Opportunities'!$H$2:$H$1775,"&lt;&gt;")</f>
        <v>2</v>
      </c>
      <c r="H54" s="4">
        <f>COUNTIFS('Opportunities'!$C$2:$C$1775,"=r05",'Opportunities'!$N$2:$N$1775,"=sep25",'Opportunities'!$Q$2:$Q$1775,"=1",'Opportunities'!$H$2:$H$1775,"&lt;&gt;")</f>
        <v>12</v>
      </c>
      <c r="I54" s="4">
        <f>COUNTIFS('Opportunities'!$C$2:$C$1775,"=r05",'Opportunities'!$N$2:$N$1775,"=oct25",'Opportunities'!$Q$2:$Q$1775,"=1",'Opportunities'!$H$2:$H$1775,"&lt;&gt;")</f>
        <v>1</v>
      </c>
      <c r="J54" s="4">
        <f>COUNTIFS('Opportunities'!$C$2:$C$1775,"=r05",'Opportunities'!$N$2:$N$1775,"=nov25",'Opportunities'!$Q$2:$Q$1775,"=1",'Opportunities'!$H$2:$H$1775,"&lt;&gt;")</f>
        <v>2</v>
      </c>
      <c r="K54" s="4">
        <f>COUNTIFS('Opportunities'!$C$2:$C$1775,"=r05",'Opportunities'!$N$2:$N$1775,"=dec25",'Opportunities'!$Q$2:$Q$1775,"=1",'Opportunities'!$H$2:$H$1775,"&lt;&gt;")</f>
        <v>4</v>
      </c>
      <c r="L54" s="4">
        <f>COUNTIFS('Opportunities'!$C$2:$C$1775,"=r05",'Opportunities'!$N$2:$N$1775,"=jan26",'Opportunities'!$Q$2:$Q$1775,"=1",'Opportunities'!$H$2:$H$1775,"&lt;&gt;")</f>
        <v>2</v>
      </c>
      <c r="M54" s="4">
        <f>COUNTIFS('Opportunities'!$C$2:$C$1775,"=r05",'Opportunities'!$N$2:$N$1775,"=feb26",'Opportunities'!$Q$2:$Q$1775,"=1",'Opportunities'!$H$2:$H$1775,"&lt;&gt;")</f>
        <v>5</v>
      </c>
      <c r="N54" s="4">
        <f>COUNTIFS('Opportunities'!$C$2:$C$1775,"=r05",'Opportunities'!$N$2:$N$1775,"=mar26",'Opportunities'!$Q$2:$Q$1775,"=1",'Opportunities'!$H$2:$H$1775,"&lt;&gt;")</f>
        <v>5</v>
      </c>
      <c r="O54" s="4">
        <f>COUNTIFS('Opportunities'!$C$2:$C$1775,"=r05",'Opportunities'!$N$2:$N$1775,"=apr26",'Opportunities'!$Q$2:$Q$1775,"=1",'Opportunities'!$H$2:$H$1775,"&lt;&gt;")</f>
        <v>9</v>
      </c>
      <c r="P54" s="4">
        <f>COUNTIFS('Opportunities'!$C$2:$C$1775,"=r05",'Opportunities'!$N$2:$N$1775,"=may26",'Opportunities'!$Q$2:$Q$1775,"=1",'Opportunities'!$H$2:$H$1775,"&lt;&gt;")</f>
        <v>5</v>
      </c>
      <c r="Q54" s="4">
        <f>COUNTIFS('Opportunities'!$C$2:$C$1775,"=r05",'Opportunities'!$N$2:$N$1775,"=jun26",'Opportunities'!$Q$2:$Q$1775,"=1",'Opportunities'!$H$2:$H$1775,"&lt;&gt;")</f>
        <v>9</v>
      </c>
      <c r="R54" s="4">
        <f>COUNTIFS('Opportunities'!$C$2:$C$1775,"=r05",'Opportunities'!$N$2:$N$1775,"=jul26",'Opportunities'!$Q$2:$Q$1775,"=1",'Opportunities'!$H$2:$H$1775,"&lt;&gt;")</f>
        <v>5</v>
      </c>
      <c r="S54" s="4">
        <f>COUNTIFS('Opportunities'!$C$2:$C$1775,"=r05",'Opportunities'!$N$2:$N$1775,"=aug26",'Opportunities'!$Q$2:$Q$1775,"=1",'Opportunities'!$H$2:$H$1775,"&lt;&gt;")</f>
        <v>3</v>
      </c>
      <c r="T54" s="4">
        <f>COUNTIFS('Opportunities'!$C$2:$C$1775,"=r05",'Opportunities'!$N$2:$N$1775,"=sep26",'Opportunities'!$Q$2:$Q$1775,"=1",'Opportunities'!$H$2:$H$1775,"&lt;&gt;")</f>
        <v>1</v>
      </c>
      <c r="U54" s="4">
        <f>COUNTIFS('Opportunities'!$C$2:$C$1775,"=r05",'Opportunities'!$N$2:$N$1775,"=oct26",'Opportunities'!$Q$2:$Q$1775,"=1",'Opportunities'!$H$2:$H$1775,"&lt;&gt;")</f>
        <v>0</v>
      </c>
      <c r="V54" s="4">
        <f>COUNTIFS('Opportunities'!$C$2:$C$1775,"=r05",'Opportunities'!$N$2:$N$1775,"=nov26",'Opportunities'!$Q$2:$Q$1775,"=1",'Opportunities'!$H$2:$H$1775,"&lt;&gt;")</f>
        <v>0</v>
      </c>
      <c r="W54" s="4">
        <f>COUNTIFS('Opportunities'!$C$2:$C$1775,"=r05",'Opportunities'!$N$2:$N$1775,"=dec26",'Opportunities'!$Q$2:$Q$1775,"=1",'Opportunities'!$H$2:$H$1775,"&lt;&gt;")</f>
        <v>0</v>
      </c>
    </row>
    <row r="55">
      <c r="A55" s="0" t="inlineStr">
        <is>
          <t xml:space="preserve">Deals lost</t>
        </is>
      </c>
      <c r="B55" s="0" t="inlineStr">
        <is>
          <t xml:space="preserve">Ana Ortiz</t>
        </is>
      </c>
      <c r="C55" s="4">
        <f>COUNTIFS('Opportunities'!$C$2:$C$1775,"=r06",'Opportunities'!$N$2:$N$1775,"=apr25",'Opportunities'!$Q$2:$Q$1775,"=1",'Opportunities'!$H$2:$H$1775,"&lt;&gt;")</f>
        <v>0</v>
      </c>
      <c r="D55" s="4">
        <f>COUNTIFS('Opportunities'!$C$2:$C$1775,"=r06",'Opportunities'!$N$2:$N$1775,"=may25",'Opportunities'!$Q$2:$Q$1775,"=1",'Opportunities'!$H$2:$H$1775,"&lt;&gt;")</f>
        <v>0</v>
      </c>
      <c r="E55" s="4">
        <f>COUNTIFS('Opportunities'!$C$2:$C$1775,"=r06",'Opportunities'!$N$2:$N$1775,"=jun25",'Opportunities'!$Q$2:$Q$1775,"=1",'Opportunities'!$H$2:$H$1775,"&lt;&gt;")</f>
        <v>3</v>
      </c>
      <c r="F55" s="4">
        <f>COUNTIFS('Opportunities'!$C$2:$C$1775,"=r06",'Opportunities'!$N$2:$N$1775,"=jul25",'Opportunities'!$Q$2:$Q$1775,"=1",'Opportunities'!$H$2:$H$1775,"&lt;&gt;")</f>
        <v>2</v>
      </c>
      <c r="G55" s="4">
        <f>COUNTIFS('Opportunities'!$C$2:$C$1775,"=r06",'Opportunities'!$N$2:$N$1775,"=aug25",'Opportunities'!$Q$2:$Q$1775,"=1",'Opportunities'!$H$2:$H$1775,"&lt;&gt;")</f>
        <v>7</v>
      </c>
      <c r="H55" s="4">
        <f>COUNTIFS('Opportunities'!$C$2:$C$1775,"=r06",'Opportunities'!$N$2:$N$1775,"=sep25",'Opportunities'!$Q$2:$Q$1775,"=1",'Opportunities'!$H$2:$H$1775,"&lt;&gt;")</f>
        <v>4</v>
      </c>
      <c r="I55" s="4">
        <f>COUNTIFS('Opportunities'!$C$2:$C$1775,"=r06",'Opportunities'!$N$2:$N$1775,"=oct25",'Opportunities'!$Q$2:$Q$1775,"=1",'Opportunities'!$H$2:$H$1775,"&lt;&gt;")</f>
        <v>3</v>
      </c>
      <c r="J55" s="4">
        <f>COUNTIFS('Opportunities'!$C$2:$C$1775,"=r06",'Opportunities'!$N$2:$N$1775,"=nov25",'Opportunities'!$Q$2:$Q$1775,"=1",'Opportunities'!$H$2:$H$1775,"&lt;&gt;")</f>
        <v>1</v>
      </c>
      <c r="K55" s="4">
        <f>COUNTIFS('Opportunities'!$C$2:$C$1775,"=r06",'Opportunities'!$N$2:$N$1775,"=dec25",'Opportunities'!$Q$2:$Q$1775,"=1",'Opportunities'!$H$2:$H$1775,"&lt;&gt;")</f>
        <v>5</v>
      </c>
      <c r="L55" s="4">
        <f>COUNTIFS('Opportunities'!$C$2:$C$1775,"=r06",'Opportunities'!$N$2:$N$1775,"=jan26",'Opportunities'!$Q$2:$Q$1775,"=1",'Opportunities'!$H$2:$H$1775,"&lt;&gt;")</f>
        <v>1</v>
      </c>
      <c r="M55" s="4">
        <f>COUNTIFS('Opportunities'!$C$2:$C$1775,"=r06",'Opportunities'!$N$2:$N$1775,"=feb26",'Opportunities'!$Q$2:$Q$1775,"=1",'Opportunities'!$H$2:$H$1775,"&lt;&gt;")</f>
        <v>0</v>
      </c>
      <c r="N55" s="4">
        <f>COUNTIFS('Opportunities'!$C$2:$C$1775,"=r06",'Opportunities'!$N$2:$N$1775,"=mar26",'Opportunities'!$Q$2:$Q$1775,"=1",'Opportunities'!$H$2:$H$1775,"&lt;&gt;")</f>
        <v>5</v>
      </c>
      <c r="O55" s="4">
        <f>COUNTIFS('Opportunities'!$C$2:$C$1775,"=r06",'Opportunities'!$N$2:$N$1775,"=apr26",'Opportunities'!$Q$2:$Q$1775,"=1",'Opportunities'!$H$2:$H$1775,"&lt;&gt;")</f>
        <v>6</v>
      </c>
      <c r="P55" s="4">
        <f>COUNTIFS('Opportunities'!$C$2:$C$1775,"=r06",'Opportunities'!$N$2:$N$1775,"=may26",'Opportunities'!$Q$2:$Q$1775,"=1",'Opportunities'!$H$2:$H$1775,"&lt;&gt;")</f>
        <v>4</v>
      </c>
      <c r="Q55" s="4">
        <f>COUNTIFS('Opportunities'!$C$2:$C$1775,"=r06",'Opportunities'!$N$2:$N$1775,"=jun26",'Opportunities'!$Q$2:$Q$1775,"=1",'Opportunities'!$H$2:$H$1775,"&lt;&gt;")</f>
        <v>7</v>
      </c>
      <c r="R55" s="4">
        <f>COUNTIFS('Opportunities'!$C$2:$C$1775,"=r06",'Opportunities'!$N$2:$N$1775,"=jul26",'Opportunities'!$Q$2:$Q$1775,"=1",'Opportunities'!$H$2:$H$1775,"&lt;&gt;")</f>
        <v>6</v>
      </c>
      <c r="S55" s="4">
        <f>COUNTIFS('Opportunities'!$C$2:$C$1775,"=r06",'Opportunities'!$N$2:$N$1775,"=aug26",'Opportunities'!$Q$2:$Q$1775,"=1",'Opportunities'!$H$2:$H$1775,"&lt;&gt;")</f>
        <v>5</v>
      </c>
      <c r="T55" s="4">
        <f>COUNTIFS('Opportunities'!$C$2:$C$1775,"=r06",'Opportunities'!$N$2:$N$1775,"=sep26",'Opportunities'!$Q$2:$Q$1775,"=1",'Opportunities'!$H$2:$H$1775,"&lt;&gt;")</f>
        <v>8</v>
      </c>
      <c r="U55" s="4">
        <f>COUNTIFS('Opportunities'!$C$2:$C$1775,"=r06",'Opportunities'!$N$2:$N$1775,"=oct26",'Opportunities'!$Q$2:$Q$1775,"=1",'Opportunities'!$H$2:$H$1775,"&lt;&gt;")</f>
        <v>0</v>
      </c>
      <c r="V55" s="4">
        <f>COUNTIFS('Opportunities'!$C$2:$C$1775,"=r06",'Opportunities'!$N$2:$N$1775,"=nov26",'Opportunities'!$Q$2:$Q$1775,"=1",'Opportunities'!$H$2:$H$1775,"&lt;&gt;")</f>
        <v>0</v>
      </c>
      <c r="W55" s="4">
        <f>COUNTIFS('Opportunities'!$C$2:$C$1775,"=r06",'Opportunities'!$N$2:$N$1775,"=dec26",'Opportunities'!$Q$2:$Q$1775,"=1",'Opportunities'!$H$2:$H$1775,"&lt;&gt;")</f>
        <v>0</v>
      </c>
    </row>
    <row r="56">
      <c r="A56" s="0" t="inlineStr">
        <is>
          <t xml:space="preserve">Deals lost</t>
        </is>
      </c>
      <c r="B56" s="0" t="inlineStr">
        <is>
          <t xml:space="preserve">Tobias Silva</t>
        </is>
      </c>
      <c r="C56" s="4">
        <f>COUNTIFS('Opportunities'!$C$2:$C$1775,"=r07",'Opportunities'!$N$2:$N$1775,"=apr25",'Opportunities'!$Q$2:$Q$1775,"=1",'Opportunities'!$H$2:$H$1775,"&lt;&gt;")</f>
        <v>0</v>
      </c>
      <c r="D56" s="4">
        <f>COUNTIFS('Opportunities'!$C$2:$C$1775,"=r07",'Opportunities'!$N$2:$N$1775,"=may25",'Opportunities'!$Q$2:$Q$1775,"=1",'Opportunities'!$H$2:$H$1775,"&lt;&gt;")</f>
        <v>0</v>
      </c>
      <c r="E56" s="4">
        <f>COUNTIFS('Opportunities'!$C$2:$C$1775,"=r07",'Opportunities'!$N$2:$N$1775,"=jun25",'Opportunities'!$Q$2:$Q$1775,"=1",'Opportunities'!$H$2:$H$1775,"&lt;&gt;")</f>
        <v>0</v>
      </c>
      <c r="F56" s="4">
        <f>COUNTIFS('Opportunities'!$C$2:$C$1775,"=r07",'Opportunities'!$N$2:$N$1775,"=jul25",'Opportunities'!$Q$2:$Q$1775,"=1",'Opportunities'!$H$2:$H$1775,"&lt;&gt;")</f>
        <v>2</v>
      </c>
      <c r="G56" s="4">
        <f>COUNTIFS('Opportunities'!$C$2:$C$1775,"=r07",'Opportunities'!$N$2:$N$1775,"=aug25",'Opportunities'!$Q$2:$Q$1775,"=1",'Opportunities'!$H$2:$H$1775,"&lt;&gt;")</f>
        <v>1</v>
      </c>
      <c r="H56" s="4">
        <f>COUNTIFS('Opportunities'!$C$2:$C$1775,"=r07",'Opportunities'!$N$2:$N$1775,"=sep25",'Opportunities'!$Q$2:$Q$1775,"=1",'Opportunities'!$H$2:$H$1775,"&lt;&gt;")</f>
        <v>0</v>
      </c>
      <c r="I56" s="4">
        <f>COUNTIFS('Opportunities'!$C$2:$C$1775,"=r07",'Opportunities'!$N$2:$N$1775,"=oct25",'Opportunities'!$Q$2:$Q$1775,"=1",'Opportunities'!$H$2:$H$1775,"&lt;&gt;")</f>
        <v>1</v>
      </c>
      <c r="J56" s="4">
        <f>COUNTIFS('Opportunities'!$C$2:$C$1775,"=r07",'Opportunities'!$N$2:$N$1775,"=nov25",'Opportunities'!$Q$2:$Q$1775,"=1",'Opportunities'!$H$2:$H$1775,"&lt;&gt;")</f>
        <v>0</v>
      </c>
      <c r="K56" s="4">
        <f>COUNTIFS('Opportunities'!$C$2:$C$1775,"=r07",'Opportunities'!$N$2:$N$1775,"=dec25",'Opportunities'!$Q$2:$Q$1775,"=1",'Opportunities'!$H$2:$H$1775,"&lt;&gt;")</f>
        <v>2</v>
      </c>
      <c r="L56" s="4">
        <f>COUNTIFS('Opportunities'!$C$2:$C$1775,"=r07",'Opportunities'!$N$2:$N$1775,"=jan26",'Opportunities'!$Q$2:$Q$1775,"=1",'Opportunities'!$H$2:$H$1775,"&lt;&gt;")</f>
        <v>1</v>
      </c>
      <c r="M56" s="4">
        <f>COUNTIFS('Opportunities'!$C$2:$C$1775,"=r07",'Opportunities'!$N$2:$N$1775,"=feb26",'Opportunities'!$Q$2:$Q$1775,"=1",'Opportunities'!$H$2:$H$1775,"&lt;&gt;")</f>
        <v>0</v>
      </c>
      <c r="N56" s="4">
        <f>COUNTIFS('Opportunities'!$C$2:$C$1775,"=r07",'Opportunities'!$N$2:$N$1775,"=mar26",'Opportunities'!$Q$2:$Q$1775,"=1",'Opportunities'!$H$2:$H$1775,"&lt;&gt;")</f>
        <v>3</v>
      </c>
      <c r="O56" s="4">
        <f>COUNTIFS('Opportunities'!$C$2:$C$1775,"=r07",'Opportunities'!$N$2:$N$1775,"=apr26",'Opportunities'!$Q$2:$Q$1775,"=1",'Opportunities'!$H$2:$H$1775,"&lt;&gt;")</f>
        <v>1</v>
      </c>
      <c r="P56" s="4">
        <f>COUNTIFS('Opportunities'!$C$2:$C$1775,"=r07",'Opportunities'!$N$2:$N$1775,"=may26",'Opportunities'!$Q$2:$Q$1775,"=1",'Opportunities'!$H$2:$H$1775,"&lt;&gt;")</f>
        <v>1</v>
      </c>
      <c r="Q56" s="4">
        <f>COUNTIFS('Opportunities'!$C$2:$C$1775,"=r07",'Opportunities'!$N$2:$N$1775,"=jun26",'Opportunities'!$Q$2:$Q$1775,"=1",'Opportunities'!$H$2:$H$1775,"&lt;&gt;")</f>
        <v>2</v>
      </c>
      <c r="R56" s="4">
        <f>COUNTIFS('Opportunities'!$C$2:$C$1775,"=r07",'Opportunities'!$N$2:$N$1775,"=jul26",'Opportunities'!$Q$2:$Q$1775,"=1",'Opportunities'!$H$2:$H$1775,"&lt;&gt;")</f>
        <v>1</v>
      </c>
      <c r="S56" s="4">
        <f>COUNTIFS('Opportunities'!$C$2:$C$1775,"=r07",'Opportunities'!$N$2:$N$1775,"=aug26",'Opportunities'!$Q$2:$Q$1775,"=1",'Opportunities'!$H$2:$H$1775,"&lt;&gt;")</f>
        <v>0</v>
      </c>
      <c r="T56" s="4">
        <f>COUNTIFS('Opportunities'!$C$2:$C$1775,"=r07",'Opportunities'!$N$2:$N$1775,"=sep26",'Opportunities'!$Q$2:$Q$1775,"=1",'Opportunities'!$H$2:$H$1775,"&lt;&gt;")</f>
        <v>0</v>
      </c>
      <c r="U56" s="4">
        <f>COUNTIFS('Opportunities'!$C$2:$C$1775,"=r07",'Opportunities'!$N$2:$N$1775,"=oct26",'Opportunities'!$Q$2:$Q$1775,"=1",'Opportunities'!$H$2:$H$1775,"&lt;&gt;")</f>
        <v>0</v>
      </c>
      <c r="V56" s="4">
        <f>COUNTIFS('Opportunities'!$C$2:$C$1775,"=r07",'Opportunities'!$N$2:$N$1775,"=nov26",'Opportunities'!$Q$2:$Q$1775,"=1",'Opportunities'!$H$2:$H$1775,"&lt;&gt;")</f>
        <v>0</v>
      </c>
      <c r="W56" s="4">
        <f>COUNTIFS('Opportunities'!$C$2:$C$1775,"=r07",'Opportunities'!$N$2:$N$1775,"=dec26",'Opportunities'!$Q$2:$Q$1775,"=1",'Opportunities'!$H$2:$H$1775,"&lt;&gt;")</f>
        <v>0</v>
      </c>
    </row>
    <row r="57">
      <c r="A57" s="0" t="inlineStr">
        <is>
          <t xml:space="preserve">Deals lost</t>
        </is>
      </c>
      <c r="B57" s="0" t="inlineStr">
        <is>
          <t xml:space="preserve">Leila Osei</t>
        </is>
      </c>
      <c r="C57" s="4">
        <f>COUNTIFS('Opportunities'!$C$2:$C$1775,"=r08",'Opportunities'!$N$2:$N$1775,"=apr25",'Opportunities'!$Q$2:$Q$1775,"=1",'Opportunities'!$H$2:$H$1775,"&lt;&gt;")</f>
        <v>0</v>
      </c>
      <c r="D57" s="4">
        <f>COUNTIFS('Opportunities'!$C$2:$C$1775,"=r08",'Opportunities'!$N$2:$N$1775,"=may25",'Opportunities'!$Q$2:$Q$1775,"=1",'Opportunities'!$H$2:$H$1775,"&lt;&gt;")</f>
        <v>0</v>
      </c>
      <c r="E57" s="4">
        <f>COUNTIFS('Opportunities'!$C$2:$C$1775,"=r08",'Opportunities'!$N$2:$N$1775,"=jun25",'Opportunities'!$Q$2:$Q$1775,"=1",'Opportunities'!$H$2:$H$1775,"&lt;&gt;")</f>
        <v>0</v>
      </c>
      <c r="F57" s="4">
        <f>COUNTIFS('Opportunities'!$C$2:$C$1775,"=r08",'Opportunities'!$N$2:$N$1775,"=jul25",'Opportunities'!$Q$2:$Q$1775,"=1",'Opportunities'!$H$2:$H$1775,"&lt;&gt;")</f>
        <v>1</v>
      </c>
      <c r="G57" s="4">
        <f>COUNTIFS('Opportunities'!$C$2:$C$1775,"=r08",'Opportunities'!$N$2:$N$1775,"=aug25",'Opportunities'!$Q$2:$Q$1775,"=1",'Opportunities'!$H$2:$H$1775,"&lt;&gt;")</f>
        <v>0</v>
      </c>
      <c r="H57" s="4">
        <f>COUNTIFS('Opportunities'!$C$2:$C$1775,"=r08",'Opportunities'!$N$2:$N$1775,"=sep25",'Opportunities'!$Q$2:$Q$1775,"=1",'Opportunities'!$H$2:$H$1775,"&lt;&gt;")</f>
        <v>0</v>
      </c>
      <c r="I57" s="4">
        <f>COUNTIFS('Opportunities'!$C$2:$C$1775,"=r08",'Opportunities'!$N$2:$N$1775,"=oct25",'Opportunities'!$Q$2:$Q$1775,"=1",'Opportunities'!$H$2:$H$1775,"&lt;&gt;")</f>
        <v>0</v>
      </c>
      <c r="J57" s="4">
        <f>COUNTIFS('Opportunities'!$C$2:$C$1775,"=r08",'Opportunities'!$N$2:$N$1775,"=nov25",'Opportunities'!$Q$2:$Q$1775,"=1",'Opportunities'!$H$2:$H$1775,"&lt;&gt;")</f>
        <v>0</v>
      </c>
      <c r="K57" s="4">
        <f>COUNTIFS('Opportunities'!$C$2:$C$1775,"=r08",'Opportunities'!$N$2:$N$1775,"=dec25",'Opportunities'!$Q$2:$Q$1775,"=1",'Opportunities'!$H$2:$H$1775,"&lt;&gt;")</f>
        <v>1</v>
      </c>
      <c r="L57" s="4">
        <f>COUNTIFS('Opportunities'!$C$2:$C$1775,"=r08",'Opportunities'!$N$2:$N$1775,"=jan26",'Opportunities'!$Q$2:$Q$1775,"=1",'Opportunities'!$H$2:$H$1775,"&lt;&gt;")</f>
        <v>0</v>
      </c>
      <c r="M57" s="4">
        <f>COUNTIFS('Opportunities'!$C$2:$C$1775,"=r08",'Opportunities'!$N$2:$N$1775,"=feb26",'Opportunities'!$Q$2:$Q$1775,"=1",'Opportunities'!$H$2:$H$1775,"&lt;&gt;")</f>
        <v>0</v>
      </c>
      <c r="N57" s="4">
        <f>COUNTIFS('Opportunities'!$C$2:$C$1775,"=r08",'Opportunities'!$N$2:$N$1775,"=mar26",'Opportunities'!$Q$2:$Q$1775,"=1",'Opportunities'!$H$2:$H$1775,"&lt;&gt;")</f>
        <v>5</v>
      </c>
      <c r="O57" s="4">
        <f>COUNTIFS('Opportunities'!$C$2:$C$1775,"=r08",'Opportunities'!$N$2:$N$1775,"=apr26",'Opportunities'!$Q$2:$Q$1775,"=1",'Opportunities'!$H$2:$H$1775,"&lt;&gt;")</f>
        <v>0</v>
      </c>
      <c r="P57" s="4">
        <f>COUNTIFS('Opportunities'!$C$2:$C$1775,"=r08",'Opportunities'!$N$2:$N$1775,"=may26",'Opportunities'!$Q$2:$Q$1775,"=1",'Opportunities'!$H$2:$H$1775,"&lt;&gt;")</f>
        <v>2</v>
      </c>
      <c r="Q57" s="4">
        <f>COUNTIFS('Opportunities'!$C$2:$C$1775,"=r08",'Opportunities'!$N$2:$N$1775,"=jun26",'Opportunities'!$Q$2:$Q$1775,"=1",'Opportunities'!$H$2:$H$1775,"&lt;&gt;")</f>
        <v>3</v>
      </c>
      <c r="R57" s="4">
        <f>COUNTIFS('Opportunities'!$C$2:$C$1775,"=r08",'Opportunities'!$N$2:$N$1775,"=jul26",'Opportunities'!$Q$2:$Q$1775,"=1",'Opportunities'!$H$2:$H$1775,"&lt;&gt;")</f>
        <v>1</v>
      </c>
      <c r="S57" s="4">
        <f>COUNTIFS('Opportunities'!$C$2:$C$1775,"=r08",'Opportunities'!$N$2:$N$1775,"=aug26",'Opportunities'!$Q$2:$Q$1775,"=1",'Opportunities'!$H$2:$H$1775,"&lt;&gt;")</f>
        <v>1</v>
      </c>
      <c r="T57" s="4">
        <f>COUNTIFS('Opportunities'!$C$2:$C$1775,"=r08",'Opportunities'!$N$2:$N$1775,"=sep26",'Opportunities'!$Q$2:$Q$1775,"=1",'Opportunities'!$H$2:$H$1775,"&lt;&gt;")</f>
        <v>1</v>
      </c>
      <c r="U57" s="4">
        <f>COUNTIFS('Opportunities'!$C$2:$C$1775,"=r08",'Opportunities'!$N$2:$N$1775,"=oct26",'Opportunities'!$Q$2:$Q$1775,"=1",'Opportunities'!$H$2:$H$1775,"&lt;&gt;")</f>
        <v>0</v>
      </c>
      <c r="V57" s="4">
        <f>COUNTIFS('Opportunities'!$C$2:$C$1775,"=r08",'Opportunities'!$N$2:$N$1775,"=nov26",'Opportunities'!$Q$2:$Q$1775,"=1",'Opportunities'!$H$2:$H$1775,"&lt;&gt;")</f>
        <v>0</v>
      </c>
      <c r="W57" s="4">
        <f>COUNTIFS('Opportunities'!$C$2:$C$1775,"=r08",'Opportunities'!$N$2:$N$1775,"=dec26",'Opportunities'!$Q$2:$Q$1775,"=1",'Opportunities'!$H$2:$H$1775,"&lt;&gt;")</f>
        <v>0</v>
      </c>
    </row>
    <row r="58">
      <c r="A58" s="0" t="inlineStr">
        <is>
          <t xml:space="preserve">Deals lost</t>
        </is>
      </c>
      <c r="B58" s="0" t="inlineStr">
        <is>
          <t xml:space="preserve">Grace Costa</t>
        </is>
      </c>
      <c r="C58" s="4">
        <f>COUNTIFS('Opportunities'!$C$2:$C$1775,"=r09",'Opportunities'!$N$2:$N$1775,"=apr25",'Opportunities'!$Q$2:$Q$1775,"=1",'Opportunities'!$H$2:$H$1775,"&lt;&gt;")</f>
        <v>0</v>
      </c>
      <c r="D58" s="4">
        <f>COUNTIFS('Opportunities'!$C$2:$C$1775,"=r09",'Opportunities'!$N$2:$N$1775,"=may25",'Opportunities'!$Q$2:$Q$1775,"=1",'Opportunities'!$H$2:$H$1775,"&lt;&gt;")</f>
        <v>2</v>
      </c>
      <c r="E58" s="4">
        <f>COUNTIFS('Opportunities'!$C$2:$C$1775,"=r09",'Opportunities'!$N$2:$N$1775,"=jun25",'Opportunities'!$Q$2:$Q$1775,"=1",'Opportunities'!$H$2:$H$1775,"&lt;&gt;")</f>
        <v>3</v>
      </c>
      <c r="F58" s="4">
        <f>COUNTIFS('Opportunities'!$C$2:$C$1775,"=r09",'Opportunities'!$N$2:$N$1775,"=jul25",'Opportunities'!$Q$2:$Q$1775,"=1",'Opportunities'!$H$2:$H$1775,"&lt;&gt;")</f>
        <v>6</v>
      </c>
      <c r="G58" s="4">
        <f>COUNTIFS('Opportunities'!$C$2:$C$1775,"=r09",'Opportunities'!$N$2:$N$1775,"=aug25",'Opportunities'!$Q$2:$Q$1775,"=1",'Opportunities'!$H$2:$H$1775,"&lt;&gt;")</f>
        <v>7</v>
      </c>
      <c r="H58" s="4">
        <f>COUNTIFS('Opportunities'!$C$2:$C$1775,"=r09",'Opportunities'!$N$2:$N$1775,"=sep25",'Opportunities'!$Q$2:$Q$1775,"=1",'Opportunities'!$H$2:$H$1775,"&lt;&gt;")</f>
        <v>11</v>
      </c>
      <c r="I58" s="4">
        <f>COUNTIFS('Opportunities'!$C$2:$C$1775,"=r09",'Opportunities'!$N$2:$N$1775,"=oct25",'Opportunities'!$Q$2:$Q$1775,"=1",'Opportunities'!$H$2:$H$1775,"&lt;&gt;")</f>
        <v>3</v>
      </c>
      <c r="J58" s="4">
        <f>COUNTIFS('Opportunities'!$C$2:$C$1775,"=r09",'Opportunities'!$N$2:$N$1775,"=nov25",'Opportunities'!$Q$2:$Q$1775,"=1",'Opportunities'!$H$2:$H$1775,"&lt;&gt;")</f>
        <v>5</v>
      </c>
      <c r="K58" s="4">
        <f>COUNTIFS('Opportunities'!$C$2:$C$1775,"=r09",'Opportunities'!$N$2:$N$1775,"=dec25",'Opportunities'!$Q$2:$Q$1775,"=1",'Opportunities'!$H$2:$H$1775,"&lt;&gt;")</f>
        <v>10</v>
      </c>
      <c r="L58" s="4">
        <f>COUNTIFS('Opportunities'!$C$2:$C$1775,"=r09",'Opportunities'!$N$2:$N$1775,"=jan26",'Opportunities'!$Q$2:$Q$1775,"=1",'Opportunities'!$H$2:$H$1775,"&lt;&gt;")</f>
        <v>7</v>
      </c>
      <c r="M58" s="4">
        <f>COUNTIFS('Opportunities'!$C$2:$C$1775,"=r09",'Opportunities'!$N$2:$N$1775,"=feb26",'Opportunities'!$Q$2:$Q$1775,"=1",'Opportunities'!$H$2:$H$1775,"&lt;&gt;")</f>
        <v>7</v>
      </c>
      <c r="N58" s="4">
        <f>COUNTIFS('Opportunities'!$C$2:$C$1775,"=r09",'Opportunities'!$N$2:$N$1775,"=mar26",'Opportunities'!$Q$2:$Q$1775,"=1",'Opportunities'!$H$2:$H$1775,"&lt;&gt;")</f>
        <v>12</v>
      </c>
      <c r="O58" s="4">
        <f>COUNTIFS('Opportunities'!$C$2:$C$1775,"=r09",'Opportunities'!$N$2:$N$1775,"=apr26",'Opportunities'!$Q$2:$Q$1775,"=1",'Opportunities'!$H$2:$H$1775,"&lt;&gt;")</f>
        <v>2</v>
      </c>
      <c r="P58" s="4">
        <f>COUNTIFS('Opportunities'!$C$2:$C$1775,"=r09",'Opportunities'!$N$2:$N$1775,"=may26",'Opportunities'!$Q$2:$Q$1775,"=1",'Opportunities'!$H$2:$H$1775,"&lt;&gt;")</f>
        <v>3</v>
      </c>
      <c r="Q58" s="4">
        <f>COUNTIFS('Opportunities'!$C$2:$C$1775,"=r09",'Opportunities'!$N$2:$N$1775,"=jun26",'Opportunities'!$Q$2:$Q$1775,"=1",'Opportunities'!$H$2:$H$1775,"&lt;&gt;")</f>
        <v>5</v>
      </c>
      <c r="R58" s="4">
        <f>COUNTIFS('Opportunities'!$C$2:$C$1775,"=r09",'Opportunities'!$N$2:$N$1775,"=jul26",'Opportunities'!$Q$2:$Q$1775,"=1",'Opportunities'!$H$2:$H$1775,"&lt;&gt;")</f>
        <v>7</v>
      </c>
      <c r="S58" s="4">
        <f>COUNTIFS('Opportunities'!$C$2:$C$1775,"=r09",'Opportunities'!$N$2:$N$1775,"=aug26",'Opportunities'!$Q$2:$Q$1775,"=1",'Opportunities'!$H$2:$H$1775,"&lt;&gt;")</f>
        <v>7</v>
      </c>
      <c r="T58" s="4">
        <f>COUNTIFS('Opportunities'!$C$2:$C$1775,"=r09",'Opportunities'!$N$2:$N$1775,"=sep26",'Opportunities'!$Q$2:$Q$1775,"=1",'Opportunities'!$H$2:$H$1775,"&lt;&gt;")</f>
        <v>2</v>
      </c>
      <c r="U58" s="4">
        <f>COUNTIFS('Opportunities'!$C$2:$C$1775,"=r09",'Opportunities'!$N$2:$N$1775,"=oct26",'Opportunities'!$Q$2:$Q$1775,"=1",'Opportunities'!$H$2:$H$1775,"&lt;&gt;")</f>
        <v>0</v>
      </c>
      <c r="V58" s="4">
        <f>COUNTIFS('Opportunities'!$C$2:$C$1775,"=r09",'Opportunities'!$N$2:$N$1775,"=nov26",'Opportunities'!$Q$2:$Q$1775,"=1",'Opportunities'!$H$2:$H$1775,"&lt;&gt;")</f>
        <v>0</v>
      </c>
      <c r="W58" s="4">
        <f>COUNTIFS('Opportunities'!$C$2:$C$1775,"=r09",'Opportunities'!$N$2:$N$1775,"=dec26",'Opportunities'!$Q$2:$Q$1775,"=1",'Opportunities'!$H$2:$H$1775,"&lt;&gt;")</f>
        <v>0</v>
      </c>
    </row>
    <row r="59">
      <c r="A59" s="0" t="inlineStr">
        <is>
          <t xml:space="preserve">Deals lost</t>
        </is>
      </c>
      <c r="B59" s="0" t="inlineStr">
        <is>
          <t xml:space="preserve">Ingrid Müller</t>
        </is>
      </c>
      <c r="C59" s="4">
        <f>COUNTIFS('Opportunities'!$C$2:$C$1775,"=r10",'Opportunities'!$N$2:$N$1775,"=apr25",'Opportunities'!$Q$2:$Q$1775,"=1",'Opportunities'!$H$2:$H$1775,"&lt;&gt;")</f>
        <v>0</v>
      </c>
      <c r="D59" s="4">
        <f>COUNTIFS('Opportunities'!$C$2:$C$1775,"=r10",'Opportunities'!$N$2:$N$1775,"=may25",'Opportunities'!$Q$2:$Q$1775,"=1",'Opportunities'!$H$2:$H$1775,"&lt;&gt;")</f>
        <v>0</v>
      </c>
      <c r="E59" s="4">
        <f>COUNTIFS('Opportunities'!$C$2:$C$1775,"=r10",'Opportunities'!$N$2:$N$1775,"=jun25",'Opportunities'!$Q$2:$Q$1775,"=1",'Opportunities'!$H$2:$H$1775,"&lt;&gt;")</f>
        <v>0</v>
      </c>
      <c r="F59" s="4">
        <f>COUNTIFS('Opportunities'!$C$2:$C$1775,"=r10",'Opportunities'!$N$2:$N$1775,"=jul25",'Opportunities'!$Q$2:$Q$1775,"=1",'Opportunities'!$H$2:$H$1775,"&lt;&gt;")</f>
        <v>0</v>
      </c>
      <c r="G59" s="4">
        <f>COUNTIFS('Opportunities'!$C$2:$C$1775,"=r10",'Opportunities'!$N$2:$N$1775,"=aug25",'Opportunities'!$Q$2:$Q$1775,"=1",'Opportunities'!$H$2:$H$1775,"&lt;&gt;")</f>
        <v>0</v>
      </c>
      <c r="H59" s="4">
        <f>COUNTIFS('Opportunities'!$C$2:$C$1775,"=r10",'Opportunities'!$N$2:$N$1775,"=sep25",'Opportunities'!$Q$2:$Q$1775,"=1",'Opportunities'!$H$2:$H$1775,"&lt;&gt;")</f>
        <v>0</v>
      </c>
      <c r="I59" s="4">
        <f>COUNTIFS('Opportunities'!$C$2:$C$1775,"=r10",'Opportunities'!$N$2:$N$1775,"=oct25",'Opportunities'!$Q$2:$Q$1775,"=1",'Opportunities'!$H$2:$H$1775,"&lt;&gt;")</f>
        <v>0</v>
      </c>
      <c r="J59" s="4">
        <f>COUNTIFS('Opportunities'!$C$2:$C$1775,"=r10",'Opportunities'!$N$2:$N$1775,"=nov25",'Opportunities'!$Q$2:$Q$1775,"=1",'Opportunities'!$H$2:$H$1775,"&lt;&gt;")</f>
        <v>0</v>
      </c>
      <c r="K59" s="4">
        <f>COUNTIFS('Opportunities'!$C$2:$C$1775,"=r10",'Opportunities'!$N$2:$N$1775,"=dec25",'Opportunities'!$Q$2:$Q$1775,"=1",'Opportunities'!$H$2:$H$1775,"&lt;&gt;")</f>
        <v>0</v>
      </c>
      <c r="L59" s="4">
        <f>COUNTIFS('Opportunities'!$C$2:$C$1775,"=r10",'Opportunities'!$N$2:$N$1775,"=jan26",'Opportunities'!$Q$2:$Q$1775,"=1",'Opportunities'!$H$2:$H$1775,"&lt;&gt;")</f>
        <v>0</v>
      </c>
      <c r="M59" s="4">
        <f>COUNTIFS('Opportunities'!$C$2:$C$1775,"=r10",'Opportunities'!$N$2:$N$1775,"=feb26",'Opportunities'!$Q$2:$Q$1775,"=1",'Opportunities'!$H$2:$H$1775,"&lt;&gt;")</f>
        <v>0</v>
      </c>
      <c r="N59" s="4">
        <f>COUNTIFS('Opportunities'!$C$2:$C$1775,"=r10",'Opportunities'!$N$2:$N$1775,"=mar26",'Opportunities'!$Q$2:$Q$1775,"=1",'Opportunities'!$H$2:$H$1775,"&lt;&gt;")</f>
        <v>1</v>
      </c>
      <c r="O59" s="4">
        <f>COUNTIFS('Opportunities'!$C$2:$C$1775,"=r10",'Opportunities'!$N$2:$N$1775,"=apr26",'Opportunities'!$Q$2:$Q$1775,"=1",'Opportunities'!$H$2:$H$1775,"&lt;&gt;")</f>
        <v>2</v>
      </c>
      <c r="P59" s="4">
        <f>COUNTIFS('Opportunities'!$C$2:$C$1775,"=r10",'Opportunities'!$N$2:$N$1775,"=may26",'Opportunities'!$Q$2:$Q$1775,"=1",'Opportunities'!$H$2:$H$1775,"&lt;&gt;")</f>
        <v>2</v>
      </c>
      <c r="Q59" s="4">
        <f>COUNTIFS('Opportunities'!$C$2:$C$1775,"=r10",'Opportunities'!$N$2:$N$1775,"=jun26",'Opportunities'!$Q$2:$Q$1775,"=1",'Opportunities'!$H$2:$H$1775,"&lt;&gt;")</f>
        <v>2</v>
      </c>
      <c r="R59" s="4">
        <f>COUNTIFS('Opportunities'!$C$2:$C$1775,"=r10",'Opportunities'!$N$2:$N$1775,"=jul26",'Opportunities'!$Q$2:$Q$1775,"=1",'Opportunities'!$H$2:$H$1775,"&lt;&gt;")</f>
        <v>0</v>
      </c>
      <c r="S59" s="4">
        <f>COUNTIFS('Opportunities'!$C$2:$C$1775,"=r10",'Opportunities'!$N$2:$N$1775,"=aug26",'Opportunities'!$Q$2:$Q$1775,"=1",'Opportunities'!$H$2:$H$1775,"&lt;&gt;")</f>
        <v>0</v>
      </c>
      <c r="T59" s="4">
        <f>COUNTIFS('Opportunities'!$C$2:$C$1775,"=r10",'Opportunities'!$N$2:$N$1775,"=sep26",'Opportunities'!$Q$2:$Q$1775,"=1",'Opportunities'!$H$2:$H$1775,"&lt;&gt;")</f>
        <v>1</v>
      </c>
      <c r="U59" s="4">
        <f>COUNTIFS('Opportunities'!$C$2:$C$1775,"=r10",'Opportunities'!$N$2:$N$1775,"=oct26",'Opportunities'!$Q$2:$Q$1775,"=1",'Opportunities'!$H$2:$H$1775,"&lt;&gt;")</f>
        <v>0</v>
      </c>
      <c r="V59" s="4">
        <f>COUNTIFS('Opportunities'!$C$2:$C$1775,"=r10",'Opportunities'!$N$2:$N$1775,"=nov26",'Opportunities'!$Q$2:$Q$1775,"=1",'Opportunities'!$H$2:$H$1775,"&lt;&gt;")</f>
        <v>0</v>
      </c>
      <c r="W59" s="4">
        <f>COUNTIFS('Opportunities'!$C$2:$C$1775,"=r10",'Opportunities'!$N$2:$N$1775,"=dec26",'Opportunities'!$Q$2:$Q$1775,"=1",'Opportunities'!$H$2:$H$1775,"&lt;&gt;")</f>
        <v>0</v>
      </c>
    </row>
    <row r="60">
      <c r="A60" s="0" t="inlineStr">
        <is>
          <t xml:space="preserve">Deals lost</t>
        </is>
      </c>
      <c r="B60" s="0" t="inlineStr">
        <is>
          <t xml:space="preserve">Ingrid Kim</t>
        </is>
      </c>
      <c r="C60" s="4">
        <f>COUNTIFS('Opportunities'!$C$2:$C$1775,"=r11",'Opportunities'!$N$2:$N$1775,"=apr25",'Opportunities'!$Q$2:$Q$1775,"=1",'Opportunities'!$H$2:$H$1775,"&lt;&gt;")</f>
        <v>0</v>
      </c>
      <c r="D60" s="4">
        <f>COUNTIFS('Opportunities'!$C$2:$C$1775,"=r11",'Opportunities'!$N$2:$N$1775,"=may25",'Opportunities'!$Q$2:$Q$1775,"=1",'Opportunities'!$H$2:$H$1775,"&lt;&gt;")</f>
        <v>3</v>
      </c>
      <c r="E60" s="4">
        <f>COUNTIFS('Opportunities'!$C$2:$C$1775,"=r11",'Opportunities'!$N$2:$N$1775,"=jun25",'Opportunities'!$Q$2:$Q$1775,"=1",'Opportunities'!$H$2:$H$1775,"&lt;&gt;")</f>
        <v>5</v>
      </c>
      <c r="F60" s="4">
        <f>COUNTIFS('Opportunities'!$C$2:$C$1775,"=r11",'Opportunities'!$N$2:$N$1775,"=jul25",'Opportunities'!$Q$2:$Q$1775,"=1",'Opportunities'!$H$2:$H$1775,"&lt;&gt;")</f>
        <v>6</v>
      </c>
      <c r="G60" s="4">
        <f>COUNTIFS('Opportunities'!$C$2:$C$1775,"=r11",'Opportunities'!$N$2:$N$1775,"=aug25",'Opportunities'!$Q$2:$Q$1775,"=1",'Opportunities'!$H$2:$H$1775,"&lt;&gt;")</f>
        <v>3</v>
      </c>
      <c r="H60" s="4">
        <f>COUNTIFS('Opportunities'!$C$2:$C$1775,"=r11",'Opportunities'!$N$2:$N$1775,"=sep25",'Opportunities'!$Q$2:$Q$1775,"=1",'Opportunities'!$H$2:$H$1775,"&lt;&gt;")</f>
        <v>2</v>
      </c>
      <c r="I60" s="4">
        <f>COUNTIFS('Opportunities'!$C$2:$C$1775,"=r11",'Opportunities'!$N$2:$N$1775,"=oct25",'Opportunities'!$Q$2:$Q$1775,"=1",'Opportunities'!$H$2:$H$1775,"&lt;&gt;")</f>
        <v>3</v>
      </c>
      <c r="J60" s="4">
        <f>COUNTIFS('Opportunities'!$C$2:$C$1775,"=r11",'Opportunities'!$N$2:$N$1775,"=nov25",'Opportunities'!$Q$2:$Q$1775,"=1",'Opportunities'!$H$2:$H$1775,"&lt;&gt;")</f>
        <v>3</v>
      </c>
      <c r="K60" s="4">
        <f>COUNTIFS('Opportunities'!$C$2:$C$1775,"=r11",'Opportunities'!$N$2:$N$1775,"=dec25",'Opportunities'!$Q$2:$Q$1775,"=1",'Opportunities'!$H$2:$H$1775,"&lt;&gt;")</f>
        <v>4</v>
      </c>
      <c r="L60" s="4">
        <f>COUNTIFS('Opportunities'!$C$2:$C$1775,"=r11",'Opportunities'!$N$2:$N$1775,"=jan26",'Opportunities'!$Q$2:$Q$1775,"=1",'Opportunities'!$H$2:$H$1775,"&lt;&gt;")</f>
        <v>1</v>
      </c>
      <c r="M60" s="4">
        <f>COUNTIFS('Opportunities'!$C$2:$C$1775,"=r11",'Opportunities'!$N$2:$N$1775,"=feb26",'Opportunities'!$Q$2:$Q$1775,"=1",'Opportunities'!$H$2:$H$1775,"&lt;&gt;")</f>
        <v>3</v>
      </c>
      <c r="N60" s="4">
        <f>COUNTIFS('Opportunities'!$C$2:$C$1775,"=r11",'Opportunities'!$N$2:$N$1775,"=mar26",'Opportunities'!$Q$2:$Q$1775,"=1",'Opportunities'!$H$2:$H$1775,"&lt;&gt;")</f>
        <v>6</v>
      </c>
      <c r="O60" s="4">
        <f>COUNTIFS('Opportunities'!$C$2:$C$1775,"=r11",'Opportunities'!$N$2:$N$1775,"=apr26",'Opportunities'!$Q$2:$Q$1775,"=1",'Opportunities'!$H$2:$H$1775,"&lt;&gt;")</f>
        <v>1</v>
      </c>
      <c r="P60" s="4">
        <f>COUNTIFS('Opportunities'!$C$2:$C$1775,"=r11",'Opportunities'!$N$2:$N$1775,"=may26",'Opportunities'!$Q$2:$Q$1775,"=1",'Opportunities'!$H$2:$H$1775,"&lt;&gt;")</f>
        <v>4</v>
      </c>
      <c r="Q60" s="4">
        <f>COUNTIFS('Opportunities'!$C$2:$C$1775,"=r11",'Opportunities'!$N$2:$N$1775,"=jun26",'Opportunities'!$Q$2:$Q$1775,"=1",'Opportunities'!$H$2:$H$1775,"&lt;&gt;")</f>
        <v>5</v>
      </c>
      <c r="R60" s="4">
        <f>COUNTIFS('Opportunities'!$C$2:$C$1775,"=r11",'Opportunities'!$N$2:$N$1775,"=jul26",'Opportunities'!$Q$2:$Q$1775,"=1",'Opportunities'!$H$2:$H$1775,"&lt;&gt;")</f>
        <v>3</v>
      </c>
      <c r="S60" s="4">
        <f>COUNTIFS('Opportunities'!$C$2:$C$1775,"=r11",'Opportunities'!$N$2:$N$1775,"=aug26",'Opportunities'!$Q$2:$Q$1775,"=1",'Opportunities'!$H$2:$H$1775,"&lt;&gt;")</f>
        <v>5</v>
      </c>
      <c r="T60" s="4">
        <f>COUNTIFS('Opportunities'!$C$2:$C$1775,"=r11",'Opportunities'!$N$2:$N$1775,"=sep26",'Opportunities'!$Q$2:$Q$1775,"=1",'Opportunities'!$H$2:$H$1775,"&lt;&gt;")</f>
        <v>2</v>
      </c>
      <c r="U60" s="4">
        <f>COUNTIFS('Opportunities'!$C$2:$C$1775,"=r11",'Opportunities'!$N$2:$N$1775,"=oct26",'Opportunities'!$Q$2:$Q$1775,"=1",'Opportunities'!$H$2:$H$1775,"&lt;&gt;")</f>
        <v>0</v>
      </c>
      <c r="V60" s="4">
        <f>COUNTIFS('Opportunities'!$C$2:$C$1775,"=r11",'Opportunities'!$N$2:$N$1775,"=nov26",'Opportunities'!$Q$2:$Q$1775,"=1",'Opportunities'!$H$2:$H$1775,"&lt;&gt;")</f>
        <v>0</v>
      </c>
      <c r="W60" s="4">
        <f>COUNTIFS('Opportunities'!$C$2:$C$1775,"=r11",'Opportunities'!$N$2:$N$1775,"=dec26",'Opportunities'!$Q$2:$Q$1775,"=1",'Opportunities'!$H$2:$H$1775,"&lt;&gt;")</f>
        <v>0</v>
      </c>
    </row>
    <row r="61">
      <c r="A61" s="0" t="inlineStr">
        <is>
          <t xml:space="preserve">Deals lost</t>
        </is>
      </c>
      <c r="B61" s="0" t="inlineStr">
        <is>
          <t xml:space="preserve">Priya Nair</t>
        </is>
      </c>
      <c r="C61" s="4">
        <f>COUNTIFS('Opportunities'!$C$2:$C$1775,"=r12",'Opportunities'!$N$2:$N$1775,"=apr25",'Opportunities'!$Q$2:$Q$1775,"=1",'Opportunities'!$H$2:$H$1775,"&lt;&gt;")</f>
        <v>0</v>
      </c>
      <c r="D61" s="4">
        <f>COUNTIFS('Opportunities'!$C$2:$C$1775,"=r12",'Opportunities'!$N$2:$N$1775,"=may25",'Opportunities'!$Q$2:$Q$1775,"=1",'Opportunities'!$H$2:$H$1775,"&lt;&gt;")</f>
        <v>4</v>
      </c>
      <c r="E61" s="4">
        <f>COUNTIFS('Opportunities'!$C$2:$C$1775,"=r12",'Opportunities'!$N$2:$N$1775,"=jun25",'Opportunities'!$Q$2:$Q$1775,"=1",'Opportunities'!$H$2:$H$1775,"&lt;&gt;")</f>
        <v>11</v>
      </c>
      <c r="F61" s="4">
        <f>COUNTIFS('Opportunities'!$C$2:$C$1775,"=r12",'Opportunities'!$N$2:$N$1775,"=jul25",'Opportunities'!$Q$2:$Q$1775,"=1",'Opportunities'!$H$2:$H$1775,"&lt;&gt;")</f>
        <v>3</v>
      </c>
      <c r="G61" s="4">
        <f>COUNTIFS('Opportunities'!$C$2:$C$1775,"=r12",'Opportunities'!$N$2:$N$1775,"=aug25",'Opportunities'!$Q$2:$Q$1775,"=1",'Opportunities'!$H$2:$H$1775,"&lt;&gt;")</f>
        <v>5</v>
      </c>
      <c r="H61" s="4">
        <f>COUNTIFS('Opportunities'!$C$2:$C$1775,"=r12",'Opportunities'!$N$2:$N$1775,"=sep25",'Opportunities'!$Q$2:$Q$1775,"=1",'Opportunities'!$H$2:$H$1775,"&lt;&gt;")</f>
        <v>6</v>
      </c>
      <c r="I61" s="4">
        <f>COUNTIFS('Opportunities'!$C$2:$C$1775,"=r12",'Opportunities'!$N$2:$N$1775,"=oct25",'Opportunities'!$Q$2:$Q$1775,"=1",'Opportunities'!$H$2:$H$1775,"&lt;&gt;")</f>
        <v>5</v>
      </c>
      <c r="J61" s="4">
        <f>COUNTIFS('Opportunities'!$C$2:$C$1775,"=r12",'Opportunities'!$N$2:$N$1775,"=nov25",'Opportunities'!$Q$2:$Q$1775,"=1",'Opportunities'!$H$2:$H$1775,"&lt;&gt;")</f>
        <v>2</v>
      </c>
      <c r="K61" s="4">
        <f>COUNTIFS('Opportunities'!$C$2:$C$1775,"=r12",'Opportunities'!$N$2:$N$1775,"=dec25",'Opportunities'!$Q$2:$Q$1775,"=1",'Opportunities'!$H$2:$H$1775,"&lt;&gt;")</f>
        <v>7</v>
      </c>
      <c r="L61" s="4">
        <f>COUNTIFS('Opportunities'!$C$2:$C$1775,"=r12",'Opportunities'!$N$2:$N$1775,"=jan26",'Opportunities'!$Q$2:$Q$1775,"=1",'Opportunities'!$H$2:$H$1775,"&lt;&gt;")</f>
        <v>1</v>
      </c>
      <c r="M61" s="4">
        <f>COUNTIFS('Opportunities'!$C$2:$C$1775,"=r12",'Opportunities'!$N$2:$N$1775,"=feb26",'Opportunities'!$Q$2:$Q$1775,"=1",'Opportunities'!$H$2:$H$1775,"&lt;&gt;")</f>
        <v>4</v>
      </c>
      <c r="N61" s="4">
        <f>COUNTIFS('Opportunities'!$C$2:$C$1775,"=r12",'Opportunities'!$N$2:$N$1775,"=mar26",'Opportunities'!$Q$2:$Q$1775,"=1",'Opportunities'!$H$2:$H$1775,"&lt;&gt;")</f>
        <v>6</v>
      </c>
      <c r="O61" s="4">
        <f>COUNTIFS('Opportunities'!$C$2:$C$1775,"=r12",'Opportunities'!$N$2:$N$1775,"=apr26",'Opportunities'!$Q$2:$Q$1775,"=1",'Opportunities'!$H$2:$H$1775,"&lt;&gt;")</f>
        <v>3</v>
      </c>
      <c r="P61" s="4">
        <f>COUNTIFS('Opportunities'!$C$2:$C$1775,"=r12",'Opportunities'!$N$2:$N$1775,"=may26",'Opportunities'!$Q$2:$Q$1775,"=1",'Opportunities'!$H$2:$H$1775,"&lt;&gt;")</f>
        <v>2</v>
      </c>
      <c r="Q61" s="4">
        <f>COUNTIFS('Opportunities'!$C$2:$C$1775,"=r12",'Opportunities'!$N$2:$N$1775,"=jun26",'Opportunities'!$Q$2:$Q$1775,"=1",'Opportunities'!$H$2:$H$1775,"&lt;&gt;")</f>
        <v>4</v>
      </c>
      <c r="R61" s="4">
        <f>COUNTIFS('Opportunities'!$C$2:$C$1775,"=r12",'Opportunities'!$N$2:$N$1775,"=jul26",'Opportunities'!$Q$2:$Q$1775,"=1",'Opportunities'!$H$2:$H$1775,"&lt;&gt;")</f>
        <v>8</v>
      </c>
      <c r="S61" s="4">
        <f>COUNTIFS('Opportunities'!$C$2:$C$1775,"=r12",'Opportunities'!$N$2:$N$1775,"=aug26",'Opportunities'!$Q$2:$Q$1775,"=1",'Opportunities'!$H$2:$H$1775,"&lt;&gt;")</f>
        <v>2</v>
      </c>
      <c r="T61" s="4">
        <f>COUNTIFS('Opportunities'!$C$2:$C$1775,"=r12",'Opportunities'!$N$2:$N$1775,"=sep26",'Opportunities'!$Q$2:$Q$1775,"=1",'Opportunities'!$H$2:$H$1775,"&lt;&gt;")</f>
        <v>1</v>
      </c>
      <c r="U61" s="4">
        <f>COUNTIFS('Opportunities'!$C$2:$C$1775,"=r12",'Opportunities'!$N$2:$N$1775,"=oct26",'Opportunities'!$Q$2:$Q$1775,"=1",'Opportunities'!$H$2:$H$1775,"&lt;&gt;")</f>
        <v>0</v>
      </c>
      <c r="V61" s="4">
        <f>COUNTIFS('Opportunities'!$C$2:$C$1775,"=r12",'Opportunities'!$N$2:$N$1775,"=nov26",'Opportunities'!$Q$2:$Q$1775,"=1",'Opportunities'!$H$2:$H$1775,"&lt;&gt;")</f>
        <v>0</v>
      </c>
      <c r="W61" s="4">
        <f>COUNTIFS('Opportunities'!$C$2:$C$1775,"=r12",'Opportunities'!$N$2:$N$1775,"=dec26",'Opportunities'!$Q$2:$Q$1775,"=1",'Opportunities'!$H$2:$H$1775,"&lt;&gt;")</f>
        <v>0</v>
      </c>
    </row>
    <row r="62">
      <c r="A62" s="0" t="inlineStr">
        <is>
          <t xml:space="preserve">Deals lost</t>
        </is>
      </c>
      <c r="B62" s="0" t="inlineStr">
        <is>
          <t xml:space="preserve">Hugo Lindqvist</t>
        </is>
      </c>
      <c r="C62" s="4">
        <f>COUNTIFS('Opportunities'!$C$2:$C$1775,"=r13",'Opportunities'!$N$2:$N$1775,"=apr25",'Opportunities'!$Q$2:$Q$1775,"=1",'Opportunities'!$H$2:$H$1775,"&lt;&gt;")</f>
        <v>0</v>
      </c>
      <c r="D62" s="4">
        <f>COUNTIFS('Opportunities'!$C$2:$C$1775,"=r13",'Opportunities'!$N$2:$N$1775,"=may25",'Opportunities'!$Q$2:$Q$1775,"=1",'Opportunities'!$H$2:$H$1775,"&lt;&gt;")</f>
        <v>0</v>
      </c>
      <c r="E62" s="4">
        <f>COUNTIFS('Opportunities'!$C$2:$C$1775,"=r13",'Opportunities'!$N$2:$N$1775,"=jun25",'Opportunities'!$Q$2:$Q$1775,"=1",'Opportunities'!$H$2:$H$1775,"&lt;&gt;")</f>
        <v>0</v>
      </c>
      <c r="F62" s="4">
        <f>COUNTIFS('Opportunities'!$C$2:$C$1775,"=r13",'Opportunities'!$N$2:$N$1775,"=jul25",'Opportunities'!$Q$2:$Q$1775,"=1",'Opportunities'!$H$2:$H$1775,"&lt;&gt;")</f>
        <v>2</v>
      </c>
      <c r="G62" s="4">
        <f>COUNTIFS('Opportunities'!$C$2:$C$1775,"=r13",'Opportunities'!$N$2:$N$1775,"=aug25",'Opportunities'!$Q$2:$Q$1775,"=1",'Opportunities'!$H$2:$H$1775,"&lt;&gt;")</f>
        <v>3</v>
      </c>
      <c r="H62" s="4">
        <f>COUNTIFS('Opportunities'!$C$2:$C$1775,"=r13",'Opportunities'!$N$2:$N$1775,"=sep25",'Opportunities'!$Q$2:$Q$1775,"=1",'Opportunities'!$H$2:$H$1775,"&lt;&gt;")</f>
        <v>6</v>
      </c>
      <c r="I62" s="4">
        <f>COUNTIFS('Opportunities'!$C$2:$C$1775,"=r13",'Opportunities'!$N$2:$N$1775,"=oct25",'Opportunities'!$Q$2:$Q$1775,"=1",'Opportunities'!$H$2:$H$1775,"&lt;&gt;")</f>
        <v>4</v>
      </c>
      <c r="J62" s="4">
        <f>COUNTIFS('Opportunities'!$C$2:$C$1775,"=r13",'Opportunities'!$N$2:$N$1775,"=nov25",'Opportunities'!$Q$2:$Q$1775,"=1",'Opportunities'!$H$2:$H$1775,"&lt;&gt;")</f>
        <v>4</v>
      </c>
      <c r="K62" s="4">
        <f>COUNTIFS('Opportunities'!$C$2:$C$1775,"=r13",'Opportunities'!$N$2:$N$1775,"=dec25",'Opportunities'!$Q$2:$Q$1775,"=1",'Opportunities'!$H$2:$H$1775,"&lt;&gt;")</f>
        <v>2</v>
      </c>
      <c r="L62" s="4">
        <f>COUNTIFS('Opportunities'!$C$2:$C$1775,"=r13",'Opportunities'!$N$2:$N$1775,"=jan26",'Opportunities'!$Q$2:$Q$1775,"=1",'Opportunities'!$H$2:$H$1775,"&lt;&gt;")</f>
        <v>0</v>
      </c>
      <c r="M62" s="4">
        <f>COUNTIFS('Opportunities'!$C$2:$C$1775,"=r13",'Opportunities'!$N$2:$N$1775,"=feb26",'Opportunities'!$Q$2:$Q$1775,"=1",'Opportunities'!$H$2:$H$1775,"&lt;&gt;")</f>
        <v>0</v>
      </c>
      <c r="N62" s="4">
        <f>COUNTIFS('Opportunities'!$C$2:$C$1775,"=r13",'Opportunities'!$N$2:$N$1775,"=mar26",'Opportunities'!$Q$2:$Q$1775,"=1",'Opportunities'!$H$2:$H$1775,"&lt;&gt;")</f>
        <v>5</v>
      </c>
      <c r="O62" s="4">
        <f>COUNTIFS('Opportunities'!$C$2:$C$1775,"=r13",'Opportunities'!$N$2:$N$1775,"=apr26",'Opportunities'!$Q$2:$Q$1775,"=1",'Opportunities'!$H$2:$H$1775,"&lt;&gt;")</f>
        <v>2</v>
      </c>
      <c r="P62" s="4">
        <f>COUNTIFS('Opportunities'!$C$2:$C$1775,"=r13",'Opportunities'!$N$2:$N$1775,"=may26",'Opportunities'!$Q$2:$Q$1775,"=1",'Opportunities'!$H$2:$H$1775,"&lt;&gt;")</f>
        <v>3</v>
      </c>
      <c r="Q62" s="4">
        <f>COUNTIFS('Opportunities'!$C$2:$C$1775,"=r13",'Opportunities'!$N$2:$N$1775,"=jun26",'Opportunities'!$Q$2:$Q$1775,"=1",'Opportunities'!$H$2:$H$1775,"&lt;&gt;")</f>
        <v>2</v>
      </c>
      <c r="R62" s="4">
        <f>COUNTIFS('Opportunities'!$C$2:$C$1775,"=r13",'Opportunities'!$N$2:$N$1775,"=jul26",'Opportunities'!$Q$2:$Q$1775,"=1",'Opportunities'!$H$2:$H$1775,"&lt;&gt;")</f>
        <v>1</v>
      </c>
      <c r="S62" s="4">
        <f>COUNTIFS('Opportunities'!$C$2:$C$1775,"=r13",'Opportunities'!$N$2:$N$1775,"=aug26",'Opportunities'!$Q$2:$Q$1775,"=1",'Opportunities'!$H$2:$H$1775,"&lt;&gt;")</f>
        <v>0</v>
      </c>
      <c r="T62" s="4">
        <f>COUNTIFS('Opportunities'!$C$2:$C$1775,"=r13",'Opportunities'!$N$2:$N$1775,"=sep26",'Opportunities'!$Q$2:$Q$1775,"=1",'Opportunities'!$H$2:$H$1775,"&lt;&gt;")</f>
        <v>2</v>
      </c>
      <c r="U62" s="4">
        <f>COUNTIFS('Opportunities'!$C$2:$C$1775,"=r13",'Opportunities'!$N$2:$N$1775,"=oct26",'Opportunities'!$Q$2:$Q$1775,"=1",'Opportunities'!$H$2:$H$1775,"&lt;&gt;")</f>
        <v>0</v>
      </c>
      <c r="V62" s="4">
        <f>COUNTIFS('Opportunities'!$C$2:$C$1775,"=r13",'Opportunities'!$N$2:$N$1775,"=nov26",'Opportunities'!$Q$2:$Q$1775,"=1",'Opportunities'!$H$2:$H$1775,"&lt;&gt;")</f>
        <v>0</v>
      </c>
      <c r="W62" s="4">
        <f>COUNTIFS('Opportunities'!$C$2:$C$1775,"=r13",'Opportunities'!$N$2:$N$1775,"=dec26",'Opportunities'!$Q$2:$Q$1775,"=1",'Opportunities'!$H$2:$H$1775,"&lt;&gt;")</f>
        <v>0</v>
      </c>
    </row>
    <row r="63">
      <c r="A63" s="0" t="inlineStr">
        <is>
          <t xml:space="preserve">Deals lost</t>
        </is>
      </c>
      <c r="B63" s="0" t="inlineStr">
        <is>
          <t xml:space="preserve">Wei Novak</t>
        </is>
      </c>
      <c r="C63" s="4">
        <f>COUNTIFS('Opportunities'!$C$2:$C$1775,"=r14",'Opportunities'!$N$2:$N$1775,"=apr25",'Opportunities'!$Q$2:$Q$1775,"=1",'Opportunities'!$H$2:$H$1775,"&lt;&gt;")</f>
        <v>0</v>
      </c>
      <c r="D63" s="4">
        <f>COUNTIFS('Opportunities'!$C$2:$C$1775,"=r14",'Opportunities'!$N$2:$N$1775,"=may25",'Opportunities'!$Q$2:$Q$1775,"=1",'Opportunities'!$H$2:$H$1775,"&lt;&gt;")</f>
        <v>0</v>
      </c>
      <c r="E63" s="4">
        <f>COUNTIFS('Opportunities'!$C$2:$C$1775,"=r14",'Opportunities'!$N$2:$N$1775,"=jun25",'Opportunities'!$Q$2:$Q$1775,"=1",'Opportunities'!$H$2:$H$1775,"&lt;&gt;")</f>
        <v>0</v>
      </c>
      <c r="F63" s="4">
        <f>COUNTIFS('Opportunities'!$C$2:$C$1775,"=r14",'Opportunities'!$N$2:$N$1775,"=jul25",'Opportunities'!$Q$2:$Q$1775,"=1",'Opportunities'!$H$2:$H$1775,"&lt;&gt;")</f>
        <v>0</v>
      </c>
      <c r="G63" s="4">
        <f>COUNTIFS('Opportunities'!$C$2:$C$1775,"=r14",'Opportunities'!$N$2:$N$1775,"=aug25",'Opportunities'!$Q$2:$Q$1775,"=1",'Opportunities'!$H$2:$H$1775,"&lt;&gt;")</f>
        <v>0</v>
      </c>
      <c r="H63" s="4">
        <f>COUNTIFS('Opportunities'!$C$2:$C$1775,"=r14",'Opportunities'!$N$2:$N$1775,"=sep25",'Opportunities'!$Q$2:$Q$1775,"=1",'Opportunities'!$H$2:$H$1775,"&lt;&gt;")</f>
        <v>0</v>
      </c>
      <c r="I63" s="4">
        <f>COUNTIFS('Opportunities'!$C$2:$C$1775,"=r14",'Opportunities'!$N$2:$N$1775,"=oct25",'Opportunities'!$Q$2:$Q$1775,"=1",'Opportunities'!$H$2:$H$1775,"&lt;&gt;")</f>
        <v>0</v>
      </c>
      <c r="J63" s="4">
        <f>COUNTIFS('Opportunities'!$C$2:$C$1775,"=r14",'Opportunities'!$N$2:$N$1775,"=nov25",'Opportunities'!$Q$2:$Q$1775,"=1",'Opportunities'!$H$2:$H$1775,"&lt;&gt;")</f>
        <v>0</v>
      </c>
      <c r="K63" s="4">
        <f>COUNTIFS('Opportunities'!$C$2:$C$1775,"=r14",'Opportunities'!$N$2:$N$1775,"=dec25",'Opportunities'!$Q$2:$Q$1775,"=1",'Opportunities'!$H$2:$H$1775,"&lt;&gt;")</f>
        <v>0</v>
      </c>
      <c r="L63" s="4">
        <f>COUNTIFS('Opportunities'!$C$2:$C$1775,"=r14",'Opportunities'!$N$2:$N$1775,"=jan26",'Opportunities'!$Q$2:$Q$1775,"=1",'Opportunities'!$H$2:$H$1775,"&lt;&gt;")</f>
        <v>0</v>
      </c>
      <c r="M63" s="4">
        <f>COUNTIFS('Opportunities'!$C$2:$C$1775,"=r14",'Opportunities'!$N$2:$N$1775,"=feb26",'Opportunities'!$Q$2:$Q$1775,"=1",'Opportunities'!$H$2:$H$1775,"&lt;&gt;")</f>
        <v>0</v>
      </c>
      <c r="N63" s="4">
        <f>COUNTIFS('Opportunities'!$C$2:$C$1775,"=r14",'Opportunities'!$N$2:$N$1775,"=mar26",'Opportunities'!$Q$2:$Q$1775,"=1",'Opportunities'!$H$2:$H$1775,"&lt;&gt;")</f>
        <v>0</v>
      </c>
      <c r="O63" s="4">
        <f>COUNTIFS('Opportunities'!$C$2:$C$1775,"=r14",'Opportunities'!$N$2:$N$1775,"=apr26",'Opportunities'!$Q$2:$Q$1775,"=1",'Opportunities'!$H$2:$H$1775,"&lt;&gt;")</f>
        <v>0</v>
      </c>
      <c r="P63" s="4">
        <f>COUNTIFS('Opportunities'!$C$2:$C$1775,"=r14",'Opportunities'!$N$2:$N$1775,"=may26",'Opportunities'!$Q$2:$Q$1775,"=1",'Opportunities'!$H$2:$H$1775,"&lt;&gt;")</f>
        <v>1</v>
      </c>
      <c r="Q63" s="4">
        <f>COUNTIFS('Opportunities'!$C$2:$C$1775,"=r14",'Opportunities'!$N$2:$N$1775,"=jun26",'Opportunities'!$Q$2:$Q$1775,"=1",'Opportunities'!$H$2:$H$1775,"&lt;&gt;")</f>
        <v>0</v>
      </c>
      <c r="R63" s="4">
        <f>COUNTIFS('Opportunities'!$C$2:$C$1775,"=r14",'Opportunities'!$N$2:$N$1775,"=jul26",'Opportunities'!$Q$2:$Q$1775,"=1",'Opportunities'!$H$2:$H$1775,"&lt;&gt;")</f>
        <v>3</v>
      </c>
      <c r="S63" s="4">
        <f>COUNTIFS('Opportunities'!$C$2:$C$1775,"=r14",'Opportunities'!$N$2:$N$1775,"=aug26",'Opportunities'!$Q$2:$Q$1775,"=1",'Opportunities'!$H$2:$H$1775,"&lt;&gt;")</f>
        <v>0</v>
      </c>
      <c r="T63" s="4">
        <f>COUNTIFS('Opportunities'!$C$2:$C$1775,"=r14",'Opportunities'!$N$2:$N$1775,"=sep26",'Opportunities'!$Q$2:$Q$1775,"=1",'Opportunities'!$H$2:$H$1775,"&lt;&gt;")</f>
        <v>3</v>
      </c>
      <c r="U63" s="4">
        <f>COUNTIFS('Opportunities'!$C$2:$C$1775,"=r14",'Opportunities'!$N$2:$N$1775,"=oct26",'Opportunities'!$Q$2:$Q$1775,"=1",'Opportunities'!$H$2:$H$1775,"&lt;&gt;")</f>
        <v>0</v>
      </c>
      <c r="V63" s="4">
        <f>COUNTIFS('Opportunities'!$C$2:$C$1775,"=r14",'Opportunities'!$N$2:$N$1775,"=nov26",'Opportunities'!$Q$2:$Q$1775,"=1",'Opportunities'!$H$2:$H$1775,"&lt;&gt;")</f>
        <v>0</v>
      </c>
      <c r="W63" s="4">
        <f>COUNTIFS('Opportunities'!$C$2:$C$1775,"=r14",'Opportunities'!$N$2:$N$1775,"=dec26",'Opportunities'!$Q$2:$Q$1775,"=1",'Opportunities'!$H$2:$H$1775,"&lt;&gt;")</f>
        <v>0</v>
      </c>
    </row>
    <row r="64">
      <c r="A64" s="0" t="inlineStr">
        <is>
          <t xml:space="preserve">Deals lost</t>
        </is>
      </c>
      <c r="B64" s="0" t="inlineStr">
        <is>
          <t xml:space="preserve">Nikolai Kim</t>
        </is>
      </c>
      <c r="C64" s="4">
        <f>COUNTIFS('Opportunities'!$C$2:$C$1775,"=r15",'Opportunities'!$N$2:$N$1775,"=apr25",'Opportunities'!$Q$2:$Q$1775,"=1",'Opportunities'!$H$2:$H$1775,"&lt;&gt;")</f>
        <v>0</v>
      </c>
      <c r="D64" s="4">
        <f>COUNTIFS('Opportunities'!$C$2:$C$1775,"=r15",'Opportunities'!$N$2:$N$1775,"=may25",'Opportunities'!$Q$2:$Q$1775,"=1",'Opportunities'!$H$2:$H$1775,"&lt;&gt;")</f>
        <v>0</v>
      </c>
      <c r="E64" s="4">
        <f>COUNTIFS('Opportunities'!$C$2:$C$1775,"=r15",'Opportunities'!$N$2:$N$1775,"=jun25",'Opportunities'!$Q$2:$Q$1775,"=1",'Opportunities'!$H$2:$H$1775,"&lt;&gt;")</f>
        <v>1</v>
      </c>
      <c r="F64" s="4">
        <f>COUNTIFS('Opportunities'!$C$2:$C$1775,"=r15",'Opportunities'!$N$2:$N$1775,"=jul25",'Opportunities'!$Q$2:$Q$1775,"=1",'Opportunities'!$H$2:$H$1775,"&lt;&gt;")</f>
        <v>3</v>
      </c>
      <c r="G64" s="4">
        <f>COUNTIFS('Opportunities'!$C$2:$C$1775,"=r15",'Opportunities'!$N$2:$N$1775,"=aug25",'Opportunities'!$Q$2:$Q$1775,"=1",'Opportunities'!$H$2:$H$1775,"&lt;&gt;")</f>
        <v>2</v>
      </c>
      <c r="H64" s="4">
        <f>COUNTIFS('Opportunities'!$C$2:$C$1775,"=r15",'Opportunities'!$N$2:$N$1775,"=sep25",'Opportunities'!$Q$2:$Q$1775,"=1",'Opportunities'!$H$2:$H$1775,"&lt;&gt;")</f>
        <v>7</v>
      </c>
      <c r="I64" s="4">
        <f>COUNTIFS('Opportunities'!$C$2:$C$1775,"=r15",'Opportunities'!$N$2:$N$1775,"=oct25",'Opportunities'!$Q$2:$Q$1775,"=1",'Opportunities'!$H$2:$H$1775,"&lt;&gt;")</f>
        <v>1</v>
      </c>
      <c r="J64" s="4">
        <f>COUNTIFS('Opportunities'!$C$2:$C$1775,"=r15",'Opportunities'!$N$2:$N$1775,"=nov25",'Opportunities'!$Q$2:$Q$1775,"=1",'Opportunities'!$H$2:$H$1775,"&lt;&gt;")</f>
        <v>5</v>
      </c>
      <c r="K64" s="4">
        <f>COUNTIFS('Opportunities'!$C$2:$C$1775,"=r15",'Opportunities'!$N$2:$N$1775,"=dec25",'Opportunities'!$Q$2:$Q$1775,"=1",'Opportunities'!$H$2:$H$1775,"&lt;&gt;")</f>
        <v>4</v>
      </c>
      <c r="L64" s="4">
        <f>COUNTIFS('Opportunities'!$C$2:$C$1775,"=r15",'Opportunities'!$N$2:$N$1775,"=jan26",'Opportunities'!$Q$2:$Q$1775,"=1",'Opportunities'!$H$2:$H$1775,"&lt;&gt;")</f>
        <v>1</v>
      </c>
      <c r="M64" s="4">
        <f>COUNTIFS('Opportunities'!$C$2:$C$1775,"=r15",'Opportunities'!$N$2:$N$1775,"=feb26",'Opportunities'!$Q$2:$Q$1775,"=1",'Opportunities'!$H$2:$H$1775,"&lt;&gt;")</f>
        <v>2</v>
      </c>
      <c r="N64" s="4">
        <f>COUNTIFS('Opportunities'!$C$2:$C$1775,"=r15",'Opportunities'!$N$2:$N$1775,"=mar26",'Opportunities'!$Q$2:$Q$1775,"=1",'Opportunities'!$H$2:$H$1775,"&lt;&gt;")</f>
        <v>4</v>
      </c>
      <c r="O64" s="4">
        <f>COUNTIFS('Opportunities'!$C$2:$C$1775,"=r15",'Opportunities'!$N$2:$N$1775,"=apr26",'Opportunities'!$Q$2:$Q$1775,"=1",'Opportunities'!$H$2:$H$1775,"&lt;&gt;")</f>
        <v>4</v>
      </c>
      <c r="P64" s="4">
        <f>COUNTIFS('Opportunities'!$C$2:$C$1775,"=r15",'Opportunities'!$N$2:$N$1775,"=may26",'Opportunities'!$Q$2:$Q$1775,"=1",'Opportunities'!$H$2:$H$1775,"&lt;&gt;")</f>
        <v>2</v>
      </c>
      <c r="Q64" s="4">
        <f>COUNTIFS('Opportunities'!$C$2:$C$1775,"=r15",'Opportunities'!$N$2:$N$1775,"=jun26",'Opportunities'!$Q$2:$Q$1775,"=1",'Opportunities'!$H$2:$H$1775,"&lt;&gt;")</f>
        <v>4</v>
      </c>
      <c r="R64" s="4">
        <f>COUNTIFS('Opportunities'!$C$2:$C$1775,"=r15",'Opportunities'!$N$2:$N$1775,"=jul26",'Opportunities'!$Q$2:$Q$1775,"=1",'Opportunities'!$H$2:$H$1775,"&lt;&gt;")</f>
        <v>3</v>
      </c>
      <c r="S64" s="4">
        <f>COUNTIFS('Opportunities'!$C$2:$C$1775,"=r15",'Opportunities'!$N$2:$N$1775,"=aug26",'Opportunities'!$Q$2:$Q$1775,"=1",'Opportunities'!$H$2:$H$1775,"&lt;&gt;")</f>
        <v>3</v>
      </c>
      <c r="T64" s="4">
        <f>COUNTIFS('Opportunities'!$C$2:$C$1775,"=r15",'Opportunities'!$N$2:$N$1775,"=sep26",'Opportunities'!$Q$2:$Q$1775,"=1",'Opportunities'!$H$2:$H$1775,"&lt;&gt;")</f>
        <v>0</v>
      </c>
      <c r="U64" s="4">
        <f>COUNTIFS('Opportunities'!$C$2:$C$1775,"=r15",'Opportunities'!$N$2:$N$1775,"=oct26",'Opportunities'!$Q$2:$Q$1775,"=1",'Opportunities'!$H$2:$H$1775,"&lt;&gt;")</f>
        <v>0</v>
      </c>
      <c r="V64" s="4">
        <f>COUNTIFS('Opportunities'!$C$2:$C$1775,"=r15",'Opportunities'!$N$2:$N$1775,"=nov26",'Opportunities'!$Q$2:$Q$1775,"=1",'Opportunities'!$H$2:$H$1775,"&lt;&gt;")</f>
        <v>0</v>
      </c>
      <c r="W64" s="4">
        <f>COUNTIFS('Opportunities'!$C$2:$C$1775,"=r15",'Opportunities'!$N$2:$N$1775,"=dec26",'Opportunities'!$Q$2:$Q$1775,"=1",'Opportunities'!$H$2:$H$1775,"&lt;&gt;")</f>
        <v>0</v>
      </c>
    </row>
    <row r="65">
      <c r="A65" s="0" t="inlineStr">
        <is>
          <t xml:space="preserve">Deals lost</t>
        </is>
      </c>
      <c r="B65" s="0" t="inlineStr">
        <is>
          <t xml:space="preserve">Wei Nair</t>
        </is>
      </c>
      <c r="C65" s="4">
        <f>COUNTIFS('Opportunities'!$C$2:$C$1775,"=r16",'Opportunities'!$N$2:$N$1775,"=apr25",'Opportunities'!$Q$2:$Q$1775,"=1",'Opportunities'!$H$2:$H$1775,"&lt;&gt;")</f>
        <v>0</v>
      </c>
      <c r="D65" s="4">
        <f>COUNTIFS('Opportunities'!$C$2:$C$1775,"=r16",'Opportunities'!$N$2:$N$1775,"=may25",'Opportunities'!$Q$2:$Q$1775,"=1",'Opportunities'!$H$2:$H$1775,"&lt;&gt;")</f>
        <v>2</v>
      </c>
      <c r="E65" s="4">
        <f>COUNTIFS('Opportunities'!$C$2:$C$1775,"=r16",'Opportunities'!$N$2:$N$1775,"=jun25",'Opportunities'!$Q$2:$Q$1775,"=1",'Opportunities'!$H$2:$H$1775,"&lt;&gt;")</f>
        <v>4</v>
      </c>
      <c r="F65" s="4">
        <f>COUNTIFS('Opportunities'!$C$2:$C$1775,"=r16",'Opportunities'!$N$2:$N$1775,"=jul25",'Opportunities'!$Q$2:$Q$1775,"=1",'Opportunities'!$H$2:$H$1775,"&lt;&gt;")</f>
        <v>1</v>
      </c>
      <c r="G65" s="4">
        <f>COUNTIFS('Opportunities'!$C$2:$C$1775,"=r16",'Opportunities'!$N$2:$N$1775,"=aug25",'Opportunities'!$Q$2:$Q$1775,"=1",'Opportunities'!$H$2:$H$1775,"&lt;&gt;")</f>
        <v>2</v>
      </c>
      <c r="H65" s="4">
        <f>COUNTIFS('Opportunities'!$C$2:$C$1775,"=r16",'Opportunities'!$N$2:$N$1775,"=sep25",'Opportunities'!$Q$2:$Q$1775,"=1",'Opportunities'!$H$2:$H$1775,"&lt;&gt;")</f>
        <v>6</v>
      </c>
      <c r="I65" s="4">
        <f>COUNTIFS('Opportunities'!$C$2:$C$1775,"=r16",'Opportunities'!$N$2:$N$1775,"=oct25",'Opportunities'!$Q$2:$Q$1775,"=1",'Opportunities'!$H$2:$H$1775,"&lt;&gt;")</f>
        <v>1</v>
      </c>
      <c r="J65" s="4">
        <f>COUNTIFS('Opportunities'!$C$2:$C$1775,"=r16",'Opportunities'!$N$2:$N$1775,"=nov25",'Opportunities'!$Q$2:$Q$1775,"=1",'Opportunities'!$H$2:$H$1775,"&lt;&gt;")</f>
        <v>0</v>
      </c>
      <c r="K65" s="4">
        <f>COUNTIFS('Opportunities'!$C$2:$C$1775,"=r16",'Opportunities'!$N$2:$N$1775,"=dec25",'Opportunities'!$Q$2:$Q$1775,"=1",'Opportunities'!$H$2:$H$1775,"&lt;&gt;")</f>
        <v>2</v>
      </c>
      <c r="L65" s="4">
        <f>COUNTIFS('Opportunities'!$C$2:$C$1775,"=r16",'Opportunities'!$N$2:$N$1775,"=jan26",'Opportunities'!$Q$2:$Q$1775,"=1",'Opportunities'!$H$2:$H$1775,"&lt;&gt;")</f>
        <v>1</v>
      </c>
      <c r="M65" s="4">
        <f>COUNTIFS('Opportunities'!$C$2:$C$1775,"=r16",'Opportunities'!$N$2:$N$1775,"=feb26",'Opportunities'!$Q$2:$Q$1775,"=1",'Opportunities'!$H$2:$H$1775,"&lt;&gt;")</f>
        <v>1</v>
      </c>
      <c r="N65" s="4">
        <f>COUNTIFS('Opportunities'!$C$2:$C$1775,"=r16",'Opportunities'!$N$2:$N$1775,"=mar26",'Opportunities'!$Q$2:$Q$1775,"=1",'Opportunities'!$H$2:$H$1775,"&lt;&gt;")</f>
        <v>3</v>
      </c>
      <c r="O65" s="4">
        <f>COUNTIFS('Opportunities'!$C$2:$C$1775,"=r16",'Opportunities'!$N$2:$N$1775,"=apr26",'Opportunities'!$Q$2:$Q$1775,"=1",'Opportunities'!$H$2:$H$1775,"&lt;&gt;")</f>
        <v>2</v>
      </c>
      <c r="P65" s="4">
        <f>COUNTIFS('Opportunities'!$C$2:$C$1775,"=r16",'Opportunities'!$N$2:$N$1775,"=may26",'Opportunities'!$Q$2:$Q$1775,"=1",'Opportunities'!$H$2:$H$1775,"&lt;&gt;")</f>
        <v>2</v>
      </c>
      <c r="Q65" s="4">
        <f>COUNTIFS('Opportunities'!$C$2:$C$1775,"=r16",'Opportunities'!$N$2:$N$1775,"=jun26",'Opportunities'!$Q$2:$Q$1775,"=1",'Opportunities'!$H$2:$H$1775,"&lt;&gt;")</f>
        <v>5</v>
      </c>
      <c r="R65" s="4">
        <f>COUNTIFS('Opportunities'!$C$2:$C$1775,"=r16",'Opportunities'!$N$2:$N$1775,"=jul26",'Opportunities'!$Q$2:$Q$1775,"=1",'Opportunities'!$H$2:$H$1775,"&lt;&gt;")</f>
        <v>3</v>
      </c>
      <c r="S65" s="4">
        <f>COUNTIFS('Opportunities'!$C$2:$C$1775,"=r16",'Opportunities'!$N$2:$N$1775,"=aug26",'Opportunities'!$Q$2:$Q$1775,"=1",'Opportunities'!$H$2:$H$1775,"&lt;&gt;")</f>
        <v>4</v>
      </c>
      <c r="T65" s="4">
        <f>COUNTIFS('Opportunities'!$C$2:$C$1775,"=r16",'Opportunities'!$N$2:$N$1775,"=sep26",'Opportunities'!$Q$2:$Q$1775,"=1",'Opportunities'!$H$2:$H$1775,"&lt;&gt;")</f>
        <v>1</v>
      </c>
      <c r="U65" s="4">
        <f>COUNTIFS('Opportunities'!$C$2:$C$1775,"=r16",'Opportunities'!$N$2:$N$1775,"=oct26",'Opportunities'!$Q$2:$Q$1775,"=1",'Opportunities'!$H$2:$H$1775,"&lt;&gt;")</f>
        <v>0</v>
      </c>
      <c r="V65" s="4">
        <f>COUNTIFS('Opportunities'!$C$2:$C$1775,"=r16",'Opportunities'!$N$2:$N$1775,"=nov26",'Opportunities'!$Q$2:$Q$1775,"=1",'Opportunities'!$H$2:$H$1775,"&lt;&gt;")</f>
        <v>0</v>
      </c>
      <c r="W65" s="4">
        <f>COUNTIFS('Opportunities'!$C$2:$C$1775,"=r16",'Opportunities'!$N$2:$N$1775,"=dec26",'Opportunities'!$Q$2:$Q$1775,"=1",'Opportunities'!$H$2:$H$1775,"&lt;&gt;")</f>
        <v>0</v>
      </c>
    </row>
    <row r="66">
      <c r="A66" s="0" t="inlineStr">
        <is>
          <t xml:space="preserve">Deals lost</t>
        </is>
      </c>
      <c r="B66" s="0" t="inlineStr">
        <is>
          <t xml:space="preserve">Liam Silva</t>
        </is>
      </c>
      <c r="C66" s="4">
        <f>COUNTIFS('Opportunities'!$C$2:$C$1775,"=r17",'Opportunities'!$N$2:$N$1775,"=apr25",'Opportunities'!$Q$2:$Q$1775,"=1",'Opportunities'!$H$2:$H$1775,"&lt;&gt;")</f>
        <v>0</v>
      </c>
      <c r="D66" s="4">
        <f>COUNTIFS('Opportunities'!$C$2:$C$1775,"=r17",'Opportunities'!$N$2:$N$1775,"=may25",'Opportunities'!$Q$2:$Q$1775,"=1",'Opportunities'!$H$2:$H$1775,"&lt;&gt;")</f>
        <v>2</v>
      </c>
      <c r="E66" s="4">
        <f>COUNTIFS('Opportunities'!$C$2:$C$1775,"=r17",'Opportunities'!$N$2:$N$1775,"=jun25",'Opportunities'!$Q$2:$Q$1775,"=1",'Opportunities'!$H$2:$H$1775,"&lt;&gt;")</f>
        <v>2</v>
      </c>
      <c r="F66" s="4">
        <f>COUNTIFS('Opportunities'!$C$2:$C$1775,"=r17",'Opportunities'!$N$2:$N$1775,"=jul25",'Opportunities'!$Q$2:$Q$1775,"=1",'Opportunities'!$H$2:$H$1775,"&lt;&gt;")</f>
        <v>2</v>
      </c>
      <c r="G66" s="4">
        <f>COUNTIFS('Opportunities'!$C$2:$C$1775,"=r17",'Opportunities'!$N$2:$N$1775,"=aug25",'Opportunities'!$Q$2:$Q$1775,"=1",'Opportunities'!$H$2:$H$1775,"&lt;&gt;")</f>
        <v>2</v>
      </c>
      <c r="H66" s="4">
        <f>COUNTIFS('Opportunities'!$C$2:$C$1775,"=r17",'Opportunities'!$N$2:$N$1775,"=sep25",'Opportunities'!$Q$2:$Q$1775,"=1",'Opportunities'!$H$2:$H$1775,"&lt;&gt;")</f>
        <v>3</v>
      </c>
      <c r="I66" s="4">
        <f>COUNTIFS('Opportunities'!$C$2:$C$1775,"=r17",'Opportunities'!$N$2:$N$1775,"=oct25",'Opportunities'!$Q$2:$Q$1775,"=1",'Opportunities'!$H$2:$H$1775,"&lt;&gt;")</f>
        <v>1</v>
      </c>
      <c r="J66" s="4">
        <f>COUNTIFS('Opportunities'!$C$2:$C$1775,"=r17",'Opportunities'!$N$2:$N$1775,"=nov25",'Opportunities'!$Q$2:$Q$1775,"=1",'Opportunities'!$H$2:$H$1775,"&lt;&gt;")</f>
        <v>5</v>
      </c>
      <c r="K66" s="4">
        <f>COUNTIFS('Opportunities'!$C$2:$C$1775,"=r17",'Opportunities'!$N$2:$N$1775,"=dec25",'Opportunities'!$Q$2:$Q$1775,"=1",'Opportunities'!$H$2:$H$1775,"&lt;&gt;")</f>
        <v>5</v>
      </c>
      <c r="L66" s="4">
        <f>COUNTIFS('Opportunities'!$C$2:$C$1775,"=r17",'Opportunities'!$N$2:$N$1775,"=jan26",'Opportunities'!$Q$2:$Q$1775,"=1",'Opportunities'!$H$2:$H$1775,"&lt;&gt;")</f>
        <v>2</v>
      </c>
      <c r="M66" s="4">
        <f>COUNTIFS('Opportunities'!$C$2:$C$1775,"=r17",'Opportunities'!$N$2:$N$1775,"=feb26",'Opportunities'!$Q$2:$Q$1775,"=1",'Opportunities'!$H$2:$H$1775,"&lt;&gt;")</f>
        <v>1</v>
      </c>
      <c r="N66" s="4">
        <f>COUNTIFS('Opportunities'!$C$2:$C$1775,"=r17",'Opportunities'!$N$2:$N$1775,"=mar26",'Opportunities'!$Q$2:$Q$1775,"=1",'Opportunities'!$H$2:$H$1775,"&lt;&gt;")</f>
        <v>6</v>
      </c>
      <c r="O66" s="4">
        <f>COUNTIFS('Opportunities'!$C$2:$C$1775,"=r17",'Opportunities'!$N$2:$N$1775,"=apr26",'Opportunities'!$Q$2:$Q$1775,"=1",'Opportunities'!$H$2:$H$1775,"&lt;&gt;")</f>
        <v>2</v>
      </c>
      <c r="P66" s="4">
        <f>COUNTIFS('Opportunities'!$C$2:$C$1775,"=r17",'Opportunities'!$N$2:$N$1775,"=may26",'Opportunities'!$Q$2:$Q$1775,"=1",'Opportunities'!$H$2:$H$1775,"&lt;&gt;")</f>
        <v>3</v>
      </c>
      <c r="Q66" s="4">
        <f>COUNTIFS('Opportunities'!$C$2:$C$1775,"=r17",'Opportunities'!$N$2:$N$1775,"=jun26",'Opportunities'!$Q$2:$Q$1775,"=1",'Opportunities'!$H$2:$H$1775,"&lt;&gt;")</f>
        <v>6</v>
      </c>
      <c r="R66" s="4">
        <f>COUNTIFS('Opportunities'!$C$2:$C$1775,"=r17",'Opportunities'!$N$2:$N$1775,"=jul26",'Opportunities'!$Q$2:$Q$1775,"=1",'Opportunities'!$H$2:$H$1775,"&lt;&gt;")</f>
        <v>3</v>
      </c>
      <c r="S66" s="4">
        <f>COUNTIFS('Opportunities'!$C$2:$C$1775,"=r17",'Opportunities'!$N$2:$N$1775,"=aug26",'Opportunities'!$Q$2:$Q$1775,"=1",'Opportunities'!$H$2:$H$1775,"&lt;&gt;")</f>
        <v>4</v>
      </c>
      <c r="T66" s="4">
        <f>COUNTIFS('Opportunities'!$C$2:$C$1775,"=r17",'Opportunities'!$N$2:$N$1775,"=sep26",'Opportunities'!$Q$2:$Q$1775,"=1",'Opportunities'!$H$2:$H$1775,"&lt;&gt;")</f>
        <v>2</v>
      </c>
      <c r="U66" s="4">
        <f>COUNTIFS('Opportunities'!$C$2:$C$1775,"=r17",'Opportunities'!$N$2:$N$1775,"=oct26",'Opportunities'!$Q$2:$Q$1775,"=1",'Opportunities'!$H$2:$H$1775,"&lt;&gt;")</f>
        <v>0</v>
      </c>
      <c r="V66" s="4">
        <f>COUNTIFS('Opportunities'!$C$2:$C$1775,"=r17",'Opportunities'!$N$2:$N$1775,"=nov26",'Opportunities'!$Q$2:$Q$1775,"=1",'Opportunities'!$H$2:$H$1775,"&lt;&gt;")</f>
        <v>0</v>
      </c>
      <c r="W66" s="4">
        <f>COUNTIFS('Opportunities'!$C$2:$C$1775,"=r17",'Opportunities'!$N$2:$N$1775,"=dec26",'Opportunities'!$Q$2:$Q$1775,"=1",'Opportunities'!$H$2:$H$1775,"&lt;&gt;")</f>
        <v>0</v>
      </c>
    </row>
    <row r="67">
      <c r="A67" s="0" t="inlineStr">
        <is>
          <t xml:space="preserve">Deals lost</t>
        </is>
      </c>
      <c r="B67" s="0" t="inlineStr">
        <is>
          <t xml:space="preserve">Samuel Silva</t>
        </is>
      </c>
      <c r="C67" s="4">
        <f>COUNTIFS('Opportunities'!$C$2:$C$1775,"=r18",'Opportunities'!$N$2:$N$1775,"=apr25",'Opportunities'!$Q$2:$Q$1775,"=1",'Opportunities'!$H$2:$H$1775,"&lt;&gt;")</f>
        <v>0</v>
      </c>
      <c r="D67" s="4">
        <f>COUNTIFS('Opportunities'!$C$2:$C$1775,"=r18",'Opportunities'!$N$2:$N$1775,"=may25",'Opportunities'!$Q$2:$Q$1775,"=1",'Opportunities'!$H$2:$H$1775,"&lt;&gt;")</f>
        <v>6</v>
      </c>
      <c r="E67" s="4">
        <f>COUNTIFS('Opportunities'!$C$2:$C$1775,"=r18",'Opportunities'!$N$2:$N$1775,"=jun25",'Opportunities'!$Q$2:$Q$1775,"=1",'Opportunities'!$H$2:$H$1775,"&lt;&gt;")</f>
        <v>9</v>
      </c>
      <c r="F67" s="4">
        <f>COUNTIFS('Opportunities'!$C$2:$C$1775,"=r18",'Opportunities'!$N$2:$N$1775,"=jul25",'Opportunities'!$Q$2:$Q$1775,"=1",'Opportunities'!$H$2:$H$1775,"&lt;&gt;")</f>
        <v>7</v>
      </c>
      <c r="G67" s="4">
        <f>COUNTIFS('Opportunities'!$C$2:$C$1775,"=r18",'Opportunities'!$N$2:$N$1775,"=aug25",'Opportunities'!$Q$2:$Q$1775,"=1",'Opportunities'!$H$2:$H$1775,"&lt;&gt;")</f>
        <v>2</v>
      </c>
      <c r="H67" s="4">
        <f>COUNTIFS('Opportunities'!$C$2:$C$1775,"=r18",'Opportunities'!$N$2:$N$1775,"=sep25",'Opportunities'!$Q$2:$Q$1775,"=1",'Opportunities'!$H$2:$H$1775,"&lt;&gt;")</f>
        <v>4</v>
      </c>
      <c r="I67" s="4">
        <f>COUNTIFS('Opportunities'!$C$2:$C$1775,"=r18",'Opportunities'!$N$2:$N$1775,"=oct25",'Opportunities'!$Q$2:$Q$1775,"=1",'Opportunities'!$H$2:$H$1775,"&lt;&gt;")</f>
        <v>1</v>
      </c>
      <c r="J67" s="4">
        <f>COUNTIFS('Opportunities'!$C$2:$C$1775,"=r18",'Opportunities'!$N$2:$N$1775,"=nov25",'Opportunities'!$Q$2:$Q$1775,"=1",'Opportunities'!$H$2:$H$1775,"&lt;&gt;")</f>
        <v>2</v>
      </c>
      <c r="K67" s="4">
        <f>COUNTIFS('Opportunities'!$C$2:$C$1775,"=r18",'Opportunities'!$N$2:$N$1775,"=dec25",'Opportunities'!$Q$2:$Q$1775,"=1",'Opportunities'!$H$2:$H$1775,"&lt;&gt;")</f>
        <v>6</v>
      </c>
      <c r="L67" s="4">
        <f>COUNTIFS('Opportunities'!$C$2:$C$1775,"=r18",'Opportunities'!$N$2:$N$1775,"=jan26",'Opportunities'!$Q$2:$Q$1775,"=1",'Opportunities'!$H$2:$H$1775,"&lt;&gt;")</f>
        <v>5</v>
      </c>
      <c r="M67" s="4">
        <f>COUNTIFS('Opportunities'!$C$2:$C$1775,"=r18",'Opportunities'!$N$2:$N$1775,"=feb26",'Opportunities'!$Q$2:$Q$1775,"=1",'Opportunities'!$H$2:$H$1775,"&lt;&gt;")</f>
        <v>3</v>
      </c>
      <c r="N67" s="4">
        <f>COUNTIFS('Opportunities'!$C$2:$C$1775,"=r18",'Opportunities'!$N$2:$N$1775,"=mar26",'Opportunities'!$Q$2:$Q$1775,"=1",'Opportunities'!$H$2:$H$1775,"&lt;&gt;")</f>
        <v>5</v>
      </c>
      <c r="O67" s="4">
        <f>COUNTIFS('Opportunities'!$C$2:$C$1775,"=r18",'Opportunities'!$N$2:$N$1775,"=apr26",'Opportunities'!$Q$2:$Q$1775,"=1",'Opportunities'!$H$2:$H$1775,"&lt;&gt;")</f>
        <v>5</v>
      </c>
      <c r="P67" s="4">
        <f>COUNTIFS('Opportunities'!$C$2:$C$1775,"=r18",'Opportunities'!$N$2:$N$1775,"=may26",'Opportunities'!$Q$2:$Q$1775,"=1",'Opportunities'!$H$2:$H$1775,"&lt;&gt;")</f>
        <v>3</v>
      </c>
      <c r="Q67" s="4">
        <f>COUNTIFS('Opportunities'!$C$2:$C$1775,"=r18",'Opportunities'!$N$2:$N$1775,"=jun26",'Opportunities'!$Q$2:$Q$1775,"=1",'Opportunities'!$H$2:$H$1775,"&lt;&gt;")</f>
        <v>6</v>
      </c>
      <c r="R67" s="4">
        <f>COUNTIFS('Opportunities'!$C$2:$C$1775,"=r18",'Opportunities'!$N$2:$N$1775,"=jul26",'Opportunities'!$Q$2:$Q$1775,"=1",'Opportunities'!$H$2:$H$1775,"&lt;&gt;")</f>
        <v>5</v>
      </c>
      <c r="S67" s="4">
        <f>COUNTIFS('Opportunities'!$C$2:$C$1775,"=r18",'Opportunities'!$N$2:$N$1775,"=aug26",'Opportunities'!$Q$2:$Q$1775,"=1",'Opportunities'!$H$2:$H$1775,"&lt;&gt;")</f>
        <v>3</v>
      </c>
      <c r="T67" s="4">
        <f>COUNTIFS('Opportunities'!$C$2:$C$1775,"=r18",'Opportunities'!$N$2:$N$1775,"=sep26",'Opportunities'!$Q$2:$Q$1775,"=1",'Opportunities'!$H$2:$H$1775,"&lt;&gt;")</f>
        <v>0</v>
      </c>
      <c r="U67" s="4">
        <f>COUNTIFS('Opportunities'!$C$2:$C$1775,"=r18",'Opportunities'!$N$2:$N$1775,"=oct26",'Opportunities'!$Q$2:$Q$1775,"=1",'Opportunities'!$H$2:$H$1775,"&lt;&gt;")</f>
        <v>0</v>
      </c>
      <c r="V67" s="4">
        <f>COUNTIFS('Opportunities'!$C$2:$C$1775,"=r18",'Opportunities'!$N$2:$N$1775,"=nov26",'Opportunities'!$Q$2:$Q$1775,"=1",'Opportunities'!$H$2:$H$1775,"&lt;&gt;")</f>
        <v>0</v>
      </c>
      <c r="W67" s="4">
        <f>COUNTIFS('Opportunities'!$C$2:$C$1775,"=r18",'Opportunities'!$N$2:$N$1775,"=dec26",'Opportunities'!$Q$2:$Q$1775,"=1",'Opportunities'!$H$2:$H$1775,"&lt;&gt;")</f>
        <v>0</v>
      </c>
    </row>
    <row r="68">
      <c r="A68" s="0" t="inlineStr">
        <is>
          <t xml:space="preserve">Deals lost</t>
        </is>
      </c>
      <c r="B68" s="0" t="inlineStr">
        <is>
          <t xml:space="preserve">Yuki Larsen</t>
        </is>
      </c>
      <c r="C68" s="4">
        <f>COUNTIFS('Opportunities'!$C$2:$C$1775,"=r19",'Opportunities'!$N$2:$N$1775,"=apr25",'Opportunities'!$Q$2:$Q$1775,"=1",'Opportunities'!$H$2:$H$1775,"&lt;&gt;")</f>
        <v>0</v>
      </c>
      <c r="D68" s="4">
        <f>COUNTIFS('Opportunities'!$C$2:$C$1775,"=r19",'Opportunities'!$N$2:$N$1775,"=may25",'Opportunities'!$Q$2:$Q$1775,"=1",'Opportunities'!$H$2:$H$1775,"&lt;&gt;")</f>
        <v>0</v>
      </c>
      <c r="E68" s="4">
        <f>COUNTIFS('Opportunities'!$C$2:$C$1775,"=r19",'Opportunities'!$N$2:$N$1775,"=jun25",'Opportunities'!$Q$2:$Q$1775,"=1",'Opportunities'!$H$2:$H$1775,"&lt;&gt;")</f>
        <v>0</v>
      </c>
      <c r="F68" s="4">
        <f>COUNTIFS('Opportunities'!$C$2:$C$1775,"=r19",'Opportunities'!$N$2:$N$1775,"=jul25",'Opportunities'!$Q$2:$Q$1775,"=1",'Opportunities'!$H$2:$H$1775,"&lt;&gt;")</f>
        <v>0</v>
      </c>
      <c r="G68" s="4">
        <f>COUNTIFS('Opportunities'!$C$2:$C$1775,"=r19",'Opportunities'!$N$2:$N$1775,"=aug25",'Opportunities'!$Q$2:$Q$1775,"=1",'Opportunities'!$H$2:$H$1775,"&lt;&gt;")</f>
        <v>0</v>
      </c>
      <c r="H68" s="4">
        <f>COUNTIFS('Opportunities'!$C$2:$C$1775,"=r19",'Opportunities'!$N$2:$N$1775,"=sep25",'Opportunities'!$Q$2:$Q$1775,"=1",'Opportunities'!$H$2:$H$1775,"&lt;&gt;")</f>
        <v>0</v>
      </c>
      <c r="I68" s="4">
        <f>COUNTIFS('Opportunities'!$C$2:$C$1775,"=r19",'Opportunities'!$N$2:$N$1775,"=oct25",'Opportunities'!$Q$2:$Q$1775,"=1",'Opportunities'!$H$2:$H$1775,"&lt;&gt;")</f>
        <v>1</v>
      </c>
      <c r="J68" s="4">
        <f>COUNTIFS('Opportunities'!$C$2:$C$1775,"=r19",'Opportunities'!$N$2:$N$1775,"=nov25",'Opportunities'!$Q$2:$Q$1775,"=1",'Opportunities'!$H$2:$H$1775,"&lt;&gt;")</f>
        <v>0</v>
      </c>
      <c r="K68" s="4">
        <f>COUNTIFS('Opportunities'!$C$2:$C$1775,"=r19",'Opportunities'!$N$2:$N$1775,"=dec25",'Opportunities'!$Q$2:$Q$1775,"=1",'Opportunities'!$H$2:$H$1775,"&lt;&gt;")</f>
        <v>0</v>
      </c>
      <c r="L68" s="4">
        <f>COUNTIFS('Opportunities'!$C$2:$C$1775,"=r19",'Opportunities'!$N$2:$N$1775,"=jan26",'Opportunities'!$Q$2:$Q$1775,"=1",'Opportunities'!$H$2:$H$1775,"&lt;&gt;")</f>
        <v>0</v>
      </c>
      <c r="M68" s="4">
        <f>COUNTIFS('Opportunities'!$C$2:$C$1775,"=r19",'Opportunities'!$N$2:$N$1775,"=feb26",'Opportunities'!$Q$2:$Q$1775,"=1",'Opportunities'!$H$2:$H$1775,"&lt;&gt;")</f>
        <v>1</v>
      </c>
      <c r="N68" s="4">
        <f>COUNTIFS('Opportunities'!$C$2:$C$1775,"=r19",'Opportunities'!$N$2:$N$1775,"=mar26",'Opportunities'!$Q$2:$Q$1775,"=1",'Opportunities'!$H$2:$H$1775,"&lt;&gt;")</f>
        <v>1</v>
      </c>
      <c r="O68" s="4">
        <f>COUNTIFS('Opportunities'!$C$2:$C$1775,"=r19",'Opportunities'!$N$2:$N$1775,"=apr26",'Opportunities'!$Q$2:$Q$1775,"=1",'Opportunities'!$H$2:$H$1775,"&lt;&gt;")</f>
        <v>1</v>
      </c>
      <c r="P68" s="4">
        <f>COUNTIFS('Opportunities'!$C$2:$C$1775,"=r19",'Opportunities'!$N$2:$N$1775,"=may26",'Opportunities'!$Q$2:$Q$1775,"=1",'Opportunities'!$H$2:$H$1775,"&lt;&gt;")</f>
        <v>0</v>
      </c>
      <c r="Q68" s="4">
        <f>COUNTIFS('Opportunities'!$C$2:$C$1775,"=r19",'Opportunities'!$N$2:$N$1775,"=jun26",'Opportunities'!$Q$2:$Q$1775,"=1",'Opportunities'!$H$2:$H$1775,"&lt;&gt;")</f>
        <v>0</v>
      </c>
      <c r="R68" s="4">
        <f>COUNTIFS('Opportunities'!$C$2:$C$1775,"=r19",'Opportunities'!$N$2:$N$1775,"=jul26",'Opportunities'!$Q$2:$Q$1775,"=1",'Opportunities'!$H$2:$H$1775,"&lt;&gt;")</f>
        <v>4</v>
      </c>
      <c r="S68" s="4">
        <f>COUNTIFS('Opportunities'!$C$2:$C$1775,"=r19",'Opportunities'!$N$2:$N$1775,"=aug26",'Opportunities'!$Q$2:$Q$1775,"=1",'Opportunities'!$H$2:$H$1775,"&lt;&gt;")</f>
        <v>1</v>
      </c>
      <c r="T68" s="4">
        <f>COUNTIFS('Opportunities'!$C$2:$C$1775,"=r19",'Opportunities'!$N$2:$N$1775,"=sep26",'Opportunities'!$Q$2:$Q$1775,"=1",'Opportunities'!$H$2:$H$1775,"&lt;&gt;")</f>
        <v>0</v>
      </c>
      <c r="U68" s="4">
        <f>COUNTIFS('Opportunities'!$C$2:$C$1775,"=r19",'Opportunities'!$N$2:$N$1775,"=oct26",'Opportunities'!$Q$2:$Q$1775,"=1",'Opportunities'!$H$2:$H$1775,"&lt;&gt;")</f>
        <v>0</v>
      </c>
      <c r="V68" s="4">
        <f>COUNTIFS('Opportunities'!$C$2:$C$1775,"=r19",'Opportunities'!$N$2:$N$1775,"=nov26",'Opportunities'!$Q$2:$Q$1775,"=1",'Opportunities'!$H$2:$H$1775,"&lt;&gt;")</f>
        <v>0</v>
      </c>
      <c r="W68" s="4">
        <f>COUNTIFS('Opportunities'!$C$2:$C$1775,"=r19",'Opportunities'!$N$2:$N$1775,"=dec26",'Opportunities'!$Q$2:$Q$1775,"=1",'Opportunities'!$H$2:$H$1775,"&lt;&gt;")</f>
        <v>0</v>
      </c>
    </row>
    <row r="69">
      <c r="A69" s="0" t="inlineStr">
        <is>
          <t xml:space="preserve">Deals lost</t>
        </is>
      </c>
      <c r="B69" s="0" t="inlineStr">
        <is>
          <t xml:space="preserve">Nikolai Sato</t>
        </is>
      </c>
      <c r="C69" s="4">
        <f>COUNTIFS('Opportunities'!$C$2:$C$1775,"=r20",'Opportunities'!$N$2:$N$1775,"=apr25",'Opportunities'!$Q$2:$Q$1775,"=1",'Opportunities'!$H$2:$H$1775,"&lt;&gt;")</f>
        <v>0</v>
      </c>
      <c r="D69" s="4">
        <f>COUNTIFS('Opportunities'!$C$2:$C$1775,"=r20",'Opportunities'!$N$2:$N$1775,"=may25",'Opportunities'!$Q$2:$Q$1775,"=1",'Opportunities'!$H$2:$H$1775,"&lt;&gt;")</f>
        <v>0</v>
      </c>
      <c r="E69" s="4">
        <f>COUNTIFS('Opportunities'!$C$2:$C$1775,"=r20",'Opportunities'!$N$2:$N$1775,"=jun25",'Opportunities'!$Q$2:$Q$1775,"=1",'Opportunities'!$H$2:$H$1775,"&lt;&gt;")</f>
        <v>0</v>
      </c>
      <c r="F69" s="4">
        <f>COUNTIFS('Opportunities'!$C$2:$C$1775,"=r20",'Opportunities'!$N$2:$N$1775,"=jul25",'Opportunities'!$Q$2:$Q$1775,"=1",'Opportunities'!$H$2:$H$1775,"&lt;&gt;")</f>
        <v>1</v>
      </c>
      <c r="G69" s="4">
        <f>COUNTIFS('Opportunities'!$C$2:$C$1775,"=r20",'Opportunities'!$N$2:$N$1775,"=aug25",'Opportunities'!$Q$2:$Q$1775,"=1",'Opportunities'!$H$2:$H$1775,"&lt;&gt;")</f>
        <v>2</v>
      </c>
      <c r="H69" s="4">
        <f>COUNTIFS('Opportunities'!$C$2:$C$1775,"=r20",'Opportunities'!$N$2:$N$1775,"=sep25",'Opportunities'!$Q$2:$Q$1775,"=1",'Opportunities'!$H$2:$H$1775,"&lt;&gt;")</f>
        <v>3</v>
      </c>
      <c r="I69" s="4">
        <f>COUNTIFS('Opportunities'!$C$2:$C$1775,"=r20",'Opportunities'!$N$2:$N$1775,"=oct25",'Opportunities'!$Q$2:$Q$1775,"=1",'Opportunities'!$H$2:$H$1775,"&lt;&gt;")</f>
        <v>1</v>
      </c>
      <c r="J69" s="4">
        <f>COUNTIFS('Opportunities'!$C$2:$C$1775,"=r20",'Opportunities'!$N$2:$N$1775,"=nov25",'Opportunities'!$Q$2:$Q$1775,"=1",'Opportunities'!$H$2:$H$1775,"&lt;&gt;")</f>
        <v>0</v>
      </c>
      <c r="K69" s="4">
        <f>COUNTIFS('Opportunities'!$C$2:$C$1775,"=r20",'Opportunities'!$N$2:$N$1775,"=dec25",'Opportunities'!$Q$2:$Q$1775,"=1",'Opportunities'!$H$2:$H$1775,"&lt;&gt;")</f>
        <v>0</v>
      </c>
      <c r="L69" s="4">
        <f>COUNTIFS('Opportunities'!$C$2:$C$1775,"=r20",'Opportunities'!$N$2:$N$1775,"=jan26",'Opportunities'!$Q$2:$Q$1775,"=1",'Opportunities'!$H$2:$H$1775,"&lt;&gt;")</f>
        <v>1</v>
      </c>
      <c r="M69" s="4">
        <f>COUNTIFS('Opportunities'!$C$2:$C$1775,"=r20",'Opportunities'!$N$2:$N$1775,"=feb26",'Opportunities'!$Q$2:$Q$1775,"=1",'Opportunities'!$H$2:$H$1775,"&lt;&gt;")</f>
        <v>0</v>
      </c>
      <c r="N69" s="4">
        <f>COUNTIFS('Opportunities'!$C$2:$C$1775,"=r20",'Opportunities'!$N$2:$N$1775,"=mar26",'Opportunities'!$Q$2:$Q$1775,"=1",'Opportunities'!$H$2:$H$1775,"&lt;&gt;")</f>
        <v>0</v>
      </c>
      <c r="O69" s="4">
        <f>COUNTIFS('Opportunities'!$C$2:$C$1775,"=r20",'Opportunities'!$N$2:$N$1775,"=apr26",'Opportunities'!$Q$2:$Q$1775,"=1",'Opportunities'!$H$2:$H$1775,"&lt;&gt;")</f>
        <v>2</v>
      </c>
      <c r="P69" s="4">
        <f>COUNTIFS('Opportunities'!$C$2:$C$1775,"=r20",'Opportunities'!$N$2:$N$1775,"=may26",'Opportunities'!$Q$2:$Q$1775,"=1",'Opportunities'!$H$2:$H$1775,"&lt;&gt;")</f>
        <v>0</v>
      </c>
      <c r="Q69" s="4">
        <f>COUNTIFS('Opportunities'!$C$2:$C$1775,"=r20",'Opportunities'!$N$2:$N$1775,"=jun26",'Opportunities'!$Q$2:$Q$1775,"=1",'Opportunities'!$H$2:$H$1775,"&lt;&gt;")</f>
        <v>0</v>
      </c>
      <c r="R69" s="4">
        <f>COUNTIFS('Opportunities'!$C$2:$C$1775,"=r20",'Opportunities'!$N$2:$N$1775,"=jul26",'Opportunities'!$Q$2:$Q$1775,"=1",'Opportunities'!$H$2:$H$1775,"&lt;&gt;")</f>
        <v>0</v>
      </c>
      <c r="S69" s="4">
        <f>COUNTIFS('Opportunities'!$C$2:$C$1775,"=r20",'Opportunities'!$N$2:$N$1775,"=aug26",'Opportunities'!$Q$2:$Q$1775,"=1",'Opportunities'!$H$2:$H$1775,"&lt;&gt;")</f>
        <v>2</v>
      </c>
      <c r="T69" s="4">
        <f>COUNTIFS('Opportunities'!$C$2:$C$1775,"=r20",'Opportunities'!$N$2:$N$1775,"=sep26",'Opportunities'!$Q$2:$Q$1775,"=1",'Opportunities'!$H$2:$H$1775,"&lt;&gt;")</f>
        <v>1</v>
      </c>
      <c r="U69" s="4">
        <f>COUNTIFS('Opportunities'!$C$2:$C$1775,"=r20",'Opportunities'!$N$2:$N$1775,"=oct26",'Opportunities'!$Q$2:$Q$1775,"=1",'Opportunities'!$H$2:$H$1775,"&lt;&gt;")</f>
        <v>0</v>
      </c>
      <c r="V69" s="4">
        <f>COUNTIFS('Opportunities'!$C$2:$C$1775,"=r20",'Opportunities'!$N$2:$N$1775,"=nov26",'Opportunities'!$Q$2:$Q$1775,"=1",'Opportunities'!$H$2:$H$1775,"&lt;&gt;")</f>
        <v>0</v>
      </c>
      <c r="W69" s="4">
        <f>COUNTIFS('Opportunities'!$C$2:$C$1775,"=r20",'Opportunities'!$N$2:$N$1775,"=dec26",'Opportunities'!$Q$2:$Q$1775,"=1",'Opportunities'!$H$2:$H$1775,"&lt;&gt;")</f>
        <v>0</v>
      </c>
    </row>
    <row r="70">
      <c r="A70" s="0" t="inlineStr">
        <is>
          <t xml:space="preserve">Deals lost</t>
        </is>
      </c>
      <c r="B70" s="0" t="inlineStr">
        <is>
          <t xml:space="preserve">Elena Silva</t>
        </is>
      </c>
      <c r="C70" s="4">
        <f>COUNTIFS('Opportunities'!$C$2:$C$1775,"=r21",'Opportunities'!$N$2:$N$1775,"=apr25",'Opportunities'!$Q$2:$Q$1775,"=1",'Opportunities'!$H$2:$H$1775,"&lt;&gt;")</f>
        <v>0</v>
      </c>
      <c r="D70" s="4">
        <f>COUNTIFS('Opportunities'!$C$2:$C$1775,"=r21",'Opportunities'!$N$2:$N$1775,"=may25",'Opportunities'!$Q$2:$Q$1775,"=1",'Opportunities'!$H$2:$H$1775,"&lt;&gt;")</f>
        <v>0</v>
      </c>
      <c r="E70" s="4">
        <f>COUNTIFS('Opportunities'!$C$2:$C$1775,"=r21",'Opportunities'!$N$2:$N$1775,"=jun25",'Opportunities'!$Q$2:$Q$1775,"=1",'Opportunities'!$H$2:$H$1775,"&lt;&gt;")</f>
        <v>3</v>
      </c>
      <c r="F70" s="4">
        <f>COUNTIFS('Opportunities'!$C$2:$C$1775,"=r21",'Opportunities'!$N$2:$N$1775,"=jul25",'Opportunities'!$Q$2:$Q$1775,"=1",'Opportunities'!$H$2:$H$1775,"&lt;&gt;")</f>
        <v>1</v>
      </c>
      <c r="G70" s="4">
        <f>COUNTIFS('Opportunities'!$C$2:$C$1775,"=r21",'Opportunities'!$N$2:$N$1775,"=aug25",'Opportunities'!$Q$2:$Q$1775,"=1",'Opportunities'!$H$2:$H$1775,"&lt;&gt;")</f>
        <v>5</v>
      </c>
      <c r="H70" s="4">
        <f>COUNTIFS('Opportunities'!$C$2:$C$1775,"=r21",'Opportunities'!$N$2:$N$1775,"=sep25",'Opportunities'!$Q$2:$Q$1775,"=1",'Opportunities'!$H$2:$H$1775,"&lt;&gt;")</f>
        <v>3</v>
      </c>
      <c r="I70" s="4">
        <f>COUNTIFS('Opportunities'!$C$2:$C$1775,"=r21",'Opportunities'!$N$2:$N$1775,"=oct25",'Opportunities'!$Q$2:$Q$1775,"=1",'Opportunities'!$H$2:$H$1775,"&lt;&gt;")</f>
        <v>3</v>
      </c>
      <c r="J70" s="4">
        <f>COUNTIFS('Opportunities'!$C$2:$C$1775,"=r21",'Opportunities'!$N$2:$N$1775,"=nov25",'Opportunities'!$Q$2:$Q$1775,"=1",'Opportunities'!$H$2:$H$1775,"&lt;&gt;")</f>
        <v>1</v>
      </c>
      <c r="K70" s="4">
        <f>COUNTIFS('Opportunities'!$C$2:$C$1775,"=r21",'Opportunities'!$N$2:$N$1775,"=dec25",'Opportunities'!$Q$2:$Q$1775,"=1",'Opportunities'!$H$2:$H$1775,"&lt;&gt;")</f>
        <v>3</v>
      </c>
      <c r="L70" s="4">
        <f>COUNTIFS('Opportunities'!$C$2:$C$1775,"=r21",'Opportunities'!$N$2:$N$1775,"=jan26",'Opportunities'!$Q$2:$Q$1775,"=1",'Opportunities'!$H$2:$H$1775,"&lt;&gt;")</f>
        <v>2</v>
      </c>
      <c r="M70" s="4">
        <f>COUNTIFS('Opportunities'!$C$2:$C$1775,"=r21",'Opportunities'!$N$2:$N$1775,"=feb26",'Opportunities'!$Q$2:$Q$1775,"=1",'Opportunities'!$H$2:$H$1775,"&lt;&gt;")</f>
        <v>0</v>
      </c>
      <c r="N70" s="4">
        <f>COUNTIFS('Opportunities'!$C$2:$C$1775,"=r21",'Opportunities'!$N$2:$N$1775,"=mar26",'Opportunities'!$Q$2:$Q$1775,"=1",'Opportunities'!$H$2:$H$1775,"&lt;&gt;")</f>
        <v>0</v>
      </c>
      <c r="O70" s="4">
        <f>COUNTIFS('Opportunities'!$C$2:$C$1775,"=r21",'Opportunities'!$N$2:$N$1775,"=apr26",'Opportunities'!$Q$2:$Q$1775,"=1",'Opportunities'!$H$2:$H$1775,"&lt;&gt;")</f>
        <v>3</v>
      </c>
      <c r="P70" s="4">
        <f>COUNTIFS('Opportunities'!$C$2:$C$1775,"=r21",'Opportunities'!$N$2:$N$1775,"=may26",'Opportunities'!$Q$2:$Q$1775,"=1",'Opportunities'!$H$2:$H$1775,"&lt;&gt;")</f>
        <v>4</v>
      </c>
      <c r="Q70" s="4">
        <f>COUNTIFS('Opportunities'!$C$2:$C$1775,"=r21",'Opportunities'!$N$2:$N$1775,"=jun26",'Opportunities'!$Q$2:$Q$1775,"=1",'Opportunities'!$H$2:$H$1775,"&lt;&gt;")</f>
        <v>5</v>
      </c>
      <c r="R70" s="4">
        <f>COUNTIFS('Opportunities'!$C$2:$C$1775,"=r21",'Opportunities'!$N$2:$N$1775,"=jul26",'Opportunities'!$Q$2:$Q$1775,"=1",'Opportunities'!$H$2:$H$1775,"&lt;&gt;")</f>
        <v>2</v>
      </c>
      <c r="S70" s="4">
        <f>COUNTIFS('Opportunities'!$C$2:$C$1775,"=r21",'Opportunities'!$N$2:$N$1775,"=aug26",'Opportunities'!$Q$2:$Q$1775,"=1",'Opportunities'!$H$2:$H$1775,"&lt;&gt;")</f>
        <v>0</v>
      </c>
      <c r="T70" s="4">
        <f>COUNTIFS('Opportunities'!$C$2:$C$1775,"=r21",'Opportunities'!$N$2:$N$1775,"=sep26",'Opportunities'!$Q$2:$Q$1775,"=1",'Opportunities'!$H$2:$H$1775,"&lt;&gt;")</f>
        <v>1</v>
      </c>
      <c r="U70" s="4">
        <f>COUNTIFS('Opportunities'!$C$2:$C$1775,"=r21",'Opportunities'!$N$2:$N$1775,"=oct26",'Opportunities'!$Q$2:$Q$1775,"=1",'Opportunities'!$H$2:$H$1775,"&lt;&gt;")</f>
        <v>0</v>
      </c>
      <c r="V70" s="4">
        <f>COUNTIFS('Opportunities'!$C$2:$C$1775,"=r21",'Opportunities'!$N$2:$N$1775,"=nov26",'Opportunities'!$Q$2:$Q$1775,"=1",'Opportunities'!$H$2:$H$1775,"&lt;&gt;")</f>
        <v>0</v>
      </c>
      <c r="W70" s="4">
        <f>COUNTIFS('Opportunities'!$C$2:$C$1775,"=r21",'Opportunities'!$N$2:$N$1775,"=dec26",'Opportunities'!$Q$2:$Q$1775,"=1",'Opportunities'!$H$2:$H$1775,"&lt;&gt;")</f>
        <v>0</v>
      </c>
    </row>
    <row r="71">
      <c r="A71" s="0" t="inlineStr">
        <is>
          <t xml:space="preserve">Deals lost</t>
        </is>
      </c>
      <c r="B71" s="0" t="inlineStr">
        <is>
          <t xml:space="preserve">Arjun Müller</t>
        </is>
      </c>
      <c r="C71" s="4">
        <f>COUNTIFS('Opportunities'!$C$2:$C$1775,"=r22",'Opportunities'!$N$2:$N$1775,"=apr25",'Opportunities'!$Q$2:$Q$1775,"=1",'Opportunities'!$H$2:$H$1775,"&lt;&gt;")</f>
        <v>0</v>
      </c>
      <c r="D71" s="4">
        <f>COUNTIFS('Opportunities'!$C$2:$C$1775,"=r22",'Opportunities'!$N$2:$N$1775,"=may25",'Opportunities'!$Q$2:$Q$1775,"=1",'Opportunities'!$H$2:$H$1775,"&lt;&gt;")</f>
        <v>0</v>
      </c>
      <c r="E71" s="4">
        <f>COUNTIFS('Opportunities'!$C$2:$C$1775,"=r22",'Opportunities'!$N$2:$N$1775,"=jun25",'Opportunities'!$Q$2:$Q$1775,"=1",'Opportunities'!$H$2:$H$1775,"&lt;&gt;")</f>
        <v>2</v>
      </c>
      <c r="F71" s="4">
        <f>COUNTIFS('Opportunities'!$C$2:$C$1775,"=r22",'Opportunities'!$N$2:$N$1775,"=jul25",'Opportunities'!$Q$2:$Q$1775,"=1",'Opportunities'!$H$2:$H$1775,"&lt;&gt;")</f>
        <v>1</v>
      </c>
      <c r="G71" s="4">
        <f>COUNTIFS('Opportunities'!$C$2:$C$1775,"=r22",'Opportunities'!$N$2:$N$1775,"=aug25",'Opportunities'!$Q$2:$Q$1775,"=1",'Opportunities'!$H$2:$H$1775,"&lt;&gt;")</f>
        <v>2</v>
      </c>
      <c r="H71" s="4">
        <f>COUNTIFS('Opportunities'!$C$2:$C$1775,"=r22",'Opportunities'!$N$2:$N$1775,"=sep25",'Opportunities'!$Q$2:$Q$1775,"=1",'Opportunities'!$H$2:$H$1775,"&lt;&gt;")</f>
        <v>2</v>
      </c>
      <c r="I71" s="4">
        <f>COUNTIFS('Opportunities'!$C$2:$C$1775,"=r22",'Opportunities'!$N$2:$N$1775,"=oct25",'Opportunities'!$Q$2:$Q$1775,"=1",'Opportunities'!$H$2:$H$1775,"&lt;&gt;")</f>
        <v>5</v>
      </c>
      <c r="J71" s="4">
        <f>COUNTIFS('Opportunities'!$C$2:$C$1775,"=r22",'Opportunities'!$N$2:$N$1775,"=nov25",'Opportunities'!$Q$2:$Q$1775,"=1",'Opportunities'!$H$2:$H$1775,"&lt;&gt;")</f>
        <v>2</v>
      </c>
      <c r="K71" s="4">
        <f>COUNTIFS('Opportunities'!$C$2:$C$1775,"=r22",'Opportunities'!$N$2:$N$1775,"=dec25",'Opportunities'!$Q$2:$Q$1775,"=1",'Opportunities'!$H$2:$H$1775,"&lt;&gt;")</f>
        <v>4</v>
      </c>
      <c r="L71" s="4">
        <f>COUNTIFS('Opportunities'!$C$2:$C$1775,"=r22",'Opportunities'!$N$2:$N$1775,"=jan26",'Opportunities'!$Q$2:$Q$1775,"=1",'Opportunities'!$H$2:$H$1775,"&lt;&gt;")</f>
        <v>0</v>
      </c>
      <c r="M71" s="4">
        <f>COUNTIFS('Opportunities'!$C$2:$C$1775,"=r22",'Opportunities'!$N$2:$N$1775,"=feb26",'Opportunities'!$Q$2:$Q$1775,"=1",'Opportunities'!$H$2:$H$1775,"&lt;&gt;")</f>
        <v>2</v>
      </c>
      <c r="N71" s="4">
        <f>COUNTIFS('Opportunities'!$C$2:$C$1775,"=r22",'Opportunities'!$N$2:$N$1775,"=mar26",'Opportunities'!$Q$2:$Q$1775,"=1",'Opportunities'!$H$2:$H$1775,"&lt;&gt;")</f>
        <v>2</v>
      </c>
      <c r="O71" s="4">
        <f>COUNTIFS('Opportunities'!$C$2:$C$1775,"=r22",'Opportunities'!$N$2:$N$1775,"=apr26",'Opportunities'!$Q$2:$Q$1775,"=1",'Opportunities'!$H$2:$H$1775,"&lt;&gt;")</f>
        <v>1</v>
      </c>
      <c r="P71" s="4">
        <f>COUNTIFS('Opportunities'!$C$2:$C$1775,"=r22",'Opportunities'!$N$2:$N$1775,"=may26",'Opportunities'!$Q$2:$Q$1775,"=1",'Opportunities'!$H$2:$H$1775,"&lt;&gt;")</f>
        <v>3</v>
      </c>
      <c r="Q71" s="4">
        <f>COUNTIFS('Opportunities'!$C$2:$C$1775,"=r22",'Opportunities'!$N$2:$N$1775,"=jun26",'Opportunities'!$Q$2:$Q$1775,"=1",'Opportunities'!$H$2:$H$1775,"&lt;&gt;")</f>
        <v>2</v>
      </c>
      <c r="R71" s="4">
        <f>COUNTIFS('Opportunities'!$C$2:$C$1775,"=r22",'Opportunities'!$N$2:$N$1775,"=jul26",'Opportunities'!$Q$2:$Q$1775,"=1",'Opportunities'!$H$2:$H$1775,"&lt;&gt;")</f>
        <v>3</v>
      </c>
      <c r="S71" s="4">
        <f>COUNTIFS('Opportunities'!$C$2:$C$1775,"=r22",'Opportunities'!$N$2:$N$1775,"=aug26",'Opportunities'!$Q$2:$Q$1775,"=1",'Opportunities'!$H$2:$H$1775,"&lt;&gt;")</f>
        <v>5</v>
      </c>
      <c r="T71" s="4">
        <f>COUNTIFS('Opportunities'!$C$2:$C$1775,"=r22",'Opportunities'!$N$2:$N$1775,"=sep26",'Opportunities'!$Q$2:$Q$1775,"=1",'Opportunities'!$H$2:$H$1775,"&lt;&gt;")</f>
        <v>1</v>
      </c>
      <c r="U71" s="4">
        <f>COUNTIFS('Opportunities'!$C$2:$C$1775,"=r22",'Opportunities'!$N$2:$N$1775,"=oct26",'Opportunities'!$Q$2:$Q$1775,"=1",'Opportunities'!$H$2:$H$1775,"&lt;&gt;")</f>
        <v>0</v>
      </c>
      <c r="V71" s="4">
        <f>COUNTIFS('Opportunities'!$C$2:$C$1775,"=r22",'Opportunities'!$N$2:$N$1775,"=nov26",'Opportunities'!$Q$2:$Q$1775,"=1",'Opportunities'!$H$2:$H$1775,"&lt;&gt;")</f>
        <v>0</v>
      </c>
      <c r="W71" s="4">
        <f>COUNTIFS('Opportunities'!$C$2:$C$1775,"=r22",'Opportunities'!$N$2:$N$1775,"=dec26",'Opportunities'!$Q$2:$Q$1775,"=1",'Opportunities'!$H$2:$H$1775,"&lt;&gt;")</f>
        <v>0</v>
      </c>
    </row>
    <row r="72">
      <c r="A72" s="0" t="inlineStr">
        <is>
          <t xml:space="preserve">Deals lost</t>
        </is>
      </c>
      <c r="B72" s="0" t="inlineStr">
        <is>
          <t xml:space="preserve">Nikolai Park</t>
        </is>
      </c>
      <c r="C72" s="4">
        <f>COUNTIFS('Opportunities'!$C$2:$C$1775,"=r23",'Opportunities'!$N$2:$N$1775,"=apr25",'Opportunities'!$Q$2:$Q$1775,"=1",'Opportunities'!$H$2:$H$1775,"&lt;&gt;")</f>
        <v>0</v>
      </c>
      <c r="D72" s="4">
        <f>COUNTIFS('Opportunities'!$C$2:$C$1775,"=r23",'Opportunities'!$N$2:$N$1775,"=may25",'Opportunities'!$Q$2:$Q$1775,"=1",'Opportunities'!$H$2:$H$1775,"&lt;&gt;")</f>
        <v>0</v>
      </c>
      <c r="E72" s="4">
        <f>COUNTIFS('Opportunities'!$C$2:$C$1775,"=r23",'Opportunities'!$N$2:$N$1775,"=jun25",'Opportunities'!$Q$2:$Q$1775,"=1",'Opportunities'!$H$2:$H$1775,"&lt;&gt;")</f>
        <v>0</v>
      </c>
      <c r="F72" s="4">
        <f>COUNTIFS('Opportunities'!$C$2:$C$1775,"=r23",'Opportunities'!$N$2:$N$1775,"=jul25",'Opportunities'!$Q$2:$Q$1775,"=1",'Opportunities'!$H$2:$H$1775,"&lt;&gt;")</f>
        <v>0</v>
      </c>
      <c r="G72" s="4">
        <f>COUNTIFS('Opportunities'!$C$2:$C$1775,"=r23",'Opportunities'!$N$2:$N$1775,"=aug25",'Opportunities'!$Q$2:$Q$1775,"=1",'Opportunities'!$H$2:$H$1775,"&lt;&gt;")</f>
        <v>0</v>
      </c>
      <c r="H72" s="4">
        <f>COUNTIFS('Opportunities'!$C$2:$C$1775,"=r23",'Opportunities'!$N$2:$N$1775,"=sep25",'Opportunities'!$Q$2:$Q$1775,"=1",'Opportunities'!$H$2:$H$1775,"&lt;&gt;")</f>
        <v>0</v>
      </c>
      <c r="I72" s="4">
        <f>COUNTIFS('Opportunities'!$C$2:$C$1775,"=r23",'Opportunities'!$N$2:$N$1775,"=oct25",'Opportunities'!$Q$2:$Q$1775,"=1",'Opportunities'!$H$2:$H$1775,"&lt;&gt;")</f>
        <v>0</v>
      </c>
      <c r="J72" s="4">
        <f>COUNTIFS('Opportunities'!$C$2:$C$1775,"=r23",'Opportunities'!$N$2:$N$1775,"=nov25",'Opportunities'!$Q$2:$Q$1775,"=1",'Opportunities'!$H$2:$H$1775,"&lt;&gt;")</f>
        <v>0</v>
      </c>
      <c r="K72" s="4">
        <f>COUNTIFS('Opportunities'!$C$2:$C$1775,"=r23",'Opportunities'!$N$2:$N$1775,"=dec25",'Opportunities'!$Q$2:$Q$1775,"=1",'Opportunities'!$H$2:$H$1775,"&lt;&gt;")</f>
        <v>0</v>
      </c>
      <c r="L72" s="4">
        <f>COUNTIFS('Opportunities'!$C$2:$C$1775,"=r23",'Opportunities'!$N$2:$N$1775,"=jan26",'Opportunities'!$Q$2:$Q$1775,"=1",'Opportunities'!$H$2:$H$1775,"&lt;&gt;")</f>
        <v>0</v>
      </c>
      <c r="M72" s="4">
        <f>COUNTIFS('Opportunities'!$C$2:$C$1775,"=r23",'Opportunities'!$N$2:$N$1775,"=feb26",'Opportunities'!$Q$2:$Q$1775,"=1",'Opportunities'!$H$2:$H$1775,"&lt;&gt;")</f>
        <v>0</v>
      </c>
      <c r="N72" s="4">
        <f>COUNTIFS('Opportunities'!$C$2:$C$1775,"=r23",'Opportunities'!$N$2:$N$1775,"=mar26",'Opportunities'!$Q$2:$Q$1775,"=1",'Opportunities'!$H$2:$H$1775,"&lt;&gt;")</f>
        <v>0</v>
      </c>
      <c r="O72" s="4">
        <f>COUNTIFS('Opportunities'!$C$2:$C$1775,"=r23",'Opportunities'!$N$2:$N$1775,"=apr26",'Opportunities'!$Q$2:$Q$1775,"=1",'Opportunities'!$H$2:$H$1775,"&lt;&gt;")</f>
        <v>0</v>
      </c>
      <c r="P72" s="4">
        <f>COUNTIFS('Opportunities'!$C$2:$C$1775,"=r23",'Opportunities'!$N$2:$N$1775,"=may26",'Opportunities'!$Q$2:$Q$1775,"=1",'Opportunities'!$H$2:$H$1775,"&lt;&gt;")</f>
        <v>1</v>
      </c>
      <c r="Q72" s="4">
        <f>COUNTIFS('Opportunities'!$C$2:$C$1775,"=r23",'Opportunities'!$N$2:$N$1775,"=jun26",'Opportunities'!$Q$2:$Q$1775,"=1",'Opportunities'!$H$2:$H$1775,"&lt;&gt;")</f>
        <v>0</v>
      </c>
      <c r="R72" s="4">
        <f>COUNTIFS('Opportunities'!$C$2:$C$1775,"=r23",'Opportunities'!$N$2:$N$1775,"=jul26",'Opportunities'!$Q$2:$Q$1775,"=1",'Opportunities'!$H$2:$H$1775,"&lt;&gt;")</f>
        <v>0</v>
      </c>
      <c r="S72" s="4">
        <f>COUNTIFS('Opportunities'!$C$2:$C$1775,"=r23",'Opportunities'!$N$2:$N$1775,"=aug26",'Opportunities'!$Q$2:$Q$1775,"=1",'Opportunities'!$H$2:$H$1775,"&lt;&gt;")</f>
        <v>0</v>
      </c>
      <c r="T72" s="4">
        <f>COUNTIFS('Opportunities'!$C$2:$C$1775,"=r23",'Opportunities'!$N$2:$N$1775,"=sep26",'Opportunities'!$Q$2:$Q$1775,"=1",'Opportunities'!$H$2:$H$1775,"&lt;&gt;")</f>
        <v>1</v>
      </c>
      <c r="U72" s="4">
        <f>COUNTIFS('Opportunities'!$C$2:$C$1775,"=r23",'Opportunities'!$N$2:$N$1775,"=oct26",'Opportunities'!$Q$2:$Q$1775,"=1",'Opportunities'!$H$2:$H$1775,"&lt;&gt;")</f>
        <v>0</v>
      </c>
      <c r="V72" s="4">
        <f>COUNTIFS('Opportunities'!$C$2:$C$1775,"=r23",'Opportunities'!$N$2:$N$1775,"=nov26",'Opportunities'!$Q$2:$Q$1775,"=1",'Opportunities'!$H$2:$H$1775,"&lt;&gt;")</f>
        <v>0</v>
      </c>
      <c r="W72" s="4">
        <f>COUNTIFS('Opportunities'!$C$2:$C$1775,"=r23",'Opportunities'!$N$2:$N$1775,"=dec26",'Opportunities'!$Q$2:$Q$1775,"=1",'Opportunities'!$H$2:$H$1775,"&lt;&gt;")</f>
        <v>0</v>
      </c>
    </row>
    <row r="73">
      <c r="A73" s="0" t="inlineStr">
        <is>
          <t xml:space="preserve">Deals lost</t>
        </is>
      </c>
      <c r="B73" s="0" t="inlineStr">
        <is>
          <t xml:space="preserve">Ingrid Dubois</t>
        </is>
      </c>
      <c r="C73" s="4">
        <f>COUNTIFS('Opportunities'!$C$2:$C$1775,"=r24",'Opportunities'!$N$2:$N$1775,"=apr25",'Opportunities'!$Q$2:$Q$1775,"=1",'Opportunities'!$H$2:$H$1775,"&lt;&gt;")</f>
        <v>0</v>
      </c>
      <c r="D73" s="4">
        <f>COUNTIFS('Opportunities'!$C$2:$C$1775,"=r24",'Opportunities'!$N$2:$N$1775,"=may25",'Opportunities'!$Q$2:$Q$1775,"=1",'Opportunities'!$H$2:$H$1775,"&lt;&gt;")</f>
        <v>0</v>
      </c>
      <c r="E73" s="4">
        <f>COUNTIFS('Opportunities'!$C$2:$C$1775,"=r24",'Opportunities'!$N$2:$N$1775,"=jun25",'Opportunities'!$Q$2:$Q$1775,"=1",'Opportunities'!$H$2:$H$1775,"&lt;&gt;")</f>
        <v>8</v>
      </c>
      <c r="F73" s="4">
        <f>COUNTIFS('Opportunities'!$C$2:$C$1775,"=r24",'Opportunities'!$N$2:$N$1775,"=jul25",'Opportunities'!$Q$2:$Q$1775,"=1",'Opportunities'!$H$2:$H$1775,"&lt;&gt;")</f>
        <v>0</v>
      </c>
      <c r="G73" s="4">
        <f>COUNTIFS('Opportunities'!$C$2:$C$1775,"=r24",'Opportunities'!$N$2:$N$1775,"=aug25",'Opportunities'!$Q$2:$Q$1775,"=1",'Opportunities'!$H$2:$H$1775,"&lt;&gt;")</f>
        <v>4</v>
      </c>
      <c r="H73" s="4">
        <f>COUNTIFS('Opportunities'!$C$2:$C$1775,"=r24",'Opportunities'!$N$2:$N$1775,"=sep25",'Opportunities'!$Q$2:$Q$1775,"=1",'Opportunities'!$H$2:$H$1775,"&lt;&gt;")</f>
        <v>5</v>
      </c>
      <c r="I73" s="4">
        <f>COUNTIFS('Opportunities'!$C$2:$C$1775,"=r24",'Opportunities'!$N$2:$N$1775,"=oct25",'Opportunities'!$Q$2:$Q$1775,"=1",'Opportunities'!$H$2:$H$1775,"&lt;&gt;")</f>
        <v>3</v>
      </c>
      <c r="J73" s="4">
        <f>COUNTIFS('Opportunities'!$C$2:$C$1775,"=r24",'Opportunities'!$N$2:$N$1775,"=nov25",'Opportunities'!$Q$2:$Q$1775,"=1",'Opportunities'!$H$2:$H$1775,"&lt;&gt;")</f>
        <v>3</v>
      </c>
      <c r="K73" s="4">
        <f>COUNTIFS('Opportunities'!$C$2:$C$1775,"=r24",'Opportunities'!$N$2:$N$1775,"=dec25",'Opportunities'!$Q$2:$Q$1775,"=1",'Opportunities'!$H$2:$H$1775,"&lt;&gt;")</f>
        <v>8</v>
      </c>
      <c r="L73" s="4">
        <f>COUNTIFS('Opportunities'!$C$2:$C$1775,"=r24",'Opportunities'!$N$2:$N$1775,"=jan26",'Opportunities'!$Q$2:$Q$1775,"=1",'Opportunities'!$H$2:$H$1775,"&lt;&gt;")</f>
        <v>3</v>
      </c>
      <c r="M73" s="4">
        <f>COUNTIFS('Opportunities'!$C$2:$C$1775,"=r24",'Opportunities'!$N$2:$N$1775,"=feb26",'Opportunities'!$Q$2:$Q$1775,"=1",'Opportunities'!$H$2:$H$1775,"&lt;&gt;")</f>
        <v>1</v>
      </c>
      <c r="N73" s="4">
        <f>COUNTIFS('Opportunities'!$C$2:$C$1775,"=r24",'Opportunities'!$N$2:$N$1775,"=mar26",'Opportunities'!$Q$2:$Q$1775,"=1",'Opportunities'!$H$2:$H$1775,"&lt;&gt;")</f>
        <v>7</v>
      </c>
      <c r="O73" s="4">
        <f>COUNTIFS('Opportunities'!$C$2:$C$1775,"=r24",'Opportunities'!$N$2:$N$1775,"=apr26",'Opportunities'!$Q$2:$Q$1775,"=1",'Opportunities'!$H$2:$H$1775,"&lt;&gt;")</f>
        <v>3</v>
      </c>
      <c r="P73" s="4">
        <f>COUNTIFS('Opportunities'!$C$2:$C$1775,"=r24",'Opportunities'!$N$2:$N$1775,"=may26",'Opportunities'!$Q$2:$Q$1775,"=1",'Opportunities'!$H$2:$H$1775,"&lt;&gt;")</f>
        <v>5</v>
      </c>
      <c r="Q73" s="4">
        <f>COUNTIFS('Opportunities'!$C$2:$C$1775,"=r24",'Opportunities'!$N$2:$N$1775,"=jun26",'Opportunities'!$Q$2:$Q$1775,"=1",'Opportunities'!$H$2:$H$1775,"&lt;&gt;")</f>
        <v>7</v>
      </c>
      <c r="R73" s="4">
        <f>COUNTIFS('Opportunities'!$C$2:$C$1775,"=r24",'Opportunities'!$N$2:$N$1775,"=jul26",'Opportunities'!$Q$2:$Q$1775,"=1",'Opportunities'!$H$2:$H$1775,"&lt;&gt;")</f>
        <v>3</v>
      </c>
      <c r="S73" s="4">
        <f>COUNTIFS('Opportunities'!$C$2:$C$1775,"=r24",'Opportunities'!$N$2:$N$1775,"=aug26",'Opportunities'!$Q$2:$Q$1775,"=1",'Opportunities'!$H$2:$H$1775,"&lt;&gt;")</f>
        <v>3</v>
      </c>
      <c r="T73" s="4">
        <f>COUNTIFS('Opportunities'!$C$2:$C$1775,"=r24",'Opportunities'!$N$2:$N$1775,"=sep26",'Opportunities'!$Q$2:$Q$1775,"=1",'Opportunities'!$H$2:$H$1775,"&lt;&gt;")</f>
        <v>1</v>
      </c>
      <c r="U73" s="4">
        <f>COUNTIFS('Opportunities'!$C$2:$C$1775,"=r24",'Opportunities'!$N$2:$N$1775,"=oct26",'Opportunities'!$Q$2:$Q$1775,"=1",'Opportunities'!$H$2:$H$1775,"&lt;&gt;")</f>
        <v>0</v>
      </c>
      <c r="V73" s="4">
        <f>COUNTIFS('Opportunities'!$C$2:$C$1775,"=r24",'Opportunities'!$N$2:$N$1775,"=nov26",'Opportunities'!$Q$2:$Q$1775,"=1",'Opportunities'!$H$2:$H$1775,"&lt;&gt;")</f>
        <v>0</v>
      </c>
      <c r="W73" s="4">
        <f>COUNTIFS('Opportunities'!$C$2:$C$1775,"=r24",'Opportunities'!$N$2:$N$1775,"=dec26",'Opportunities'!$Q$2:$Q$1775,"=1",'Opportunities'!$H$2:$H$1775,"&lt;&gt;")</f>
        <v>0</v>
      </c>
    </row>
    <row r="74">
      <c r="A74" s="0" t="inlineStr">
        <is>
          <t xml:space="preserve">New-logo bookings</t>
        </is>
      </c>
      <c r="B74" s="0" t="inlineStr">
        <is>
          <t xml:space="preserve">Noor Ortiz</t>
        </is>
      </c>
      <c r="C74" s="4">
        <f>SUMIFS('Opportunities'!$H$2:$H$1775,'Opportunities'!$C$2:$C$1775,"=r01",'Opportunities'!$N$2:$N$1775,"=apr25",'Opportunities'!$P$2:$P$1775,"=1",'Opportunities'!$G$2:$G$1775,"=1")</f>
        <v>0</v>
      </c>
      <c r="D74" s="4">
        <f>SUMIFS('Opportunities'!$H$2:$H$1775,'Opportunities'!$C$2:$C$1775,"=r01",'Opportunities'!$N$2:$N$1775,"=may25",'Opportunities'!$P$2:$P$1775,"=1",'Opportunities'!$G$2:$G$1775,"=1")</f>
        <v>0</v>
      </c>
      <c r="E74" s="4">
        <f>SUMIFS('Opportunities'!$H$2:$H$1775,'Opportunities'!$C$2:$C$1775,"=r01",'Opportunities'!$N$2:$N$1775,"=jun25",'Opportunities'!$P$2:$P$1775,"=1",'Opportunities'!$G$2:$G$1775,"=1")</f>
        <v>0</v>
      </c>
      <c r="F74" s="4">
        <f>SUMIFS('Opportunities'!$H$2:$H$1775,'Opportunities'!$C$2:$C$1775,"=r01",'Opportunities'!$N$2:$N$1775,"=jul25",'Opportunities'!$P$2:$P$1775,"=1",'Opportunities'!$G$2:$G$1775,"=1")</f>
        <v>0</v>
      </c>
      <c r="G74" s="4">
        <f>SUMIFS('Opportunities'!$H$2:$H$1775,'Opportunities'!$C$2:$C$1775,"=r01",'Opportunities'!$N$2:$N$1775,"=aug25",'Opportunities'!$P$2:$P$1775,"=1",'Opportunities'!$G$2:$G$1775,"=1")</f>
        <v>0</v>
      </c>
      <c r="H74" s="4">
        <f>SUMIFS('Opportunities'!$H$2:$H$1775,'Opportunities'!$C$2:$C$1775,"=r01",'Opportunities'!$N$2:$N$1775,"=sep25",'Opportunities'!$P$2:$P$1775,"=1",'Opportunities'!$G$2:$G$1775,"=1")</f>
        <v>0</v>
      </c>
      <c r="I74" s="4">
        <f>SUMIFS('Opportunities'!$H$2:$H$1775,'Opportunities'!$C$2:$C$1775,"=r01",'Opportunities'!$N$2:$N$1775,"=oct25",'Opportunities'!$P$2:$P$1775,"=1",'Opportunities'!$G$2:$G$1775,"=1")</f>
        <v>0</v>
      </c>
      <c r="J74" s="4">
        <f>SUMIFS('Opportunities'!$H$2:$H$1775,'Opportunities'!$C$2:$C$1775,"=r01",'Opportunities'!$N$2:$N$1775,"=nov25",'Opportunities'!$P$2:$P$1775,"=1",'Opportunities'!$G$2:$G$1775,"=1")</f>
        <v>94300</v>
      </c>
      <c r="K74" s="4">
        <f>SUMIFS('Opportunities'!$H$2:$H$1775,'Opportunities'!$C$2:$C$1775,"=r01",'Opportunities'!$N$2:$N$1775,"=dec25",'Opportunities'!$P$2:$P$1775,"=1",'Opportunities'!$G$2:$G$1775,"=1")</f>
        <v>106900</v>
      </c>
      <c r="L74" s="4">
        <f>SUMIFS('Opportunities'!$H$2:$H$1775,'Opportunities'!$C$2:$C$1775,"=r01",'Opportunities'!$N$2:$N$1775,"=jan26",'Opportunities'!$P$2:$P$1775,"=1",'Opportunities'!$G$2:$G$1775,"=1")</f>
        <v>0</v>
      </c>
      <c r="M74" s="4">
        <f>SUMIFS('Opportunities'!$H$2:$H$1775,'Opportunities'!$C$2:$C$1775,"=r01",'Opportunities'!$N$2:$N$1775,"=feb26",'Opportunities'!$P$2:$P$1775,"=1",'Opportunities'!$G$2:$G$1775,"=1")</f>
        <v>0</v>
      </c>
      <c r="N74" s="4">
        <f>SUMIFS('Opportunities'!$H$2:$H$1775,'Opportunities'!$C$2:$C$1775,"=r01",'Opportunities'!$N$2:$N$1775,"=mar26",'Opportunities'!$P$2:$P$1775,"=1",'Opportunities'!$G$2:$G$1775,"=1")</f>
        <v>505900</v>
      </c>
      <c r="O74" s="4">
        <f>SUMIFS('Opportunities'!$H$2:$H$1775,'Opportunities'!$C$2:$C$1775,"=r01",'Opportunities'!$N$2:$N$1775,"=apr26",'Opportunities'!$P$2:$P$1775,"=1",'Opportunities'!$G$2:$G$1775,"=1")</f>
        <v>0</v>
      </c>
      <c r="P74" s="4">
        <f>SUMIFS('Opportunities'!$H$2:$H$1775,'Opportunities'!$C$2:$C$1775,"=r01",'Opportunities'!$N$2:$N$1775,"=may26",'Opportunities'!$P$2:$P$1775,"=1",'Opportunities'!$G$2:$G$1775,"=1")</f>
        <v>0</v>
      </c>
      <c r="Q74" s="4">
        <f>SUMIFS('Opportunities'!$H$2:$H$1775,'Opportunities'!$C$2:$C$1775,"=r01",'Opportunities'!$N$2:$N$1775,"=jun26",'Opportunities'!$P$2:$P$1775,"=1",'Opportunities'!$G$2:$G$1775,"=1")</f>
        <v>209500</v>
      </c>
      <c r="R74" s="4">
        <f>SUMIFS('Opportunities'!$H$2:$H$1775,'Opportunities'!$C$2:$C$1775,"=r01",'Opportunities'!$N$2:$N$1775,"=jul26",'Opportunities'!$P$2:$P$1775,"=1",'Opportunities'!$G$2:$G$1775,"=1")</f>
        <v>0</v>
      </c>
      <c r="S74" s="4">
        <f>SUMIFS('Opportunities'!$H$2:$H$1775,'Opportunities'!$C$2:$C$1775,"=r01",'Opportunities'!$N$2:$N$1775,"=aug26",'Opportunities'!$P$2:$P$1775,"=1",'Opportunities'!$G$2:$G$1775,"=1")</f>
        <v>61800</v>
      </c>
      <c r="T74" s="4">
        <f>SUMIFS('Opportunities'!$H$2:$H$1775,'Opportunities'!$C$2:$C$1775,"=r01",'Opportunities'!$N$2:$N$1775,"=sep26",'Opportunities'!$P$2:$P$1775,"=1",'Opportunities'!$G$2:$G$1775,"=1")</f>
        <v>0</v>
      </c>
      <c r="U74" s="4">
        <f>SUMIFS('Opportunities'!$H$2:$H$1775,'Opportunities'!$C$2:$C$1775,"=r01",'Opportunities'!$N$2:$N$1775,"=oct26",'Opportunities'!$P$2:$P$1775,"=1",'Opportunities'!$G$2:$G$1775,"=1")</f>
        <v>0</v>
      </c>
      <c r="V74" s="4">
        <f>SUMIFS('Opportunities'!$H$2:$H$1775,'Opportunities'!$C$2:$C$1775,"=r01",'Opportunities'!$N$2:$N$1775,"=nov26",'Opportunities'!$P$2:$P$1775,"=1",'Opportunities'!$G$2:$G$1775,"=1")</f>
        <v>0</v>
      </c>
      <c r="W74" s="4">
        <f>SUMIFS('Opportunities'!$H$2:$H$1775,'Opportunities'!$C$2:$C$1775,"=r01",'Opportunities'!$N$2:$N$1775,"=dec26",'Opportunities'!$P$2:$P$1775,"=1",'Opportunities'!$G$2:$G$1775,"=1")</f>
        <v>0</v>
      </c>
    </row>
    <row r="75">
      <c r="A75" s="0" t="inlineStr">
        <is>
          <t xml:space="preserve">New-logo bookings</t>
        </is>
      </c>
      <c r="B75" s="0" t="inlineStr">
        <is>
          <t xml:space="preserve">Priya Yilmaz</t>
        </is>
      </c>
      <c r="C75" s="4">
        <f>SUMIFS('Opportunities'!$H$2:$H$1775,'Opportunities'!$C$2:$C$1775,"=r02",'Opportunities'!$N$2:$N$1775,"=apr25",'Opportunities'!$P$2:$P$1775,"=1",'Opportunities'!$G$2:$G$1775,"=1")</f>
        <v>0</v>
      </c>
      <c r="D75" s="4">
        <f>SUMIFS('Opportunities'!$H$2:$H$1775,'Opportunities'!$C$2:$C$1775,"=r02",'Opportunities'!$N$2:$N$1775,"=may25",'Opportunities'!$P$2:$P$1775,"=1",'Opportunities'!$G$2:$G$1775,"=1")</f>
        <v>0</v>
      </c>
      <c r="E75" s="4">
        <f>SUMIFS('Opportunities'!$H$2:$H$1775,'Opportunities'!$C$2:$C$1775,"=r02",'Opportunities'!$N$2:$N$1775,"=jun25",'Opportunities'!$P$2:$P$1775,"=1",'Opportunities'!$G$2:$G$1775,"=1")</f>
        <v>0</v>
      </c>
      <c r="F75" s="4">
        <f>SUMIFS('Opportunities'!$H$2:$H$1775,'Opportunities'!$C$2:$C$1775,"=r02",'Opportunities'!$N$2:$N$1775,"=jul25",'Opportunities'!$P$2:$P$1775,"=1",'Opportunities'!$G$2:$G$1775,"=1")</f>
        <v>0</v>
      </c>
      <c r="G75" s="4">
        <f>SUMIFS('Opportunities'!$H$2:$H$1775,'Opportunities'!$C$2:$C$1775,"=r02",'Opportunities'!$N$2:$N$1775,"=aug25",'Opportunities'!$P$2:$P$1775,"=1",'Opportunities'!$G$2:$G$1775,"=1")</f>
        <v>0</v>
      </c>
      <c r="H75" s="4">
        <f>SUMIFS('Opportunities'!$H$2:$H$1775,'Opportunities'!$C$2:$C$1775,"=r02",'Opportunities'!$N$2:$N$1775,"=sep25",'Opportunities'!$P$2:$P$1775,"=1",'Opportunities'!$G$2:$G$1775,"=1")</f>
        <v>0</v>
      </c>
      <c r="I75" s="4">
        <f>SUMIFS('Opportunities'!$H$2:$H$1775,'Opportunities'!$C$2:$C$1775,"=r02",'Opportunities'!$N$2:$N$1775,"=oct25",'Opportunities'!$P$2:$P$1775,"=1",'Opportunities'!$G$2:$G$1775,"=1")</f>
        <v>0</v>
      </c>
      <c r="J75" s="4">
        <f>SUMIFS('Opportunities'!$H$2:$H$1775,'Opportunities'!$C$2:$C$1775,"=r02",'Opportunities'!$N$2:$N$1775,"=nov25",'Opportunities'!$P$2:$P$1775,"=1",'Opportunities'!$G$2:$G$1775,"=1")</f>
        <v>0</v>
      </c>
      <c r="K75" s="4">
        <f>SUMIFS('Opportunities'!$H$2:$H$1775,'Opportunities'!$C$2:$C$1775,"=r02",'Opportunities'!$N$2:$N$1775,"=dec25",'Opportunities'!$P$2:$P$1775,"=1",'Opportunities'!$G$2:$G$1775,"=1")</f>
        <v>0</v>
      </c>
      <c r="L75" s="4">
        <f>SUMIFS('Opportunities'!$H$2:$H$1775,'Opportunities'!$C$2:$C$1775,"=r02",'Opportunities'!$N$2:$N$1775,"=jan26",'Opportunities'!$P$2:$P$1775,"=1",'Opportunities'!$G$2:$G$1775,"=1")</f>
        <v>0</v>
      </c>
      <c r="M75" s="4">
        <f>SUMIFS('Opportunities'!$H$2:$H$1775,'Opportunities'!$C$2:$C$1775,"=r02",'Opportunities'!$N$2:$N$1775,"=feb26",'Opportunities'!$P$2:$P$1775,"=1",'Opportunities'!$G$2:$G$1775,"=1")</f>
        <v>0</v>
      </c>
      <c r="N75" s="4">
        <f>SUMIFS('Opportunities'!$H$2:$H$1775,'Opportunities'!$C$2:$C$1775,"=r02",'Opportunities'!$N$2:$N$1775,"=mar26",'Opportunities'!$P$2:$P$1775,"=1",'Opportunities'!$G$2:$G$1775,"=1")</f>
        <v>0</v>
      </c>
      <c r="O75" s="4">
        <f>SUMIFS('Opportunities'!$H$2:$H$1775,'Opportunities'!$C$2:$C$1775,"=r02",'Opportunities'!$N$2:$N$1775,"=apr26",'Opportunities'!$P$2:$P$1775,"=1",'Opportunities'!$G$2:$G$1775,"=1")</f>
        <v>0</v>
      </c>
      <c r="P75" s="4">
        <f>SUMIFS('Opportunities'!$H$2:$H$1775,'Opportunities'!$C$2:$C$1775,"=r02",'Opportunities'!$N$2:$N$1775,"=may26",'Opportunities'!$P$2:$P$1775,"=1",'Opportunities'!$G$2:$G$1775,"=1")</f>
        <v>0</v>
      </c>
      <c r="Q75" s="4">
        <f>SUMIFS('Opportunities'!$H$2:$H$1775,'Opportunities'!$C$2:$C$1775,"=r02",'Opportunities'!$N$2:$N$1775,"=jun26",'Opportunities'!$P$2:$P$1775,"=1",'Opportunities'!$G$2:$G$1775,"=1")</f>
        <v>0</v>
      </c>
      <c r="R75" s="4">
        <f>SUMIFS('Opportunities'!$H$2:$H$1775,'Opportunities'!$C$2:$C$1775,"=r02",'Opportunities'!$N$2:$N$1775,"=jul26",'Opportunities'!$P$2:$P$1775,"=1",'Opportunities'!$G$2:$G$1775,"=1")</f>
        <v>0</v>
      </c>
      <c r="S75" s="4">
        <f>SUMIFS('Opportunities'!$H$2:$H$1775,'Opportunities'!$C$2:$C$1775,"=r02",'Opportunities'!$N$2:$N$1775,"=aug26",'Opportunities'!$P$2:$P$1775,"=1",'Opportunities'!$G$2:$G$1775,"=1")</f>
        <v>0</v>
      </c>
      <c r="T75" s="4">
        <f>SUMIFS('Opportunities'!$H$2:$H$1775,'Opportunities'!$C$2:$C$1775,"=r02",'Opportunities'!$N$2:$N$1775,"=sep26",'Opportunities'!$P$2:$P$1775,"=1",'Opportunities'!$G$2:$G$1775,"=1")</f>
        <v>0</v>
      </c>
      <c r="U75" s="4">
        <f>SUMIFS('Opportunities'!$H$2:$H$1775,'Opportunities'!$C$2:$C$1775,"=r02",'Opportunities'!$N$2:$N$1775,"=oct26",'Opportunities'!$P$2:$P$1775,"=1",'Opportunities'!$G$2:$G$1775,"=1")</f>
        <v>0</v>
      </c>
      <c r="V75" s="4">
        <f>SUMIFS('Opportunities'!$H$2:$H$1775,'Opportunities'!$C$2:$C$1775,"=r02",'Opportunities'!$N$2:$N$1775,"=nov26",'Opportunities'!$P$2:$P$1775,"=1",'Opportunities'!$G$2:$G$1775,"=1")</f>
        <v>0</v>
      </c>
      <c r="W75" s="4">
        <f>SUMIFS('Opportunities'!$H$2:$H$1775,'Opportunities'!$C$2:$C$1775,"=r02",'Opportunities'!$N$2:$N$1775,"=dec26",'Opportunities'!$P$2:$P$1775,"=1",'Opportunities'!$G$2:$G$1775,"=1")</f>
        <v>0</v>
      </c>
    </row>
    <row r="76">
      <c r="A76" s="0" t="inlineStr">
        <is>
          <t xml:space="preserve">New-logo bookings</t>
        </is>
      </c>
      <c r="B76" s="0" t="inlineStr">
        <is>
          <t xml:space="preserve">Marcus Schmidt</t>
        </is>
      </c>
      <c r="C76" s="4">
        <f>SUMIFS('Opportunities'!$H$2:$H$1775,'Opportunities'!$C$2:$C$1775,"=r03",'Opportunities'!$N$2:$N$1775,"=apr25",'Opportunities'!$P$2:$P$1775,"=1",'Opportunities'!$G$2:$G$1775,"=1")</f>
        <v>0</v>
      </c>
      <c r="D76" s="4">
        <f>SUMIFS('Opportunities'!$H$2:$H$1775,'Opportunities'!$C$2:$C$1775,"=r03",'Opportunities'!$N$2:$N$1775,"=may25",'Opportunities'!$P$2:$P$1775,"=1",'Opportunities'!$G$2:$G$1775,"=1")</f>
        <v>0</v>
      </c>
      <c r="E76" s="4">
        <f>SUMIFS('Opportunities'!$H$2:$H$1775,'Opportunities'!$C$2:$C$1775,"=r03",'Opportunities'!$N$2:$N$1775,"=jun25",'Opportunities'!$P$2:$P$1775,"=1",'Opportunities'!$G$2:$G$1775,"=1")</f>
        <v>0</v>
      </c>
      <c r="F76" s="4">
        <f>SUMIFS('Opportunities'!$H$2:$H$1775,'Opportunities'!$C$2:$C$1775,"=r03",'Opportunities'!$N$2:$N$1775,"=jul25",'Opportunities'!$P$2:$P$1775,"=1",'Opportunities'!$G$2:$G$1775,"=1")</f>
        <v>0</v>
      </c>
      <c r="G76" s="4">
        <f>SUMIFS('Opportunities'!$H$2:$H$1775,'Opportunities'!$C$2:$C$1775,"=r03",'Opportunities'!$N$2:$N$1775,"=aug25",'Opportunities'!$P$2:$P$1775,"=1",'Opportunities'!$G$2:$G$1775,"=1")</f>
        <v>0</v>
      </c>
      <c r="H76" s="4">
        <f>SUMIFS('Opportunities'!$H$2:$H$1775,'Opportunities'!$C$2:$C$1775,"=r03",'Opportunities'!$N$2:$N$1775,"=sep25",'Opportunities'!$P$2:$P$1775,"=1",'Opportunities'!$G$2:$G$1775,"=1")</f>
        <v>87800</v>
      </c>
      <c r="I76" s="4">
        <f>SUMIFS('Opportunities'!$H$2:$H$1775,'Opportunities'!$C$2:$C$1775,"=r03",'Opportunities'!$N$2:$N$1775,"=oct25",'Opportunities'!$P$2:$P$1775,"=1",'Opportunities'!$G$2:$G$1775,"=1")</f>
        <v>40700</v>
      </c>
      <c r="J76" s="4">
        <f>SUMIFS('Opportunities'!$H$2:$H$1775,'Opportunities'!$C$2:$C$1775,"=r03",'Opportunities'!$N$2:$N$1775,"=nov25",'Opportunities'!$P$2:$P$1775,"=1",'Opportunities'!$G$2:$G$1775,"=1")</f>
        <v>46100</v>
      </c>
      <c r="K76" s="4">
        <f>SUMIFS('Opportunities'!$H$2:$H$1775,'Opportunities'!$C$2:$C$1775,"=r03",'Opportunities'!$N$2:$N$1775,"=dec25",'Opportunities'!$P$2:$P$1775,"=1",'Opportunities'!$G$2:$G$1775,"=1")</f>
        <v>89800</v>
      </c>
      <c r="L76" s="4">
        <f>SUMIFS('Opportunities'!$H$2:$H$1775,'Opportunities'!$C$2:$C$1775,"=r03",'Opportunities'!$N$2:$N$1775,"=jan26",'Opportunities'!$P$2:$P$1775,"=1",'Opportunities'!$G$2:$G$1775,"=1")</f>
        <v>0</v>
      </c>
      <c r="M76" s="4">
        <f>SUMIFS('Opportunities'!$H$2:$H$1775,'Opportunities'!$C$2:$C$1775,"=r03",'Opportunities'!$N$2:$N$1775,"=feb26",'Opportunities'!$P$2:$P$1775,"=1",'Opportunities'!$G$2:$G$1775,"=1")</f>
        <v>73800</v>
      </c>
      <c r="N76" s="4">
        <f>SUMIFS('Opportunities'!$H$2:$H$1775,'Opportunities'!$C$2:$C$1775,"=r03",'Opportunities'!$N$2:$N$1775,"=mar26",'Opportunities'!$P$2:$P$1775,"=1",'Opportunities'!$G$2:$G$1775,"=1")</f>
        <v>163300</v>
      </c>
      <c r="O76" s="4">
        <f>SUMIFS('Opportunities'!$H$2:$H$1775,'Opportunities'!$C$2:$C$1775,"=r03",'Opportunities'!$N$2:$N$1775,"=apr26",'Opportunities'!$P$2:$P$1775,"=1",'Opportunities'!$G$2:$G$1775,"=1")</f>
        <v>0</v>
      </c>
      <c r="P76" s="4">
        <f>SUMIFS('Opportunities'!$H$2:$H$1775,'Opportunities'!$C$2:$C$1775,"=r03",'Opportunities'!$N$2:$N$1775,"=may26",'Opportunities'!$P$2:$P$1775,"=1",'Opportunities'!$G$2:$G$1775,"=1")</f>
        <v>15500</v>
      </c>
      <c r="Q76" s="4">
        <f>SUMIFS('Opportunities'!$H$2:$H$1775,'Opportunities'!$C$2:$C$1775,"=r03",'Opportunities'!$N$2:$N$1775,"=jun26",'Opportunities'!$P$2:$P$1775,"=1",'Opportunities'!$G$2:$G$1775,"=1")</f>
        <v>134800</v>
      </c>
      <c r="R76" s="4">
        <f>SUMIFS('Opportunities'!$H$2:$H$1775,'Opportunities'!$C$2:$C$1775,"=r03",'Opportunities'!$N$2:$N$1775,"=jul26",'Opportunities'!$P$2:$P$1775,"=1",'Opportunities'!$G$2:$G$1775,"=1")</f>
        <v>59900</v>
      </c>
      <c r="S76" s="4">
        <f>SUMIFS('Opportunities'!$H$2:$H$1775,'Opportunities'!$C$2:$C$1775,"=r03",'Opportunities'!$N$2:$N$1775,"=aug26",'Opportunities'!$P$2:$P$1775,"=1",'Opportunities'!$G$2:$G$1775,"=1")</f>
        <v>0</v>
      </c>
      <c r="T76" s="4">
        <f>SUMIFS('Opportunities'!$H$2:$H$1775,'Opportunities'!$C$2:$C$1775,"=r03",'Opportunities'!$N$2:$N$1775,"=sep26",'Opportunities'!$P$2:$P$1775,"=1",'Opportunities'!$G$2:$G$1775,"=1")</f>
        <v>40300</v>
      </c>
      <c r="U76" s="4">
        <f>SUMIFS('Opportunities'!$H$2:$H$1775,'Opportunities'!$C$2:$C$1775,"=r03",'Opportunities'!$N$2:$N$1775,"=oct26",'Opportunities'!$P$2:$P$1775,"=1",'Opportunities'!$G$2:$G$1775,"=1")</f>
        <v>0</v>
      </c>
      <c r="V76" s="4">
        <f>SUMIFS('Opportunities'!$H$2:$H$1775,'Opportunities'!$C$2:$C$1775,"=r03",'Opportunities'!$N$2:$N$1775,"=nov26",'Opportunities'!$P$2:$P$1775,"=1",'Opportunities'!$G$2:$G$1775,"=1")</f>
        <v>0</v>
      </c>
      <c r="W76" s="4">
        <f>SUMIFS('Opportunities'!$H$2:$H$1775,'Opportunities'!$C$2:$C$1775,"=r03",'Opportunities'!$N$2:$N$1775,"=dec26",'Opportunities'!$P$2:$P$1775,"=1",'Opportunities'!$G$2:$G$1775,"=1")</f>
        <v>0</v>
      </c>
    </row>
    <row r="77">
      <c r="A77" s="0" t="inlineStr">
        <is>
          <t xml:space="preserve">New-logo bookings</t>
        </is>
      </c>
      <c r="B77" s="0" t="inlineStr">
        <is>
          <t xml:space="preserve">Amara Haddad</t>
        </is>
      </c>
      <c r="C77" s="4">
        <f>SUMIFS('Opportunities'!$H$2:$H$1775,'Opportunities'!$C$2:$C$1775,"=r04",'Opportunities'!$N$2:$N$1775,"=apr25",'Opportunities'!$P$2:$P$1775,"=1",'Opportunities'!$G$2:$G$1775,"=1")</f>
        <v>0</v>
      </c>
      <c r="D77" s="4">
        <f>SUMIFS('Opportunities'!$H$2:$H$1775,'Opportunities'!$C$2:$C$1775,"=r04",'Opportunities'!$N$2:$N$1775,"=may25",'Opportunities'!$P$2:$P$1775,"=1",'Opportunities'!$G$2:$G$1775,"=1")</f>
        <v>54200</v>
      </c>
      <c r="E77" s="4">
        <f>SUMIFS('Opportunities'!$H$2:$H$1775,'Opportunities'!$C$2:$C$1775,"=r04",'Opportunities'!$N$2:$N$1775,"=jun25",'Opportunities'!$P$2:$P$1775,"=1",'Opportunities'!$G$2:$G$1775,"=1")</f>
        <v>142600</v>
      </c>
      <c r="F77" s="4">
        <f>SUMIFS('Opportunities'!$H$2:$H$1775,'Opportunities'!$C$2:$C$1775,"=r04",'Opportunities'!$N$2:$N$1775,"=jul25",'Opportunities'!$P$2:$P$1775,"=1",'Opportunities'!$G$2:$G$1775,"=1")</f>
        <v>66500</v>
      </c>
      <c r="G77" s="4">
        <f>SUMIFS('Opportunities'!$H$2:$H$1775,'Opportunities'!$C$2:$C$1775,"=r04",'Opportunities'!$N$2:$N$1775,"=aug25",'Opportunities'!$P$2:$P$1775,"=1",'Opportunities'!$G$2:$G$1775,"=1")</f>
        <v>86200</v>
      </c>
      <c r="H77" s="4">
        <f>SUMIFS('Opportunities'!$H$2:$H$1775,'Opportunities'!$C$2:$C$1775,"=r04",'Opportunities'!$N$2:$N$1775,"=sep25",'Opportunities'!$P$2:$P$1775,"=1",'Opportunities'!$G$2:$G$1775,"=1")</f>
        <v>32700</v>
      </c>
      <c r="I77" s="4">
        <f>SUMIFS('Opportunities'!$H$2:$H$1775,'Opportunities'!$C$2:$C$1775,"=r04",'Opportunities'!$N$2:$N$1775,"=oct25",'Opportunities'!$P$2:$P$1775,"=1",'Opportunities'!$G$2:$G$1775,"=1")</f>
        <v>0</v>
      </c>
      <c r="J77" s="4">
        <f>SUMIFS('Opportunities'!$H$2:$H$1775,'Opportunities'!$C$2:$C$1775,"=r04",'Opportunities'!$N$2:$N$1775,"=nov25",'Opportunities'!$P$2:$P$1775,"=1",'Opportunities'!$G$2:$G$1775,"=1")</f>
        <v>0</v>
      </c>
      <c r="K77" s="4">
        <f>SUMIFS('Opportunities'!$H$2:$H$1775,'Opportunities'!$C$2:$C$1775,"=r04",'Opportunities'!$N$2:$N$1775,"=dec25",'Opportunities'!$P$2:$P$1775,"=1",'Opportunities'!$G$2:$G$1775,"=1")</f>
        <v>92000</v>
      </c>
      <c r="L77" s="4">
        <f>SUMIFS('Opportunities'!$H$2:$H$1775,'Opportunities'!$C$2:$C$1775,"=r04",'Opportunities'!$N$2:$N$1775,"=jan26",'Opportunities'!$P$2:$P$1775,"=1",'Opportunities'!$G$2:$G$1775,"=1")</f>
        <v>0</v>
      </c>
      <c r="M77" s="4">
        <f>SUMIFS('Opportunities'!$H$2:$H$1775,'Opportunities'!$C$2:$C$1775,"=r04",'Opportunities'!$N$2:$N$1775,"=feb26",'Opportunities'!$P$2:$P$1775,"=1",'Opportunities'!$G$2:$G$1775,"=1")</f>
        <v>0</v>
      </c>
      <c r="N77" s="4">
        <f>SUMIFS('Opportunities'!$H$2:$H$1775,'Opportunities'!$C$2:$C$1775,"=r04",'Opportunities'!$N$2:$N$1775,"=mar26",'Opportunities'!$P$2:$P$1775,"=1",'Opportunities'!$G$2:$G$1775,"=1")</f>
        <v>0</v>
      </c>
      <c r="O77" s="4">
        <f>SUMIFS('Opportunities'!$H$2:$H$1775,'Opportunities'!$C$2:$C$1775,"=r04",'Opportunities'!$N$2:$N$1775,"=apr26",'Opportunities'!$P$2:$P$1775,"=1",'Opportunities'!$G$2:$G$1775,"=1")</f>
        <v>0</v>
      </c>
      <c r="P77" s="4">
        <f>SUMIFS('Opportunities'!$H$2:$H$1775,'Opportunities'!$C$2:$C$1775,"=r04",'Opportunities'!$N$2:$N$1775,"=may26",'Opportunities'!$P$2:$P$1775,"=1",'Opportunities'!$G$2:$G$1775,"=1")</f>
        <v>37700</v>
      </c>
      <c r="Q77" s="4">
        <f>SUMIFS('Opportunities'!$H$2:$H$1775,'Opportunities'!$C$2:$C$1775,"=r04",'Opportunities'!$N$2:$N$1775,"=jun26",'Opportunities'!$P$2:$P$1775,"=1",'Opportunities'!$G$2:$G$1775,"=1")</f>
        <v>0</v>
      </c>
      <c r="R77" s="4">
        <f>SUMIFS('Opportunities'!$H$2:$H$1775,'Opportunities'!$C$2:$C$1775,"=r04",'Opportunities'!$N$2:$N$1775,"=jul26",'Opportunities'!$P$2:$P$1775,"=1",'Opportunities'!$G$2:$G$1775,"=1")</f>
        <v>0</v>
      </c>
      <c r="S77" s="4">
        <f>SUMIFS('Opportunities'!$H$2:$H$1775,'Opportunities'!$C$2:$C$1775,"=r04",'Opportunities'!$N$2:$N$1775,"=aug26",'Opportunities'!$P$2:$P$1775,"=1",'Opportunities'!$G$2:$G$1775,"=1")</f>
        <v>55300</v>
      </c>
      <c r="T77" s="4">
        <f>SUMIFS('Opportunities'!$H$2:$H$1775,'Opportunities'!$C$2:$C$1775,"=r04",'Opportunities'!$N$2:$N$1775,"=sep26",'Opportunities'!$P$2:$P$1775,"=1",'Opportunities'!$G$2:$G$1775,"=1")</f>
        <v>0</v>
      </c>
      <c r="U77" s="4">
        <f>SUMIFS('Opportunities'!$H$2:$H$1775,'Opportunities'!$C$2:$C$1775,"=r04",'Opportunities'!$N$2:$N$1775,"=oct26",'Opportunities'!$P$2:$P$1775,"=1",'Opportunities'!$G$2:$G$1775,"=1")</f>
        <v>0</v>
      </c>
      <c r="V77" s="4">
        <f>SUMIFS('Opportunities'!$H$2:$H$1775,'Opportunities'!$C$2:$C$1775,"=r04",'Opportunities'!$N$2:$N$1775,"=nov26",'Opportunities'!$P$2:$P$1775,"=1",'Opportunities'!$G$2:$G$1775,"=1")</f>
        <v>0</v>
      </c>
      <c r="W77" s="4">
        <f>SUMIFS('Opportunities'!$H$2:$H$1775,'Opportunities'!$C$2:$C$1775,"=r04",'Opportunities'!$N$2:$N$1775,"=dec26",'Opportunities'!$P$2:$P$1775,"=1",'Opportunities'!$G$2:$G$1775,"=1")</f>
        <v>0</v>
      </c>
    </row>
    <row r="78">
      <c r="A78" s="0" t="inlineStr">
        <is>
          <t xml:space="preserve">New-logo bookings</t>
        </is>
      </c>
      <c r="B78" s="0" t="inlineStr">
        <is>
          <t xml:space="preserve">Fatima Silva</t>
        </is>
      </c>
      <c r="C78" s="4">
        <f>SUMIFS('Opportunities'!$H$2:$H$1775,'Opportunities'!$C$2:$C$1775,"=r05",'Opportunities'!$N$2:$N$1775,"=apr25",'Opportunities'!$P$2:$P$1775,"=1",'Opportunities'!$G$2:$G$1775,"=1")</f>
        <v>0</v>
      </c>
      <c r="D78" s="4">
        <f>SUMIFS('Opportunities'!$H$2:$H$1775,'Opportunities'!$C$2:$C$1775,"=r05",'Opportunities'!$N$2:$N$1775,"=may25",'Opportunities'!$P$2:$P$1775,"=1",'Opportunities'!$G$2:$G$1775,"=1")</f>
        <v>48200</v>
      </c>
      <c r="E78" s="4">
        <f>SUMIFS('Opportunities'!$H$2:$H$1775,'Opportunities'!$C$2:$C$1775,"=r05",'Opportunities'!$N$2:$N$1775,"=jun25",'Opportunities'!$P$2:$P$1775,"=1",'Opportunities'!$G$2:$G$1775,"=1")</f>
        <v>37400</v>
      </c>
      <c r="F78" s="4">
        <f>SUMIFS('Opportunities'!$H$2:$H$1775,'Opportunities'!$C$2:$C$1775,"=r05",'Opportunities'!$N$2:$N$1775,"=jul25",'Opportunities'!$P$2:$P$1775,"=1",'Opportunities'!$G$2:$G$1775,"=1")</f>
        <v>37400</v>
      </c>
      <c r="G78" s="4">
        <f>SUMIFS('Opportunities'!$H$2:$H$1775,'Opportunities'!$C$2:$C$1775,"=r05",'Opportunities'!$N$2:$N$1775,"=aug25",'Opportunities'!$P$2:$P$1775,"=1",'Opportunities'!$G$2:$G$1775,"=1")</f>
        <v>41000</v>
      </c>
      <c r="H78" s="4">
        <f>SUMIFS('Opportunities'!$H$2:$H$1775,'Opportunities'!$C$2:$C$1775,"=r05",'Opportunities'!$N$2:$N$1775,"=sep25",'Opportunities'!$P$2:$P$1775,"=1",'Opportunities'!$G$2:$G$1775,"=1")</f>
        <v>12800</v>
      </c>
      <c r="I78" s="4">
        <f>SUMIFS('Opportunities'!$H$2:$H$1775,'Opportunities'!$C$2:$C$1775,"=r05",'Opportunities'!$N$2:$N$1775,"=oct25",'Opportunities'!$P$2:$P$1775,"=1",'Opportunities'!$G$2:$G$1775,"=1")</f>
        <v>32800</v>
      </c>
      <c r="J78" s="4">
        <f>SUMIFS('Opportunities'!$H$2:$H$1775,'Opportunities'!$C$2:$C$1775,"=r05",'Opportunities'!$N$2:$N$1775,"=nov25",'Opportunities'!$P$2:$P$1775,"=1",'Opportunities'!$G$2:$G$1775,"=1")</f>
        <v>52200</v>
      </c>
      <c r="K78" s="4">
        <f>SUMIFS('Opportunities'!$H$2:$H$1775,'Opportunities'!$C$2:$C$1775,"=r05",'Opportunities'!$N$2:$N$1775,"=dec25",'Opportunities'!$P$2:$P$1775,"=1",'Opportunities'!$G$2:$G$1775,"=1")</f>
        <v>23500</v>
      </c>
      <c r="L78" s="4">
        <f>SUMIFS('Opportunities'!$H$2:$H$1775,'Opportunities'!$C$2:$C$1775,"=r05",'Opportunities'!$N$2:$N$1775,"=jan26",'Opportunities'!$P$2:$P$1775,"=1",'Opportunities'!$G$2:$G$1775,"=1")</f>
        <v>12500</v>
      </c>
      <c r="M78" s="4">
        <f>SUMIFS('Opportunities'!$H$2:$H$1775,'Opportunities'!$C$2:$C$1775,"=r05",'Opportunities'!$N$2:$N$1775,"=feb26",'Opportunities'!$P$2:$P$1775,"=1",'Opportunities'!$G$2:$G$1775,"=1")</f>
        <v>22100</v>
      </c>
      <c r="N78" s="4">
        <f>SUMIFS('Opportunities'!$H$2:$H$1775,'Opportunities'!$C$2:$C$1775,"=r05",'Opportunities'!$N$2:$N$1775,"=mar26",'Opportunities'!$P$2:$P$1775,"=1",'Opportunities'!$G$2:$G$1775,"=1")</f>
        <v>12600</v>
      </c>
      <c r="O78" s="4">
        <f>SUMIFS('Opportunities'!$H$2:$H$1775,'Opportunities'!$C$2:$C$1775,"=r05",'Opportunities'!$N$2:$N$1775,"=apr26",'Opportunities'!$P$2:$P$1775,"=1",'Opportunities'!$G$2:$G$1775,"=1")</f>
        <v>18900</v>
      </c>
      <c r="P78" s="4">
        <f>SUMIFS('Opportunities'!$H$2:$H$1775,'Opportunities'!$C$2:$C$1775,"=r05",'Opportunities'!$N$2:$N$1775,"=may26",'Opportunities'!$P$2:$P$1775,"=1",'Opportunities'!$G$2:$G$1775,"=1")</f>
        <v>41800</v>
      </c>
      <c r="Q78" s="4">
        <f>SUMIFS('Opportunities'!$H$2:$H$1775,'Opportunities'!$C$2:$C$1775,"=r05",'Opportunities'!$N$2:$N$1775,"=jun26",'Opportunities'!$P$2:$P$1775,"=1",'Opportunities'!$G$2:$G$1775,"=1")</f>
        <v>0</v>
      </c>
      <c r="R78" s="4">
        <f>SUMIFS('Opportunities'!$H$2:$H$1775,'Opportunities'!$C$2:$C$1775,"=r05",'Opportunities'!$N$2:$N$1775,"=jul26",'Opportunities'!$P$2:$P$1775,"=1",'Opportunities'!$G$2:$G$1775,"=1")</f>
        <v>11200</v>
      </c>
      <c r="S78" s="4">
        <f>SUMIFS('Opportunities'!$H$2:$H$1775,'Opportunities'!$C$2:$C$1775,"=r05",'Opportunities'!$N$2:$N$1775,"=aug26",'Opportunities'!$P$2:$P$1775,"=1",'Opportunities'!$G$2:$G$1775,"=1")</f>
        <v>40500</v>
      </c>
      <c r="T78" s="4">
        <f>SUMIFS('Opportunities'!$H$2:$H$1775,'Opportunities'!$C$2:$C$1775,"=r05",'Opportunities'!$N$2:$N$1775,"=sep26",'Opportunities'!$P$2:$P$1775,"=1",'Opportunities'!$G$2:$G$1775,"=1")</f>
        <v>29500</v>
      </c>
      <c r="U78" s="4">
        <f>SUMIFS('Opportunities'!$H$2:$H$1775,'Opportunities'!$C$2:$C$1775,"=r05",'Opportunities'!$N$2:$N$1775,"=oct26",'Opportunities'!$P$2:$P$1775,"=1",'Opportunities'!$G$2:$G$1775,"=1")</f>
        <v>0</v>
      </c>
      <c r="V78" s="4">
        <f>SUMIFS('Opportunities'!$H$2:$H$1775,'Opportunities'!$C$2:$C$1775,"=r05",'Opportunities'!$N$2:$N$1775,"=nov26",'Opportunities'!$P$2:$P$1775,"=1",'Opportunities'!$G$2:$G$1775,"=1")</f>
        <v>0</v>
      </c>
      <c r="W78" s="4">
        <f>SUMIFS('Opportunities'!$H$2:$H$1775,'Opportunities'!$C$2:$C$1775,"=r05",'Opportunities'!$N$2:$N$1775,"=dec26",'Opportunities'!$P$2:$P$1775,"=1",'Opportunities'!$G$2:$G$1775,"=1")</f>
        <v>0</v>
      </c>
    </row>
    <row r="79">
      <c r="A79" s="0" t="inlineStr">
        <is>
          <t xml:space="preserve">New-logo bookings</t>
        </is>
      </c>
      <c r="B79" s="0" t="inlineStr">
        <is>
          <t xml:space="preserve">Ana Ortiz</t>
        </is>
      </c>
      <c r="C79" s="4">
        <f>SUMIFS('Opportunities'!$H$2:$H$1775,'Opportunities'!$C$2:$C$1775,"=r06",'Opportunities'!$N$2:$N$1775,"=apr25",'Opportunities'!$P$2:$P$1775,"=1",'Opportunities'!$G$2:$G$1775,"=1")</f>
        <v>0</v>
      </c>
      <c r="D79" s="4">
        <f>SUMIFS('Opportunities'!$H$2:$H$1775,'Opportunities'!$C$2:$C$1775,"=r06",'Opportunities'!$N$2:$N$1775,"=may25",'Opportunities'!$P$2:$P$1775,"=1",'Opportunities'!$G$2:$G$1775,"=1")</f>
        <v>0</v>
      </c>
      <c r="E79" s="4">
        <f>SUMIFS('Opportunities'!$H$2:$H$1775,'Opportunities'!$C$2:$C$1775,"=r06",'Opportunities'!$N$2:$N$1775,"=jun25",'Opportunities'!$P$2:$P$1775,"=1",'Opportunities'!$G$2:$G$1775,"=1")</f>
        <v>14200</v>
      </c>
      <c r="F79" s="4">
        <f>SUMIFS('Opportunities'!$H$2:$H$1775,'Opportunities'!$C$2:$C$1775,"=r06",'Opportunities'!$N$2:$N$1775,"=jul25",'Opportunities'!$P$2:$P$1775,"=1",'Opportunities'!$G$2:$G$1775,"=1")</f>
        <v>52100</v>
      </c>
      <c r="G79" s="4">
        <f>SUMIFS('Opportunities'!$H$2:$H$1775,'Opportunities'!$C$2:$C$1775,"=r06",'Opportunities'!$N$2:$N$1775,"=aug25",'Opportunities'!$P$2:$P$1775,"=1",'Opportunities'!$G$2:$G$1775,"=1")</f>
        <v>0</v>
      </c>
      <c r="H79" s="4">
        <f>SUMIFS('Opportunities'!$H$2:$H$1775,'Opportunities'!$C$2:$C$1775,"=r06",'Opportunities'!$N$2:$N$1775,"=sep25",'Opportunities'!$P$2:$P$1775,"=1",'Opportunities'!$G$2:$G$1775,"=1")</f>
        <v>10300</v>
      </c>
      <c r="I79" s="4">
        <f>SUMIFS('Opportunities'!$H$2:$H$1775,'Opportunities'!$C$2:$C$1775,"=r06",'Opportunities'!$N$2:$N$1775,"=oct25",'Opportunities'!$P$2:$P$1775,"=1",'Opportunities'!$G$2:$G$1775,"=1")</f>
        <v>0</v>
      </c>
      <c r="J79" s="4">
        <f>SUMIFS('Opportunities'!$H$2:$H$1775,'Opportunities'!$C$2:$C$1775,"=r06",'Opportunities'!$N$2:$N$1775,"=nov25",'Opportunities'!$P$2:$P$1775,"=1",'Opportunities'!$G$2:$G$1775,"=1")</f>
        <v>0</v>
      </c>
      <c r="K79" s="4">
        <f>SUMIFS('Opportunities'!$H$2:$H$1775,'Opportunities'!$C$2:$C$1775,"=r06",'Opportunities'!$N$2:$N$1775,"=dec25",'Opportunities'!$P$2:$P$1775,"=1",'Opportunities'!$G$2:$G$1775,"=1")</f>
        <v>20400</v>
      </c>
      <c r="L79" s="4">
        <f>SUMIFS('Opportunities'!$H$2:$H$1775,'Opportunities'!$C$2:$C$1775,"=r06",'Opportunities'!$N$2:$N$1775,"=jan26",'Opportunities'!$P$2:$P$1775,"=1",'Opportunities'!$G$2:$G$1775,"=1")</f>
        <v>22300</v>
      </c>
      <c r="M79" s="4">
        <f>SUMIFS('Opportunities'!$H$2:$H$1775,'Opportunities'!$C$2:$C$1775,"=r06",'Opportunities'!$N$2:$N$1775,"=feb26",'Opportunities'!$P$2:$P$1775,"=1",'Opportunities'!$G$2:$G$1775,"=1")</f>
        <v>11500</v>
      </c>
      <c r="N79" s="4">
        <f>SUMIFS('Opportunities'!$H$2:$H$1775,'Opportunities'!$C$2:$C$1775,"=r06",'Opportunities'!$N$2:$N$1775,"=mar26",'Opportunities'!$P$2:$P$1775,"=1",'Opportunities'!$G$2:$G$1775,"=1")</f>
        <v>14400</v>
      </c>
      <c r="O79" s="4">
        <f>SUMIFS('Opportunities'!$H$2:$H$1775,'Opportunities'!$C$2:$C$1775,"=r06",'Opportunities'!$N$2:$N$1775,"=apr26",'Opportunities'!$P$2:$P$1775,"=1",'Opportunities'!$G$2:$G$1775,"=1")</f>
        <v>8200</v>
      </c>
      <c r="P79" s="4">
        <f>SUMIFS('Opportunities'!$H$2:$H$1775,'Opportunities'!$C$2:$C$1775,"=r06",'Opportunities'!$N$2:$N$1775,"=may26",'Opportunities'!$P$2:$P$1775,"=1",'Opportunities'!$G$2:$G$1775,"=1")</f>
        <v>12700</v>
      </c>
      <c r="Q79" s="4">
        <f>SUMIFS('Opportunities'!$H$2:$H$1775,'Opportunities'!$C$2:$C$1775,"=r06",'Opportunities'!$N$2:$N$1775,"=jun26",'Opportunities'!$P$2:$P$1775,"=1",'Opportunities'!$G$2:$G$1775,"=1")</f>
        <v>52000</v>
      </c>
      <c r="R79" s="4">
        <f>SUMIFS('Opportunities'!$H$2:$H$1775,'Opportunities'!$C$2:$C$1775,"=r06",'Opportunities'!$N$2:$N$1775,"=jul26",'Opportunities'!$P$2:$P$1775,"=1",'Opportunities'!$G$2:$G$1775,"=1")</f>
        <v>24300</v>
      </c>
      <c r="S79" s="4">
        <f>SUMIFS('Opportunities'!$H$2:$H$1775,'Opportunities'!$C$2:$C$1775,"=r06",'Opportunities'!$N$2:$N$1775,"=aug26",'Opportunities'!$P$2:$P$1775,"=1",'Opportunities'!$G$2:$G$1775,"=1")</f>
        <v>12600</v>
      </c>
      <c r="T79" s="4">
        <f>SUMIFS('Opportunities'!$H$2:$H$1775,'Opportunities'!$C$2:$C$1775,"=r06",'Opportunities'!$N$2:$N$1775,"=sep26",'Opportunities'!$P$2:$P$1775,"=1",'Opportunities'!$G$2:$G$1775,"=1")</f>
        <v>12600</v>
      </c>
      <c r="U79" s="4">
        <f>SUMIFS('Opportunities'!$H$2:$H$1775,'Opportunities'!$C$2:$C$1775,"=r06",'Opportunities'!$N$2:$N$1775,"=oct26",'Opportunities'!$P$2:$P$1775,"=1",'Opportunities'!$G$2:$G$1775,"=1")</f>
        <v>0</v>
      </c>
      <c r="V79" s="4">
        <f>SUMIFS('Opportunities'!$H$2:$H$1775,'Opportunities'!$C$2:$C$1775,"=r06",'Opportunities'!$N$2:$N$1775,"=nov26",'Opportunities'!$P$2:$P$1775,"=1",'Opportunities'!$G$2:$G$1775,"=1")</f>
        <v>0</v>
      </c>
      <c r="W79" s="4">
        <f>SUMIFS('Opportunities'!$H$2:$H$1775,'Opportunities'!$C$2:$C$1775,"=r06",'Opportunities'!$N$2:$N$1775,"=dec26",'Opportunities'!$P$2:$P$1775,"=1",'Opportunities'!$G$2:$G$1775,"=1")</f>
        <v>0</v>
      </c>
    </row>
    <row r="80">
      <c r="A80" s="0" t="inlineStr">
        <is>
          <t xml:space="preserve">New-logo bookings</t>
        </is>
      </c>
      <c r="B80" s="0" t="inlineStr">
        <is>
          <t xml:space="preserve">Tobias Silva</t>
        </is>
      </c>
      <c r="C80" s="4">
        <f>SUMIFS('Opportunities'!$H$2:$H$1775,'Opportunities'!$C$2:$C$1775,"=r07",'Opportunities'!$N$2:$N$1775,"=apr25",'Opportunities'!$P$2:$P$1775,"=1",'Opportunities'!$G$2:$G$1775,"=1")</f>
        <v>0</v>
      </c>
      <c r="D80" s="4">
        <f>SUMIFS('Opportunities'!$H$2:$H$1775,'Opportunities'!$C$2:$C$1775,"=r07",'Opportunities'!$N$2:$N$1775,"=may25",'Opportunities'!$P$2:$P$1775,"=1",'Opportunities'!$G$2:$G$1775,"=1")</f>
        <v>0</v>
      </c>
      <c r="E80" s="4">
        <f>SUMIFS('Opportunities'!$H$2:$H$1775,'Opportunities'!$C$2:$C$1775,"=r07",'Opportunities'!$N$2:$N$1775,"=jun25",'Opportunities'!$P$2:$P$1775,"=1",'Opportunities'!$G$2:$G$1775,"=1")</f>
        <v>0</v>
      </c>
      <c r="F80" s="4">
        <f>SUMIFS('Opportunities'!$H$2:$H$1775,'Opportunities'!$C$2:$C$1775,"=r07",'Opportunities'!$N$2:$N$1775,"=jul25",'Opportunities'!$P$2:$P$1775,"=1",'Opportunities'!$G$2:$G$1775,"=1")</f>
        <v>0</v>
      </c>
      <c r="G80" s="4">
        <f>SUMIFS('Opportunities'!$H$2:$H$1775,'Opportunities'!$C$2:$C$1775,"=r07",'Opportunities'!$N$2:$N$1775,"=aug25",'Opportunities'!$P$2:$P$1775,"=1",'Opportunities'!$G$2:$G$1775,"=1")</f>
        <v>0</v>
      </c>
      <c r="H80" s="4">
        <f>SUMIFS('Opportunities'!$H$2:$H$1775,'Opportunities'!$C$2:$C$1775,"=r07",'Opportunities'!$N$2:$N$1775,"=sep25",'Opportunities'!$P$2:$P$1775,"=1",'Opportunities'!$G$2:$G$1775,"=1")</f>
        <v>146800</v>
      </c>
      <c r="I80" s="4">
        <f>SUMIFS('Opportunities'!$H$2:$H$1775,'Opportunities'!$C$2:$C$1775,"=r07",'Opportunities'!$N$2:$N$1775,"=oct25",'Opportunities'!$P$2:$P$1775,"=1",'Opportunities'!$G$2:$G$1775,"=1")</f>
        <v>0</v>
      </c>
      <c r="J80" s="4">
        <f>SUMIFS('Opportunities'!$H$2:$H$1775,'Opportunities'!$C$2:$C$1775,"=r07",'Opportunities'!$N$2:$N$1775,"=nov25",'Opportunities'!$P$2:$P$1775,"=1",'Opportunities'!$G$2:$G$1775,"=1")</f>
        <v>0</v>
      </c>
      <c r="K80" s="4">
        <f>SUMIFS('Opportunities'!$H$2:$H$1775,'Opportunities'!$C$2:$C$1775,"=r07",'Opportunities'!$N$2:$N$1775,"=dec25",'Opportunities'!$P$2:$P$1775,"=1",'Opportunities'!$G$2:$G$1775,"=1")</f>
        <v>0</v>
      </c>
      <c r="L80" s="4">
        <f>SUMIFS('Opportunities'!$H$2:$H$1775,'Opportunities'!$C$2:$C$1775,"=r07",'Opportunities'!$N$2:$N$1775,"=jan26",'Opportunities'!$P$2:$P$1775,"=1",'Opportunities'!$G$2:$G$1775,"=1")</f>
        <v>0</v>
      </c>
      <c r="M80" s="4">
        <f>SUMIFS('Opportunities'!$H$2:$H$1775,'Opportunities'!$C$2:$C$1775,"=r07",'Opportunities'!$N$2:$N$1775,"=feb26",'Opportunities'!$P$2:$P$1775,"=1",'Opportunities'!$G$2:$G$1775,"=1")</f>
        <v>700000</v>
      </c>
      <c r="N80" s="4">
        <f>SUMIFS('Opportunities'!$H$2:$H$1775,'Opportunities'!$C$2:$C$1775,"=r07",'Opportunities'!$N$2:$N$1775,"=mar26",'Opportunities'!$P$2:$P$1775,"=1",'Opportunities'!$G$2:$G$1775,"=1")</f>
        <v>712300</v>
      </c>
      <c r="O80" s="4">
        <f>SUMIFS('Opportunities'!$H$2:$H$1775,'Opportunities'!$C$2:$C$1775,"=r07",'Opportunities'!$N$2:$N$1775,"=apr26",'Opportunities'!$P$2:$P$1775,"=1",'Opportunities'!$G$2:$G$1775,"=1")</f>
        <v>0</v>
      </c>
      <c r="P80" s="4">
        <f>SUMIFS('Opportunities'!$H$2:$H$1775,'Opportunities'!$C$2:$C$1775,"=r07",'Opportunities'!$N$2:$N$1775,"=may26",'Opportunities'!$P$2:$P$1775,"=1",'Opportunities'!$G$2:$G$1775,"=1")</f>
        <v>0</v>
      </c>
      <c r="Q80" s="4">
        <f>SUMIFS('Opportunities'!$H$2:$H$1775,'Opportunities'!$C$2:$C$1775,"=r07",'Opportunities'!$N$2:$N$1775,"=jun26",'Opportunities'!$P$2:$P$1775,"=1",'Opportunities'!$G$2:$G$1775,"=1")</f>
        <v>53000</v>
      </c>
      <c r="R80" s="4">
        <f>SUMIFS('Opportunities'!$H$2:$H$1775,'Opportunities'!$C$2:$C$1775,"=r07",'Opportunities'!$N$2:$N$1775,"=jul26",'Opportunities'!$P$2:$P$1775,"=1",'Opportunities'!$G$2:$G$1775,"=1")</f>
        <v>209000</v>
      </c>
      <c r="S80" s="4">
        <f>SUMIFS('Opportunities'!$H$2:$H$1775,'Opportunities'!$C$2:$C$1775,"=r07",'Opportunities'!$N$2:$N$1775,"=aug26",'Opportunities'!$P$2:$P$1775,"=1",'Opportunities'!$G$2:$G$1775,"=1")</f>
        <v>0</v>
      </c>
      <c r="T80" s="4">
        <f>SUMIFS('Opportunities'!$H$2:$H$1775,'Opportunities'!$C$2:$C$1775,"=r07",'Opportunities'!$N$2:$N$1775,"=sep26",'Opportunities'!$P$2:$P$1775,"=1",'Opportunities'!$G$2:$G$1775,"=1")</f>
        <v>287300</v>
      </c>
      <c r="U80" s="4">
        <f>SUMIFS('Opportunities'!$H$2:$H$1775,'Opportunities'!$C$2:$C$1775,"=r07",'Opportunities'!$N$2:$N$1775,"=oct26",'Opportunities'!$P$2:$P$1775,"=1",'Opportunities'!$G$2:$G$1775,"=1")</f>
        <v>0</v>
      </c>
      <c r="V80" s="4">
        <f>SUMIFS('Opportunities'!$H$2:$H$1775,'Opportunities'!$C$2:$C$1775,"=r07",'Opportunities'!$N$2:$N$1775,"=nov26",'Opportunities'!$P$2:$P$1775,"=1",'Opportunities'!$G$2:$G$1775,"=1")</f>
        <v>0</v>
      </c>
      <c r="W80" s="4">
        <f>SUMIFS('Opportunities'!$H$2:$H$1775,'Opportunities'!$C$2:$C$1775,"=r07",'Opportunities'!$N$2:$N$1775,"=dec26",'Opportunities'!$P$2:$P$1775,"=1",'Opportunities'!$G$2:$G$1775,"=1")</f>
        <v>0</v>
      </c>
    </row>
    <row r="81">
      <c r="A81" s="0" t="inlineStr">
        <is>
          <t xml:space="preserve">New-logo bookings</t>
        </is>
      </c>
      <c r="B81" s="0" t="inlineStr">
        <is>
          <t xml:space="preserve">Leila Osei</t>
        </is>
      </c>
      <c r="C81" s="4">
        <f>SUMIFS('Opportunities'!$H$2:$H$1775,'Opportunities'!$C$2:$C$1775,"=r08",'Opportunities'!$N$2:$N$1775,"=apr25",'Opportunities'!$P$2:$P$1775,"=1",'Opportunities'!$G$2:$G$1775,"=1")</f>
        <v>0</v>
      </c>
      <c r="D81" s="4">
        <f>SUMIFS('Opportunities'!$H$2:$H$1775,'Opportunities'!$C$2:$C$1775,"=r08",'Opportunities'!$N$2:$N$1775,"=may25",'Opportunities'!$P$2:$P$1775,"=1",'Opportunities'!$G$2:$G$1775,"=1")</f>
        <v>0</v>
      </c>
      <c r="E81" s="4">
        <f>SUMIFS('Opportunities'!$H$2:$H$1775,'Opportunities'!$C$2:$C$1775,"=r08",'Opportunities'!$N$2:$N$1775,"=jun25",'Opportunities'!$P$2:$P$1775,"=1",'Opportunities'!$G$2:$G$1775,"=1")</f>
        <v>0</v>
      </c>
      <c r="F81" s="4">
        <f>SUMIFS('Opportunities'!$H$2:$H$1775,'Opportunities'!$C$2:$C$1775,"=r08",'Opportunities'!$N$2:$N$1775,"=jul25",'Opportunities'!$P$2:$P$1775,"=1",'Opportunities'!$G$2:$G$1775,"=1")</f>
        <v>0</v>
      </c>
      <c r="G81" s="4">
        <f>SUMIFS('Opportunities'!$H$2:$H$1775,'Opportunities'!$C$2:$C$1775,"=r08",'Opportunities'!$N$2:$N$1775,"=aug25",'Opportunities'!$P$2:$P$1775,"=1",'Opportunities'!$G$2:$G$1775,"=1")</f>
        <v>0</v>
      </c>
      <c r="H81" s="4">
        <f>SUMIFS('Opportunities'!$H$2:$H$1775,'Opportunities'!$C$2:$C$1775,"=r08",'Opportunities'!$N$2:$N$1775,"=sep25",'Opportunities'!$P$2:$P$1775,"=1",'Opportunities'!$G$2:$G$1775,"=1")</f>
        <v>0</v>
      </c>
      <c r="I81" s="4">
        <f>SUMIFS('Opportunities'!$H$2:$H$1775,'Opportunities'!$C$2:$C$1775,"=r08",'Opportunities'!$N$2:$N$1775,"=oct25",'Opportunities'!$P$2:$P$1775,"=1",'Opportunities'!$G$2:$G$1775,"=1")</f>
        <v>0</v>
      </c>
      <c r="J81" s="4">
        <f>SUMIFS('Opportunities'!$H$2:$H$1775,'Opportunities'!$C$2:$C$1775,"=r08",'Opportunities'!$N$2:$N$1775,"=nov25",'Opportunities'!$P$2:$P$1775,"=1",'Opportunities'!$G$2:$G$1775,"=1")</f>
        <v>0</v>
      </c>
      <c r="K81" s="4">
        <f>SUMIFS('Opportunities'!$H$2:$H$1775,'Opportunities'!$C$2:$C$1775,"=r08",'Opportunities'!$N$2:$N$1775,"=dec25",'Opportunities'!$P$2:$P$1775,"=1",'Opportunities'!$G$2:$G$1775,"=1")</f>
        <v>0</v>
      </c>
      <c r="L81" s="4">
        <f>SUMIFS('Opportunities'!$H$2:$H$1775,'Opportunities'!$C$2:$C$1775,"=r08",'Opportunities'!$N$2:$N$1775,"=jan26",'Opportunities'!$P$2:$P$1775,"=1",'Opportunities'!$G$2:$G$1775,"=1")</f>
        <v>0</v>
      </c>
      <c r="M81" s="4">
        <f>SUMIFS('Opportunities'!$H$2:$H$1775,'Opportunities'!$C$2:$C$1775,"=r08",'Opportunities'!$N$2:$N$1775,"=feb26",'Opportunities'!$P$2:$P$1775,"=1",'Opportunities'!$G$2:$G$1775,"=1")</f>
        <v>0</v>
      </c>
      <c r="N81" s="4">
        <f>SUMIFS('Opportunities'!$H$2:$H$1775,'Opportunities'!$C$2:$C$1775,"=r08",'Opportunities'!$N$2:$N$1775,"=mar26",'Opportunities'!$P$2:$P$1775,"=1",'Opportunities'!$G$2:$G$1775,"=1")</f>
        <v>0</v>
      </c>
      <c r="O81" s="4">
        <f>SUMIFS('Opportunities'!$H$2:$H$1775,'Opportunities'!$C$2:$C$1775,"=r08",'Opportunities'!$N$2:$N$1775,"=apr26",'Opportunities'!$P$2:$P$1775,"=1",'Opportunities'!$G$2:$G$1775,"=1")</f>
        <v>0</v>
      </c>
      <c r="P81" s="4">
        <f>SUMIFS('Opportunities'!$H$2:$H$1775,'Opportunities'!$C$2:$C$1775,"=r08",'Opportunities'!$N$2:$N$1775,"=may26",'Opportunities'!$P$2:$P$1775,"=1",'Opportunities'!$G$2:$G$1775,"=1")</f>
        <v>0</v>
      </c>
      <c r="Q81" s="4">
        <f>SUMIFS('Opportunities'!$H$2:$H$1775,'Opportunities'!$C$2:$C$1775,"=r08",'Opportunities'!$N$2:$N$1775,"=jun26",'Opportunities'!$P$2:$P$1775,"=1",'Opportunities'!$G$2:$G$1775,"=1")</f>
        <v>250000</v>
      </c>
      <c r="R81" s="4">
        <f>SUMIFS('Opportunities'!$H$2:$H$1775,'Opportunities'!$C$2:$C$1775,"=r08",'Opportunities'!$N$2:$N$1775,"=jul26",'Opportunities'!$P$2:$P$1775,"=1",'Opportunities'!$G$2:$G$1775,"=1")</f>
        <v>117400</v>
      </c>
      <c r="S81" s="4">
        <f>SUMIFS('Opportunities'!$H$2:$H$1775,'Opportunities'!$C$2:$C$1775,"=r08",'Opportunities'!$N$2:$N$1775,"=aug26",'Opportunities'!$P$2:$P$1775,"=1",'Opportunities'!$G$2:$G$1775,"=1")</f>
        <v>67600</v>
      </c>
      <c r="T81" s="4">
        <f>SUMIFS('Opportunities'!$H$2:$H$1775,'Opportunities'!$C$2:$C$1775,"=r08",'Opportunities'!$N$2:$N$1775,"=sep26",'Opportunities'!$P$2:$P$1775,"=1",'Opportunities'!$G$2:$G$1775,"=1")</f>
        <v>386300</v>
      </c>
      <c r="U81" s="4">
        <f>SUMIFS('Opportunities'!$H$2:$H$1775,'Opportunities'!$C$2:$C$1775,"=r08",'Opportunities'!$N$2:$N$1775,"=oct26",'Opportunities'!$P$2:$P$1775,"=1",'Opportunities'!$G$2:$G$1775,"=1")</f>
        <v>0</v>
      </c>
      <c r="V81" s="4">
        <f>SUMIFS('Opportunities'!$H$2:$H$1775,'Opportunities'!$C$2:$C$1775,"=r08",'Opportunities'!$N$2:$N$1775,"=nov26",'Opportunities'!$P$2:$P$1775,"=1",'Opportunities'!$G$2:$G$1775,"=1")</f>
        <v>0</v>
      </c>
      <c r="W81" s="4">
        <f>SUMIFS('Opportunities'!$H$2:$H$1775,'Opportunities'!$C$2:$C$1775,"=r08",'Opportunities'!$N$2:$N$1775,"=dec26",'Opportunities'!$P$2:$P$1775,"=1",'Opportunities'!$G$2:$G$1775,"=1")</f>
        <v>0</v>
      </c>
    </row>
    <row r="82">
      <c r="A82" s="0" t="inlineStr">
        <is>
          <t xml:space="preserve">New-logo bookings</t>
        </is>
      </c>
      <c r="B82" s="0" t="inlineStr">
        <is>
          <t xml:space="preserve">Grace Costa</t>
        </is>
      </c>
      <c r="C82" s="4">
        <f>SUMIFS('Opportunities'!$H$2:$H$1775,'Opportunities'!$C$2:$C$1775,"=r09",'Opportunities'!$N$2:$N$1775,"=apr25",'Opportunities'!$P$2:$P$1775,"=1",'Opportunities'!$G$2:$G$1775,"=1")</f>
        <v>0</v>
      </c>
      <c r="D82" s="4">
        <f>SUMIFS('Opportunities'!$H$2:$H$1775,'Opportunities'!$C$2:$C$1775,"=r09",'Opportunities'!$N$2:$N$1775,"=may25",'Opportunities'!$P$2:$P$1775,"=1",'Opportunities'!$G$2:$G$1775,"=1")</f>
        <v>32300</v>
      </c>
      <c r="E82" s="4">
        <f>SUMIFS('Opportunities'!$H$2:$H$1775,'Opportunities'!$C$2:$C$1775,"=r09",'Opportunities'!$N$2:$N$1775,"=jun25",'Opportunities'!$P$2:$P$1775,"=1",'Opportunities'!$G$2:$G$1775,"=1")</f>
        <v>20200</v>
      </c>
      <c r="F82" s="4">
        <f>SUMIFS('Opportunities'!$H$2:$H$1775,'Opportunities'!$C$2:$C$1775,"=r09",'Opportunities'!$N$2:$N$1775,"=jul25",'Opportunities'!$P$2:$P$1775,"=1",'Opportunities'!$G$2:$G$1775,"=1")</f>
        <v>31700</v>
      </c>
      <c r="G82" s="4">
        <f>SUMIFS('Opportunities'!$H$2:$H$1775,'Opportunities'!$C$2:$C$1775,"=r09",'Opportunities'!$N$2:$N$1775,"=aug25",'Opportunities'!$P$2:$P$1775,"=1",'Opportunities'!$G$2:$G$1775,"=1")</f>
        <v>30000</v>
      </c>
      <c r="H82" s="4">
        <f>SUMIFS('Opportunities'!$H$2:$H$1775,'Opportunities'!$C$2:$C$1775,"=r09",'Opportunities'!$N$2:$N$1775,"=sep25",'Opportunities'!$P$2:$P$1775,"=1",'Opportunities'!$G$2:$G$1775,"=1")</f>
        <v>38600</v>
      </c>
      <c r="I82" s="4">
        <f>SUMIFS('Opportunities'!$H$2:$H$1775,'Opportunities'!$C$2:$C$1775,"=r09",'Opportunities'!$N$2:$N$1775,"=oct25",'Opportunities'!$P$2:$P$1775,"=1",'Opportunities'!$G$2:$G$1775,"=1")</f>
        <v>0</v>
      </c>
      <c r="J82" s="4">
        <f>SUMIFS('Opportunities'!$H$2:$H$1775,'Opportunities'!$C$2:$C$1775,"=r09",'Opportunities'!$N$2:$N$1775,"=nov25",'Opportunities'!$P$2:$P$1775,"=1",'Opportunities'!$G$2:$G$1775,"=1")</f>
        <v>144800</v>
      </c>
      <c r="K82" s="4">
        <f>SUMIFS('Opportunities'!$H$2:$H$1775,'Opportunities'!$C$2:$C$1775,"=r09",'Opportunities'!$N$2:$N$1775,"=dec25",'Opportunities'!$P$2:$P$1775,"=1",'Opportunities'!$G$2:$G$1775,"=1")</f>
        <v>187400</v>
      </c>
      <c r="L82" s="4">
        <f>SUMIFS('Opportunities'!$H$2:$H$1775,'Opportunities'!$C$2:$C$1775,"=r09",'Opportunities'!$N$2:$N$1775,"=jan26",'Opportunities'!$P$2:$P$1775,"=1",'Opportunities'!$G$2:$G$1775,"=1")</f>
        <v>54800</v>
      </c>
      <c r="M82" s="4">
        <f>SUMIFS('Opportunities'!$H$2:$H$1775,'Opportunities'!$C$2:$C$1775,"=r09",'Opportunities'!$N$2:$N$1775,"=feb26",'Opportunities'!$P$2:$P$1775,"=1",'Opportunities'!$G$2:$G$1775,"=1")</f>
        <v>117400</v>
      </c>
      <c r="N82" s="4">
        <f>SUMIFS('Opportunities'!$H$2:$H$1775,'Opportunities'!$C$2:$C$1775,"=r09",'Opportunities'!$N$2:$N$1775,"=mar26",'Opportunities'!$P$2:$P$1775,"=1",'Opportunities'!$G$2:$G$1775,"=1")</f>
        <v>105500</v>
      </c>
      <c r="O82" s="4">
        <f>SUMIFS('Opportunities'!$H$2:$H$1775,'Opportunities'!$C$2:$C$1775,"=r09",'Opportunities'!$N$2:$N$1775,"=apr26",'Opportunities'!$P$2:$P$1775,"=1",'Opportunities'!$G$2:$G$1775,"=1")</f>
        <v>88300</v>
      </c>
      <c r="P82" s="4">
        <f>SUMIFS('Opportunities'!$H$2:$H$1775,'Opportunities'!$C$2:$C$1775,"=r09",'Opportunities'!$N$2:$N$1775,"=may26",'Opportunities'!$P$2:$P$1775,"=1",'Opportunities'!$G$2:$G$1775,"=1")</f>
        <v>178200</v>
      </c>
      <c r="Q82" s="4">
        <f>SUMIFS('Opportunities'!$H$2:$H$1775,'Opportunities'!$C$2:$C$1775,"=r09",'Opportunities'!$N$2:$N$1775,"=jun26",'Opportunities'!$P$2:$P$1775,"=1",'Opportunities'!$G$2:$G$1775,"=1")</f>
        <v>311800</v>
      </c>
      <c r="R82" s="4">
        <f>SUMIFS('Opportunities'!$H$2:$H$1775,'Opportunities'!$C$2:$C$1775,"=r09",'Opportunities'!$N$2:$N$1775,"=jul26",'Opportunities'!$P$2:$P$1775,"=1",'Opportunities'!$G$2:$G$1775,"=1")</f>
        <v>137300</v>
      </c>
      <c r="S82" s="4">
        <f>SUMIFS('Opportunities'!$H$2:$H$1775,'Opportunities'!$C$2:$C$1775,"=r09",'Opportunities'!$N$2:$N$1775,"=aug26",'Opportunities'!$P$2:$P$1775,"=1",'Opportunities'!$G$2:$G$1775,"=1")</f>
        <v>30100</v>
      </c>
      <c r="T82" s="4">
        <f>SUMIFS('Opportunities'!$H$2:$H$1775,'Opportunities'!$C$2:$C$1775,"=r09",'Opportunities'!$N$2:$N$1775,"=sep26",'Opportunities'!$P$2:$P$1775,"=1",'Opportunities'!$G$2:$G$1775,"=1")</f>
        <v>167500</v>
      </c>
      <c r="U82" s="4">
        <f>SUMIFS('Opportunities'!$H$2:$H$1775,'Opportunities'!$C$2:$C$1775,"=r09",'Opportunities'!$N$2:$N$1775,"=oct26",'Opportunities'!$P$2:$P$1775,"=1",'Opportunities'!$G$2:$G$1775,"=1")</f>
        <v>0</v>
      </c>
      <c r="V82" s="4">
        <f>SUMIFS('Opportunities'!$H$2:$H$1775,'Opportunities'!$C$2:$C$1775,"=r09",'Opportunities'!$N$2:$N$1775,"=nov26",'Opportunities'!$P$2:$P$1775,"=1",'Opportunities'!$G$2:$G$1775,"=1")</f>
        <v>0</v>
      </c>
      <c r="W82" s="4">
        <f>SUMIFS('Opportunities'!$H$2:$H$1775,'Opportunities'!$C$2:$C$1775,"=r09",'Opportunities'!$N$2:$N$1775,"=dec26",'Opportunities'!$P$2:$P$1775,"=1",'Opportunities'!$G$2:$G$1775,"=1")</f>
        <v>0</v>
      </c>
    </row>
    <row r="83">
      <c r="A83" s="0" t="inlineStr">
        <is>
          <t xml:space="preserve">New-logo bookings</t>
        </is>
      </c>
      <c r="B83" s="0" t="inlineStr">
        <is>
          <t xml:space="preserve">Ingrid Müller</t>
        </is>
      </c>
      <c r="C83" s="4">
        <f>SUMIFS('Opportunities'!$H$2:$H$1775,'Opportunities'!$C$2:$C$1775,"=r10",'Opportunities'!$N$2:$N$1775,"=apr25",'Opportunities'!$P$2:$P$1775,"=1",'Opportunities'!$G$2:$G$1775,"=1")</f>
        <v>0</v>
      </c>
      <c r="D83" s="4">
        <f>SUMIFS('Opportunities'!$H$2:$H$1775,'Opportunities'!$C$2:$C$1775,"=r10",'Opportunities'!$N$2:$N$1775,"=may25",'Opportunities'!$P$2:$P$1775,"=1",'Opportunities'!$G$2:$G$1775,"=1")</f>
        <v>0</v>
      </c>
      <c r="E83" s="4">
        <f>SUMIFS('Opportunities'!$H$2:$H$1775,'Opportunities'!$C$2:$C$1775,"=r10",'Opportunities'!$N$2:$N$1775,"=jun25",'Opportunities'!$P$2:$P$1775,"=1",'Opportunities'!$G$2:$G$1775,"=1")</f>
        <v>0</v>
      </c>
      <c r="F83" s="4">
        <f>SUMIFS('Opportunities'!$H$2:$H$1775,'Opportunities'!$C$2:$C$1775,"=r10",'Opportunities'!$N$2:$N$1775,"=jul25",'Opportunities'!$P$2:$P$1775,"=1",'Opportunities'!$G$2:$G$1775,"=1")</f>
        <v>0</v>
      </c>
      <c r="G83" s="4">
        <f>SUMIFS('Opportunities'!$H$2:$H$1775,'Opportunities'!$C$2:$C$1775,"=r10",'Opportunities'!$N$2:$N$1775,"=aug25",'Opportunities'!$P$2:$P$1775,"=1",'Opportunities'!$G$2:$G$1775,"=1")</f>
        <v>0</v>
      </c>
      <c r="H83" s="4">
        <f>SUMIFS('Opportunities'!$H$2:$H$1775,'Opportunities'!$C$2:$C$1775,"=r10",'Opportunities'!$N$2:$N$1775,"=sep25",'Opportunities'!$P$2:$P$1775,"=1",'Opportunities'!$G$2:$G$1775,"=1")</f>
        <v>0</v>
      </c>
      <c r="I83" s="4">
        <f>SUMIFS('Opportunities'!$H$2:$H$1775,'Opportunities'!$C$2:$C$1775,"=r10",'Opportunities'!$N$2:$N$1775,"=oct25",'Opportunities'!$P$2:$P$1775,"=1",'Opportunities'!$G$2:$G$1775,"=1")</f>
        <v>0</v>
      </c>
      <c r="J83" s="4">
        <f>SUMIFS('Opportunities'!$H$2:$H$1775,'Opportunities'!$C$2:$C$1775,"=r10",'Opportunities'!$N$2:$N$1775,"=nov25",'Opportunities'!$P$2:$P$1775,"=1",'Opportunities'!$G$2:$G$1775,"=1")</f>
        <v>0</v>
      </c>
      <c r="K83" s="4">
        <f>SUMIFS('Opportunities'!$H$2:$H$1775,'Opportunities'!$C$2:$C$1775,"=r10",'Opportunities'!$N$2:$N$1775,"=dec25",'Opportunities'!$P$2:$P$1775,"=1",'Opportunities'!$G$2:$G$1775,"=1")</f>
        <v>0</v>
      </c>
      <c r="L83" s="4">
        <f>SUMIFS('Opportunities'!$H$2:$H$1775,'Opportunities'!$C$2:$C$1775,"=r10",'Opportunities'!$N$2:$N$1775,"=jan26",'Opportunities'!$P$2:$P$1775,"=1",'Opportunities'!$G$2:$G$1775,"=1")</f>
        <v>0</v>
      </c>
      <c r="M83" s="4">
        <f>SUMIFS('Opportunities'!$H$2:$H$1775,'Opportunities'!$C$2:$C$1775,"=r10",'Opportunities'!$N$2:$N$1775,"=feb26",'Opportunities'!$P$2:$P$1775,"=1",'Opportunities'!$G$2:$G$1775,"=1")</f>
        <v>0</v>
      </c>
      <c r="N83" s="4">
        <f>SUMIFS('Opportunities'!$H$2:$H$1775,'Opportunities'!$C$2:$C$1775,"=r10",'Opportunities'!$N$2:$N$1775,"=mar26",'Opportunities'!$P$2:$P$1775,"=1",'Opportunities'!$G$2:$G$1775,"=1")</f>
        <v>0</v>
      </c>
      <c r="O83" s="4">
        <f>SUMIFS('Opportunities'!$H$2:$H$1775,'Opportunities'!$C$2:$C$1775,"=r10",'Opportunities'!$N$2:$N$1775,"=apr26",'Opportunities'!$P$2:$P$1775,"=1",'Opportunities'!$G$2:$G$1775,"=1")</f>
        <v>71500</v>
      </c>
      <c r="P83" s="4">
        <f>SUMIFS('Opportunities'!$H$2:$H$1775,'Opportunities'!$C$2:$C$1775,"=r10",'Opportunities'!$N$2:$N$1775,"=may26",'Opportunities'!$P$2:$P$1775,"=1",'Opportunities'!$G$2:$G$1775,"=1")</f>
        <v>0</v>
      </c>
      <c r="Q83" s="4">
        <f>SUMIFS('Opportunities'!$H$2:$H$1775,'Opportunities'!$C$2:$C$1775,"=r10",'Opportunities'!$N$2:$N$1775,"=jun26",'Opportunities'!$P$2:$P$1775,"=1",'Opportunities'!$G$2:$G$1775,"=1")</f>
        <v>75200</v>
      </c>
      <c r="R83" s="4">
        <f>SUMIFS('Opportunities'!$H$2:$H$1775,'Opportunities'!$C$2:$C$1775,"=r10",'Opportunities'!$N$2:$N$1775,"=jul26",'Opportunities'!$P$2:$P$1775,"=1",'Opportunities'!$G$2:$G$1775,"=1")</f>
        <v>0</v>
      </c>
      <c r="S83" s="4">
        <f>SUMIFS('Opportunities'!$H$2:$H$1775,'Opportunities'!$C$2:$C$1775,"=r10",'Opportunities'!$N$2:$N$1775,"=aug26",'Opportunities'!$P$2:$P$1775,"=1",'Opportunities'!$G$2:$G$1775,"=1")</f>
        <v>148700</v>
      </c>
      <c r="T83" s="4">
        <f>SUMIFS('Opportunities'!$H$2:$H$1775,'Opportunities'!$C$2:$C$1775,"=r10",'Opportunities'!$N$2:$N$1775,"=sep26",'Opportunities'!$P$2:$P$1775,"=1",'Opportunities'!$G$2:$G$1775,"=1")</f>
        <v>68600</v>
      </c>
      <c r="U83" s="4">
        <f>SUMIFS('Opportunities'!$H$2:$H$1775,'Opportunities'!$C$2:$C$1775,"=r10",'Opportunities'!$N$2:$N$1775,"=oct26",'Opportunities'!$P$2:$P$1775,"=1",'Opportunities'!$G$2:$G$1775,"=1")</f>
        <v>0</v>
      </c>
      <c r="V83" s="4">
        <f>SUMIFS('Opportunities'!$H$2:$H$1775,'Opportunities'!$C$2:$C$1775,"=r10",'Opportunities'!$N$2:$N$1775,"=nov26",'Opportunities'!$P$2:$P$1775,"=1",'Opportunities'!$G$2:$G$1775,"=1")</f>
        <v>0</v>
      </c>
      <c r="W83" s="4">
        <f>SUMIFS('Opportunities'!$H$2:$H$1775,'Opportunities'!$C$2:$C$1775,"=r10",'Opportunities'!$N$2:$N$1775,"=dec26",'Opportunities'!$P$2:$P$1775,"=1",'Opportunities'!$G$2:$G$1775,"=1")</f>
        <v>0</v>
      </c>
    </row>
    <row r="84">
      <c r="A84" s="0" t="inlineStr">
        <is>
          <t xml:space="preserve">New-logo bookings</t>
        </is>
      </c>
      <c r="B84" s="0" t="inlineStr">
        <is>
          <t xml:space="preserve">Ingrid Kim</t>
        </is>
      </c>
      <c r="C84" s="4">
        <f>SUMIFS('Opportunities'!$H$2:$H$1775,'Opportunities'!$C$2:$C$1775,"=r11",'Opportunities'!$N$2:$N$1775,"=apr25",'Opportunities'!$P$2:$P$1775,"=1",'Opportunities'!$G$2:$G$1775,"=1")</f>
        <v>32500</v>
      </c>
      <c r="D84" s="4">
        <f>SUMIFS('Opportunities'!$H$2:$H$1775,'Opportunities'!$C$2:$C$1775,"=r11",'Opportunities'!$N$2:$N$1775,"=may25",'Opportunities'!$P$2:$P$1775,"=1",'Opportunities'!$G$2:$G$1775,"=1")</f>
        <v>19000</v>
      </c>
      <c r="E84" s="4">
        <f>SUMIFS('Opportunities'!$H$2:$H$1775,'Opportunities'!$C$2:$C$1775,"=r11",'Opportunities'!$N$2:$N$1775,"=jun25",'Opportunities'!$P$2:$P$1775,"=1",'Opportunities'!$G$2:$G$1775,"=1")</f>
        <v>12200</v>
      </c>
      <c r="F84" s="4">
        <f>SUMIFS('Opportunities'!$H$2:$H$1775,'Opportunities'!$C$2:$C$1775,"=r11",'Opportunities'!$N$2:$N$1775,"=jul25",'Opportunities'!$P$2:$P$1775,"=1",'Opportunities'!$G$2:$G$1775,"=1")</f>
        <v>0</v>
      </c>
      <c r="G84" s="4">
        <f>SUMIFS('Opportunities'!$H$2:$H$1775,'Opportunities'!$C$2:$C$1775,"=r11",'Opportunities'!$N$2:$N$1775,"=aug25",'Opportunities'!$P$2:$P$1775,"=1",'Opportunities'!$G$2:$G$1775,"=1")</f>
        <v>32600</v>
      </c>
      <c r="H84" s="4">
        <f>SUMIFS('Opportunities'!$H$2:$H$1775,'Opportunities'!$C$2:$C$1775,"=r11",'Opportunities'!$N$2:$N$1775,"=sep25",'Opportunities'!$P$2:$P$1775,"=1",'Opportunities'!$G$2:$G$1775,"=1")</f>
        <v>34500</v>
      </c>
      <c r="I84" s="4">
        <f>SUMIFS('Opportunities'!$H$2:$H$1775,'Opportunities'!$C$2:$C$1775,"=r11",'Opportunities'!$N$2:$N$1775,"=oct25",'Opportunities'!$P$2:$P$1775,"=1",'Opportunities'!$G$2:$G$1775,"=1")</f>
        <v>31100</v>
      </c>
      <c r="J84" s="4">
        <f>SUMIFS('Opportunities'!$H$2:$H$1775,'Opportunities'!$C$2:$C$1775,"=r11",'Opportunities'!$N$2:$N$1775,"=nov25",'Opportunities'!$P$2:$P$1775,"=1",'Opportunities'!$G$2:$G$1775,"=1")</f>
        <v>37000</v>
      </c>
      <c r="K84" s="4">
        <f>SUMIFS('Opportunities'!$H$2:$H$1775,'Opportunities'!$C$2:$C$1775,"=r11",'Opportunities'!$N$2:$N$1775,"=dec25",'Opportunities'!$P$2:$P$1775,"=1",'Opportunities'!$G$2:$G$1775,"=1")</f>
        <v>52500</v>
      </c>
      <c r="L84" s="4">
        <f>SUMIFS('Opportunities'!$H$2:$H$1775,'Opportunities'!$C$2:$C$1775,"=r11",'Opportunities'!$N$2:$N$1775,"=jan26",'Opportunities'!$P$2:$P$1775,"=1",'Opportunities'!$G$2:$G$1775,"=1")</f>
        <v>10600</v>
      </c>
      <c r="M84" s="4">
        <f>SUMIFS('Opportunities'!$H$2:$H$1775,'Opportunities'!$C$2:$C$1775,"=r11",'Opportunities'!$N$2:$N$1775,"=feb26",'Opportunities'!$P$2:$P$1775,"=1",'Opportunities'!$G$2:$G$1775,"=1")</f>
        <v>10900</v>
      </c>
      <c r="N84" s="4">
        <f>SUMIFS('Opportunities'!$H$2:$H$1775,'Opportunities'!$C$2:$C$1775,"=r11",'Opportunities'!$N$2:$N$1775,"=mar26",'Opportunities'!$P$2:$P$1775,"=1",'Opportunities'!$G$2:$G$1775,"=1")</f>
        <v>31400</v>
      </c>
      <c r="O84" s="4">
        <f>SUMIFS('Opportunities'!$H$2:$H$1775,'Opportunities'!$C$2:$C$1775,"=r11",'Opportunities'!$N$2:$N$1775,"=apr26",'Opportunities'!$P$2:$P$1775,"=1",'Opportunities'!$G$2:$G$1775,"=1")</f>
        <v>20500</v>
      </c>
      <c r="P84" s="4">
        <f>SUMIFS('Opportunities'!$H$2:$H$1775,'Opportunities'!$C$2:$C$1775,"=r11",'Opportunities'!$N$2:$N$1775,"=may26",'Opportunities'!$P$2:$P$1775,"=1",'Opportunities'!$G$2:$G$1775,"=1")</f>
        <v>0</v>
      </c>
      <c r="Q84" s="4">
        <f>SUMIFS('Opportunities'!$H$2:$H$1775,'Opportunities'!$C$2:$C$1775,"=r11",'Opportunities'!$N$2:$N$1775,"=jun26",'Opportunities'!$P$2:$P$1775,"=1",'Opportunities'!$G$2:$G$1775,"=1")</f>
        <v>0</v>
      </c>
      <c r="R84" s="4">
        <f>SUMIFS('Opportunities'!$H$2:$H$1775,'Opportunities'!$C$2:$C$1775,"=r11",'Opportunities'!$N$2:$N$1775,"=jul26",'Opportunities'!$P$2:$P$1775,"=1",'Opportunities'!$G$2:$G$1775,"=1")</f>
        <v>33200</v>
      </c>
      <c r="S84" s="4">
        <f>SUMIFS('Opportunities'!$H$2:$H$1775,'Opportunities'!$C$2:$C$1775,"=r11",'Opportunities'!$N$2:$N$1775,"=aug26",'Opportunities'!$P$2:$P$1775,"=1",'Opportunities'!$G$2:$G$1775,"=1")</f>
        <v>0</v>
      </c>
      <c r="T84" s="4">
        <f>SUMIFS('Opportunities'!$H$2:$H$1775,'Opportunities'!$C$2:$C$1775,"=r11",'Opportunities'!$N$2:$N$1775,"=sep26",'Opportunities'!$P$2:$P$1775,"=1",'Opportunities'!$G$2:$G$1775,"=1")</f>
        <v>44800</v>
      </c>
      <c r="U84" s="4">
        <f>SUMIFS('Opportunities'!$H$2:$H$1775,'Opportunities'!$C$2:$C$1775,"=r11",'Opportunities'!$N$2:$N$1775,"=oct26",'Opportunities'!$P$2:$P$1775,"=1",'Opportunities'!$G$2:$G$1775,"=1")</f>
        <v>0</v>
      </c>
      <c r="V84" s="4">
        <f>SUMIFS('Opportunities'!$H$2:$H$1775,'Opportunities'!$C$2:$C$1775,"=r11",'Opportunities'!$N$2:$N$1775,"=nov26",'Opportunities'!$P$2:$P$1775,"=1",'Opportunities'!$G$2:$G$1775,"=1")</f>
        <v>0</v>
      </c>
      <c r="W84" s="4">
        <f>SUMIFS('Opportunities'!$H$2:$H$1775,'Opportunities'!$C$2:$C$1775,"=r11",'Opportunities'!$N$2:$N$1775,"=dec26",'Opportunities'!$P$2:$P$1775,"=1",'Opportunities'!$G$2:$G$1775,"=1")</f>
        <v>0</v>
      </c>
    </row>
    <row r="85">
      <c r="A85" s="0" t="inlineStr">
        <is>
          <t xml:space="preserve">New-logo bookings</t>
        </is>
      </c>
      <c r="B85" s="0" t="inlineStr">
        <is>
          <t xml:space="preserve">Priya Nair</t>
        </is>
      </c>
      <c r="C85" s="4">
        <f>SUMIFS('Opportunities'!$H$2:$H$1775,'Opportunities'!$C$2:$C$1775,"=r12",'Opportunities'!$N$2:$N$1775,"=apr25",'Opportunities'!$P$2:$P$1775,"=1",'Opportunities'!$G$2:$G$1775,"=1")</f>
        <v>0</v>
      </c>
      <c r="D85" s="4">
        <f>SUMIFS('Opportunities'!$H$2:$H$1775,'Opportunities'!$C$2:$C$1775,"=r12",'Opportunities'!$N$2:$N$1775,"=may25",'Opportunities'!$P$2:$P$1775,"=1",'Opportunities'!$G$2:$G$1775,"=1")</f>
        <v>48600</v>
      </c>
      <c r="E85" s="4">
        <f>SUMIFS('Opportunities'!$H$2:$H$1775,'Opportunities'!$C$2:$C$1775,"=r12",'Opportunities'!$N$2:$N$1775,"=jun25",'Opportunities'!$P$2:$P$1775,"=1",'Opportunities'!$G$2:$G$1775,"=1")</f>
        <v>0</v>
      </c>
      <c r="F85" s="4">
        <f>SUMIFS('Opportunities'!$H$2:$H$1775,'Opportunities'!$C$2:$C$1775,"=r12",'Opportunities'!$N$2:$N$1775,"=jul25",'Opportunities'!$P$2:$P$1775,"=1",'Opportunities'!$G$2:$G$1775,"=1")</f>
        <v>17600</v>
      </c>
      <c r="G85" s="4">
        <f>SUMIFS('Opportunities'!$H$2:$H$1775,'Opportunities'!$C$2:$C$1775,"=r12",'Opportunities'!$N$2:$N$1775,"=aug25",'Opportunities'!$P$2:$P$1775,"=1",'Opportunities'!$G$2:$G$1775,"=1")</f>
        <v>6400</v>
      </c>
      <c r="H85" s="4">
        <f>SUMIFS('Opportunities'!$H$2:$H$1775,'Opportunities'!$C$2:$C$1775,"=r12",'Opportunities'!$N$2:$N$1775,"=sep25",'Opportunities'!$P$2:$P$1775,"=1",'Opportunities'!$G$2:$G$1775,"=1")</f>
        <v>63700</v>
      </c>
      <c r="I85" s="4">
        <f>SUMIFS('Opportunities'!$H$2:$H$1775,'Opportunities'!$C$2:$C$1775,"=r12",'Opportunities'!$N$2:$N$1775,"=oct25",'Opportunities'!$P$2:$P$1775,"=1",'Opportunities'!$G$2:$G$1775,"=1")</f>
        <v>29700</v>
      </c>
      <c r="J85" s="4">
        <f>SUMIFS('Opportunities'!$H$2:$H$1775,'Opportunities'!$C$2:$C$1775,"=r12",'Opportunities'!$N$2:$N$1775,"=nov25",'Opportunities'!$P$2:$P$1775,"=1",'Opportunities'!$G$2:$G$1775,"=1")</f>
        <v>20600</v>
      </c>
      <c r="K85" s="4">
        <f>SUMIFS('Opportunities'!$H$2:$H$1775,'Opportunities'!$C$2:$C$1775,"=r12",'Opportunities'!$N$2:$N$1775,"=dec25",'Opportunities'!$P$2:$P$1775,"=1",'Opportunities'!$G$2:$G$1775,"=1")</f>
        <v>56200</v>
      </c>
      <c r="L85" s="4">
        <f>SUMIFS('Opportunities'!$H$2:$H$1775,'Opportunities'!$C$2:$C$1775,"=r12",'Opportunities'!$N$2:$N$1775,"=jan26",'Opportunities'!$P$2:$P$1775,"=1",'Opportunities'!$G$2:$G$1775,"=1")</f>
        <v>19600</v>
      </c>
      <c r="M85" s="4">
        <f>SUMIFS('Opportunities'!$H$2:$H$1775,'Opportunities'!$C$2:$C$1775,"=r12",'Opportunities'!$N$2:$N$1775,"=feb26",'Opportunities'!$P$2:$P$1775,"=1",'Opportunities'!$G$2:$G$1775,"=1")</f>
        <v>0</v>
      </c>
      <c r="N85" s="4">
        <f>SUMIFS('Opportunities'!$H$2:$H$1775,'Opportunities'!$C$2:$C$1775,"=r12",'Opportunities'!$N$2:$N$1775,"=mar26",'Opportunities'!$P$2:$P$1775,"=1",'Opportunities'!$G$2:$G$1775,"=1")</f>
        <v>49700</v>
      </c>
      <c r="O85" s="4">
        <f>SUMIFS('Opportunities'!$H$2:$H$1775,'Opportunities'!$C$2:$C$1775,"=r12",'Opportunities'!$N$2:$N$1775,"=apr26",'Opportunities'!$P$2:$P$1775,"=1",'Opportunities'!$G$2:$G$1775,"=1")</f>
        <v>28600</v>
      </c>
      <c r="P85" s="4">
        <f>SUMIFS('Opportunities'!$H$2:$H$1775,'Opportunities'!$C$2:$C$1775,"=r12",'Opportunities'!$N$2:$N$1775,"=may26",'Opportunities'!$P$2:$P$1775,"=1",'Opportunities'!$G$2:$G$1775,"=1")</f>
        <v>0</v>
      </c>
      <c r="Q85" s="4">
        <f>SUMIFS('Opportunities'!$H$2:$H$1775,'Opportunities'!$C$2:$C$1775,"=r12",'Opportunities'!$N$2:$N$1775,"=jun26",'Opportunities'!$P$2:$P$1775,"=1",'Opportunities'!$G$2:$G$1775,"=1")</f>
        <v>47600</v>
      </c>
      <c r="R85" s="4">
        <f>SUMIFS('Opportunities'!$H$2:$H$1775,'Opportunities'!$C$2:$C$1775,"=r12",'Opportunities'!$N$2:$N$1775,"=jul26",'Opportunities'!$P$2:$P$1775,"=1",'Opportunities'!$G$2:$G$1775,"=1")</f>
        <v>0</v>
      </c>
      <c r="S85" s="4">
        <f>SUMIFS('Opportunities'!$H$2:$H$1775,'Opportunities'!$C$2:$C$1775,"=r12",'Opportunities'!$N$2:$N$1775,"=aug26",'Opportunities'!$P$2:$P$1775,"=1",'Opportunities'!$G$2:$G$1775,"=1")</f>
        <v>31800</v>
      </c>
      <c r="T85" s="4">
        <f>SUMIFS('Opportunities'!$H$2:$H$1775,'Opportunities'!$C$2:$C$1775,"=r12",'Opportunities'!$N$2:$N$1775,"=sep26",'Opportunities'!$P$2:$P$1775,"=1",'Opportunities'!$G$2:$G$1775,"=1")</f>
        <v>0</v>
      </c>
      <c r="U85" s="4">
        <f>SUMIFS('Opportunities'!$H$2:$H$1775,'Opportunities'!$C$2:$C$1775,"=r12",'Opportunities'!$N$2:$N$1775,"=oct26",'Opportunities'!$P$2:$P$1775,"=1",'Opportunities'!$G$2:$G$1775,"=1")</f>
        <v>0</v>
      </c>
      <c r="V85" s="4">
        <f>SUMIFS('Opportunities'!$H$2:$H$1775,'Opportunities'!$C$2:$C$1775,"=r12",'Opportunities'!$N$2:$N$1775,"=nov26",'Opportunities'!$P$2:$P$1775,"=1",'Opportunities'!$G$2:$G$1775,"=1")</f>
        <v>0</v>
      </c>
      <c r="W85" s="4">
        <f>SUMIFS('Opportunities'!$H$2:$H$1775,'Opportunities'!$C$2:$C$1775,"=r12",'Opportunities'!$N$2:$N$1775,"=dec26",'Opportunities'!$P$2:$P$1775,"=1",'Opportunities'!$G$2:$G$1775,"=1")</f>
        <v>0</v>
      </c>
    </row>
    <row r="86">
      <c r="A86" s="0" t="inlineStr">
        <is>
          <t xml:space="preserve">New-logo bookings</t>
        </is>
      </c>
      <c r="B86" s="0" t="inlineStr">
        <is>
          <t xml:space="preserve">Hugo Lindqvist</t>
        </is>
      </c>
      <c r="C86" s="4">
        <f>SUMIFS('Opportunities'!$H$2:$H$1775,'Opportunities'!$C$2:$C$1775,"=r13",'Opportunities'!$N$2:$N$1775,"=apr25",'Opportunities'!$P$2:$P$1775,"=1",'Opportunities'!$G$2:$G$1775,"=1")</f>
        <v>0</v>
      </c>
      <c r="D86" s="4">
        <f>SUMIFS('Opportunities'!$H$2:$H$1775,'Opportunities'!$C$2:$C$1775,"=r13",'Opportunities'!$N$2:$N$1775,"=may25",'Opportunities'!$P$2:$P$1775,"=1",'Opportunities'!$G$2:$G$1775,"=1")</f>
        <v>0</v>
      </c>
      <c r="E86" s="4">
        <f>SUMIFS('Opportunities'!$H$2:$H$1775,'Opportunities'!$C$2:$C$1775,"=r13",'Opportunities'!$N$2:$N$1775,"=jun25",'Opportunities'!$P$2:$P$1775,"=1",'Opportunities'!$G$2:$G$1775,"=1")</f>
        <v>245800</v>
      </c>
      <c r="F86" s="4">
        <f>SUMIFS('Opportunities'!$H$2:$H$1775,'Opportunities'!$C$2:$C$1775,"=r13",'Opportunities'!$N$2:$N$1775,"=jul25",'Opportunities'!$P$2:$P$1775,"=1",'Opportunities'!$G$2:$G$1775,"=1")</f>
        <v>0</v>
      </c>
      <c r="G86" s="4">
        <f>SUMIFS('Opportunities'!$H$2:$H$1775,'Opportunities'!$C$2:$C$1775,"=r13",'Opportunities'!$N$2:$N$1775,"=aug25",'Opportunities'!$P$2:$P$1775,"=1",'Opportunities'!$G$2:$G$1775,"=1")</f>
        <v>0</v>
      </c>
      <c r="H86" s="4">
        <f>SUMIFS('Opportunities'!$H$2:$H$1775,'Opportunities'!$C$2:$C$1775,"=r13",'Opportunities'!$N$2:$N$1775,"=sep25",'Opportunities'!$P$2:$P$1775,"=1",'Opportunities'!$G$2:$G$1775,"=1")</f>
        <v>602100</v>
      </c>
      <c r="I86" s="4">
        <f>SUMIFS('Opportunities'!$H$2:$H$1775,'Opportunities'!$C$2:$C$1775,"=r13",'Opportunities'!$N$2:$N$1775,"=oct25",'Opportunities'!$P$2:$P$1775,"=1",'Opportunities'!$G$2:$G$1775,"=1")</f>
        <v>121300</v>
      </c>
      <c r="J86" s="4">
        <f>SUMIFS('Opportunities'!$H$2:$H$1775,'Opportunities'!$C$2:$C$1775,"=r13",'Opportunities'!$N$2:$N$1775,"=nov25",'Opportunities'!$P$2:$P$1775,"=1",'Opportunities'!$G$2:$G$1775,"=1")</f>
        <v>86600</v>
      </c>
      <c r="K86" s="4">
        <f>SUMIFS('Opportunities'!$H$2:$H$1775,'Opportunities'!$C$2:$C$1775,"=r13",'Opportunities'!$N$2:$N$1775,"=dec25",'Opportunities'!$P$2:$P$1775,"=1",'Opportunities'!$G$2:$G$1775,"=1")</f>
        <v>0</v>
      </c>
      <c r="L86" s="4">
        <f>SUMIFS('Opportunities'!$H$2:$H$1775,'Opportunities'!$C$2:$C$1775,"=r13",'Opportunities'!$N$2:$N$1775,"=jan26",'Opportunities'!$P$2:$P$1775,"=1",'Opportunities'!$G$2:$G$1775,"=1")</f>
        <v>543300</v>
      </c>
      <c r="M86" s="4">
        <f>SUMIFS('Opportunities'!$H$2:$H$1775,'Opportunities'!$C$2:$C$1775,"=r13",'Opportunities'!$N$2:$N$1775,"=feb26",'Opportunities'!$P$2:$P$1775,"=1",'Opportunities'!$G$2:$G$1775,"=1")</f>
        <v>0</v>
      </c>
      <c r="N86" s="4">
        <f>SUMIFS('Opportunities'!$H$2:$H$1775,'Opportunities'!$C$2:$C$1775,"=r13",'Opportunities'!$N$2:$N$1775,"=mar26",'Opportunities'!$P$2:$P$1775,"=1",'Opportunities'!$G$2:$G$1775,"=1")</f>
        <v>0</v>
      </c>
      <c r="O86" s="4">
        <f>SUMIFS('Opportunities'!$H$2:$H$1775,'Opportunities'!$C$2:$C$1775,"=r13",'Opportunities'!$N$2:$N$1775,"=apr26",'Opportunities'!$P$2:$P$1775,"=1",'Opportunities'!$G$2:$G$1775,"=1")</f>
        <v>148600</v>
      </c>
      <c r="P86" s="4">
        <f>SUMIFS('Opportunities'!$H$2:$H$1775,'Opportunities'!$C$2:$C$1775,"=r13",'Opportunities'!$N$2:$N$1775,"=may26",'Opportunities'!$P$2:$P$1775,"=1",'Opportunities'!$G$2:$G$1775,"=1")</f>
        <v>0</v>
      </c>
      <c r="Q86" s="4">
        <f>SUMIFS('Opportunities'!$H$2:$H$1775,'Opportunities'!$C$2:$C$1775,"=r13",'Opportunities'!$N$2:$N$1775,"=jun26",'Opportunities'!$P$2:$P$1775,"=1",'Opportunities'!$G$2:$G$1775,"=1")</f>
        <v>200300</v>
      </c>
      <c r="R86" s="4">
        <f>SUMIFS('Opportunities'!$H$2:$H$1775,'Opportunities'!$C$2:$C$1775,"=r13",'Opportunities'!$N$2:$N$1775,"=jul26",'Opportunities'!$P$2:$P$1775,"=1",'Opportunities'!$G$2:$G$1775,"=1")</f>
        <v>0</v>
      </c>
      <c r="S86" s="4">
        <f>SUMIFS('Opportunities'!$H$2:$H$1775,'Opportunities'!$C$2:$C$1775,"=r13",'Opportunities'!$N$2:$N$1775,"=aug26",'Opportunities'!$P$2:$P$1775,"=1",'Opportunities'!$G$2:$G$1775,"=1")</f>
        <v>0</v>
      </c>
      <c r="T86" s="4">
        <f>SUMIFS('Opportunities'!$H$2:$H$1775,'Opportunities'!$C$2:$C$1775,"=r13",'Opportunities'!$N$2:$N$1775,"=sep26",'Opportunities'!$P$2:$P$1775,"=1",'Opportunities'!$G$2:$G$1775,"=1")</f>
        <v>376600</v>
      </c>
      <c r="U86" s="4">
        <f>SUMIFS('Opportunities'!$H$2:$H$1775,'Opportunities'!$C$2:$C$1775,"=r13",'Opportunities'!$N$2:$N$1775,"=oct26",'Opportunities'!$P$2:$P$1775,"=1",'Opportunities'!$G$2:$G$1775,"=1")</f>
        <v>0</v>
      </c>
      <c r="V86" s="4">
        <f>SUMIFS('Opportunities'!$H$2:$H$1775,'Opportunities'!$C$2:$C$1775,"=r13",'Opportunities'!$N$2:$N$1775,"=nov26",'Opportunities'!$P$2:$P$1775,"=1",'Opportunities'!$G$2:$G$1775,"=1")</f>
        <v>0</v>
      </c>
      <c r="W86" s="4">
        <f>SUMIFS('Opportunities'!$H$2:$H$1775,'Opportunities'!$C$2:$C$1775,"=r13",'Opportunities'!$N$2:$N$1775,"=dec26",'Opportunities'!$P$2:$P$1775,"=1",'Opportunities'!$G$2:$G$1775,"=1")</f>
        <v>0</v>
      </c>
    </row>
    <row r="87">
      <c r="A87" s="0" t="inlineStr">
        <is>
          <t xml:space="preserve">New-logo bookings</t>
        </is>
      </c>
      <c r="B87" s="0" t="inlineStr">
        <is>
          <t xml:space="preserve">Wei Novak</t>
        </is>
      </c>
      <c r="C87" s="4">
        <f>SUMIFS('Opportunities'!$H$2:$H$1775,'Opportunities'!$C$2:$C$1775,"=r14",'Opportunities'!$N$2:$N$1775,"=apr25",'Opportunities'!$P$2:$P$1775,"=1",'Opportunities'!$G$2:$G$1775,"=1")</f>
        <v>0</v>
      </c>
      <c r="D87" s="4">
        <f>SUMIFS('Opportunities'!$H$2:$H$1775,'Opportunities'!$C$2:$C$1775,"=r14",'Opportunities'!$N$2:$N$1775,"=may25",'Opportunities'!$P$2:$P$1775,"=1",'Opportunities'!$G$2:$G$1775,"=1")</f>
        <v>0</v>
      </c>
      <c r="E87" s="4">
        <f>SUMIFS('Opportunities'!$H$2:$H$1775,'Opportunities'!$C$2:$C$1775,"=r14",'Opportunities'!$N$2:$N$1775,"=jun25",'Opportunities'!$P$2:$P$1775,"=1",'Opportunities'!$G$2:$G$1775,"=1")</f>
        <v>0</v>
      </c>
      <c r="F87" s="4">
        <f>SUMIFS('Opportunities'!$H$2:$H$1775,'Opportunities'!$C$2:$C$1775,"=r14",'Opportunities'!$N$2:$N$1775,"=jul25",'Opportunities'!$P$2:$P$1775,"=1",'Opportunities'!$G$2:$G$1775,"=1")</f>
        <v>0</v>
      </c>
      <c r="G87" s="4">
        <f>SUMIFS('Opportunities'!$H$2:$H$1775,'Opportunities'!$C$2:$C$1775,"=r14",'Opportunities'!$N$2:$N$1775,"=aug25",'Opportunities'!$P$2:$P$1775,"=1",'Opportunities'!$G$2:$G$1775,"=1")</f>
        <v>0</v>
      </c>
      <c r="H87" s="4">
        <f>SUMIFS('Opportunities'!$H$2:$H$1775,'Opportunities'!$C$2:$C$1775,"=r14",'Opportunities'!$N$2:$N$1775,"=sep25",'Opportunities'!$P$2:$P$1775,"=1",'Opportunities'!$G$2:$G$1775,"=1")</f>
        <v>0</v>
      </c>
      <c r="I87" s="4">
        <f>SUMIFS('Opportunities'!$H$2:$H$1775,'Opportunities'!$C$2:$C$1775,"=r14",'Opportunities'!$N$2:$N$1775,"=oct25",'Opportunities'!$P$2:$P$1775,"=1",'Opportunities'!$G$2:$G$1775,"=1")</f>
        <v>0</v>
      </c>
      <c r="J87" s="4">
        <f>SUMIFS('Opportunities'!$H$2:$H$1775,'Opportunities'!$C$2:$C$1775,"=r14",'Opportunities'!$N$2:$N$1775,"=nov25",'Opportunities'!$P$2:$P$1775,"=1",'Opportunities'!$G$2:$G$1775,"=1")</f>
        <v>0</v>
      </c>
      <c r="K87" s="4">
        <f>SUMIFS('Opportunities'!$H$2:$H$1775,'Opportunities'!$C$2:$C$1775,"=r14",'Opportunities'!$N$2:$N$1775,"=dec25",'Opportunities'!$P$2:$P$1775,"=1",'Opportunities'!$G$2:$G$1775,"=1")</f>
        <v>0</v>
      </c>
      <c r="L87" s="4">
        <f>SUMIFS('Opportunities'!$H$2:$H$1775,'Opportunities'!$C$2:$C$1775,"=r14",'Opportunities'!$N$2:$N$1775,"=jan26",'Opportunities'!$P$2:$P$1775,"=1",'Opportunities'!$G$2:$G$1775,"=1")</f>
        <v>0</v>
      </c>
      <c r="M87" s="4">
        <f>SUMIFS('Opportunities'!$H$2:$H$1775,'Opportunities'!$C$2:$C$1775,"=r14",'Opportunities'!$N$2:$N$1775,"=feb26",'Opportunities'!$P$2:$P$1775,"=1",'Opportunities'!$G$2:$G$1775,"=1")</f>
        <v>0</v>
      </c>
      <c r="N87" s="4">
        <f>SUMIFS('Opportunities'!$H$2:$H$1775,'Opportunities'!$C$2:$C$1775,"=r14",'Opportunities'!$N$2:$N$1775,"=mar26",'Opportunities'!$P$2:$P$1775,"=1",'Opportunities'!$G$2:$G$1775,"=1")</f>
        <v>0</v>
      </c>
      <c r="O87" s="4">
        <f>SUMIFS('Opportunities'!$H$2:$H$1775,'Opportunities'!$C$2:$C$1775,"=r14",'Opportunities'!$N$2:$N$1775,"=apr26",'Opportunities'!$P$2:$P$1775,"=1",'Opportunities'!$G$2:$G$1775,"=1")</f>
        <v>0</v>
      </c>
      <c r="P87" s="4">
        <f>SUMIFS('Opportunities'!$H$2:$H$1775,'Opportunities'!$C$2:$C$1775,"=r14",'Opportunities'!$N$2:$N$1775,"=may26",'Opportunities'!$P$2:$P$1775,"=1",'Opportunities'!$G$2:$G$1775,"=1")</f>
        <v>0</v>
      </c>
      <c r="Q87" s="4">
        <f>SUMIFS('Opportunities'!$H$2:$H$1775,'Opportunities'!$C$2:$C$1775,"=r14",'Opportunities'!$N$2:$N$1775,"=jun26",'Opportunities'!$P$2:$P$1775,"=1",'Opportunities'!$G$2:$G$1775,"=1")</f>
        <v>0</v>
      </c>
      <c r="R87" s="4">
        <f>SUMIFS('Opportunities'!$H$2:$H$1775,'Opportunities'!$C$2:$C$1775,"=r14",'Opportunities'!$N$2:$N$1775,"=jul26",'Opportunities'!$P$2:$P$1775,"=1",'Opportunities'!$G$2:$G$1775,"=1")</f>
        <v>0</v>
      </c>
      <c r="S87" s="4">
        <f>SUMIFS('Opportunities'!$H$2:$H$1775,'Opportunities'!$C$2:$C$1775,"=r14",'Opportunities'!$N$2:$N$1775,"=aug26",'Opportunities'!$P$2:$P$1775,"=1",'Opportunities'!$G$2:$G$1775,"=1")</f>
        <v>92900</v>
      </c>
      <c r="T87" s="4">
        <f>SUMIFS('Opportunities'!$H$2:$H$1775,'Opportunities'!$C$2:$C$1775,"=r14",'Opportunities'!$N$2:$N$1775,"=sep26",'Opportunities'!$P$2:$P$1775,"=1",'Opportunities'!$G$2:$G$1775,"=1")</f>
        <v>0</v>
      </c>
      <c r="U87" s="4">
        <f>SUMIFS('Opportunities'!$H$2:$H$1775,'Opportunities'!$C$2:$C$1775,"=r14",'Opportunities'!$N$2:$N$1775,"=oct26",'Opportunities'!$P$2:$P$1775,"=1",'Opportunities'!$G$2:$G$1775,"=1")</f>
        <v>0</v>
      </c>
      <c r="V87" s="4">
        <f>SUMIFS('Opportunities'!$H$2:$H$1775,'Opportunities'!$C$2:$C$1775,"=r14",'Opportunities'!$N$2:$N$1775,"=nov26",'Opportunities'!$P$2:$P$1775,"=1",'Opportunities'!$G$2:$G$1775,"=1")</f>
        <v>0</v>
      </c>
      <c r="W87" s="4">
        <f>SUMIFS('Opportunities'!$H$2:$H$1775,'Opportunities'!$C$2:$C$1775,"=r14",'Opportunities'!$N$2:$N$1775,"=dec26",'Opportunities'!$P$2:$P$1775,"=1",'Opportunities'!$G$2:$G$1775,"=1")</f>
        <v>0</v>
      </c>
    </row>
    <row r="88">
      <c r="A88" s="0" t="inlineStr">
        <is>
          <t xml:space="preserve">New-logo bookings</t>
        </is>
      </c>
      <c r="B88" s="0" t="inlineStr">
        <is>
          <t xml:space="preserve">Nikolai Kim</t>
        </is>
      </c>
      <c r="C88" s="4">
        <f>SUMIFS('Opportunities'!$H$2:$H$1775,'Opportunities'!$C$2:$C$1775,"=r15",'Opportunities'!$N$2:$N$1775,"=apr25",'Opportunities'!$P$2:$P$1775,"=1",'Opportunities'!$G$2:$G$1775,"=1")</f>
        <v>0</v>
      </c>
      <c r="D88" s="4">
        <f>SUMIFS('Opportunities'!$H$2:$H$1775,'Opportunities'!$C$2:$C$1775,"=r15",'Opportunities'!$N$2:$N$1775,"=may25",'Opportunities'!$P$2:$P$1775,"=1",'Opportunities'!$G$2:$G$1775,"=1")</f>
        <v>0</v>
      </c>
      <c r="E88" s="4">
        <f>SUMIFS('Opportunities'!$H$2:$H$1775,'Opportunities'!$C$2:$C$1775,"=r15",'Opportunities'!$N$2:$N$1775,"=jun25",'Opportunities'!$P$2:$P$1775,"=1",'Opportunities'!$G$2:$G$1775,"=1")</f>
        <v>211600</v>
      </c>
      <c r="F88" s="4">
        <f>SUMIFS('Opportunities'!$H$2:$H$1775,'Opportunities'!$C$2:$C$1775,"=r15",'Opportunities'!$N$2:$N$1775,"=jul25",'Opportunities'!$P$2:$P$1775,"=1",'Opportunities'!$G$2:$G$1775,"=1")</f>
        <v>128700</v>
      </c>
      <c r="G88" s="4">
        <f>SUMIFS('Opportunities'!$H$2:$H$1775,'Opportunities'!$C$2:$C$1775,"=r15",'Opportunities'!$N$2:$N$1775,"=aug25",'Opportunities'!$P$2:$P$1775,"=1",'Opportunities'!$G$2:$G$1775,"=1")</f>
        <v>0</v>
      </c>
      <c r="H88" s="4">
        <f>SUMIFS('Opportunities'!$H$2:$H$1775,'Opportunities'!$C$2:$C$1775,"=r15",'Opportunities'!$N$2:$N$1775,"=sep25",'Opportunities'!$P$2:$P$1775,"=1",'Opportunities'!$G$2:$G$1775,"=1")</f>
        <v>128300</v>
      </c>
      <c r="I88" s="4">
        <f>SUMIFS('Opportunities'!$H$2:$H$1775,'Opportunities'!$C$2:$C$1775,"=r15",'Opportunities'!$N$2:$N$1775,"=oct25",'Opportunities'!$P$2:$P$1775,"=1",'Opportunities'!$G$2:$G$1775,"=1")</f>
        <v>55000</v>
      </c>
      <c r="J88" s="4">
        <f>SUMIFS('Opportunities'!$H$2:$H$1775,'Opportunities'!$C$2:$C$1775,"=r15",'Opportunities'!$N$2:$N$1775,"=nov25",'Opportunities'!$P$2:$P$1775,"=1",'Opportunities'!$G$2:$G$1775,"=1")</f>
        <v>75900</v>
      </c>
      <c r="K88" s="4">
        <f>SUMIFS('Opportunities'!$H$2:$H$1775,'Opportunities'!$C$2:$C$1775,"=r15",'Opportunities'!$N$2:$N$1775,"=dec25",'Opportunities'!$P$2:$P$1775,"=1",'Opportunities'!$G$2:$G$1775,"=1")</f>
        <v>44700</v>
      </c>
      <c r="L88" s="4">
        <f>SUMIFS('Opportunities'!$H$2:$H$1775,'Opportunities'!$C$2:$C$1775,"=r15",'Opportunities'!$N$2:$N$1775,"=jan26",'Opportunities'!$P$2:$P$1775,"=1",'Opportunities'!$G$2:$G$1775,"=1")</f>
        <v>35800</v>
      </c>
      <c r="M88" s="4">
        <f>SUMIFS('Opportunities'!$H$2:$H$1775,'Opportunities'!$C$2:$C$1775,"=r15",'Opportunities'!$N$2:$N$1775,"=feb26",'Opportunities'!$P$2:$P$1775,"=1",'Opportunities'!$G$2:$G$1775,"=1")</f>
        <v>0</v>
      </c>
      <c r="N88" s="4">
        <f>SUMIFS('Opportunities'!$H$2:$H$1775,'Opportunities'!$C$2:$C$1775,"=r15",'Opportunities'!$N$2:$N$1775,"=mar26",'Opportunities'!$P$2:$P$1775,"=1",'Opportunities'!$G$2:$G$1775,"=1")</f>
        <v>56400</v>
      </c>
      <c r="O88" s="4">
        <f>SUMIFS('Opportunities'!$H$2:$H$1775,'Opportunities'!$C$2:$C$1775,"=r15",'Opportunities'!$N$2:$N$1775,"=apr26",'Opportunities'!$P$2:$P$1775,"=1",'Opportunities'!$G$2:$G$1775,"=1")</f>
        <v>123800</v>
      </c>
      <c r="P88" s="4">
        <f>SUMIFS('Opportunities'!$H$2:$H$1775,'Opportunities'!$C$2:$C$1775,"=r15",'Opportunities'!$N$2:$N$1775,"=may26",'Opportunities'!$P$2:$P$1775,"=1",'Opportunities'!$G$2:$G$1775,"=1")</f>
        <v>0</v>
      </c>
      <c r="Q88" s="4">
        <f>SUMIFS('Opportunities'!$H$2:$H$1775,'Opportunities'!$C$2:$C$1775,"=r15",'Opportunities'!$N$2:$N$1775,"=jun26",'Opportunities'!$P$2:$P$1775,"=1",'Opportunities'!$G$2:$G$1775,"=1")</f>
        <v>20400</v>
      </c>
      <c r="R88" s="4">
        <f>SUMIFS('Opportunities'!$H$2:$H$1775,'Opportunities'!$C$2:$C$1775,"=r15",'Opportunities'!$N$2:$N$1775,"=jul26",'Opportunities'!$P$2:$P$1775,"=1",'Opportunities'!$G$2:$G$1775,"=1")</f>
        <v>0</v>
      </c>
      <c r="S88" s="4">
        <f>SUMIFS('Opportunities'!$H$2:$H$1775,'Opportunities'!$C$2:$C$1775,"=r15",'Opportunities'!$N$2:$N$1775,"=aug26",'Opportunities'!$P$2:$P$1775,"=1",'Opportunities'!$G$2:$G$1775,"=1")</f>
        <v>0</v>
      </c>
      <c r="T88" s="4">
        <f>SUMIFS('Opportunities'!$H$2:$H$1775,'Opportunities'!$C$2:$C$1775,"=r15",'Opportunities'!$N$2:$N$1775,"=sep26",'Opportunities'!$P$2:$P$1775,"=1",'Opportunities'!$G$2:$G$1775,"=1")</f>
        <v>88200</v>
      </c>
      <c r="U88" s="4">
        <f>SUMIFS('Opportunities'!$H$2:$H$1775,'Opportunities'!$C$2:$C$1775,"=r15",'Opportunities'!$N$2:$N$1775,"=oct26",'Opportunities'!$P$2:$P$1775,"=1",'Opportunities'!$G$2:$G$1775,"=1")</f>
        <v>0</v>
      </c>
      <c r="V88" s="4">
        <f>SUMIFS('Opportunities'!$H$2:$H$1775,'Opportunities'!$C$2:$C$1775,"=r15",'Opportunities'!$N$2:$N$1775,"=nov26",'Opportunities'!$P$2:$P$1775,"=1",'Opportunities'!$G$2:$G$1775,"=1")</f>
        <v>0</v>
      </c>
      <c r="W88" s="4">
        <f>SUMIFS('Opportunities'!$H$2:$H$1775,'Opportunities'!$C$2:$C$1775,"=r15",'Opportunities'!$N$2:$N$1775,"=dec26",'Opportunities'!$P$2:$P$1775,"=1",'Opportunities'!$G$2:$G$1775,"=1")</f>
        <v>0</v>
      </c>
    </row>
    <row r="89">
      <c r="A89" s="0" t="inlineStr">
        <is>
          <t xml:space="preserve">New-logo bookings</t>
        </is>
      </c>
      <c r="B89" s="0" t="inlineStr">
        <is>
          <t xml:space="preserve">Wei Nair</t>
        </is>
      </c>
      <c r="C89" s="4">
        <f>SUMIFS('Opportunities'!$H$2:$H$1775,'Opportunities'!$C$2:$C$1775,"=r16",'Opportunities'!$N$2:$N$1775,"=apr25",'Opportunities'!$P$2:$P$1775,"=1",'Opportunities'!$G$2:$G$1775,"=1")</f>
        <v>0</v>
      </c>
      <c r="D89" s="4">
        <f>SUMIFS('Opportunities'!$H$2:$H$1775,'Opportunities'!$C$2:$C$1775,"=r16",'Opportunities'!$N$2:$N$1775,"=may25",'Opportunities'!$P$2:$P$1775,"=1",'Opportunities'!$G$2:$G$1775,"=1")</f>
        <v>0</v>
      </c>
      <c r="E89" s="4">
        <f>SUMIFS('Opportunities'!$H$2:$H$1775,'Opportunities'!$C$2:$C$1775,"=r16",'Opportunities'!$N$2:$N$1775,"=jun25",'Opportunities'!$P$2:$P$1775,"=1",'Opportunities'!$G$2:$G$1775,"=1")</f>
        <v>100600</v>
      </c>
      <c r="F89" s="4">
        <f>SUMIFS('Opportunities'!$H$2:$H$1775,'Opportunities'!$C$2:$C$1775,"=r16",'Opportunities'!$N$2:$N$1775,"=jul25",'Opportunities'!$P$2:$P$1775,"=1",'Opportunities'!$G$2:$G$1775,"=1")</f>
        <v>0</v>
      </c>
      <c r="G89" s="4">
        <f>SUMIFS('Opportunities'!$H$2:$H$1775,'Opportunities'!$C$2:$C$1775,"=r16",'Opportunities'!$N$2:$N$1775,"=aug25",'Opportunities'!$P$2:$P$1775,"=1",'Opportunities'!$G$2:$G$1775,"=1")</f>
        <v>0</v>
      </c>
      <c r="H89" s="4">
        <f>SUMIFS('Opportunities'!$H$2:$H$1775,'Opportunities'!$C$2:$C$1775,"=r16",'Opportunities'!$N$2:$N$1775,"=sep25",'Opportunities'!$P$2:$P$1775,"=1",'Opportunities'!$G$2:$G$1775,"=1")</f>
        <v>69700</v>
      </c>
      <c r="I89" s="4">
        <f>SUMIFS('Opportunities'!$H$2:$H$1775,'Opportunities'!$C$2:$C$1775,"=r16",'Opportunities'!$N$2:$N$1775,"=oct25",'Opportunities'!$P$2:$P$1775,"=1",'Opportunities'!$G$2:$G$1775,"=1")</f>
        <v>0</v>
      </c>
      <c r="J89" s="4">
        <f>SUMIFS('Opportunities'!$H$2:$H$1775,'Opportunities'!$C$2:$C$1775,"=r16",'Opportunities'!$N$2:$N$1775,"=nov25",'Opportunities'!$P$2:$P$1775,"=1",'Opportunities'!$G$2:$G$1775,"=1")</f>
        <v>23200</v>
      </c>
      <c r="K89" s="4">
        <f>SUMIFS('Opportunities'!$H$2:$H$1775,'Opportunities'!$C$2:$C$1775,"=r16",'Opportunities'!$N$2:$N$1775,"=dec25",'Opportunities'!$P$2:$P$1775,"=1",'Opportunities'!$G$2:$G$1775,"=1")</f>
        <v>124900</v>
      </c>
      <c r="L89" s="4">
        <f>SUMIFS('Opportunities'!$H$2:$H$1775,'Opportunities'!$C$2:$C$1775,"=r16",'Opportunities'!$N$2:$N$1775,"=jan26",'Opportunities'!$P$2:$P$1775,"=1",'Opportunities'!$G$2:$G$1775,"=1")</f>
        <v>50200</v>
      </c>
      <c r="M89" s="4">
        <f>SUMIFS('Opportunities'!$H$2:$H$1775,'Opportunities'!$C$2:$C$1775,"=r16",'Opportunities'!$N$2:$N$1775,"=feb26",'Opportunities'!$P$2:$P$1775,"=1",'Opportunities'!$G$2:$G$1775,"=1")</f>
        <v>0</v>
      </c>
      <c r="N89" s="4">
        <f>SUMIFS('Opportunities'!$H$2:$H$1775,'Opportunities'!$C$2:$C$1775,"=r16",'Opportunities'!$N$2:$N$1775,"=mar26",'Opportunities'!$P$2:$P$1775,"=1",'Opportunities'!$G$2:$G$1775,"=1")</f>
        <v>67300</v>
      </c>
      <c r="O89" s="4">
        <f>SUMIFS('Opportunities'!$H$2:$H$1775,'Opportunities'!$C$2:$C$1775,"=r16",'Opportunities'!$N$2:$N$1775,"=apr26",'Opportunities'!$P$2:$P$1775,"=1",'Opportunities'!$G$2:$G$1775,"=1")</f>
        <v>36400</v>
      </c>
      <c r="P89" s="4">
        <f>SUMIFS('Opportunities'!$H$2:$H$1775,'Opportunities'!$C$2:$C$1775,"=r16",'Opportunities'!$N$2:$N$1775,"=may26",'Opportunities'!$P$2:$P$1775,"=1",'Opportunities'!$G$2:$G$1775,"=1")</f>
        <v>17700</v>
      </c>
      <c r="Q89" s="4">
        <f>SUMIFS('Opportunities'!$H$2:$H$1775,'Opportunities'!$C$2:$C$1775,"=r16",'Opportunities'!$N$2:$N$1775,"=jun26",'Opportunities'!$P$2:$P$1775,"=1",'Opportunities'!$G$2:$G$1775,"=1")</f>
        <v>0</v>
      </c>
      <c r="R89" s="4">
        <f>SUMIFS('Opportunities'!$H$2:$H$1775,'Opportunities'!$C$2:$C$1775,"=r16",'Opportunities'!$N$2:$N$1775,"=jul26",'Opportunities'!$P$2:$P$1775,"=1",'Opportunities'!$G$2:$G$1775,"=1")</f>
        <v>107600</v>
      </c>
      <c r="S89" s="4">
        <f>SUMIFS('Opportunities'!$H$2:$H$1775,'Opportunities'!$C$2:$C$1775,"=r16",'Opportunities'!$N$2:$N$1775,"=aug26",'Opportunities'!$P$2:$P$1775,"=1",'Opportunities'!$G$2:$G$1775,"=1")</f>
        <v>0</v>
      </c>
      <c r="T89" s="4">
        <f>SUMIFS('Opportunities'!$H$2:$H$1775,'Opportunities'!$C$2:$C$1775,"=r16",'Opportunities'!$N$2:$N$1775,"=sep26",'Opportunities'!$P$2:$P$1775,"=1",'Opportunities'!$G$2:$G$1775,"=1")</f>
        <v>0</v>
      </c>
      <c r="U89" s="4">
        <f>SUMIFS('Opportunities'!$H$2:$H$1775,'Opportunities'!$C$2:$C$1775,"=r16",'Opportunities'!$N$2:$N$1775,"=oct26",'Opportunities'!$P$2:$P$1775,"=1",'Opportunities'!$G$2:$G$1775,"=1")</f>
        <v>0</v>
      </c>
      <c r="V89" s="4">
        <f>SUMIFS('Opportunities'!$H$2:$H$1775,'Opportunities'!$C$2:$C$1775,"=r16",'Opportunities'!$N$2:$N$1775,"=nov26",'Opportunities'!$P$2:$P$1775,"=1",'Opportunities'!$G$2:$G$1775,"=1")</f>
        <v>0</v>
      </c>
      <c r="W89" s="4">
        <f>SUMIFS('Opportunities'!$H$2:$H$1775,'Opportunities'!$C$2:$C$1775,"=r16",'Opportunities'!$N$2:$N$1775,"=dec26",'Opportunities'!$P$2:$P$1775,"=1",'Opportunities'!$G$2:$G$1775,"=1")</f>
        <v>0</v>
      </c>
    </row>
    <row r="90">
      <c r="A90" s="0" t="inlineStr">
        <is>
          <t xml:space="preserve">New-logo bookings</t>
        </is>
      </c>
      <c r="B90" s="0" t="inlineStr">
        <is>
          <t xml:space="preserve">Liam Silva</t>
        </is>
      </c>
      <c r="C90" s="4">
        <f>SUMIFS('Opportunities'!$H$2:$H$1775,'Opportunities'!$C$2:$C$1775,"=r17",'Opportunities'!$N$2:$N$1775,"=apr25",'Opportunities'!$P$2:$P$1775,"=1",'Opportunities'!$G$2:$G$1775,"=1")</f>
        <v>0</v>
      </c>
      <c r="D90" s="4">
        <f>SUMIFS('Opportunities'!$H$2:$H$1775,'Opportunities'!$C$2:$C$1775,"=r17",'Opportunities'!$N$2:$N$1775,"=may25",'Opportunities'!$P$2:$P$1775,"=1",'Opportunities'!$G$2:$G$1775,"=1")</f>
        <v>0</v>
      </c>
      <c r="E90" s="4">
        <f>SUMIFS('Opportunities'!$H$2:$H$1775,'Opportunities'!$C$2:$C$1775,"=r17",'Opportunities'!$N$2:$N$1775,"=jun25",'Opportunities'!$P$2:$P$1775,"=1",'Opportunities'!$G$2:$G$1775,"=1")</f>
        <v>0</v>
      </c>
      <c r="F90" s="4">
        <f>SUMIFS('Opportunities'!$H$2:$H$1775,'Opportunities'!$C$2:$C$1775,"=r17",'Opportunities'!$N$2:$N$1775,"=jul25",'Opportunities'!$P$2:$P$1775,"=1",'Opportunities'!$G$2:$G$1775,"=1")</f>
        <v>15600</v>
      </c>
      <c r="G90" s="4">
        <f>SUMIFS('Opportunities'!$H$2:$H$1775,'Opportunities'!$C$2:$C$1775,"=r17",'Opportunities'!$N$2:$N$1775,"=aug25",'Opportunities'!$P$2:$P$1775,"=1",'Opportunities'!$G$2:$G$1775,"=1")</f>
        <v>12600</v>
      </c>
      <c r="H90" s="4">
        <f>SUMIFS('Opportunities'!$H$2:$H$1775,'Opportunities'!$C$2:$C$1775,"=r17",'Opportunities'!$N$2:$N$1775,"=sep25",'Opportunities'!$P$2:$P$1775,"=1",'Opportunities'!$G$2:$G$1775,"=1")</f>
        <v>32900</v>
      </c>
      <c r="I90" s="4">
        <f>SUMIFS('Opportunities'!$H$2:$H$1775,'Opportunities'!$C$2:$C$1775,"=r17",'Opportunities'!$N$2:$N$1775,"=oct25",'Opportunities'!$P$2:$P$1775,"=1",'Opportunities'!$G$2:$G$1775,"=1")</f>
        <v>12400</v>
      </c>
      <c r="J90" s="4">
        <f>SUMIFS('Opportunities'!$H$2:$H$1775,'Opportunities'!$C$2:$C$1775,"=r17",'Opportunities'!$N$2:$N$1775,"=nov25",'Opportunities'!$P$2:$P$1775,"=1",'Opportunities'!$G$2:$G$1775,"=1")</f>
        <v>4100</v>
      </c>
      <c r="K90" s="4">
        <f>SUMIFS('Opportunities'!$H$2:$H$1775,'Opportunities'!$C$2:$C$1775,"=r17",'Opportunities'!$N$2:$N$1775,"=dec25",'Opportunities'!$P$2:$P$1775,"=1",'Opportunities'!$G$2:$G$1775,"=1")</f>
        <v>58900</v>
      </c>
      <c r="L90" s="4">
        <f>SUMIFS('Opportunities'!$H$2:$H$1775,'Opportunities'!$C$2:$C$1775,"=r17",'Opportunities'!$N$2:$N$1775,"=jan26",'Opportunities'!$P$2:$P$1775,"=1",'Opportunities'!$G$2:$G$1775,"=1")</f>
        <v>22100</v>
      </c>
      <c r="M90" s="4">
        <f>SUMIFS('Opportunities'!$H$2:$H$1775,'Opportunities'!$C$2:$C$1775,"=r17",'Opportunities'!$N$2:$N$1775,"=feb26",'Opportunities'!$P$2:$P$1775,"=1",'Opportunities'!$G$2:$G$1775,"=1")</f>
        <v>0</v>
      </c>
      <c r="N90" s="4">
        <f>SUMIFS('Opportunities'!$H$2:$H$1775,'Opportunities'!$C$2:$C$1775,"=r17",'Opportunities'!$N$2:$N$1775,"=mar26",'Opportunities'!$P$2:$P$1775,"=1",'Opportunities'!$G$2:$G$1775,"=1")</f>
        <v>86500</v>
      </c>
      <c r="O90" s="4">
        <f>SUMIFS('Opportunities'!$H$2:$H$1775,'Opportunities'!$C$2:$C$1775,"=r17",'Opportunities'!$N$2:$N$1775,"=apr26",'Opportunities'!$P$2:$P$1775,"=1",'Opportunities'!$G$2:$G$1775,"=1")</f>
        <v>35800</v>
      </c>
      <c r="P90" s="4">
        <f>SUMIFS('Opportunities'!$H$2:$H$1775,'Opportunities'!$C$2:$C$1775,"=r17",'Opportunities'!$N$2:$N$1775,"=may26",'Opportunities'!$P$2:$P$1775,"=1",'Opportunities'!$G$2:$G$1775,"=1")</f>
        <v>0</v>
      </c>
      <c r="Q90" s="4">
        <f>SUMIFS('Opportunities'!$H$2:$H$1775,'Opportunities'!$C$2:$C$1775,"=r17",'Opportunities'!$N$2:$N$1775,"=jun26",'Opportunities'!$P$2:$P$1775,"=1",'Opportunities'!$G$2:$G$1775,"=1")</f>
        <v>0</v>
      </c>
      <c r="R90" s="4">
        <f>SUMIFS('Opportunities'!$H$2:$H$1775,'Opportunities'!$C$2:$C$1775,"=r17",'Opportunities'!$N$2:$N$1775,"=jul26",'Opportunities'!$P$2:$P$1775,"=1",'Opportunities'!$G$2:$G$1775,"=1")</f>
        <v>33600</v>
      </c>
      <c r="S90" s="4">
        <f>SUMIFS('Opportunities'!$H$2:$H$1775,'Opportunities'!$C$2:$C$1775,"=r17",'Opportunities'!$N$2:$N$1775,"=aug26",'Opportunities'!$P$2:$P$1775,"=1",'Opportunities'!$G$2:$G$1775,"=1")</f>
        <v>9700</v>
      </c>
      <c r="T90" s="4">
        <f>SUMIFS('Opportunities'!$H$2:$H$1775,'Opportunities'!$C$2:$C$1775,"=r17",'Opportunities'!$N$2:$N$1775,"=sep26",'Opportunities'!$P$2:$P$1775,"=1",'Opportunities'!$G$2:$G$1775,"=1")</f>
        <v>46200</v>
      </c>
      <c r="U90" s="4">
        <f>SUMIFS('Opportunities'!$H$2:$H$1775,'Opportunities'!$C$2:$C$1775,"=r17",'Opportunities'!$N$2:$N$1775,"=oct26",'Opportunities'!$P$2:$P$1775,"=1",'Opportunities'!$G$2:$G$1775,"=1")</f>
        <v>0</v>
      </c>
      <c r="V90" s="4">
        <f>SUMIFS('Opportunities'!$H$2:$H$1775,'Opportunities'!$C$2:$C$1775,"=r17",'Opportunities'!$N$2:$N$1775,"=nov26",'Opportunities'!$P$2:$P$1775,"=1",'Opportunities'!$G$2:$G$1775,"=1")</f>
        <v>0</v>
      </c>
      <c r="W90" s="4">
        <f>SUMIFS('Opportunities'!$H$2:$H$1775,'Opportunities'!$C$2:$C$1775,"=r17",'Opportunities'!$N$2:$N$1775,"=dec26",'Opportunities'!$P$2:$P$1775,"=1",'Opportunities'!$G$2:$G$1775,"=1")</f>
        <v>0</v>
      </c>
    </row>
    <row r="91">
      <c r="A91" s="0" t="inlineStr">
        <is>
          <t xml:space="preserve">New-logo bookings</t>
        </is>
      </c>
      <c r="B91" s="0" t="inlineStr">
        <is>
          <t xml:space="preserve">Samuel Silva</t>
        </is>
      </c>
      <c r="C91" s="4">
        <f>SUMIFS('Opportunities'!$H$2:$H$1775,'Opportunities'!$C$2:$C$1775,"=r18",'Opportunities'!$N$2:$N$1775,"=apr25",'Opportunities'!$P$2:$P$1775,"=1",'Opportunities'!$G$2:$G$1775,"=1")</f>
        <v>0</v>
      </c>
      <c r="D91" s="4">
        <f>SUMIFS('Opportunities'!$H$2:$H$1775,'Opportunities'!$C$2:$C$1775,"=r18",'Opportunities'!$N$2:$N$1775,"=may25",'Opportunities'!$P$2:$P$1775,"=1",'Opportunities'!$G$2:$G$1775,"=1")</f>
        <v>0</v>
      </c>
      <c r="E91" s="4">
        <f>SUMIFS('Opportunities'!$H$2:$H$1775,'Opportunities'!$C$2:$C$1775,"=r18",'Opportunities'!$N$2:$N$1775,"=jun25",'Opportunities'!$P$2:$P$1775,"=1",'Opportunities'!$G$2:$G$1775,"=1")</f>
        <v>17000</v>
      </c>
      <c r="F91" s="4">
        <f>SUMIFS('Opportunities'!$H$2:$H$1775,'Opportunities'!$C$2:$C$1775,"=r18",'Opportunities'!$N$2:$N$1775,"=jul25",'Opportunities'!$P$2:$P$1775,"=1",'Opportunities'!$G$2:$G$1775,"=1")</f>
        <v>84300</v>
      </c>
      <c r="G91" s="4">
        <f>SUMIFS('Opportunities'!$H$2:$H$1775,'Opportunities'!$C$2:$C$1775,"=r18",'Opportunities'!$N$2:$N$1775,"=aug25",'Opportunities'!$P$2:$P$1775,"=1",'Opportunities'!$G$2:$G$1775,"=1")</f>
        <v>0</v>
      </c>
      <c r="H91" s="4">
        <f>SUMIFS('Opportunities'!$H$2:$H$1775,'Opportunities'!$C$2:$C$1775,"=r18",'Opportunities'!$N$2:$N$1775,"=sep25",'Opportunities'!$P$2:$P$1775,"=1",'Opportunities'!$G$2:$G$1775,"=1")</f>
        <v>59800</v>
      </c>
      <c r="I91" s="4">
        <f>SUMIFS('Opportunities'!$H$2:$H$1775,'Opportunities'!$C$2:$C$1775,"=r18",'Opportunities'!$N$2:$N$1775,"=oct25",'Opportunities'!$P$2:$P$1775,"=1",'Opportunities'!$G$2:$G$1775,"=1")</f>
        <v>21700</v>
      </c>
      <c r="J91" s="4">
        <f>SUMIFS('Opportunities'!$H$2:$H$1775,'Opportunities'!$C$2:$C$1775,"=r18",'Opportunities'!$N$2:$N$1775,"=nov25",'Opportunities'!$P$2:$P$1775,"=1",'Opportunities'!$G$2:$G$1775,"=1")</f>
        <v>51900</v>
      </c>
      <c r="K91" s="4">
        <f>SUMIFS('Opportunities'!$H$2:$H$1775,'Opportunities'!$C$2:$C$1775,"=r18",'Opportunities'!$N$2:$N$1775,"=dec25",'Opportunities'!$P$2:$P$1775,"=1",'Opportunities'!$G$2:$G$1775,"=1")</f>
        <v>20800</v>
      </c>
      <c r="L91" s="4">
        <f>SUMIFS('Opportunities'!$H$2:$H$1775,'Opportunities'!$C$2:$C$1775,"=r18",'Opportunities'!$N$2:$N$1775,"=jan26",'Opportunities'!$P$2:$P$1775,"=1",'Opportunities'!$G$2:$G$1775,"=1")</f>
        <v>15300</v>
      </c>
      <c r="M91" s="4">
        <f>SUMIFS('Opportunities'!$H$2:$H$1775,'Opportunities'!$C$2:$C$1775,"=r18",'Opportunities'!$N$2:$N$1775,"=feb26",'Opportunities'!$P$2:$P$1775,"=1",'Opportunities'!$G$2:$G$1775,"=1")</f>
        <v>67400</v>
      </c>
      <c r="N91" s="4">
        <f>SUMIFS('Opportunities'!$H$2:$H$1775,'Opportunities'!$C$2:$C$1775,"=r18",'Opportunities'!$N$2:$N$1775,"=mar26",'Opportunities'!$P$2:$P$1775,"=1",'Opportunities'!$G$2:$G$1775,"=1")</f>
        <v>55800</v>
      </c>
      <c r="O91" s="4">
        <f>SUMIFS('Opportunities'!$H$2:$H$1775,'Opportunities'!$C$2:$C$1775,"=r18",'Opportunities'!$N$2:$N$1775,"=apr26",'Opportunities'!$P$2:$P$1775,"=1",'Opportunities'!$G$2:$G$1775,"=1")</f>
        <v>31300</v>
      </c>
      <c r="P91" s="4">
        <f>SUMIFS('Opportunities'!$H$2:$H$1775,'Opportunities'!$C$2:$C$1775,"=r18",'Opportunities'!$N$2:$N$1775,"=may26",'Opportunities'!$P$2:$P$1775,"=1",'Opportunities'!$G$2:$G$1775,"=1")</f>
        <v>5400</v>
      </c>
      <c r="Q91" s="4">
        <f>SUMIFS('Opportunities'!$H$2:$H$1775,'Opportunities'!$C$2:$C$1775,"=r18",'Opportunities'!$N$2:$N$1775,"=jun26",'Opportunities'!$P$2:$P$1775,"=1",'Opportunities'!$G$2:$G$1775,"=1")</f>
        <v>54900</v>
      </c>
      <c r="R91" s="4">
        <f>SUMIFS('Opportunities'!$H$2:$H$1775,'Opportunities'!$C$2:$C$1775,"=r18",'Opportunities'!$N$2:$N$1775,"=jul26",'Opportunities'!$P$2:$P$1775,"=1",'Opportunities'!$G$2:$G$1775,"=1")</f>
        <v>20600</v>
      </c>
      <c r="S91" s="4">
        <f>SUMIFS('Opportunities'!$H$2:$H$1775,'Opportunities'!$C$2:$C$1775,"=r18",'Opportunities'!$N$2:$N$1775,"=aug26",'Opportunities'!$P$2:$P$1775,"=1",'Opportunities'!$G$2:$G$1775,"=1")</f>
        <v>25200</v>
      </c>
      <c r="T91" s="4">
        <f>SUMIFS('Opportunities'!$H$2:$H$1775,'Opportunities'!$C$2:$C$1775,"=r18",'Opportunities'!$N$2:$N$1775,"=sep26",'Opportunities'!$P$2:$P$1775,"=1",'Opportunities'!$G$2:$G$1775,"=1")</f>
        <v>13500</v>
      </c>
      <c r="U91" s="4">
        <f>SUMIFS('Opportunities'!$H$2:$H$1775,'Opportunities'!$C$2:$C$1775,"=r18",'Opportunities'!$N$2:$N$1775,"=oct26",'Opportunities'!$P$2:$P$1775,"=1",'Opportunities'!$G$2:$G$1775,"=1")</f>
        <v>0</v>
      </c>
      <c r="V91" s="4">
        <f>SUMIFS('Opportunities'!$H$2:$H$1775,'Opportunities'!$C$2:$C$1775,"=r18",'Opportunities'!$N$2:$N$1775,"=nov26",'Opportunities'!$P$2:$P$1775,"=1",'Opportunities'!$G$2:$G$1775,"=1")</f>
        <v>0</v>
      </c>
      <c r="W91" s="4">
        <f>SUMIFS('Opportunities'!$H$2:$H$1775,'Opportunities'!$C$2:$C$1775,"=r18",'Opportunities'!$N$2:$N$1775,"=dec26",'Opportunities'!$P$2:$P$1775,"=1",'Opportunities'!$G$2:$G$1775,"=1")</f>
        <v>0</v>
      </c>
    </row>
    <row r="92">
      <c r="A92" s="0" t="inlineStr">
        <is>
          <t xml:space="preserve">New-logo bookings</t>
        </is>
      </c>
      <c r="B92" s="0" t="inlineStr">
        <is>
          <t xml:space="preserve">Yuki Larsen</t>
        </is>
      </c>
      <c r="C92" s="4">
        <f>SUMIFS('Opportunities'!$H$2:$H$1775,'Opportunities'!$C$2:$C$1775,"=r19",'Opportunities'!$N$2:$N$1775,"=apr25",'Opportunities'!$P$2:$P$1775,"=1",'Opportunities'!$G$2:$G$1775,"=1")</f>
        <v>0</v>
      </c>
      <c r="D92" s="4">
        <f>SUMIFS('Opportunities'!$H$2:$H$1775,'Opportunities'!$C$2:$C$1775,"=r19",'Opportunities'!$N$2:$N$1775,"=may25",'Opportunities'!$P$2:$P$1775,"=1",'Opportunities'!$G$2:$G$1775,"=1")</f>
        <v>0</v>
      </c>
      <c r="E92" s="4">
        <f>SUMIFS('Opportunities'!$H$2:$H$1775,'Opportunities'!$C$2:$C$1775,"=r19",'Opportunities'!$N$2:$N$1775,"=jun25",'Opportunities'!$P$2:$P$1775,"=1",'Opportunities'!$G$2:$G$1775,"=1")</f>
        <v>0</v>
      </c>
      <c r="F92" s="4">
        <f>SUMIFS('Opportunities'!$H$2:$H$1775,'Opportunities'!$C$2:$C$1775,"=r19",'Opportunities'!$N$2:$N$1775,"=jul25",'Opportunities'!$P$2:$P$1775,"=1",'Opportunities'!$G$2:$G$1775,"=1")</f>
        <v>0</v>
      </c>
      <c r="G92" s="4">
        <f>SUMIFS('Opportunities'!$H$2:$H$1775,'Opportunities'!$C$2:$C$1775,"=r19",'Opportunities'!$N$2:$N$1775,"=aug25",'Opportunities'!$P$2:$P$1775,"=1",'Opportunities'!$G$2:$G$1775,"=1")</f>
        <v>82000</v>
      </c>
      <c r="H92" s="4">
        <f>SUMIFS('Opportunities'!$H$2:$H$1775,'Opportunities'!$C$2:$C$1775,"=r19",'Opportunities'!$N$2:$N$1775,"=sep25",'Opportunities'!$P$2:$P$1775,"=1",'Opportunities'!$G$2:$G$1775,"=1")</f>
        <v>0</v>
      </c>
      <c r="I92" s="4">
        <f>SUMIFS('Opportunities'!$H$2:$H$1775,'Opportunities'!$C$2:$C$1775,"=r19",'Opportunities'!$N$2:$N$1775,"=oct25",'Opportunities'!$P$2:$P$1775,"=1",'Opportunities'!$G$2:$G$1775,"=1")</f>
        <v>0</v>
      </c>
      <c r="J92" s="4">
        <f>SUMIFS('Opportunities'!$H$2:$H$1775,'Opportunities'!$C$2:$C$1775,"=r19",'Opportunities'!$N$2:$N$1775,"=nov25",'Opportunities'!$P$2:$P$1775,"=1",'Opportunities'!$G$2:$G$1775,"=1")</f>
        <v>0</v>
      </c>
      <c r="K92" s="4">
        <f>SUMIFS('Opportunities'!$H$2:$H$1775,'Opportunities'!$C$2:$C$1775,"=r19",'Opportunities'!$N$2:$N$1775,"=dec25",'Opportunities'!$P$2:$P$1775,"=1",'Opportunities'!$G$2:$G$1775,"=1")</f>
        <v>0</v>
      </c>
      <c r="L92" s="4">
        <f>SUMIFS('Opportunities'!$H$2:$H$1775,'Opportunities'!$C$2:$C$1775,"=r19",'Opportunities'!$N$2:$N$1775,"=jan26",'Opportunities'!$P$2:$P$1775,"=1",'Opportunities'!$G$2:$G$1775,"=1")</f>
        <v>0</v>
      </c>
      <c r="M92" s="4">
        <f>SUMIFS('Opportunities'!$H$2:$H$1775,'Opportunities'!$C$2:$C$1775,"=r19",'Opportunities'!$N$2:$N$1775,"=feb26",'Opportunities'!$P$2:$P$1775,"=1",'Opportunities'!$G$2:$G$1775,"=1")</f>
        <v>0</v>
      </c>
      <c r="N92" s="4">
        <f>SUMIFS('Opportunities'!$H$2:$H$1775,'Opportunities'!$C$2:$C$1775,"=r19",'Opportunities'!$N$2:$N$1775,"=mar26",'Opportunities'!$P$2:$P$1775,"=1",'Opportunities'!$G$2:$G$1775,"=1")</f>
        <v>0</v>
      </c>
      <c r="O92" s="4">
        <f>SUMIFS('Opportunities'!$H$2:$H$1775,'Opportunities'!$C$2:$C$1775,"=r19",'Opportunities'!$N$2:$N$1775,"=apr26",'Opportunities'!$P$2:$P$1775,"=1",'Opportunities'!$G$2:$G$1775,"=1")</f>
        <v>188400</v>
      </c>
      <c r="P92" s="4">
        <f>SUMIFS('Opportunities'!$H$2:$H$1775,'Opportunities'!$C$2:$C$1775,"=r19",'Opportunities'!$N$2:$N$1775,"=may26",'Opportunities'!$P$2:$P$1775,"=1",'Opportunities'!$G$2:$G$1775,"=1")</f>
        <v>0</v>
      </c>
      <c r="Q92" s="4">
        <f>SUMIFS('Opportunities'!$H$2:$H$1775,'Opportunities'!$C$2:$C$1775,"=r19",'Opportunities'!$N$2:$N$1775,"=jun26",'Opportunities'!$P$2:$P$1775,"=1",'Opportunities'!$G$2:$G$1775,"=1")</f>
        <v>0</v>
      </c>
      <c r="R92" s="4">
        <f>SUMIFS('Opportunities'!$H$2:$H$1775,'Opportunities'!$C$2:$C$1775,"=r19",'Opportunities'!$N$2:$N$1775,"=jul26",'Opportunities'!$P$2:$P$1775,"=1",'Opportunities'!$G$2:$G$1775,"=1")</f>
        <v>0</v>
      </c>
      <c r="S92" s="4">
        <f>SUMIFS('Opportunities'!$H$2:$H$1775,'Opportunities'!$C$2:$C$1775,"=r19",'Opportunities'!$N$2:$N$1775,"=aug26",'Opportunities'!$P$2:$P$1775,"=1",'Opportunities'!$G$2:$G$1775,"=1")</f>
        <v>157600</v>
      </c>
      <c r="T92" s="4">
        <f>SUMIFS('Opportunities'!$H$2:$H$1775,'Opportunities'!$C$2:$C$1775,"=r19",'Opportunities'!$N$2:$N$1775,"=sep26",'Opportunities'!$P$2:$P$1775,"=1",'Opportunities'!$G$2:$G$1775,"=1")</f>
        <v>0</v>
      </c>
      <c r="U92" s="4">
        <f>SUMIFS('Opportunities'!$H$2:$H$1775,'Opportunities'!$C$2:$C$1775,"=r19",'Opportunities'!$N$2:$N$1775,"=oct26",'Opportunities'!$P$2:$P$1775,"=1",'Opportunities'!$G$2:$G$1775,"=1")</f>
        <v>0</v>
      </c>
      <c r="V92" s="4">
        <f>SUMIFS('Opportunities'!$H$2:$H$1775,'Opportunities'!$C$2:$C$1775,"=r19",'Opportunities'!$N$2:$N$1775,"=nov26",'Opportunities'!$P$2:$P$1775,"=1",'Opportunities'!$G$2:$G$1775,"=1")</f>
        <v>0</v>
      </c>
      <c r="W92" s="4">
        <f>SUMIFS('Opportunities'!$H$2:$H$1775,'Opportunities'!$C$2:$C$1775,"=r19",'Opportunities'!$N$2:$N$1775,"=dec26",'Opportunities'!$P$2:$P$1775,"=1",'Opportunities'!$G$2:$G$1775,"=1")</f>
        <v>0</v>
      </c>
    </row>
    <row r="93">
      <c r="A93" s="0" t="inlineStr">
        <is>
          <t xml:space="preserve">New-logo bookings</t>
        </is>
      </c>
      <c r="B93" s="0" t="inlineStr">
        <is>
          <t xml:space="preserve">Nikolai Sato</t>
        </is>
      </c>
      <c r="C93" s="4">
        <f>SUMIFS('Opportunities'!$H$2:$H$1775,'Opportunities'!$C$2:$C$1775,"=r20",'Opportunities'!$N$2:$N$1775,"=apr25",'Opportunities'!$P$2:$P$1775,"=1",'Opportunities'!$G$2:$G$1775,"=1")</f>
        <v>0</v>
      </c>
      <c r="D93" s="4">
        <f>SUMIFS('Opportunities'!$H$2:$H$1775,'Opportunities'!$C$2:$C$1775,"=r20",'Opportunities'!$N$2:$N$1775,"=may25",'Opportunities'!$P$2:$P$1775,"=1",'Opportunities'!$G$2:$G$1775,"=1")</f>
        <v>0</v>
      </c>
      <c r="E93" s="4">
        <f>SUMIFS('Opportunities'!$H$2:$H$1775,'Opportunities'!$C$2:$C$1775,"=r20",'Opportunities'!$N$2:$N$1775,"=jun25",'Opportunities'!$P$2:$P$1775,"=1",'Opportunities'!$G$2:$G$1775,"=1")</f>
        <v>99700</v>
      </c>
      <c r="F93" s="4">
        <f>SUMIFS('Opportunities'!$H$2:$H$1775,'Opportunities'!$C$2:$C$1775,"=r20",'Opportunities'!$N$2:$N$1775,"=jul25",'Opportunities'!$P$2:$P$1775,"=1",'Opportunities'!$G$2:$G$1775,"=1")</f>
        <v>0</v>
      </c>
      <c r="G93" s="4">
        <f>SUMIFS('Opportunities'!$H$2:$H$1775,'Opportunities'!$C$2:$C$1775,"=r20",'Opportunities'!$N$2:$N$1775,"=aug25",'Opportunities'!$P$2:$P$1775,"=1",'Opportunities'!$G$2:$G$1775,"=1")</f>
        <v>0</v>
      </c>
      <c r="H93" s="4">
        <f>SUMIFS('Opportunities'!$H$2:$H$1775,'Opportunities'!$C$2:$C$1775,"=r20",'Opportunities'!$N$2:$N$1775,"=sep25",'Opportunities'!$P$2:$P$1775,"=1",'Opportunities'!$G$2:$G$1775,"=1")</f>
        <v>139000</v>
      </c>
      <c r="I93" s="4">
        <f>SUMIFS('Opportunities'!$H$2:$H$1775,'Opportunities'!$C$2:$C$1775,"=r20",'Opportunities'!$N$2:$N$1775,"=oct25",'Opportunities'!$P$2:$P$1775,"=1",'Opportunities'!$G$2:$G$1775,"=1")</f>
        <v>0</v>
      </c>
      <c r="J93" s="4">
        <f>SUMIFS('Opportunities'!$H$2:$H$1775,'Opportunities'!$C$2:$C$1775,"=r20",'Opportunities'!$N$2:$N$1775,"=nov25",'Opportunities'!$P$2:$P$1775,"=1",'Opportunities'!$G$2:$G$1775,"=1")</f>
        <v>0</v>
      </c>
      <c r="K93" s="4">
        <f>SUMIFS('Opportunities'!$H$2:$H$1775,'Opportunities'!$C$2:$C$1775,"=r20",'Opportunities'!$N$2:$N$1775,"=dec25",'Opportunities'!$P$2:$P$1775,"=1",'Opportunities'!$G$2:$G$1775,"=1")</f>
        <v>0</v>
      </c>
      <c r="L93" s="4">
        <f>SUMIFS('Opportunities'!$H$2:$H$1775,'Opportunities'!$C$2:$C$1775,"=r20",'Opportunities'!$N$2:$N$1775,"=jan26",'Opportunities'!$P$2:$P$1775,"=1",'Opportunities'!$G$2:$G$1775,"=1")</f>
        <v>0</v>
      </c>
      <c r="M93" s="4">
        <f>SUMIFS('Opportunities'!$H$2:$H$1775,'Opportunities'!$C$2:$C$1775,"=r20",'Opportunities'!$N$2:$N$1775,"=feb26",'Opportunities'!$P$2:$P$1775,"=1",'Opportunities'!$G$2:$G$1775,"=1")</f>
        <v>0</v>
      </c>
      <c r="N93" s="4">
        <f>SUMIFS('Opportunities'!$H$2:$H$1775,'Opportunities'!$C$2:$C$1775,"=r20",'Opportunities'!$N$2:$N$1775,"=mar26",'Opportunities'!$P$2:$P$1775,"=1",'Opportunities'!$G$2:$G$1775,"=1")</f>
        <v>0</v>
      </c>
      <c r="O93" s="4">
        <f>SUMIFS('Opportunities'!$H$2:$H$1775,'Opportunities'!$C$2:$C$1775,"=r20",'Opportunities'!$N$2:$N$1775,"=apr26",'Opportunities'!$P$2:$P$1775,"=1",'Opportunities'!$G$2:$G$1775,"=1")</f>
        <v>0</v>
      </c>
      <c r="P93" s="4">
        <f>SUMIFS('Opportunities'!$H$2:$H$1775,'Opportunities'!$C$2:$C$1775,"=r20",'Opportunities'!$N$2:$N$1775,"=may26",'Opportunities'!$P$2:$P$1775,"=1",'Opportunities'!$G$2:$G$1775,"=1")</f>
        <v>0</v>
      </c>
      <c r="Q93" s="4">
        <f>SUMIFS('Opportunities'!$H$2:$H$1775,'Opportunities'!$C$2:$C$1775,"=r20",'Opportunities'!$N$2:$N$1775,"=jun26",'Opportunities'!$P$2:$P$1775,"=1",'Opportunities'!$G$2:$G$1775,"=1")</f>
        <v>0</v>
      </c>
      <c r="R93" s="4">
        <f>SUMIFS('Opportunities'!$H$2:$H$1775,'Opportunities'!$C$2:$C$1775,"=r20",'Opportunities'!$N$2:$N$1775,"=jul26",'Opportunities'!$P$2:$P$1775,"=1",'Opportunities'!$G$2:$G$1775,"=1")</f>
        <v>0</v>
      </c>
      <c r="S93" s="4">
        <f>SUMIFS('Opportunities'!$H$2:$H$1775,'Opportunities'!$C$2:$C$1775,"=r20",'Opportunities'!$N$2:$N$1775,"=aug26",'Opportunities'!$P$2:$P$1775,"=1",'Opportunities'!$G$2:$G$1775,"=1")</f>
        <v>103400</v>
      </c>
      <c r="T93" s="4">
        <f>SUMIFS('Opportunities'!$H$2:$H$1775,'Opportunities'!$C$2:$C$1775,"=r20",'Opportunities'!$N$2:$N$1775,"=sep26",'Opportunities'!$P$2:$P$1775,"=1",'Opportunities'!$G$2:$G$1775,"=1")</f>
        <v>0</v>
      </c>
      <c r="U93" s="4">
        <f>SUMIFS('Opportunities'!$H$2:$H$1775,'Opportunities'!$C$2:$C$1775,"=r20",'Opportunities'!$N$2:$N$1775,"=oct26",'Opportunities'!$P$2:$P$1775,"=1",'Opportunities'!$G$2:$G$1775,"=1")</f>
        <v>0</v>
      </c>
      <c r="V93" s="4">
        <f>SUMIFS('Opportunities'!$H$2:$H$1775,'Opportunities'!$C$2:$C$1775,"=r20",'Opportunities'!$N$2:$N$1775,"=nov26",'Opportunities'!$P$2:$P$1775,"=1",'Opportunities'!$G$2:$G$1775,"=1")</f>
        <v>0</v>
      </c>
      <c r="W93" s="4">
        <f>SUMIFS('Opportunities'!$H$2:$H$1775,'Opportunities'!$C$2:$C$1775,"=r20",'Opportunities'!$N$2:$N$1775,"=dec26",'Opportunities'!$P$2:$P$1775,"=1",'Opportunities'!$G$2:$G$1775,"=1")</f>
        <v>0</v>
      </c>
    </row>
    <row r="94">
      <c r="A94" s="0" t="inlineStr">
        <is>
          <t xml:space="preserve">New-logo bookings</t>
        </is>
      </c>
      <c r="B94" s="0" t="inlineStr">
        <is>
          <t xml:space="preserve">Elena Silva</t>
        </is>
      </c>
      <c r="C94" s="4">
        <f>SUMIFS('Opportunities'!$H$2:$H$1775,'Opportunities'!$C$2:$C$1775,"=r21",'Opportunities'!$N$2:$N$1775,"=apr25",'Opportunities'!$P$2:$P$1775,"=1",'Opportunities'!$G$2:$G$1775,"=1")</f>
        <v>0</v>
      </c>
      <c r="D94" s="4">
        <f>SUMIFS('Opportunities'!$H$2:$H$1775,'Opportunities'!$C$2:$C$1775,"=r21",'Opportunities'!$N$2:$N$1775,"=may25",'Opportunities'!$P$2:$P$1775,"=1",'Opportunities'!$G$2:$G$1775,"=1")</f>
        <v>0</v>
      </c>
      <c r="E94" s="4">
        <f>SUMIFS('Opportunities'!$H$2:$H$1775,'Opportunities'!$C$2:$C$1775,"=r21",'Opportunities'!$N$2:$N$1775,"=jun25",'Opportunities'!$P$2:$P$1775,"=1",'Opportunities'!$G$2:$G$1775,"=1")</f>
        <v>28600</v>
      </c>
      <c r="F94" s="4">
        <f>SUMIFS('Opportunities'!$H$2:$H$1775,'Opportunities'!$C$2:$C$1775,"=r21",'Opportunities'!$N$2:$N$1775,"=jul25",'Opportunities'!$P$2:$P$1775,"=1",'Opportunities'!$G$2:$G$1775,"=1")</f>
        <v>28300</v>
      </c>
      <c r="G94" s="4">
        <f>SUMIFS('Opportunities'!$H$2:$H$1775,'Opportunities'!$C$2:$C$1775,"=r21",'Opportunities'!$N$2:$N$1775,"=aug25",'Opportunities'!$P$2:$P$1775,"=1",'Opportunities'!$G$2:$G$1775,"=1")</f>
        <v>29400</v>
      </c>
      <c r="H94" s="4">
        <f>SUMIFS('Opportunities'!$H$2:$H$1775,'Opportunities'!$C$2:$C$1775,"=r21",'Opportunities'!$N$2:$N$1775,"=sep25",'Opportunities'!$P$2:$P$1775,"=1",'Opportunities'!$G$2:$G$1775,"=1")</f>
        <v>228400</v>
      </c>
      <c r="I94" s="4">
        <f>SUMIFS('Opportunities'!$H$2:$H$1775,'Opportunities'!$C$2:$C$1775,"=r21",'Opportunities'!$N$2:$N$1775,"=oct25",'Opportunities'!$P$2:$P$1775,"=1",'Opportunities'!$G$2:$G$1775,"=1")</f>
        <v>32500</v>
      </c>
      <c r="J94" s="4">
        <f>SUMIFS('Opportunities'!$H$2:$H$1775,'Opportunities'!$C$2:$C$1775,"=r21",'Opportunities'!$N$2:$N$1775,"=nov25",'Opportunities'!$P$2:$P$1775,"=1",'Opportunities'!$G$2:$G$1775,"=1")</f>
        <v>21900</v>
      </c>
      <c r="K94" s="4">
        <f>SUMIFS('Opportunities'!$H$2:$H$1775,'Opportunities'!$C$2:$C$1775,"=r21",'Opportunities'!$N$2:$N$1775,"=dec25",'Opportunities'!$P$2:$P$1775,"=1",'Opportunities'!$G$2:$G$1775,"=1")</f>
        <v>163000</v>
      </c>
      <c r="L94" s="4">
        <f>SUMIFS('Opportunities'!$H$2:$H$1775,'Opportunities'!$C$2:$C$1775,"=r21",'Opportunities'!$N$2:$N$1775,"=jan26",'Opportunities'!$P$2:$P$1775,"=1",'Opportunities'!$G$2:$G$1775,"=1")</f>
        <v>101900</v>
      </c>
      <c r="M94" s="4">
        <f>SUMIFS('Opportunities'!$H$2:$H$1775,'Opportunities'!$C$2:$C$1775,"=r21",'Opportunities'!$N$2:$N$1775,"=feb26",'Opportunities'!$P$2:$P$1775,"=1",'Opportunities'!$G$2:$G$1775,"=1")</f>
        <v>0</v>
      </c>
      <c r="N94" s="4">
        <f>SUMIFS('Opportunities'!$H$2:$H$1775,'Opportunities'!$C$2:$C$1775,"=r21",'Opportunities'!$N$2:$N$1775,"=mar26",'Opportunities'!$P$2:$P$1775,"=1",'Opportunities'!$G$2:$G$1775,"=1")</f>
        <v>0</v>
      </c>
      <c r="O94" s="4">
        <f>SUMIFS('Opportunities'!$H$2:$H$1775,'Opportunities'!$C$2:$C$1775,"=r21",'Opportunities'!$N$2:$N$1775,"=apr26",'Opportunities'!$P$2:$P$1775,"=1",'Opportunities'!$G$2:$G$1775,"=1")</f>
        <v>12600</v>
      </c>
      <c r="P94" s="4">
        <f>SUMIFS('Opportunities'!$H$2:$H$1775,'Opportunities'!$C$2:$C$1775,"=r21",'Opportunities'!$N$2:$N$1775,"=may26",'Opportunities'!$P$2:$P$1775,"=1",'Opportunities'!$G$2:$G$1775,"=1")</f>
        <v>42600</v>
      </c>
      <c r="Q94" s="4">
        <f>SUMIFS('Opportunities'!$H$2:$H$1775,'Opportunities'!$C$2:$C$1775,"=r21",'Opportunities'!$N$2:$N$1775,"=jun26",'Opportunities'!$P$2:$P$1775,"=1",'Opportunities'!$G$2:$G$1775,"=1")</f>
        <v>120300</v>
      </c>
      <c r="R94" s="4">
        <f>SUMIFS('Opportunities'!$H$2:$H$1775,'Opportunities'!$C$2:$C$1775,"=r21",'Opportunities'!$N$2:$N$1775,"=jul26",'Opportunities'!$P$2:$P$1775,"=1",'Opportunities'!$G$2:$G$1775,"=1")</f>
        <v>0</v>
      </c>
      <c r="S94" s="4">
        <f>SUMIFS('Opportunities'!$H$2:$H$1775,'Opportunities'!$C$2:$C$1775,"=r21",'Opportunities'!$N$2:$N$1775,"=aug26",'Opportunities'!$P$2:$P$1775,"=1",'Opportunities'!$G$2:$G$1775,"=1")</f>
        <v>28600</v>
      </c>
      <c r="T94" s="4">
        <f>SUMIFS('Opportunities'!$H$2:$H$1775,'Opportunities'!$C$2:$C$1775,"=r21",'Opportunities'!$N$2:$N$1775,"=sep26",'Opportunities'!$P$2:$P$1775,"=1",'Opportunities'!$G$2:$G$1775,"=1")</f>
        <v>83100</v>
      </c>
      <c r="U94" s="4">
        <f>SUMIFS('Opportunities'!$H$2:$H$1775,'Opportunities'!$C$2:$C$1775,"=r21",'Opportunities'!$N$2:$N$1775,"=oct26",'Opportunities'!$P$2:$P$1775,"=1",'Opportunities'!$G$2:$G$1775,"=1")</f>
        <v>0</v>
      </c>
      <c r="V94" s="4">
        <f>SUMIFS('Opportunities'!$H$2:$H$1775,'Opportunities'!$C$2:$C$1775,"=r21",'Opportunities'!$N$2:$N$1775,"=nov26",'Opportunities'!$P$2:$P$1775,"=1",'Opportunities'!$G$2:$G$1775,"=1")</f>
        <v>0</v>
      </c>
      <c r="W94" s="4">
        <f>SUMIFS('Opportunities'!$H$2:$H$1775,'Opportunities'!$C$2:$C$1775,"=r21",'Opportunities'!$N$2:$N$1775,"=dec26",'Opportunities'!$P$2:$P$1775,"=1",'Opportunities'!$G$2:$G$1775,"=1")</f>
        <v>0</v>
      </c>
    </row>
    <row r="95">
      <c r="A95" s="0" t="inlineStr">
        <is>
          <t xml:space="preserve">New-logo bookings</t>
        </is>
      </c>
      <c r="B95" s="0" t="inlineStr">
        <is>
          <t xml:space="preserve">Arjun Müller</t>
        </is>
      </c>
      <c r="C95" s="4">
        <f>SUMIFS('Opportunities'!$H$2:$H$1775,'Opportunities'!$C$2:$C$1775,"=r22",'Opportunities'!$N$2:$N$1775,"=apr25",'Opportunities'!$P$2:$P$1775,"=1",'Opportunities'!$G$2:$G$1775,"=1")</f>
        <v>0</v>
      </c>
      <c r="D95" s="4">
        <f>SUMIFS('Opportunities'!$H$2:$H$1775,'Opportunities'!$C$2:$C$1775,"=r22",'Opportunities'!$N$2:$N$1775,"=may25",'Opportunities'!$P$2:$P$1775,"=1",'Opportunities'!$G$2:$G$1775,"=1")</f>
        <v>0</v>
      </c>
      <c r="E95" s="4">
        <f>SUMIFS('Opportunities'!$H$2:$H$1775,'Opportunities'!$C$2:$C$1775,"=r22",'Opportunities'!$N$2:$N$1775,"=jun25",'Opportunities'!$P$2:$P$1775,"=1",'Opportunities'!$G$2:$G$1775,"=1")</f>
        <v>0</v>
      </c>
      <c r="F95" s="4">
        <f>SUMIFS('Opportunities'!$H$2:$H$1775,'Opportunities'!$C$2:$C$1775,"=r22",'Opportunities'!$N$2:$N$1775,"=jul25",'Opportunities'!$P$2:$P$1775,"=1",'Opportunities'!$G$2:$G$1775,"=1")</f>
        <v>43500</v>
      </c>
      <c r="G95" s="4">
        <f>SUMIFS('Opportunities'!$H$2:$H$1775,'Opportunities'!$C$2:$C$1775,"=r22",'Opportunities'!$N$2:$N$1775,"=aug25",'Opportunities'!$P$2:$P$1775,"=1",'Opportunities'!$G$2:$G$1775,"=1")</f>
        <v>27100</v>
      </c>
      <c r="H95" s="4">
        <f>SUMIFS('Opportunities'!$H$2:$H$1775,'Opportunities'!$C$2:$C$1775,"=r22",'Opportunities'!$N$2:$N$1775,"=sep25",'Opportunities'!$P$2:$P$1775,"=1",'Opportunities'!$G$2:$G$1775,"=1")</f>
        <v>0</v>
      </c>
      <c r="I95" s="4">
        <f>SUMIFS('Opportunities'!$H$2:$H$1775,'Opportunities'!$C$2:$C$1775,"=r22",'Opportunities'!$N$2:$N$1775,"=oct25",'Opportunities'!$P$2:$P$1775,"=1",'Opportunities'!$G$2:$G$1775,"=1")</f>
        <v>32000</v>
      </c>
      <c r="J95" s="4">
        <f>SUMIFS('Opportunities'!$H$2:$H$1775,'Opportunities'!$C$2:$C$1775,"=r22",'Opportunities'!$N$2:$N$1775,"=nov25",'Opportunities'!$P$2:$P$1775,"=1",'Opportunities'!$G$2:$G$1775,"=1")</f>
        <v>0</v>
      </c>
      <c r="K95" s="4">
        <f>SUMIFS('Opportunities'!$H$2:$H$1775,'Opportunities'!$C$2:$C$1775,"=r22",'Opportunities'!$N$2:$N$1775,"=dec25",'Opportunities'!$P$2:$P$1775,"=1",'Opportunities'!$G$2:$G$1775,"=1")</f>
        <v>120000</v>
      </c>
      <c r="L95" s="4">
        <f>SUMIFS('Opportunities'!$H$2:$H$1775,'Opportunities'!$C$2:$C$1775,"=r22",'Opportunities'!$N$2:$N$1775,"=jan26",'Opportunities'!$P$2:$P$1775,"=1",'Opportunities'!$G$2:$G$1775,"=1")</f>
        <v>0</v>
      </c>
      <c r="M95" s="4">
        <f>SUMIFS('Opportunities'!$H$2:$H$1775,'Opportunities'!$C$2:$C$1775,"=r22",'Opportunities'!$N$2:$N$1775,"=feb26",'Opportunities'!$P$2:$P$1775,"=1",'Opportunities'!$G$2:$G$1775,"=1")</f>
        <v>0</v>
      </c>
      <c r="N95" s="4">
        <f>SUMIFS('Opportunities'!$H$2:$H$1775,'Opportunities'!$C$2:$C$1775,"=r22",'Opportunities'!$N$2:$N$1775,"=mar26",'Opportunities'!$P$2:$P$1775,"=1",'Opportunities'!$G$2:$G$1775,"=1")</f>
        <v>0</v>
      </c>
      <c r="O95" s="4">
        <f>SUMIFS('Opportunities'!$H$2:$H$1775,'Opportunities'!$C$2:$C$1775,"=r22",'Opportunities'!$N$2:$N$1775,"=apr26",'Opportunities'!$P$2:$P$1775,"=1",'Opportunities'!$G$2:$G$1775,"=1")</f>
        <v>27300</v>
      </c>
      <c r="P95" s="4">
        <f>SUMIFS('Opportunities'!$H$2:$H$1775,'Opportunities'!$C$2:$C$1775,"=r22",'Opportunities'!$N$2:$N$1775,"=may26",'Opportunities'!$P$2:$P$1775,"=1",'Opportunities'!$G$2:$G$1775,"=1")</f>
        <v>40800</v>
      </c>
      <c r="Q95" s="4">
        <f>SUMIFS('Opportunities'!$H$2:$H$1775,'Opportunities'!$C$2:$C$1775,"=r22",'Opportunities'!$N$2:$N$1775,"=jun26",'Opportunities'!$P$2:$P$1775,"=1",'Opportunities'!$G$2:$G$1775,"=1")</f>
        <v>0</v>
      </c>
      <c r="R95" s="4">
        <f>SUMIFS('Opportunities'!$H$2:$H$1775,'Opportunities'!$C$2:$C$1775,"=r22",'Opportunities'!$N$2:$N$1775,"=jul26",'Opportunities'!$P$2:$P$1775,"=1",'Opportunities'!$G$2:$G$1775,"=1")</f>
        <v>29400</v>
      </c>
      <c r="S95" s="4">
        <f>SUMIFS('Opportunities'!$H$2:$H$1775,'Opportunities'!$C$2:$C$1775,"=r22",'Opportunities'!$N$2:$N$1775,"=aug26",'Opportunities'!$P$2:$P$1775,"=1",'Opportunities'!$G$2:$G$1775,"=1")</f>
        <v>0</v>
      </c>
      <c r="T95" s="4">
        <f>SUMIFS('Opportunities'!$H$2:$H$1775,'Opportunities'!$C$2:$C$1775,"=r22",'Opportunities'!$N$2:$N$1775,"=sep26",'Opportunities'!$P$2:$P$1775,"=1",'Opportunities'!$G$2:$G$1775,"=1")</f>
        <v>45300</v>
      </c>
      <c r="U95" s="4">
        <f>SUMIFS('Opportunities'!$H$2:$H$1775,'Opportunities'!$C$2:$C$1775,"=r22",'Opportunities'!$N$2:$N$1775,"=oct26",'Opportunities'!$P$2:$P$1775,"=1",'Opportunities'!$G$2:$G$1775,"=1")</f>
        <v>0</v>
      </c>
      <c r="V95" s="4">
        <f>SUMIFS('Opportunities'!$H$2:$H$1775,'Opportunities'!$C$2:$C$1775,"=r22",'Opportunities'!$N$2:$N$1775,"=nov26",'Opportunities'!$P$2:$P$1775,"=1",'Opportunities'!$G$2:$G$1775,"=1")</f>
        <v>0</v>
      </c>
      <c r="W95" s="4">
        <f>SUMIFS('Opportunities'!$H$2:$H$1775,'Opportunities'!$C$2:$C$1775,"=r22",'Opportunities'!$N$2:$N$1775,"=dec26",'Opportunities'!$P$2:$P$1775,"=1",'Opportunities'!$G$2:$G$1775,"=1")</f>
        <v>0</v>
      </c>
    </row>
    <row r="96">
      <c r="A96" s="0" t="inlineStr">
        <is>
          <t xml:space="preserve">New-logo bookings</t>
        </is>
      </c>
      <c r="B96" s="0" t="inlineStr">
        <is>
          <t xml:space="preserve">Nikolai Park</t>
        </is>
      </c>
      <c r="C96" s="4">
        <f>SUMIFS('Opportunities'!$H$2:$H$1775,'Opportunities'!$C$2:$C$1775,"=r23",'Opportunities'!$N$2:$N$1775,"=apr25",'Opportunities'!$P$2:$P$1775,"=1",'Opportunities'!$G$2:$G$1775,"=1")</f>
        <v>0</v>
      </c>
      <c r="D96" s="4">
        <f>SUMIFS('Opportunities'!$H$2:$H$1775,'Opportunities'!$C$2:$C$1775,"=r23",'Opportunities'!$N$2:$N$1775,"=may25",'Opportunities'!$P$2:$P$1775,"=1",'Opportunities'!$G$2:$G$1775,"=1")</f>
        <v>0</v>
      </c>
      <c r="E96" s="4">
        <f>SUMIFS('Opportunities'!$H$2:$H$1775,'Opportunities'!$C$2:$C$1775,"=r23",'Opportunities'!$N$2:$N$1775,"=jun25",'Opportunities'!$P$2:$P$1775,"=1",'Opportunities'!$G$2:$G$1775,"=1")</f>
        <v>0</v>
      </c>
      <c r="F96" s="4">
        <f>SUMIFS('Opportunities'!$H$2:$H$1775,'Opportunities'!$C$2:$C$1775,"=r23",'Opportunities'!$N$2:$N$1775,"=jul25",'Opportunities'!$P$2:$P$1775,"=1",'Opportunities'!$G$2:$G$1775,"=1")</f>
        <v>0</v>
      </c>
      <c r="G96" s="4">
        <f>SUMIFS('Opportunities'!$H$2:$H$1775,'Opportunities'!$C$2:$C$1775,"=r23",'Opportunities'!$N$2:$N$1775,"=aug25",'Opportunities'!$P$2:$P$1775,"=1",'Opportunities'!$G$2:$G$1775,"=1")</f>
        <v>0</v>
      </c>
      <c r="H96" s="4">
        <f>SUMIFS('Opportunities'!$H$2:$H$1775,'Opportunities'!$C$2:$C$1775,"=r23",'Opportunities'!$N$2:$N$1775,"=sep25",'Opportunities'!$P$2:$P$1775,"=1",'Opportunities'!$G$2:$G$1775,"=1")</f>
        <v>0</v>
      </c>
      <c r="I96" s="4">
        <f>SUMIFS('Opportunities'!$H$2:$H$1775,'Opportunities'!$C$2:$C$1775,"=r23",'Opportunities'!$N$2:$N$1775,"=oct25",'Opportunities'!$P$2:$P$1775,"=1",'Opportunities'!$G$2:$G$1775,"=1")</f>
        <v>0</v>
      </c>
      <c r="J96" s="4">
        <f>SUMIFS('Opportunities'!$H$2:$H$1775,'Opportunities'!$C$2:$C$1775,"=r23",'Opportunities'!$N$2:$N$1775,"=nov25",'Opportunities'!$P$2:$P$1775,"=1",'Opportunities'!$G$2:$G$1775,"=1")</f>
        <v>0</v>
      </c>
      <c r="K96" s="4">
        <f>SUMIFS('Opportunities'!$H$2:$H$1775,'Opportunities'!$C$2:$C$1775,"=r23",'Opportunities'!$N$2:$N$1775,"=dec25",'Opportunities'!$P$2:$P$1775,"=1",'Opportunities'!$G$2:$G$1775,"=1")</f>
        <v>0</v>
      </c>
      <c r="L96" s="4">
        <f>SUMIFS('Opportunities'!$H$2:$H$1775,'Opportunities'!$C$2:$C$1775,"=r23",'Opportunities'!$N$2:$N$1775,"=jan26",'Opportunities'!$P$2:$P$1775,"=1",'Opportunities'!$G$2:$G$1775,"=1")</f>
        <v>0</v>
      </c>
      <c r="M96" s="4">
        <f>SUMIFS('Opportunities'!$H$2:$H$1775,'Opportunities'!$C$2:$C$1775,"=r23",'Opportunities'!$N$2:$N$1775,"=feb26",'Opportunities'!$P$2:$P$1775,"=1",'Opportunities'!$G$2:$G$1775,"=1")</f>
        <v>0</v>
      </c>
      <c r="N96" s="4">
        <f>SUMIFS('Opportunities'!$H$2:$H$1775,'Opportunities'!$C$2:$C$1775,"=r23",'Opportunities'!$N$2:$N$1775,"=mar26",'Opportunities'!$P$2:$P$1775,"=1",'Opportunities'!$G$2:$G$1775,"=1")</f>
        <v>0</v>
      </c>
      <c r="O96" s="4">
        <f>SUMIFS('Opportunities'!$H$2:$H$1775,'Opportunities'!$C$2:$C$1775,"=r23",'Opportunities'!$N$2:$N$1775,"=apr26",'Opportunities'!$P$2:$P$1775,"=1",'Opportunities'!$G$2:$G$1775,"=1")</f>
        <v>0</v>
      </c>
      <c r="P96" s="4">
        <f>SUMIFS('Opportunities'!$H$2:$H$1775,'Opportunities'!$C$2:$C$1775,"=r23",'Opportunities'!$N$2:$N$1775,"=may26",'Opportunities'!$P$2:$P$1775,"=1",'Opportunities'!$G$2:$G$1775,"=1")</f>
        <v>0</v>
      </c>
      <c r="Q96" s="4">
        <f>SUMIFS('Opportunities'!$H$2:$H$1775,'Opportunities'!$C$2:$C$1775,"=r23",'Opportunities'!$N$2:$N$1775,"=jun26",'Opportunities'!$P$2:$P$1775,"=1",'Opportunities'!$G$2:$G$1775,"=1")</f>
        <v>11000</v>
      </c>
      <c r="R96" s="4">
        <f>SUMIFS('Opportunities'!$H$2:$H$1775,'Opportunities'!$C$2:$C$1775,"=r23",'Opportunities'!$N$2:$N$1775,"=jul26",'Opportunities'!$P$2:$P$1775,"=1",'Opportunities'!$G$2:$G$1775,"=1")</f>
        <v>27800</v>
      </c>
      <c r="S96" s="4">
        <f>SUMIFS('Opportunities'!$H$2:$H$1775,'Opportunities'!$C$2:$C$1775,"=r23",'Opportunities'!$N$2:$N$1775,"=aug26",'Opportunities'!$P$2:$P$1775,"=1",'Opportunities'!$G$2:$G$1775,"=1")</f>
        <v>0</v>
      </c>
      <c r="T96" s="4">
        <f>SUMIFS('Opportunities'!$H$2:$H$1775,'Opportunities'!$C$2:$C$1775,"=r23",'Opportunities'!$N$2:$N$1775,"=sep26",'Opportunities'!$P$2:$P$1775,"=1",'Opportunities'!$G$2:$G$1775,"=1")</f>
        <v>0</v>
      </c>
      <c r="U96" s="4">
        <f>SUMIFS('Opportunities'!$H$2:$H$1775,'Opportunities'!$C$2:$C$1775,"=r23",'Opportunities'!$N$2:$N$1775,"=oct26",'Opportunities'!$P$2:$P$1775,"=1",'Opportunities'!$G$2:$G$1775,"=1")</f>
        <v>0</v>
      </c>
      <c r="V96" s="4">
        <f>SUMIFS('Opportunities'!$H$2:$H$1775,'Opportunities'!$C$2:$C$1775,"=r23",'Opportunities'!$N$2:$N$1775,"=nov26",'Opportunities'!$P$2:$P$1775,"=1",'Opportunities'!$G$2:$G$1775,"=1")</f>
        <v>0</v>
      </c>
      <c r="W96" s="4">
        <f>SUMIFS('Opportunities'!$H$2:$H$1775,'Opportunities'!$C$2:$C$1775,"=r23",'Opportunities'!$N$2:$N$1775,"=dec26",'Opportunities'!$P$2:$P$1775,"=1",'Opportunities'!$G$2:$G$1775,"=1")</f>
        <v>0</v>
      </c>
    </row>
    <row r="97">
      <c r="A97" s="0" t="inlineStr">
        <is>
          <t xml:space="preserve">New-logo bookings</t>
        </is>
      </c>
      <c r="B97" s="0" t="inlineStr">
        <is>
          <t xml:space="preserve">Ingrid Dubois</t>
        </is>
      </c>
      <c r="C97" s="4">
        <f>SUMIFS('Opportunities'!$H$2:$H$1775,'Opportunities'!$C$2:$C$1775,"=r24",'Opportunities'!$N$2:$N$1775,"=apr25",'Opportunities'!$P$2:$P$1775,"=1",'Opportunities'!$G$2:$G$1775,"=1")</f>
        <v>0</v>
      </c>
      <c r="D97" s="4">
        <f>SUMIFS('Opportunities'!$H$2:$H$1775,'Opportunities'!$C$2:$C$1775,"=r24",'Opportunities'!$N$2:$N$1775,"=may25",'Opportunities'!$P$2:$P$1775,"=1",'Opportunities'!$G$2:$G$1775,"=1")</f>
        <v>0</v>
      </c>
      <c r="E97" s="4">
        <f>SUMIFS('Opportunities'!$H$2:$H$1775,'Opportunities'!$C$2:$C$1775,"=r24",'Opportunities'!$N$2:$N$1775,"=jun25",'Opportunities'!$P$2:$P$1775,"=1",'Opportunities'!$G$2:$G$1775,"=1")</f>
        <v>0</v>
      </c>
      <c r="F97" s="4">
        <f>SUMIFS('Opportunities'!$H$2:$H$1775,'Opportunities'!$C$2:$C$1775,"=r24",'Opportunities'!$N$2:$N$1775,"=jul25",'Opportunities'!$P$2:$P$1775,"=1",'Opportunities'!$G$2:$G$1775,"=1")</f>
        <v>28000</v>
      </c>
      <c r="G97" s="4">
        <f>SUMIFS('Opportunities'!$H$2:$H$1775,'Opportunities'!$C$2:$C$1775,"=r24",'Opportunities'!$N$2:$N$1775,"=aug25",'Opportunities'!$P$2:$P$1775,"=1",'Opportunities'!$G$2:$G$1775,"=1")</f>
        <v>0</v>
      </c>
      <c r="H97" s="4">
        <f>SUMIFS('Opportunities'!$H$2:$H$1775,'Opportunities'!$C$2:$C$1775,"=r24",'Opportunities'!$N$2:$N$1775,"=sep25",'Opportunities'!$P$2:$P$1775,"=1",'Opportunities'!$G$2:$G$1775,"=1")</f>
        <v>78000</v>
      </c>
      <c r="I97" s="4">
        <f>SUMIFS('Opportunities'!$H$2:$H$1775,'Opportunities'!$C$2:$C$1775,"=r24",'Opportunities'!$N$2:$N$1775,"=oct25",'Opportunities'!$P$2:$P$1775,"=1",'Opportunities'!$G$2:$G$1775,"=1")</f>
        <v>15200</v>
      </c>
      <c r="J97" s="4">
        <f>SUMIFS('Opportunities'!$H$2:$H$1775,'Opportunities'!$C$2:$C$1775,"=r24",'Opportunities'!$N$2:$N$1775,"=nov25",'Opportunities'!$P$2:$P$1775,"=1",'Opportunities'!$G$2:$G$1775,"=1")</f>
        <v>0</v>
      </c>
      <c r="K97" s="4">
        <f>SUMIFS('Opportunities'!$H$2:$H$1775,'Opportunities'!$C$2:$C$1775,"=r24",'Opportunities'!$N$2:$N$1775,"=dec25",'Opportunities'!$P$2:$P$1775,"=1",'Opportunities'!$G$2:$G$1775,"=1")</f>
        <v>64400</v>
      </c>
      <c r="L97" s="4">
        <f>SUMIFS('Opportunities'!$H$2:$H$1775,'Opportunities'!$C$2:$C$1775,"=r24",'Opportunities'!$N$2:$N$1775,"=jan26",'Opportunities'!$P$2:$P$1775,"=1",'Opportunities'!$G$2:$G$1775,"=1")</f>
        <v>15000</v>
      </c>
      <c r="M97" s="4">
        <f>SUMIFS('Opportunities'!$H$2:$H$1775,'Opportunities'!$C$2:$C$1775,"=r24",'Opportunities'!$N$2:$N$1775,"=feb26",'Opportunities'!$P$2:$P$1775,"=1",'Opportunities'!$G$2:$G$1775,"=1")</f>
        <v>0</v>
      </c>
      <c r="N97" s="4">
        <f>SUMIFS('Opportunities'!$H$2:$H$1775,'Opportunities'!$C$2:$C$1775,"=r24",'Opportunities'!$N$2:$N$1775,"=mar26",'Opportunities'!$P$2:$P$1775,"=1",'Opportunities'!$G$2:$G$1775,"=1")</f>
        <v>8900</v>
      </c>
      <c r="O97" s="4">
        <f>SUMIFS('Opportunities'!$H$2:$H$1775,'Opportunities'!$C$2:$C$1775,"=r24",'Opportunities'!$N$2:$N$1775,"=apr26",'Opportunities'!$P$2:$P$1775,"=1",'Opportunities'!$G$2:$G$1775,"=1")</f>
        <v>15400</v>
      </c>
      <c r="P97" s="4">
        <f>SUMIFS('Opportunities'!$H$2:$H$1775,'Opportunities'!$C$2:$C$1775,"=r24",'Opportunities'!$N$2:$N$1775,"=may26",'Opportunities'!$P$2:$P$1775,"=1",'Opportunities'!$G$2:$G$1775,"=1")</f>
        <v>17300</v>
      </c>
      <c r="Q97" s="4">
        <f>SUMIFS('Opportunities'!$H$2:$H$1775,'Opportunities'!$C$2:$C$1775,"=r24",'Opportunities'!$N$2:$N$1775,"=jun26",'Opportunities'!$P$2:$P$1775,"=1",'Opportunities'!$G$2:$G$1775,"=1")</f>
        <v>53400</v>
      </c>
      <c r="R97" s="4">
        <f>SUMIFS('Opportunities'!$H$2:$H$1775,'Opportunities'!$C$2:$C$1775,"=r24",'Opportunities'!$N$2:$N$1775,"=jul26",'Opportunities'!$P$2:$P$1775,"=1",'Opportunities'!$G$2:$G$1775,"=1")</f>
        <v>84400</v>
      </c>
      <c r="S97" s="4">
        <f>SUMIFS('Opportunities'!$H$2:$H$1775,'Opportunities'!$C$2:$C$1775,"=r24",'Opportunities'!$N$2:$N$1775,"=aug26",'Opportunities'!$P$2:$P$1775,"=1",'Opportunities'!$G$2:$G$1775,"=1")</f>
        <v>15700</v>
      </c>
      <c r="T97" s="4">
        <f>SUMIFS('Opportunities'!$H$2:$H$1775,'Opportunities'!$C$2:$C$1775,"=r24",'Opportunities'!$N$2:$N$1775,"=sep26",'Opportunities'!$P$2:$P$1775,"=1",'Opportunities'!$G$2:$G$1775,"=1")</f>
        <v>4600</v>
      </c>
      <c r="U97" s="4">
        <f>SUMIFS('Opportunities'!$H$2:$H$1775,'Opportunities'!$C$2:$C$1775,"=r24",'Opportunities'!$N$2:$N$1775,"=oct26",'Opportunities'!$P$2:$P$1775,"=1",'Opportunities'!$G$2:$G$1775,"=1")</f>
        <v>0</v>
      </c>
      <c r="V97" s="4">
        <f>SUMIFS('Opportunities'!$H$2:$H$1775,'Opportunities'!$C$2:$C$1775,"=r24",'Opportunities'!$N$2:$N$1775,"=nov26",'Opportunities'!$P$2:$P$1775,"=1",'Opportunities'!$G$2:$G$1775,"=1")</f>
        <v>0</v>
      </c>
      <c r="W97" s="4">
        <f>SUMIFS('Opportunities'!$H$2:$H$1775,'Opportunities'!$C$2:$C$1775,"=r24",'Opportunities'!$N$2:$N$1775,"=dec26",'Opportunities'!$P$2:$P$1775,"=1",'Opportunities'!$G$2:$G$1775,"=1")</f>
        <v>0</v>
      </c>
    </row>
    <row r="98">
      <c r="A98" s="0" t="inlineStr">
        <is>
          <t xml:space="preserve">Expansion bookings</t>
        </is>
      </c>
      <c r="B98" s="0" t="inlineStr">
        <is>
          <t xml:space="preserve">Noor Ortiz</t>
        </is>
      </c>
      <c r="C98" s="4">
        <f>(C2-C74)</f>
        <v>0</v>
      </c>
      <c r="D98" s="4">
        <f>(D2-D74)</f>
        <v>0</v>
      </c>
      <c r="E98" s="4">
        <f>(E2-E74)</f>
        <v>0</v>
      </c>
      <c r="F98" s="4">
        <f>(F2-F74)</f>
        <v>0</v>
      </c>
      <c r="G98" s="4">
        <f>(G2-G74)</f>
        <v>0</v>
      </c>
      <c r="H98" s="4">
        <f>(H2-H74)</f>
        <v>0</v>
      </c>
      <c r="I98" s="4">
        <f>(I2-I74)</f>
        <v>0</v>
      </c>
      <c r="J98" s="4">
        <f>(J2-J74)</f>
        <v>0</v>
      </c>
      <c r="K98" s="4">
        <f>(K2-K74)</f>
        <v>0</v>
      </c>
      <c r="L98" s="4">
        <f>(L2-L74)</f>
        <v>0</v>
      </c>
      <c r="M98" s="4">
        <f>(M2-M74)</f>
        <v>0</v>
      </c>
      <c r="N98" s="4">
        <f>(N2-N74)</f>
        <v>0</v>
      </c>
      <c r="O98" s="4">
        <f>(O2-O74)</f>
        <v>0</v>
      </c>
      <c r="P98" s="4">
        <f>(P2-P74)</f>
        <v>127500</v>
      </c>
      <c r="Q98" s="4">
        <f>(Q2-Q74)</f>
        <v>99700</v>
      </c>
      <c r="R98" s="4">
        <f>(R2-R74)</f>
        <v>76800</v>
      </c>
      <c r="S98" s="4">
        <f>(S2-S74)</f>
        <v>0</v>
      </c>
      <c r="T98" s="4">
        <f>(T2-T74)</f>
        <v>0</v>
      </c>
      <c r="U98" s="4">
        <f>(U2-U74)</f>
        <v>0</v>
      </c>
      <c r="V98" s="4">
        <f>(V2-V74)</f>
        <v>0</v>
      </c>
      <c r="W98" s="4">
        <f>(W2-W74)</f>
        <v>0</v>
      </c>
    </row>
    <row r="99">
      <c r="A99" s="0" t="inlineStr">
        <is>
          <t xml:space="preserve">Expansion bookings</t>
        </is>
      </c>
      <c r="B99" s="0" t="inlineStr">
        <is>
          <t xml:space="preserve">Priya Yilmaz</t>
        </is>
      </c>
      <c r="C99" s="4">
        <f>(C3-C75)</f>
        <v>0</v>
      </c>
      <c r="D99" s="4">
        <f>(D3-D75)</f>
        <v>0</v>
      </c>
      <c r="E99" s="4">
        <f>(E3-E75)</f>
        <v>0</v>
      </c>
      <c r="F99" s="4">
        <f>(F3-F75)</f>
        <v>0</v>
      </c>
      <c r="G99" s="4">
        <f>(G3-G75)</f>
        <v>0</v>
      </c>
      <c r="H99" s="4">
        <f>(H3-H75)</f>
        <v>0</v>
      </c>
      <c r="I99" s="4">
        <f>(I3-I75)</f>
        <v>0</v>
      </c>
      <c r="J99" s="4">
        <f>(J3-J75)</f>
        <v>0</v>
      </c>
      <c r="K99" s="4">
        <f>(K3-K75)</f>
        <v>0</v>
      </c>
      <c r="L99" s="4">
        <f>(L3-L75)</f>
        <v>0</v>
      </c>
      <c r="M99" s="4">
        <f>(M3-M75)</f>
        <v>0</v>
      </c>
      <c r="N99" s="4">
        <f>(N3-N75)</f>
        <v>0</v>
      </c>
      <c r="O99" s="4">
        <f>(O3-O75)</f>
        <v>0</v>
      </c>
      <c r="P99" s="4">
        <f>(P3-P75)</f>
        <v>0</v>
      </c>
      <c r="Q99" s="4">
        <f>(Q3-Q75)</f>
        <v>0</v>
      </c>
      <c r="R99" s="4">
        <f>(R3-R75)</f>
        <v>0</v>
      </c>
      <c r="S99" s="4">
        <f>(S3-S75)</f>
        <v>0</v>
      </c>
      <c r="T99" s="4">
        <f>(T3-T75)</f>
        <v>0</v>
      </c>
      <c r="U99" s="4">
        <f>(U3-U75)</f>
        <v>0</v>
      </c>
      <c r="V99" s="4">
        <f>(V3-V75)</f>
        <v>0</v>
      </c>
      <c r="W99" s="4">
        <f>(W3-W75)</f>
        <v>0</v>
      </c>
    </row>
    <row r="100">
      <c r="A100" s="0" t="inlineStr">
        <is>
          <t xml:space="preserve">Expansion bookings</t>
        </is>
      </c>
      <c r="B100" s="0" t="inlineStr">
        <is>
          <t xml:space="preserve">Marcus Schmidt</t>
        </is>
      </c>
      <c r="C100" s="4">
        <f>(C4-C76)</f>
        <v>0</v>
      </c>
      <c r="D100" s="4">
        <f>(D4-D76)</f>
        <v>0</v>
      </c>
      <c r="E100" s="4">
        <f>(E4-E76)</f>
        <v>0</v>
      </c>
      <c r="F100" s="4">
        <f>(F4-F76)</f>
        <v>0</v>
      </c>
      <c r="G100" s="4">
        <f>(G4-G76)</f>
        <v>0</v>
      </c>
      <c r="H100" s="4">
        <f>(H4-H76)</f>
        <v>0</v>
      </c>
      <c r="I100" s="4">
        <f>(I4-I76)</f>
        <v>0</v>
      </c>
      <c r="J100" s="4">
        <f>(J4-J76)</f>
        <v>0</v>
      </c>
      <c r="K100" s="4">
        <f>(K4-K76)</f>
        <v>14000</v>
      </c>
      <c r="L100" s="4">
        <f>(L4-L76)</f>
        <v>42200</v>
      </c>
      <c r="M100" s="4">
        <f>(M4-M76)</f>
        <v>27300</v>
      </c>
      <c r="N100" s="4">
        <f>(N4-N76)</f>
        <v>93100</v>
      </c>
      <c r="O100" s="4">
        <f>(O4-O76)</f>
        <v>0</v>
      </c>
      <c r="P100" s="4">
        <f>(P4-P76)</f>
        <v>23600</v>
      </c>
      <c r="Q100" s="4">
        <f>(Q4-Q76)</f>
        <v>0</v>
      </c>
      <c r="R100" s="4">
        <f>(R4-R76)</f>
        <v>11700</v>
      </c>
      <c r="S100" s="4">
        <f>(S4-S76)</f>
        <v>0</v>
      </c>
      <c r="T100" s="4">
        <f>(T4-T76)</f>
        <v>17900</v>
      </c>
      <c r="U100" s="4">
        <f>(U4-U76)</f>
        <v>0</v>
      </c>
      <c r="V100" s="4">
        <f>(V4-V76)</f>
        <v>0</v>
      </c>
      <c r="W100" s="4">
        <f>(W4-W76)</f>
        <v>0</v>
      </c>
    </row>
    <row r="101">
      <c r="A101" s="0" t="inlineStr">
        <is>
          <t xml:space="preserve">Expansion bookings</t>
        </is>
      </c>
      <c r="B101" s="0" t="inlineStr">
        <is>
          <t xml:space="preserve">Amara Haddad</t>
        </is>
      </c>
      <c r="C101" s="4">
        <f>(C5-C77)</f>
        <v>0</v>
      </c>
      <c r="D101" s="4">
        <f>(D5-D77)</f>
        <v>11000</v>
      </c>
      <c r="E101" s="4">
        <f>(E5-E77)</f>
        <v>0</v>
      </c>
      <c r="F101" s="4">
        <f>(F5-F77)</f>
        <v>27600</v>
      </c>
      <c r="G101" s="4">
        <f>(G5-G77)</f>
        <v>37600</v>
      </c>
      <c r="H101" s="4">
        <f>(H5-H77)</f>
        <v>11000</v>
      </c>
      <c r="I101" s="4">
        <f>(I5-I77)</f>
        <v>35900</v>
      </c>
      <c r="J101" s="4">
        <f>(J5-J77)</f>
        <v>0</v>
      </c>
      <c r="K101" s="4">
        <f>(K5-K77)</f>
        <v>10200</v>
      </c>
      <c r="L101" s="4">
        <f>(L5-L77)</f>
        <v>16900</v>
      </c>
      <c r="M101" s="4">
        <f>(M5-M77)</f>
        <v>0</v>
      </c>
      <c r="N101" s="4">
        <f>(N5-N77)</f>
        <v>33500</v>
      </c>
      <c r="O101" s="4">
        <f>(O5-O77)</f>
        <v>0</v>
      </c>
      <c r="P101" s="4">
        <f>(P5-P77)</f>
        <v>0</v>
      </c>
      <c r="Q101" s="4">
        <f>(Q5-Q77)</f>
        <v>0</v>
      </c>
      <c r="R101" s="4">
        <f>(R5-R77)</f>
        <v>0</v>
      </c>
      <c r="S101" s="4">
        <f>(S5-S77)</f>
        <v>0</v>
      </c>
      <c r="T101" s="4">
        <f>(T5-T77)</f>
        <v>0</v>
      </c>
      <c r="U101" s="4">
        <f>(U5-U77)</f>
        <v>0</v>
      </c>
      <c r="V101" s="4">
        <f>(V5-V77)</f>
        <v>0</v>
      </c>
      <c r="W101" s="4">
        <f>(W5-W77)</f>
        <v>0</v>
      </c>
    </row>
    <row r="102">
      <c r="A102" s="0" t="inlineStr">
        <is>
          <t xml:space="preserve">Expansion bookings</t>
        </is>
      </c>
      <c r="B102" s="0" t="inlineStr">
        <is>
          <t xml:space="preserve">Fatima Silva</t>
        </is>
      </c>
      <c r="C102" s="4">
        <f>(C6-C78)</f>
        <v>0</v>
      </c>
      <c r="D102" s="4">
        <f>(D6-D78)</f>
        <v>7200</v>
      </c>
      <c r="E102" s="4">
        <f>(E6-E78)</f>
        <v>14600</v>
      </c>
      <c r="F102" s="4">
        <f>(F6-F78)</f>
        <v>5700</v>
      </c>
      <c r="G102" s="4">
        <f>(G6-G78)</f>
        <v>0</v>
      </c>
      <c r="H102" s="4">
        <f>(H6-H78)</f>
        <v>13600</v>
      </c>
      <c r="I102" s="4">
        <f>(I6-I78)</f>
        <v>0</v>
      </c>
      <c r="J102" s="4">
        <f>(J6-J78)</f>
        <v>9800</v>
      </c>
      <c r="K102" s="4">
        <f>(K6-K78)</f>
        <v>3200</v>
      </c>
      <c r="L102" s="4">
        <f>(L6-L78)</f>
        <v>15300</v>
      </c>
      <c r="M102" s="4">
        <f>(M6-M78)</f>
        <v>0</v>
      </c>
      <c r="N102" s="4">
        <f>(N6-N78)</f>
        <v>0</v>
      </c>
      <c r="O102" s="4">
        <f>(O6-O78)</f>
        <v>0</v>
      </c>
      <c r="P102" s="4">
        <f>(P6-P78)</f>
        <v>16400</v>
      </c>
      <c r="Q102" s="4">
        <f>(Q6-Q78)</f>
        <v>34500</v>
      </c>
      <c r="R102" s="4">
        <f>(R6-R78)</f>
        <v>24900</v>
      </c>
      <c r="S102" s="4">
        <f>(S6-S78)</f>
        <v>0</v>
      </c>
      <c r="T102" s="4">
        <f>(T6-T78)</f>
        <v>8100</v>
      </c>
      <c r="U102" s="4">
        <f>(U6-U78)</f>
        <v>0</v>
      </c>
      <c r="V102" s="4">
        <f>(V6-V78)</f>
        <v>0</v>
      </c>
      <c r="W102" s="4">
        <f>(W6-W78)</f>
        <v>0</v>
      </c>
    </row>
    <row r="103">
      <c r="A103" s="0" t="inlineStr">
        <is>
          <t xml:space="preserve">Expansion bookings</t>
        </is>
      </c>
      <c r="B103" s="0" t="inlineStr">
        <is>
          <t xml:space="preserve">Ana Ortiz</t>
        </is>
      </c>
      <c r="C103" s="4">
        <f>(C7-C79)</f>
        <v>6800</v>
      </c>
      <c r="D103" s="4">
        <f>(D7-D79)</f>
        <v>0</v>
      </c>
      <c r="E103" s="4">
        <f>(E7-E79)</f>
        <v>0</v>
      </c>
      <c r="F103" s="4">
        <f>(F7-F79)</f>
        <v>10300</v>
      </c>
      <c r="G103" s="4">
        <f>(G7-G79)</f>
        <v>5000</v>
      </c>
      <c r="H103" s="4">
        <f>(H7-H79)</f>
        <v>19300</v>
      </c>
      <c r="I103" s="4">
        <f>(I7-I79)</f>
        <v>0</v>
      </c>
      <c r="J103" s="4">
        <f>(J7-J79)</f>
        <v>7200</v>
      </c>
      <c r="K103" s="4">
        <f>(K7-K79)</f>
        <v>7400</v>
      </c>
      <c r="L103" s="4">
        <f>(L7-L79)</f>
        <v>0</v>
      </c>
      <c r="M103" s="4">
        <f>(M7-M79)</f>
        <v>3600</v>
      </c>
      <c r="N103" s="4">
        <f>(N7-N79)</f>
        <v>5200</v>
      </c>
      <c r="O103" s="4">
        <f>(O7-O79)</f>
        <v>0</v>
      </c>
      <c r="P103" s="4">
        <f>(P7-P79)</f>
        <v>21600</v>
      </c>
      <c r="Q103" s="4">
        <f>(Q7-Q79)</f>
        <v>14500</v>
      </c>
      <c r="R103" s="4">
        <f>(R7-R79)</f>
        <v>13700</v>
      </c>
      <c r="S103" s="4">
        <f>(S7-S79)</f>
        <v>5500</v>
      </c>
      <c r="T103" s="4">
        <f>(T7-T79)</f>
        <v>0</v>
      </c>
      <c r="U103" s="4">
        <f>(U7-U79)</f>
        <v>0</v>
      </c>
      <c r="V103" s="4">
        <f>(V7-V79)</f>
        <v>0</v>
      </c>
      <c r="W103" s="4">
        <f>(W7-W79)</f>
        <v>0</v>
      </c>
    </row>
    <row r="104">
      <c r="A104" s="0" t="inlineStr">
        <is>
          <t xml:space="preserve">Expansion bookings</t>
        </is>
      </c>
      <c r="B104" s="0" t="inlineStr">
        <is>
          <t xml:space="preserve">Tobias Silva</t>
        </is>
      </c>
      <c r="C104" s="4">
        <f>(C8-C80)</f>
        <v>0</v>
      </c>
      <c r="D104" s="4">
        <f>(D8-D80)</f>
        <v>0</v>
      </c>
      <c r="E104" s="4">
        <f>(E8-E80)</f>
        <v>0</v>
      </c>
      <c r="F104" s="4">
        <f>(F8-F80)</f>
        <v>0</v>
      </c>
      <c r="G104" s="4">
        <f>(G8-G80)</f>
        <v>0</v>
      </c>
      <c r="H104" s="4">
        <f>(H8-H80)</f>
        <v>0</v>
      </c>
      <c r="I104" s="4">
        <f>(I8-I80)</f>
        <v>0</v>
      </c>
      <c r="J104" s="4">
        <f>(J8-J80)</f>
        <v>0</v>
      </c>
      <c r="K104" s="4">
        <f>(K8-K80)</f>
        <v>0</v>
      </c>
      <c r="L104" s="4">
        <f>(L8-L80)</f>
        <v>0</v>
      </c>
      <c r="M104" s="4">
        <f>(M8-M80)</f>
        <v>0</v>
      </c>
      <c r="N104" s="4">
        <f>(N8-N80)</f>
        <v>0</v>
      </c>
      <c r="O104" s="4">
        <f>(O8-O80)</f>
        <v>0</v>
      </c>
      <c r="P104" s="4">
        <f>(P8-P80)</f>
        <v>0</v>
      </c>
      <c r="Q104" s="4">
        <f>(Q8-Q80)</f>
        <v>0</v>
      </c>
      <c r="R104" s="4">
        <f>(R8-R80)</f>
        <v>0</v>
      </c>
      <c r="S104" s="4">
        <f>(S8-S80)</f>
        <v>0</v>
      </c>
      <c r="T104" s="4">
        <f>(T8-T80)</f>
        <v>0</v>
      </c>
      <c r="U104" s="4">
        <f>(U8-U80)</f>
        <v>0</v>
      </c>
      <c r="V104" s="4">
        <f>(V8-V80)</f>
        <v>0</v>
      </c>
      <c r="W104" s="4">
        <f>(W8-W80)</f>
        <v>0</v>
      </c>
    </row>
    <row r="105">
      <c r="A105" s="0" t="inlineStr">
        <is>
          <t xml:space="preserve">Expansion bookings</t>
        </is>
      </c>
      <c r="B105" s="0" t="inlineStr">
        <is>
          <t xml:space="preserve">Leila Osei</t>
        </is>
      </c>
      <c r="C105" s="4">
        <f>(C9-C81)</f>
        <v>0</v>
      </c>
      <c r="D105" s="4">
        <f>(D9-D81)</f>
        <v>0</v>
      </c>
      <c r="E105" s="4">
        <f>(E9-E81)</f>
        <v>0</v>
      </c>
      <c r="F105" s="4">
        <f>(F9-F81)</f>
        <v>0</v>
      </c>
      <c r="G105" s="4">
        <f>(G9-G81)</f>
        <v>0</v>
      </c>
      <c r="H105" s="4">
        <f>(H9-H81)</f>
        <v>0</v>
      </c>
      <c r="I105" s="4">
        <f>(I9-I81)</f>
        <v>0</v>
      </c>
      <c r="J105" s="4">
        <f>(J9-J81)</f>
        <v>0</v>
      </c>
      <c r="K105" s="4">
        <f>(K9-K81)</f>
        <v>0</v>
      </c>
      <c r="L105" s="4">
        <f>(L9-L81)</f>
        <v>0</v>
      </c>
      <c r="M105" s="4">
        <f>(M9-M81)</f>
        <v>0</v>
      </c>
      <c r="N105" s="4">
        <f>(N9-N81)</f>
        <v>35500</v>
      </c>
      <c r="O105" s="4">
        <f>(O9-O81)</f>
        <v>0</v>
      </c>
      <c r="P105" s="4">
        <f>(P9-P81)</f>
        <v>0</v>
      </c>
      <c r="Q105" s="4">
        <f>(Q9-Q81)</f>
        <v>105000</v>
      </c>
      <c r="R105" s="4">
        <f>(R9-R81)</f>
        <v>126700</v>
      </c>
      <c r="S105" s="4">
        <f>(S9-S81)</f>
        <v>0</v>
      </c>
      <c r="T105" s="4">
        <f>(T9-T81)</f>
        <v>0</v>
      </c>
      <c r="U105" s="4">
        <f>(U9-U81)</f>
        <v>0</v>
      </c>
      <c r="V105" s="4">
        <f>(V9-V81)</f>
        <v>0</v>
      </c>
      <c r="W105" s="4">
        <f>(W9-W81)</f>
        <v>0</v>
      </c>
    </row>
    <row r="106">
      <c r="A106" s="0" t="inlineStr">
        <is>
          <t xml:space="preserve">Expansion bookings</t>
        </is>
      </c>
      <c r="B106" s="0" t="inlineStr">
        <is>
          <t xml:space="preserve">Grace Costa</t>
        </is>
      </c>
      <c r="C106" s="4">
        <f>(C10-C82)</f>
        <v>0</v>
      </c>
      <c r="D106" s="4">
        <f>(D10-D82)</f>
        <v>0</v>
      </c>
      <c r="E106" s="4">
        <f>(E10-E82)</f>
        <v>19800</v>
      </c>
      <c r="F106" s="4">
        <f>(F10-F82)</f>
        <v>13700</v>
      </c>
      <c r="G106" s="4">
        <f>(G10-G82)</f>
        <v>0</v>
      </c>
      <c r="H106" s="4">
        <f>(H10-H82)</f>
        <v>0</v>
      </c>
      <c r="I106" s="4">
        <f>(I10-I82)</f>
        <v>0</v>
      </c>
      <c r="J106" s="4">
        <f>(J10-J82)</f>
        <v>5600</v>
      </c>
      <c r="K106" s="4">
        <f>(K10-K82)</f>
        <v>8100</v>
      </c>
      <c r="L106" s="4">
        <f>(L10-L82)</f>
        <v>11600</v>
      </c>
      <c r="M106" s="4">
        <f>(M10-M82)</f>
        <v>34300</v>
      </c>
      <c r="N106" s="4">
        <f>(N10-N82)</f>
        <v>0</v>
      </c>
      <c r="O106" s="4">
        <f>(O10-O82)</f>
        <v>16900</v>
      </c>
      <c r="P106" s="4">
        <f>(P10-P82)</f>
        <v>0</v>
      </c>
      <c r="Q106" s="4">
        <f>(Q10-Q82)</f>
        <v>52500</v>
      </c>
      <c r="R106" s="4">
        <f>(R10-R82)</f>
        <v>22700</v>
      </c>
      <c r="S106" s="4">
        <f>(S10-S82)</f>
        <v>0</v>
      </c>
      <c r="T106" s="4">
        <f>(T10-T82)</f>
        <v>25000</v>
      </c>
      <c r="U106" s="4">
        <f>(U10-U82)</f>
        <v>0</v>
      </c>
      <c r="V106" s="4">
        <f>(V10-V82)</f>
        <v>0</v>
      </c>
      <c r="W106" s="4">
        <f>(W10-W82)</f>
        <v>0</v>
      </c>
    </row>
    <row r="107">
      <c r="A107" s="0" t="inlineStr">
        <is>
          <t xml:space="preserve">Expansion bookings</t>
        </is>
      </c>
      <c r="B107" s="0" t="inlineStr">
        <is>
          <t xml:space="preserve">Ingrid Müller</t>
        </is>
      </c>
      <c r="C107" s="4">
        <f>(C11-C83)</f>
        <v>0</v>
      </c>
      <c r="D107" s="4">
        <f>(D11-D83)</f>
        <v>0</v>
      </c>
      <c r="E107" s="4">
        <f>(E11-E83)</f>
        <v>0</v>
      </c>
      <c r="F107" s="4">
        <f>(F11-F83)</f>
        <v>0</v>
      </c>
      <c r="G107" s="4">
        <f>(G11-G83)</f>
        <v>0</v>
      </c>
      <c r="H107" s="4">
        <f>(H11-H83)</f>
        <v>0</v>
      </c>
      <c r="I107" s="4">
        <f>(I11-I83)</f>
        <v>0</v>
      </c>
      <c r="J107" s="4">
        <f>(J11-J83)</f>
        <v>0</v>
      </c>
      <c r="K107" s="4">
        <f>(K11-K83)</f>
        <v>0</v>
      </c>
      <c r="L107" s="4">
        <f>(L11-L83)</f>
        <v>0</v>
      </c>
      <c r="M107" s="4">
        <f>(M11-M83)</f>
        <v>0</v>
      </c>
      <c r="N107" s="4">
        <f>(N11-N83)</f>
        <v>0</v>
      </c>
      <c r="O107" s="4">
        <f>(O11-O83)</f>
        <v>0</v>
      </c>
      <c r="P107" s="4">
        <f>(P11-P83)</f>
        <v>0</v>
      </c>
      <c r="Q107" s="4">
        <f>(Q11-Q83)</f>
        <v>0</v>
      </c>
      <c r="R107" s="4">
        <f>(R11-R83)</f>
        <v>0</v>
      </c>
      <c r="S107" s="4">
        <f>(S11-S83)</f>
        <v>10700</v>
      </c>
      <c r="T107" s="4">
        <f>(T11-T83)</f>
        <v>17700</v>
      </c>
      <c r="U107" s="4">
        <f>(U11-U83)</f>
        <v>0</v>
      </c>
      <c r="V107" s="4">
        <f>(V11-V83)</f>
        <v>0</v>
      </c>
      <c r="W107" s="4">
        <f>(W11-W83)</f>
        <v>0</v>
      </c>
    </row>
    <row r="108">
      <c r="A108" s="0" t="inlineStr">
        <is>
          <t xml:space="preserve">Expansion bookings</t>
        </is>
      </c>
      <c r="B108" s="0" t="inlineStr">
        <is>
          <t xml:space="preserve">Ingrid Kim</t>
        </is>
      </c>
      <c r="C108" s="4">
        <f>(C12-C84)</f>
        <v>9900</v>
      </c>
      <c r="D108" s="4">
        <f>(D12-D84)</f>
        <v>0</v>
      </c>
      <c r="E108" s="4">
        <f>(E12-E84)</f>
        <v>7000</v>
      </c>
      <c r="F108" s="4">
        <f>(F12-F84)</f>
        <v>0</v>
      </c>
      <c r="G108" s="4">
        <f>(G12-G84)</f>
        <v>19500</v>
      </c>
      <c r="H108" s="4">
        <f>(H12-H84)</f>
        <v>0</v>
      </c>
      <c r="I108" s="4">
        <f>(I12-I84)</f>
        <v>2500</v>
      </c>
      <c r="J108" s="4">
        <f>(J12-J84)</f>
        <v>0</v>
      </c>
      <c r="K108" s="4">
        <f>(K12-K84)</f>
        <v>2700</v>
      </c>
      <c r="L108" s="4">
        <f>(L12-L84)</f>
        <v>12900</v>
      </c>
      <c r="M108" s="4">
        <f>(M12-M84)</f>
        <v>22400</v>
      </c>
      <c r="N108" s="4">
        <f>(N12-N84)</f>
        <v>18300</v>
      </c>
      <c r="O108" s="4">
        <f>(O12-O84)</f>
        <v>0</v>
      </c>
      <c r="P108" s="4">
        <f>(P12-P84)</f>
        <v>6000</v>
      </c>
      <c r="Q108" s="4">
        <f>(Q12-Q84)</f>
        <v>0</v>
      </c>
      <c r="R108" s="4">
        <f>(R12-R84)</f>
        <v>11100</v>
      </c>
      <c r="S108" s="4">
        <f>(S12-S84)</f>
        <v>0</v>
      </c>
      <c r="T108" s="4">
        <f>(T12-T84)</f>
        <v>0</v>
      </c>
      <c r="U108" s="4">
        <f>(U12-U84)</f>
        <v>0</v>
      </c>
      <c r="V108" s="4">
        <f>(V12-V84)</f>
        <v>0</v>
      </c>
      <c r="W108" s="4">
        <f>(W12-W84)</f>
        <v>0</v>
      </c>
    </row>
    <row r="109">
      <c r="A109" s="0" t="inlineStr">
        <is>
          <t xml:space="preserve">Expansion bookings</t>
        </is>
      </c>
      <c r="B109" s="0" t="inlineStr">
        <is>
          <t xml:space="preserve">Priya Nair</t>
        </is>
      </c>
      <c r="C109" s="4">
        <f>(C13-C85)</f>
        <v>0</v>
      </c>
      <c r="D109" s="4">
        <f>(D13-D85)</f>
        <v>15200</v>
      </c>
      <c r="E109" s="4">
        <f>(E13-E85)</f>
        <v>6800</v>
      </c>
      <c r="F109" s="4">
        <f>(F13-F85)</f>
        <v>8600</v>
      </c>
      <c r="G109" s="4">
        <f>(G13-G85)</f>
        <v>0</v>
      </c>
      <c r="H109" s="4">
        <f>(H13-H85)</f>
        <v>4700</v>
      </c>
      <c r="I109" s="4">
        <f>(I13-I85)</f>
        <v>0</v>
      </c>
      <c r="J109" s="4">
        <f>(J13-J85)</f>
        <v>5100</v>
      </c>
      <c r="K109" s="4">
        <f>(K13-K85)</f>
        <v>0</v>
      </c>
      <c r="L109" s="4">
        <f>(L13-L85)</f>
        <v>0</v>
      </c>
      <c r="M109" s="4">
        <f>(M13-M85)</f>
        <v>0</v>
      </c>
      <c r="N109" s="4">
        <f>(N13-N85)</f>
        <v>6400</v>
      </c>
      <c r="O109" s="4">
        <f>(O13-O85)</f>
        <v>18000</v>
      </c>
      <c r="P109" s="4">
        <f>(P13-P85)</f>
        <v>5000</v>
      </c>
      <c r="Q109" s="4">
        <f>(Q13-Q85)</f>
        <v>4400</v>
      </c>
      <c r="R109" s="4">
        <f>(R13-R85)</f>
        <v>5400</v>
      </c>
      <c r="S109" s="4">
        <f>(S13-S85)</f>
        <v>0</v>
      </c>
      <c r="T109" s="4">
        <f>(T13-T85)</f>
        <v>0</v>
      </c>
      <c r="U109" s="4">
        <f>(U13-U85)</f>
        <v>0</v>
      </c>
      <c r="V109" s="4">
        <f>(V13-V85)</f>
        <v>0</v>
      </c>
      <c r="W109" s="4">
        <f>(W13-W85)</f>
        <v>0</v>
      </c>
    </row>
    <row r="110">
      <c r="A110" s="0" t="inlineStr">
        <is>
          <t xml:space="preserve">Expansion bookings</t>
        </is>
      </c>
      <c r="B110" s="0" t="inlineStr">
        <is>
          <t xml:space="preserve">Hugo Lindqvist</t>
        </is>
      </c>
      <c r="C110" s="4">
        <f>(C14-C86)</f>
        <v>0</v>
      </c>
      <c r="D110" s="4">
        <f>(D14-D86)</f>
        <v>0</v>
      </c>
      <c r="E110" s="4">
        <f>(E14-E86)</f>
        <v>0</v>
      </c>
      <c r="F110" s="4">
        <f>(F14-F86)</f>
        <v>0</v>
      </c>
      <c r="G110" s="4">
        <f>(G14-G86)</f>
        <v>0</v>
      </c>
      <c r="H110" s="4">
        <f>(H14-H86)</f>
        <v>130400</v>
      </c>
      <c r="I110" s="4">
        <f>(I14-I86)</f>
        <v>0</v>
      </c>
      <c r="J110" s="4">
        <f>(J14-J86)</f>
        <v>63700</v>
      </c>
      <c r="K110" s="4">
        <f>(K14-K86)</f>
        <v>0</v>
      </c>
      <c r="L110" s="4">
        <f>(L14-L86)</f>
        <v>0</v>
      </c>
      <c r="M110" s="4">
        <f>(M14-M86)</f>
        <v>0</v>
      </c>
      <c r="N110" s="4">
        <f>(N14-N86)</f>
        <v>0</v>
      </c>
      <c r="O110" s="4">
        <f>(O14-O86)</f>
        <v>0</v>
      </c>
      <c r="P110" s="4">
        <f>(P14-P86)</f>
        <v>108100</v>
      </c>
      <c r="Q110" s="4">
        <f>(Q14-Q86)</f>
        <v>0</v>
      </c>
      <c r="R110" s="4">
        <f>(R14-R86)</f>
        <v>0</v>
      </c>
      <c r="S110" s="4">
        <f>(S14-S86)</f>
        <v>0</v>
      </c>
      <c r="T110" s="4">
        <f>(T14-T86)</f>
        <v>0</v>
      </c>
      <c r="U110" s="4">
        <f>(U14-U86)</f>
        <v>0</v>
      </c>
      <c r="V110" s="4">
        <f>(V14-V86)</f>
        <v>0</v>
      </c>
      <c r="W110" s="4">
        <f>(W14-W86)</f>
        <v>0</v>
      </c>
    </row>
    <row r="111">
      <c r="A111" s="0" t="inlineStr">
        <is>
          <t xml:space="preserve">Expansion bookings</t>
        </is>
      </c>
      <c r="B111" s="0" t="inlineStr">
        <is>
          <t xml:space="preserve">Wei Novak</t>
        </is>
      </c>
      <c r="C111" s="4">
        <f>(C15-C87)</f>
        <v>0</v>
      </c>
      <c r="D111" s="4">
        <f>(D15-D87)</f>
        <v>0</v>
      </c>
      <c r="E111" s="4">
        <f>(E15-E87)</f>
        <v>0</v>
      </c>
      <c r="F111" s="4">
        <f>(F15-F87)</f>
        <v>0</v>
      </c>
      <c r="G111" s="4">
        <f>(G15-G87)</f>
        <v>0</v>
      </c>
      <c r="H111" s="4">
        <f>(H15-H87)</f>
        <v>0</v>
      </c>
      <c r="I111" s="4">
        <f>(I15-I87)</f>
        <v>0</v>
      </c>
      <c r="J111" s="4">
        <f>(J15-J87)</f>
        <v>0</v>
      </c>
      <c r="K111" s="4">
        <f>(K15-K87)</f>
        <v>0</v>
      </c>
      <c r="L111" s="4">
        <f>(L15-L87)</f>
        <v>0</v>
      </c>
      <c r="M111" s="4">
        <f>(M15-M87)</f>
        <v>0</v>
      </c>
      <c r="N111" s="4">
        <f>(N15-N87)</f>
        <v>22800</v>
      </c>
      <c r="O111" s="4">
        <f>(O15-O87)</f>
        <v>0</v>
      </c>
      <c r="P111" s="4">
        <f>(P15-P87)</f>
        <v>0</v>
      </c>
      <c r="Q111" s="4">
        <f>(Q15-Q87)</f>
        <v>60000</v>
      </c>
      <c r="R111" s="4">
        <f>(R15-R87)</f>
        <v>0</v>
      </c>
      <c r="S111" s="4">
        <f>(S15-S87)</f>
        <v>0</v>
      </c>
      <c r="T111" s="4">
        <f>(T15-T87)</f>
        <v>0</v>
      </c>
      <c r="U111" s="4">
        <f>(U15-U87)</f>
        <v>0</v>
      </c>
      <c r="V111" s="4">
        <f>(V15-V87)</f>
        <v>0</v>
      </c>
      <c r="W111" s="4">
        <f>(W15-W87)</f>
        <v>0</v>
      </c>
    </row>
    <row r="112">
      <c r="A112" s="0" t="inlineStr">
        <is>
          <t xml:space="preserve">Expansion bookings</t>
        </is>
      </c>
      <c r="B112" s="0" t="inlineStr">
        <is>
          <t xml:space="preserve">Nikolai Kim</t>
        </is>
      </c>
      <c r="C112" s="4">
        <f>(C16-C88)</f>
        <v>0</v>
      </c>
      <c r="D112" s="4">
        <f>(D16-D88)</f>
        <v>39000</v>
      </c>
      <c r="E112" s="4">
        <f>(E16-E88)</f>
        <v>11000</v>
      </c>
      <c r="F112" s="4">
        <f>(F16-F88)</f>
        <v>22300</v>
      </c>
      <c r="G112" s="4">
        <f>(G16-G88)</f>
        <v>0</v>
      </c>
      <c r="H112" s="4">
        <f>(H16-H88)</f>
        <v>37200</v>
      </c>
      <c r="I112" s="4">
        <f>(I16-I88)</f>
        <v>71400</v>
      </c>
      <c r="J112" s="4">
        <f>(J16-J88)</f>
        <v>28700</v>
      </c>
      <c r="K112" s="4">
        <f>(K16-K88)</f>
        <v>29000</v>
      </c>
      <c r="L112" s="4">
        <f>(L16-L88)</f>
        <v>36600</v>
      </c>
      <c r="M112" s="4">
        <f>(M16-M88)</f>
        <v>33700</v>
      </c>
      <c r="N112" s="4">
        <f>(N16-N88)</f>
        <v>0</v>
      </c>
      <c r="O112" s="4">
        <f>(O16-O88)</f>
        <v>0</v>
      </c>
      <c r="P112" s="4">
        <f>(P16-P88)</f>
        <v>63200</v>
      </c>
      <c r="Q112" s="4">
        <f>(Q16-Q88)</f>
        <v>24200</v>
      </c>
      <c r="R112" s="4">
        <f>(R16-R88)</f>
        <v>35700</v>
      </c>
      <c r="S112" s="4">
        <f>(S16-S88)</f>
        <v>0</v>
      </c>
      <c r="T112" s="4">
        <f>(T16-T88)</f>
        <v>12500</v>
      </c>
      <c r="U112" s="4">
        <f>(U16-U88)</f>
        <v>0</v>
      </c>
      <c r="V112" s="4">
        <f>(V16-V88)</f>
        <v>0</v>
      </c>
      <c r="W112" s="4">
        <f>(W16-W88)</f>
        <v>0</v>
      </c>
    </row>
    <row r="113">
      <c r="A113" s="0" t="inlineStr">
        <is>
          <t xml:space="preserve">Expansion bookings</t>
        </is>
      </c>
      <c r="B113" s="0" t="inlineStr">
        <is>
          <t xml:space="preserve">Wei Nair</t>
        </is>
      </c>
      <c r="C113" s="4">
        <f>(C17-C89)</f>
        <v>0</v>
      </c>
      <c r="D113" s="4">
        <f>(D17-D89)</f>
        <v>6300</v>
      </c>
      <c r="E113" s="4">
        <f>(E17-E89)</f>
        <v>23700</v>
      </c>
      <c r="F113" s="4">
        <f>(F17-F89)</f>
        <v>4300</v>
      </c>
      <c r="G113" s="4">
        <f>(G17-G89)</f>
        <v>28100</v>
      </c>
      <c r="H113" s="4">
        <f>(H17-H89)</f>
        <v>10600</v>
      </c>
      <c r="I113" s="4">
        <f>(I17-I89)</f>
        <v>0</v>
      </c>
      <c r="J113" s="4">
        <f>(J17-J89)</f>
        <v>0</v>
      </c>
      <c r="K113" s="4">
        <f>(K17-K89)</f>
        <v>39700</v>
      </c>
      <c r="L113" s="4">
        <f>(L17-L89)</f>
        <v>16600</v>
      </c>
      <c r="M113" s="4">
        <f>(M17-M89)</f>
        <v>0</v>
      </c>
      <c r="N113" s="4">
        <f>(N17-N89)</f>
        <v>19000</v>
      </c>
      <c r="O113" s="4">
        <f>(O17-O89)</f>
        <v>0</v>
      </c>
      <c r="P113" s="4">
        <f>(P17-P89)</f>
        <v>8400</v>
      </c>
      <c r="Q113" s="4">
        <f>(Q17-Q89)</f>
        <v>0</v>
      </c>
      <c r="R113" s="4">
        <f>(R17-R89)</f>
        <v>0</v>
      </c>
      <c r="S113" s="4">
        <f>(S17-S89)</f>
        <v>0</v>
      </c>
      <c r="T113" s="4">
        <f>(T17-T89)</f>
        <v>0</v>
      </c>
      <c r="U113" s="4">
        <f>(U17-U89)</f>
        <v>0</v>
      </c>
      <c r="V113" s="4">
        <f>(V17-V89)</f>
        <v>0</v>
      </c>
      <c r="W113" s="4">
        <f>(W17-W89)</f>
        <v>0</v>
      </c>
    </row>
    <row r="114">
      <c r="A114" s="0" t="inlineStr">
        <is>
          <t xml:space="preserve">Expansion bookings</t>
        </is>
      </c>
      <c r="B114" s="0" t="inlineStr">
        <is>
          <t xml:space="preserve">Liam Silva</t>
        </is>
      </c>
      <c r="C114" s="4">
        <f>(C18-C90)</f>
        <v>0</v>
      </c>
      <c r="D114" s="4">
        <f>(D18-D90)</f>
        <v>3500</v>
      </c>
      <c r="E114" s="4">
        <f>(E18-E90)</f>
        <v>0</v>
      </c>
      <c r="F114" s="4">
        <f>(F18-F90)</f>
        <v>0</v>
      </c>
      <c r="G114" s="4">
        <f>(G18-G90)</f>
        <v>6800</v>
      </c>
      <c r="H114" s="4">
        <f>(H18-H90)</f>
        <v>3600</v>
      </c>
      <c r="I114" s="4">
        <f>(I18-I90)</f>
        <v>6200</v>
      </c>
      <c r="J114" s="4">
        <f>(J18-J90)</f>
        <v>5200</v>
      </c>
      <c r="K114" s="4">
        <f>(K18-K90)</f>
        <v>14900</v>
      </c>
      <c r="L114" s="4">
        <f>(L18-L90)</f>
        <v>6000</v>
      </c>
      <c r="M114" s="4">
        <f>(M18-M90)</f>
        <v>9300</v>
      </c>
      <c r="N114" s="4">
        <f>(N18-N90)</f>
        <v>0</v>
      </c>
      <c r="O114" s="4">
        <f>(O18-O90)</f>
        <v>0</v>
      </c>
      <c r="P114" s="4">
        <f>(P18-P90)</f>
        <v>0</v>
      </c>
      <c r="Q114" s="4">
        <f>(Q18-Q90)</f>
        <v>8700</v>
      </c>
      <c r="R114" s="4">
        <f>(R18-R90)</f>
        <v>6100</v>
      </c>
      <c r="S114" s="4">
        <f>(S18-S90)</f>
        <v>7400</v>
      </c>
      <c r="T114" s="4">
        <f>(T18-T90)</f>
        <v>0</v>
      </c>
      <c r="U114" s="4">
        <f>(U18-U90)</f>
        <v>0</v>
      </c>
      <c r="V114" s="4">
        <f>(V18-V90)</f>
        <v>0</v>
      </c>
      <c r="W114" s="4">
        <f>(W18-W90)</f>
        <v>0</v>
      </c>
    </row>
    <row r="115">
      <c r="A115" s="0" t="inlineStr">
        <is>
          <t xml:space="preserve">Expansion bookings</t>
        </is>
      </c>
      <c r="B115" s="0" t="inlineStr">
        <is>
          <t xml:space="preserve">Samuel Silva</t>
        </is>
      </c>
      <c r="C115" s="4">
        <f>(C19-C91)</f>
        <v>0</v>
      </c>
      <c r="D115" s="4">
        <f>(D19-D91)</f>
        <v>16900</v>
      </c>
      <c r="E115" s="4">
        <f>(E19-E91)</f>
        <v>0</v>
      </c>
      <c r="F115" s="4">
        <f>(F19-F91)</f>
        <v>0</v>
      </c>
      <c r="G115" s="4">
        <f>(G19-G91)</f>
        <v>10000</v>
      </c>
      <c r="H115" s="4">
        <f>(H19-H91)</f>
        <v>0</v>
      </c>
      <c r="I115" s="4">
        <f>(I19-I91)</f>
        <v>0</v>
      </c>
      <c r="J115" s="4">
        <f>(J19-J91)</f>
        <v>0</v>
      </c>
      <c r="K115" s="4">
        <f>(K19-K91)</f>
        <v>2500</v>
      </c>
      <c r="L115" s="4">
        <f>(L19-L91)</f>
        <v>16700</v>
      </c>
      <c r="M115" s="4">
        <f>(M19-M91)</f>
        <v>2500</v>
      </c>
      <c r="N115" s="4">
        <f>(N19-N91)</f>
        <v>11700</v>
      </c>
      <c r="O115" s="4">
        <f>(O19-O91)</f>
        <v>0</v>
      </c>
      <c r="P115" s="4">
        <f>(P19-P91)</f>
        <v>0</v>
      </c>
      <c r="Q115" s="4">
        <f>(Q19-Q91)</f>
        <v>8500</v>
      </c>
      <c r="R115" s="4">
        <f>(R19-R91)</f>
        <v>6800</v>
      </c>
      <c r="S115" s="4">
        <f>(S19-S91)</f>
        <v>0</v>
      </c>
      <c r="T115" s="4">
        <f>(T19-T91)</f>
        <v>5200</v>
      </c>
      <c r="U115" s="4">
        <f>(U19-U91)</f>
        <v>0</v>
      </c>
      <c r="V115" s="4">
        <f>(V19-V91)</f>
        <v>0</v>
      </c>
      <c r="W115" s="4">
        <f>(W19-W91)</f>
        <v>0</v>
      </c>
    </row>
    <row r="116">
      <c r="A116" s="0" t="inlineStr">
        <is>
          <t xml:space="preserve">Expansion bookings</t>
        </is>
      </c>
      <c r="B116" s="0" t="inlineStr">
        <is>
          <t xml:space="preserve">Yuki Larsen</t>
        </is>
      </c>
      <c r="C116" s="4">
        <f>(C20-C92)</f>
        <v>0</v>
      </c>
      <c r="D116" s="4">
        <f>(D20-D92)</f>
        <v>0</v>
      </c>
      <c r="E116" s="4">
        <f>(E20-E92)</f>
        <v>0</v>
      </c>
      <c r="F116" s="4">
        <f>(F20-F92)</f>
        <v>0</v>
      </c>
      <c r="G116" s="4">
        <f>(G20-G92)</f>
        <v>0</v>
      </c>
      <c r="H116" s="4">
        <f>(H20-H92)</f>
        <v>66500</v>
      </c>
      <c r="I116" s="4">
        <f>(I20-I92)</f>
        <v>0</v>
      </c>
      <c r="J116" s="4">
        <f>(J20-J92)</f>
        <v>0</v>
      </c>
      <c r="K116" s="4">
        <f>(K20-K92)</f>
        <v>0</v>
      </c>
      <c r="L116" s="4">
        <f>(L20-L92)</f>
        <v>0</v>
      </c>
      <c r="M116" s="4">
        <f>(M20-M92)</f>
        <v>0</v>
      </c>
      <c r="N116" s="4">
        <f>(N20-N92)</f>
        <v>0</v>
      </c>
      <c r="O116" s="4">
        <f>(O20-O92)</f>
        <v>0</v>
      </c>
      <c r="P116" s="4">
        <f>(P20-P92)</f>
        <v>0</v>
      </c>
      <c r="Q116" s="4">
        <f>(Q20-Q92)</f>
        <v>0</v>
      </c>
      <c r="R116" s="4">
        <f>(R20-R92)</f>
        <v>0</v>
      </c>
      <c r="S116" s="4">
        <f>(S20-S92)</f>
        <v>0</v>
      </c>
      <c r="T116" s="4">
        <f>(T20-T92)</f>
        <v>0</v>
      </c>
      <c r="U116" s="4">
        <f>(U20-U92)</f>
        <v>0</v>
      </c>
      <c r="V116" s="4">
        <f>(V20-V92)</f>
        <v>0</v>
      </c>
      <c r="W116" s="4">
        <f>(W20-W92)</f>
        <v>0</v>
      </c>
    </row>
    <row r="117">
      <c r="A117" s="0" t="inlineStr">
        <is>
          <t xml:space="preserve">Expansion bookings</t>
        </is>
      </c>
      <c r="B117" s="0" t="inlineStr">
        <is>
          <t xml:space="preserve">Nikolai Sato</t>
        </is>
      </c>
      <c r="C117" s="4">
        <f>(C21-C93)</f>
        <v>0</v>
      </c>
      <c r="D117" s="4">
        <f>(D21-D93)</f>
        <v>0</v>
      </c>
      <c r="E117" s="4">
        <f>(E21-E93)</f>
        <v>0</v>
      </c>
      <c r="F117" s="4">
        <f>(F21-F93)</f>
        <v>0</v>
      </c>
      <c r="G117" s="4">
        <f>(G21-G93)</f>
        <v>0</v>
      </c>
      <c r="H117" s="4">
        <f>(H21-H93)</f>
        <v>139700</v>
      </c>
      <c r="I117" s="4">
        <f>(I21-I93)</f>
        <v>0</v>
      </c>
      <c r="J117" s="4">
        <f>(J21-J93)</f>
        <v>64300</v>
      </c>
      <c r="K117" s="4">
        <f>(K21-K93)</f>
        <v>0</v>
      </c>
      <c r="L117" s="4">
        <f>(L21-L93)</f>
        <v>0</v>
      </c>
      <c r="M117" s="4">
        <f>(M21-M93)</f>
        <v>89800</v>
      </c>
      <c r="N117" s="4">
        <f>(N21-N93)</f>
        <v>0</v>
      </c>
      <c r="O117" s="4">
        <f>(O21-O93)</f>
        <v>0</v>
      </c>
      <c r="P117" s="4">
        <f>(P21-P93)</f>
        <v>0</v>
      </c>
      <c r="Q117" s="4">
        <f>(Q21-Q93)</f>
        <v>0</v>
      </c>
      <c r="R117" s="4">
        <f>(R21-R93)</f>
        <v>0</v>
      </c>
      <c r="S117" s="4">
        <f>(S21-S93)</f>
        <v>0</v>
      </c>
      <c r="T117" s="4">
        <f>(T21-T93)</f>
        <v>0</v>
      </c>
      <c r="U117" s="4">
        <f>(U21-U93)</f>
        <v>0</v>
      </c>
      <c r="V117" s="4">
        <f>(V21-V93)</f>
        <v>0</v>
      </c>
      <c r="W117" s="4">
        <f>(W21-W93)</f>
        <v>0</v>
      </c>
    </row>
    <row r="118">
      <c r="A118" s="0" t="inlineStr">
        <is>
          <t xml:space="preserve">Expansion bookings</t>
        </is>
      </c>
      <c r="B118" s="0" t="inlineStr">
        <is>
          <t xml:space="preserve">Elena Silva</t>
        </is>
      </c>
      <c r="C118" s="4">
        <f>(C22-C94)</f>
        <v>0</v>
      </c>
      <c r="D118" s="4">
        <f>(D22-D94)</f>
        <v>48300</v>
      </c>
      <c r="E118" s="4">
        <f>(E22-E94)</f>
        <v>34300</v>
      </c>
      <c r="F118" s="4">
        <f>(F22-F94)</f>
        <v>0</v>
      </c>
      <c r="G118" s="4">
        <f>(G22-G94)</f>
        <v>0</v>
      </c>
      <c r="H118" s="4">
        <f>(H22-H94)</f>
        <v>0</v>
      </c>
      <c r="I118" s="4">
        <f>(I22-I94)</f>
        <v>0</v>
      </c>
      <c r="J118" s="4">
        <f>(J22-J94)</f>
        <v>0</v>
      </c>
      <c r="K118" s="4">
        <f>(K22-K94)</f>
        <v>13000</v>
      </c>
      <c r="L118" s="4">
        <f>(L22-L94)</f>
        <v>35300</v>
      </c>
      <c r="M118" s="4">
        <f>(M22-M94)</f>
        <v>0</v>
      </c>
      <c r="N118" s="4">
        <f>(N22-N94)</f>
        <v>0</v>
      </c>
      <c r="O118" s="4">
        <f>(O22-O94)</f>
        <v>0</v>
      </c>
      <c r="P118" s="4">
        <f>(P22-P94)</f>
        <v>0</v>
      </c>
      <c r="Q118" s="4">
        <f>(Q22-Q94)</f>
        <v>8400</v>
      </c>
      <c r="R118" s="4">
        <f>(R22-R94)</f>
        <v>61800</v>
      </c>
      <c r="S118" s="4">
        <f>(S22-S94)</f>
        <v>18100</v>
      </c>
      <c r="T118" s="4">
        <f>(T22-T94)</f>
        <v>0</v>
      </c>
      <c r="U118" s="4">
        <f>(U22-U94)</f>
        <v>0</v>
      </c>
      <c r="V118" s="4">
        <f>(V22-V94)</f>
        <v>0</v>
      </c>
      <c r="W118" s="4">
        <f>(W22-W94)</f>
        <v>0</v>
      </c>
    </row>
    <row r="119">
      <c r="A119" s="0" t="inlineStr">
        <is>
          <t xml:space="preserve">Expansion bookings</t>
        </is>
      </c>
      <c r="B119" s="0" t="inlineStr">
        <is>
          <t xml:space="preserve">Arjun Müller</t>
        </is>
      </c>
      <c r="C119" s="4">
        <f>(C23-C95)</f>
        <v>0</v>
      </c>
      <c r="D119" s="4">
        <f>(D23-D95)</f>
        <v>25000</v>
      </c>
      <c r="E119" s="4">
        <f>(E23-E95)</f>
        <v>0</v>
      </c>
      <c r="F119" s="4">
        <f>(F23-F95)</f>
        <v>0</v>
      </c>
      <c r="G119" s="4">
        <f>(G23-G95)</f>
        <v>7000</v>
      </c>
      <c r="H119" s="4">
        <f>(H23-H95)</f>
        <v>0</v>
      </c>
      <c r="I119" s="4">
        <f>(I23-I95)</f>
        <v>0</v>
      </c>
      <c r="J119" s="4">
        <f>(J23-J95)</f>
        <v>23800</v>
      </c>
      <c r="K119" s="4">
        <f>(K23-K95)</f>
        <v>0</v>
      </c>
      <c r="L119" s="4">
        <f>(L23-L95)</f>
        <v>0</v>
      </c>
      <c r="M119" s="4">
        <f>(M23-M95)</f>
        <v>0</v>
      </c>
      <c r="N119" s="4">
        <f>(N23-N95)</f>
        <v>0</v>
      </c>
      <c r="O119" s="4">
        <f>(O23-O95)</f>
        <v>0</v>
      </c>
      <c r="P119" s="4">
        <f>(P23-P95)</f>
        <v>29300</v>
      </c>
      <c r="Q119" s="4">
        <f>(Q23-Q95)</f>
        <v>96500</v>
      </c>
      <c r="R119" s="4">
        <f>(R23-R95)</f>
        <v>57000</v>
      </c>
      <c r="S119" s="4">
        <f>(S23-S95)</f>
        <v>30500</v>
      </c>
      <c r="T119" s="4">
        <f>(T23-T95)</f>
        <v>0</v>
      </c>
      <c r="U119" s="4">
        <f>(U23-U95)</f>
        <v>0</v>
      </c>
      <c r="V119" s="4">
        <f>(V23-V95)</f>
        <v>0</v>
      </c>
      <c r="W119" s="4">
        <f>(W23-W95)</f>
        <v>0</v>
      </c>
    </row>
    <row r="120">
      <c r="A120" s="0" t="inlineStr">
        <is>
          <t xml:space="preserve">Expansion bookings</t>
        </is>
      </c>
      <c r="B120" s="0" t="inlineStr">
        <is>
          <t xml:space="preserve">Nikolai Park</t>
        </is>
      </c>
      <c r="C120" s="4">
        <f>(C24-C96)</f>
        <v>0</v>
      </c>
      <c r="D120" s="4">
        <f>(D24-D96)</f>
        <v>0</v>
      </c>
      <c r="E120" s="4">
        <f>(E24-E96)</f>
        <v>0</v>
      </c>
      <c r="F120" s="4">
        <f>(F24-F96)</f>
        <v>0</v>
      </c>
      <c r="G120" s="4">
        <f>(G24-G96)</f>
        <v>0</v>
      </c>
      <c r="H120" s="4">
        <f>(H24-H96)</f>
        <v>0</v>
      </c>
      <c r="I120" s="4">
        <f>(I24-I96)</f>
        <v>0</v>
      </c>
      <c r="J120" s="4">
        <f>(J24-J96)</f>
        <v>0</v>
      </c>
      <c r="K120" s="4">
        <f>(K24-K96)</f>
        <v>0</v>
      </c>
      <c r="L120" s="4">
        <f>(L24-L96)</f>
        <v>0</v>
      </c>
      <c r="M120" s="4">
        <f>(M24-M96)</f>
        <v>0</v>
      </c>
      <c r="N120" s="4">
        <f>(N24-N96)</f>
        <v>0</v>
      </c>
      <c r="O120" s="4">
        <f>(O24-O96)</f>
        <v>0</v>
      </c>
      <c r="P120" s="4">
        <f>(P24-P96)</f>
        <v>0</v>
      </c>
      <c r="Q120" s="4">
        <f>(Q24-Q96)</f>
        <v>0</v>
      </c>
      <c r="R120" s="4">
        <f>(R24-R96)</f>
        <v>0</v>
      </c>
      <c r="S120" s="4">
        <f>(S24-S96)</f>
        <v>0</v>
      </c>
      <c r="T120" s="4">
        <f>(T24-T96)</f>
        <v>0</v>
      </c>
      <c r="U120" s="4">
        <f>(U24-U96)</f>
        <v>0</v>
      </c>
      <c r="V120" s="4">
        <f>(V24-V96)</f>
        <v>0</v>
      </c>
      <c r="W120" s="4">
        <f>(W24-W96)</f>
        <v>0</v>
      </c>
    </row>
    <row r="121">
      <c r="A121" s="0" t="inlineStr">
        <is>
          <t xml:space="preserve">Expansion bookings</t>
        </is>
      </c>
      <c r="B121" s="0" t="inlineStr">
        <is>
          <t xml:space="preserve">Ingrid Dubois</t>
        </is>
      </c>
      <c r="C121" s="4">
        <f>(C25-C97)</f>
        <v>0</v>
      </c>
      <c r="D121" s="4">
        <f>(D25-D97)</f>
        <v>0</v>
      </c>
      <c r="E121" s="4">
        <f>(E25-E97)</f>
        <v>0</v>
      </c>
      <c r="F121" s="4">
        <f>(F25-F97)</f>
        <v>0</v>
      </c>
      <c r="G121" s="4">
        <f>(G25-G97)</f>
        <v>9600</v>
      </c>
      <c r="H121" s="4">
        <f>(H25-H97)</f>
        <v>8700</v>
      </c>
      <c r="I121" s="4">
        <f>(I25-I97)</f>
        <v>0</v>
      </c>
      <c r="J121" s="4">
        <f>(J25-J97)</f>
        <v>0</v>
      </c>
      <c r="K121" s="4">
        <f>(K25-K97)</f>
        <v>3800</v>
      </c>
      <c r="L121" s="4">
        <f>(L25-L97)</f>
        <v>0</v>
      </c>
      <c r="M121" s="4">
        <f>(M25-M97)</f>
        <v>7000</v>
      </c>
      <c r="N121" s="4">
        <f>(N25-N97)</f>
        <v>0</v>
      </c>
      <c r="O121" s="4">
        <f>(O25-O97)</f>
        <v>0</v>
      </c>
      <c r="P121" s="4">
        <f>(P25-P97)</f>
        <v>7200</v>
      </c>
      <c r="Q121" s="4">
        <f>(Q25-Q97)</f>
        <v>27400</v>
      </c>
      <c r="R121" s="4">
        <f>(R25-R97)</f>
        <v>10700</v>
      </c>
      <c r="S121" s="4">
        <f>(S25-S97)</f>
        <v>0</v>
      </c>
      <c r="T121" s="4">
        <f>(T25-T97)</f>
        <v>2500</v>
      </c>
      <c r="U121" s="4">
        <f>(U25-U97)</f>
        <v>0</v>
      </c>
      <c r="V121" s="4">
        <f>(V25-V97)</f>
        <v>0</v>
      </c>
      <c r="W121" s="4">
        <f>(W25-W97)</f>
        <v>0</v>
      </c>
    </row>
    <row r="122">
      <c r="A122" s="0" t="inlineStr">
        <is>
          <t xml:space="preserve">Opportunities created</t>
        </is>
      </c>
      <c r="B122" s="0" t="inlineStr">
        <is>
          <t xml:space="preserve">Noor Ortiz</t>
        </is>
      </c>
      <c r="C122" s="4">
        <f>COUNTIFS('Opportunities'!$C$2:$C$1775,"=r01",'Opportunities'!$M$2:$M$1775,"=apr25",'Opportunities'!$H$2:$H$1775,"&lt;&gt;")</f>
        <v>4</v>
      </c>
      <c r="D122" s="4">
        <f>COUNTIFS('Opportunities'!$C$2:$C$1775,"=r01",'Opportunities'!$M$2:$M$1775,"=may25",'Opportunities'!$H$2:$H$1775,"&lt;&gt;")</f>
        <v>3</v>
      </c>
      <c r="E122" s="4">
        <f>COUNTIFS('Opportunities'!$C$2:$C$1775,"=r01",'Opportunities'!$M$2:$M$1775,"=jun25",'Opportunities'!$H$2:$H$1775,"&lt;&gt;")</f>
        <v>7</v>
      </c>
      <c r="F122" s="4">
        <f>COUNTIFS('Opportunities'!$C$2:$C$1775,"=r01",'Opportunities'!$M$2:$M$1775,"=jul25",'Opportunities'!$H$2:$H$1775,"&lt;&gt;")</f>
        <v>3</v>
      </c>
      <c r="G122" s="4">
        <f>COUNTIFS('Opportunities'!$C$2:$C$1775,"=r01",'Opportunities'!$M$2:$M$1775,"=aug25",'Opportunities'!$H$2:$H$1775,"&lt;&gt;")</f>
        <v>2</v>
      </c>
      <c r="H122" s="4">
        <f>COUNTIFS('Opportunities'!$C$2:$C$1775,"=r01",'Opportunities'!$M$2:$M$1775,"=sep25",'Opportunities'!$H$2:$H$1775,"&lt;&gt;")</f>
        <v>6</v>
      </c>
      <c r="I122" s="4">
        <f>COUNTIFS('Opportunities'!$C$2:$C$1775,"=r01",'Opportunities'!$M$2:$M$1775,"=oct25",'Opportunities'!$H$2:$H$1775,"&lt;&gt;")</f>
        <v>2</v>
      </c>
      <c r="J122" s="4">
        <f>COUNTIFS('Opportunities'!$C$2:$C$1775,"=r01",'Opportunities'!$M$2:$M$1775,"=nov25",'Opportunities'!$H$2:$H$1775,"&lt;&gt;")</f>
        <v>1</v>
      </c>
      <c r="K122" s="4">
        <f>COUNTIFS('Opportunities'!$C$2:$C$1775,"=r01",'Opportunities'!$M$2:$M$1775,"=dec25",'Opportunities'!$H$2:$H$1775,"&lt;&gt;")</f>
        <v>5</v>
      </c>
      <c r="L122" s="4">
        <f>COUNTIFS('Opportunities'!$C$2:$C$1775,"=r01",'Opportunities'!$M$2:$M$1775,"=jan26",'Opportunities'!$H$2:$H$1775,"&lt;&gt;")</f>
        <v>4</v>
      </c>
      <c r="M122" s="4">
        <f>COUNTIFS('Opportunities'!$C$2:$C$1775,"=r01",'Opportunities'!$M$2:$M$1775,"=feb26",'Opportunities'!$H$2:$H$1775,"&lt;&gt;")</f>
        <v>9</v>
      </c>
      <c r="N122" s="4">
        <f>COUNTIFS('Opportunities'!$C$2:$C$1775,"=r01",'Opportunities'!$M$2:$M$1775,"=mar26",'Opportunities'!$H$2:$H$1775,"&lt;&gt;")</f>
        <v>4</v>
      </c>
      <c r="O122" s="4">
        <f>COUNTIFS('Opportunities'!$C$2:$C$1775,"=r01",'Opportunities'!$M$2:$M$1775,"=apr26",'Opportunities'!$H$2:$H$1775,"&lt;&gt;")</f>
        <v>6</v>
      </c>
      <c r="P122" s="4">
        <f>COUNTIFS('Opportunities'!$C$2:$C$1775,"=r01",'Opportunities'!$M$2:$M$1775,"=may26",'Opportunities'!$H$2:$H$1775,"&lt;&gt;")</f>
        <v>8</v>
      </c>
      <c r="Q122" s="4">
        <f>COUNTIFS('Opportunities'!$C$2:$C$1775,"=r01",'Opportunities'!$M$2:$M$1775,"=jun26",'Opportunities'!$H$2:$H$1775,"&lt;&gt;")</f>
        <v>5</v>
      </c>
      <c r="R122" s="4">
        <f>COUNTIFS('Opportunities'!$C$2:$C$1775,"=r01",'Opportunities'!$M$2:$M$1775,"=jul26",'Opportunities'!$H$2:$H$1775,"&lt;&gt;")</f>
        <v>3</v>
      </c>
      <c r="S122" s="4">
        <f>COUNTIFS('Opportunities'!$C$2:$C$1775,"=r01",'Opportunities'!$M$2:$M$1775,"=aug26",'Opportunities'!$H$2:$H$1775,"&lt;&gt;")</f>
        <v>2</v>
      </c>
      <c r="T122" s="4">
        <f>COUNTIFS('Opportunities'!$C$2:$C$1775,"=r01",'Opportunities'!$M$2:$M$1775,"=sep26",'Opportunities'!$H$2:$H$1775,"&lt;&gt;")</f>
        <v>2</v>
      </c>
      <c r="U122" s="4">
        <f>COUNTIFS('Opportunities'!$C$2:$C$1775,"=r01",'Opportunities'!$M$2:$M$1775,"=oct26",'Opportunities'!$H$2:$H$1775,"&lt;&gt;")</f>
        <v>0</v>
      </c>
      <c r="V122" s="4">
        <f>COUNTIFS('Opportunities'!$C$2:$C$1775,"=r01",'Opportunities'!$M$2:$M$1775,"=nov26",'Opportunities'!$H$2:$H$1775,"&lt;&gt;")</f>
        <v>0</v>
      </c>
      <c r="W122" s="4">
        <f>COUNTIFS('Opportunities'!$C$2:$C$1775,"=r01",'Opportunities'!$M$2:$M$1775,"=dec26",'Opportunities'!$H$2:$H$1775,"&lt;&gt;")</f>
        <v>0</v>
      </c>
    </row>
    <row r="123">
      <c r="A123" s="0" t="inlineStr">
        <is>
          <t xml:space="preserve">Opportunities created</t>
        </is>
      </c>
      <c r="B123" s="0" t="inlineStr">
        <is>
          <t xml:space="preserve">Priya Yilmaz</t>
        </is>
      </c>
      <c r="C123" s="4">
        <f>COUNTIFS('Opportunities'!$C$2:$C$1775,"=r02",'Opportunities'!$M$2:$M$1775,"=apr25",'Opportunities'!$H$2:$H$1775,"&lt;&gt;")</f>
        <v>0</v>
      </c>
      <c r="D123" s="4">
        <f>COUNTIFS('Opportunities'!$C$2:$C$1775,"=r02",'Opportunities'!$M$2:$M$1775,"=may25",'Opportunities'!$H$2:$H$1775,"&lt;&gt;")</f>
        <v>0</v>
      </c>
      <c r="E123" s="4">
        <f>COUNTIFS('Opportunities'!$C$2:$C$1775,"=r02",'Opportunities'!$M$2:$M$1775,"=jun25",'Opportunities'!$H$2:$H$1775,"&lt;&gt;")</f>
        <v>0</v>
      </c>
      <c r="F123" s="4">
        <f>COUNTIFS('Opportunities'!$C$2:$C$1775,"=r02",'Opportunities'!$M$2:$M$1775,"=jul25",'Opportunities'!$H$2:$H$1775,"&lt;&gt;")</f>
        <v>0</v>
      </c>
      <c r="G123" s="4">
        <f>COUNTIFS('Opportunities'!$C$2:$C$1775,"=r02",'Opportunities'!$M$2:$M$1775,"=aug25",'Opportunities'!$H$2:$H$1775,"&lt;&gt;")</f>
        <v>0</v>
      </c>
      <c r="H123" s="4">
        <f>COUNTIFS('Opportunities'!$C$2:$C$1775,"=r02",'Opportunities'!$M$2:$M$1775,"=sep25",'Opportunities'!$H$2:$H$1775,"&lt;&gt;")</f>
        <v>0</v>
      </c>
      <c r="I123" s="4">
        <f>COUNTIFS('Opportunities'!$C$2:$C$1775,"=r02",'Opportunities'!$M$2:$M$1775,"=oct25",'Opportunities'!$H$2:$H$1775,"&lt;&gt;")</f>
        <v>0</v>
      </c>
      <c r="J123" s="4">
        <f>COUNTIFS('Opportunities'!$C$2:$C$1775,"=r02",'Opportunities'!$M$2:$M$1775,"=nov25",'Opportunities'!$H$2:$H$1775,"&lt;&gt;")</f>
        <v>0</v>
      </c>
      <c r="K123" s="4">
        <f>COUNTIFS('Opportunities'!$C$2:$C$1775,"=r02",'Opportunities'!$M$2:$M$1775,"=dec25",'Opportunities'!$H$2:$H$1775,"&lt;&gt;")</f>
        <v>0</v>
      </c>
      <c r="L123" s="4">
        <f>COUNTIFS('Opportunities'!$C$2:$C$1775,"=r02",'Opportunities'!$M$2:$M$1775,"=jan26",'Opportunities'!$H$2:$H$1775,"&lt;&gt;")</f>
        <v>0</v>
      </c>
      <c r="M123" s="4">
        <f>COUNTIFS('Opportunities'!$C$2:$C$1775,"=r02",'Opportunities'!$M$2:$M$1775,"=feb26",'Opportunities'!$H$2:$H$1775,"&lt;&gt;")</f>
        <v>0</v>
      </c>
      <c r="N123" s="4">
        <f>COUNTIFS('Opportunities'!$C$2:$C$1775,"=r02",'Opportunities'!$M$2:$M$1775,"=mar26",'Opportunities'!$H$2:$H$1775,"&lt;&gt;")</f>
        <v>0</v>
      </c>
      <c r="O123" s="4">
        <f>COUNTIFS('Opportunities'!$C$2:$C$1775,"=r02",'Opportunities'!$M$2:$M$1775,"=apr26",'Opportunities'!$H$2:$H$1775,"&lt;&gt;")</f>
        <v>0</v>
      </c>
      <c r="P123" s="4">
        <f>COUNTIFS('Opportunities'!$C$2:$C$1775,"=r02",'Opportunities'!$M$2:$M$1775,"=may26",'Opportunities'!$H$2:$H$1775,"&lt;&gt;")</f>
        <v>0</v>
      </c>
      <c r="Q123" s="4">
        <f>COUNTIFS('Opportunities'!$C$2:$C$1775,"=r02",'Opportunities'!$M$2:$M$1775,"=jun26",'Opportunities'!$H$2:$H$1775,"&lt;&gt;")</f>
        <v>0</v>
      </c>
      <c r="R123" s="4">
        <f>COUNTIFS('Opportunities'!$C$2:$C$1775,"=r02",'Opportunities'!$M$2:$M$1775,"=jul26",'Opportunities'!$H$2:$H$1775,"&lt;&gt;")</f>
        <v>0</v>
      </c>
      <c r="S123" s="4">
        <f>COUNTIFS('Opportunities'!$C$2:$C$1775,"=r02",'Opportunities'!$M$2:$M$1775,"=aug26",'Opportunities'!$H$2:$H$1775,"&lt;&gt;")</f>
        <v>2</v>
      </c>
      <c r="T123" s="4">
        <f>COUNTIFS('Opportunities'!$C$2:$C$1775,"=r02",'Opportunities'!$M$2:$M$1775,"=sep26",'Opportunities'!$H$2:$H$1775,"&lt;&gt;")</f>
        <v>1</v>
      </c>
      <c r="U123" s="4">
        <f>COUNTIFS('Opportunities'!$C$2:$C$1775,"=r02",'Opportunities'!$M$2:$M$1775,"=oct26",'Opportunities'!$H$2:$H$1775,"&lt;&gt;")</f>
        <v>0</v>
      </c>
      <c r="V123" s="4">
        <f>COUNTIFS('Opportunities'!$C$2:$C$1775,"=r02",'Opportunities'!$M$2:$M$1775,"=nov26",'Opportunities'!$H$2:$H$1775,"&lt;&gt;")</f>
        <v>0</v>
      </c>
      <c r="W123" s="4">
        <f>COUNTIFS('Opportunities'!$C$2:$C$1775,"=r02",'Opportunities'!$M$2:$M$1775,"=dec26",'Opportunities'!$H$2:$H$1775,"&lt;&gt;")</f>
        <v>0</v>
      </c>
    </row>
    <row r="124">
      <c r="A124" s="0" t="inlineStr">
        <is>
          <t xml:space="preserve">Opportunities created</t>
        </is>
      </c>
      <c r="B124" s="0" t="inlineStr">
        <is>
          <t xml:space="preserve">Marcus Schmidt</t>
        </is>
      </c>
      <c r="C124" s="4">
        <f>COUNTIFS('Opportunities'!$C$2:$C$1775,"=r03",'Opportunities'!$M$2:$M$1775,"=apr25",'Opportunities'!$H$2:$H$1775,"&lt;&gt;")</f>
        <v>0</v>
      </c>
      <c r="D124" s="4">
        <f>COUNTIFS('Opportunities'!$C$2:$C$1775,"=r03",'Opportunities'!$M$2:$M$1775,"=may25",'Opportunities'!$H$2:$H$1775,"&lt;&gt;")</f>
        <v>0</v>
      </c>
      <c r="E124" s="4">
        <f>COUNTIFS('Opportunities'!$C$2:$C$1775,"=r03",'Opportunities'!$M$2:$M$1775,"=jun25",'Opportunities'!$H$2:$H$1775,"&lt;&gt;")</f>
        <v>0</v>
      </c>
      <c r="F124" s="4">
        <f>COUNTIFS('Opportunities'!$C$2:$C$1775,"=r03",'Opportunities'!$M$2:$M$1775,"=jul25",'Opportunities'!$H$2:$H$1775,"&lt;&gt;")</f>
        <v>3</v>
      </c>
      <c r="G124" s="4">
        <f>COUNTIFS('Opportunities'!$C$2:$C$1775,"=r03",'Opportunities'!$M$2:$M$1775,"=aug25",'Opportunities'!$H$2:$H$1775,"&lt;&gt;")</f>
        <v>2</v>
      </c>
      <c r="H124" s="4">
        <f>COUNTIFS('Opportunities'!$C$2:$C$1775,"=r03",'Opportunities'!$M$2:$M$1775,"=sep25",'Opportunities'!$H$2:$H$1775,"&lt;&gt;")</f>
        <v>4</v>
      </c>
      <c r="I124" s="4">
        <f>COUNTIFS('Opportunities'!$C$2:$C$1775,"=r03",'Opportunities'!$M$2:$M$1775,"=oct25",'Opportunities'!$H$2:$H$1775,"&lt;&gt;")</f>
        <v>1</v>
      </c>
      <c r="J124" s="4">
        <f>COUNTIFS('Opportunities'!$C$2:$C$1775,"=r03",'Opportunities'!$M$2:$M$1775,"=nov25",'Opportunities'!$H$2:$H$1775,"&lt;&gt;")</f>
        <v>3</v>
      </c>
      <c r="K124" s="4">
        <f>COUNTIFS('Opportunities'!$C$2:$C$1775,"=r03",'Opportunities'!$M$2:$M$1775,"=dec25",'Opportunities'!$H$2:$H$1775,"&lt;&gt;")</f>
        <v>8</v>
      </c>
      <c r="L124" s="4">
        <f>COUNTIFS('Opportunities'!$C$2:$C$1775,"=r03",'Opportunities'!$M$2:$M$1775,"=jan26",'Opportunities'!$H$2:$H$1775,"&lt;&gt;")</f>
        <v>8</v>
      </c>
      <c r="M124" s="4">
        <f>COUNTIFS('Opportunities'!$C$2:$C$1775,"=r03",'Opportunities'!$M$2:$M$1775,"=feb26",'Opportunities'!$H$2:$H$1775,"&lt;&gt;")</f>
        <v>3</v>
      </c>
      <c r="N124" s="4">
        <f>COUNTIFS('Opportunities'!$C$2:$C$1775,"=r03",'Opportunities'!$M$2:$M$1775,"=mar26",'Opportunities'!$H$2:$H$1775,"&lt;&gt;")</f>
        <v>9</v>
      </c>
      <c r="O124" s="4">
        <f>COUNTIFS('Opportunities'!$C$2:$C$1775,"=r03",'Opportunities'!$M$2:$M$1775,"=apr26",'Opportunities'!$H$2:$H$1775,"&lt;&gt;")</f>
        <v>9</v>
      </c>
      <c r="P124" s="4">
        <f>COUNTIFS('Opportunities'!$C$2:$C$1775,"=r03",'Opportunities'!$M$2:$M$1775,"=may26",'Opportunities'!$H$2:$H$1775,"&lt;&gt;")</f>
        <v>6</v>
      </c>
      <c r="Q124" s="4">
        <f>COUNTIFS('Opportunities'!$C$2:$C$1775,"=r03",'Opportunities'!$M$2:$M$1775,"=jun26",'Opportunities'!$H$2:$H$1775,"&lt;&gt;")</f>
        <v>7</v>
      </c>
      <c r="R124" s="4">
        <f>COUNTIFS('Opportunities'!$C$2:$C$1775,"=r03",'Opportunities'!$M$2:$M$1775,"=jul26",'Opportunities'!$H$2:$H$1775,"&lt;&gt;")</f>
        <v>6</v>
      </c>
      <c r="S124" s="4">
        <f>COUNTIFS('Opportunities'!$C$2:$C$1775,"=r03",'Opportunities'!$M$2:$M$1775,"=aug26",'Opportunities'!$H$2:$H$1775,"&lt;&gt;")</f>
        <v>4</v>
      </c>
      <c r="T124" s="4">
        <f>COUNTIFS('Opportunities'!$C$2:$C$1775,"=r03",'Opportunities'!$M$2:$M$1775,"=sep26",'Opportunities'!$H$2:$H$1775,"&lt;&gt;")</f>
        <v>2</v>
      </c>
      <c r="U124" s="4">
        <f>COUNTIFS('Opportunities'!$C$2:$C$1775,"=r03",'Opportunities'!$M$2:$M$1775,"=oct26",'Opportunities'!$H$2:$H$1775,"&lt;&gt;")</f>
        <v>0</v>
      </c>
      <c r="V124" s="4">
        <f>COUNTIFS('Opportunities'!$C$2:$C$1775,"=r03",'Opportunities'!$M$2:$M$1775,"=nov26",'Opportunities'!$H$2:$H$1775,"&lt;&gt;")</f>
        <v>0</v>
      </c>
      <c r="W124" s="4">
        <f>COUNTIFS('Opportunities'!$C$2:$C$1775,"=r03",'Opportunities'!$M$2:$M$1775,"=dec26",'Opportunities'!$H$2:$H$1775,"&lt;&gt;")</f>
        <v>0</v>
      </c>
    </row>
    <row r="125">
      <c r="A125" s="0" t="inlineStr">
        <is>
          <t xml:space="preserve">Opportunities created</t>
        </is>
      </c>
      <c r="B125" s="0" t="inlineStr">
        <is>
          <t xml:space="preserve">Amara Haddad</t>
        </is>
      </c>
      <c r="C125" s="4">
        <f>COUNTIFS('Opportunities'!$C$2:$C$1775,"=r04",'Opportunities'!$M$2:$M$1775,"=apr25",'Opportunities'!$H$2:$H$1775,"&lt;&gt;")</f>
        <v>18</v>
      </c>
      <c r="D125" s="4">
        <f>COUNTIFS('Opportunities'!$C$2:$C$1775,"=r04",'Opportunities'!$M$2:$M$1775,"=may25",'Opportunities'!$H$2:$H$1775,"&lt;&gt;")</f>
        <v>12</v>
      </c>
      <c r="E125" s="4">
        <f>COUNTIFS('Opportunities'!$C$2:$C$1775,"=r04",'Opportunities'!$M$2:$M$1775,"=jun25",'Opportunities'!$H$2:$H$1775,"&lt;&gt;")</f>
        <v>11</v>
      </c>
      <c r="F125" s="4">
        <f>COUNTIFS('Opportunities'!$C$2:$C$1775,"=r04",'Opportunities'!$M$2:$M$1775,"=jul25",'Opportunities'!$H$2:$H$1775,"&lt;&gt;")</f>
        <v>8</v>
      </c>
      <c r="G125" s="4">
        <f>COUNTIFS('Opportunities'!$C$2:$C$1775,"=r04",'Opportunities'!$M$2:$M$1775,"=aug25",'Opportunities'!$H$2:$H$1775,"&lt;&gt;")</f>
        <v>5</v>
      </c>
      <c r="H125" s="4">
        <f>COUNTIFS('Opportunities'!$C$2:$C$1775,"=r04",'Opportunities'!$M$2:$M$1775,"=sep25",'Opportunities'!$H$2:$H$1775,"&lt;&gt;")</f>
        <v>3</v>
      </c>
      <c r="I125" s="4">
        <f>COUNTIFS('Opportunities'!$C$2:$C$1775,"=r04",'Opportunities'!$M$2:$M$1775,"=oct25",'Opportunities'!$H$2:$H$1775,"&lt;&gt;")</f>
        <v>2</v>
      </c>
      <c r="J125" s="4">
        <f>COUNTIFS('Opportunities'!$C$2:$C$1775,"=r04",'Opportunities'!$M$2:$M$1775,"=nov25",'Opportunities'!$H$2:$H$1775,"&lt;&gt;")</f>
        <v>7</v>
      </c>
      <c r="K125" s="4">
        <f>COUNTIFS('Opportunities'!$C$2:$C$1775,"=r04",'Opportunities'!$M$2:$M$1775,"=dec25",'Opportunities'!$H$2:$H$1775,"&lt;&gt;")</f>
        <v>3</v>
      </c>
      <c r="L125" s="4">
        <f>COUNTIFS('Opportunities'!$C$2:$C$1775,"=r04",'Opportunities'!$M$2:$M$1775,"=jan26",'Opportunities'!$H$2:$H$1775,"&lt;&gt;")</f>
        <v>5</v>
      </c>
      <c r="M125" s="4">
        <f>COUNTIFS('Opportunities'!$C$2:$C$1775,"=r04",'Opportunities'!$M$2:$M$1775,"=feb26",'Opportunities'!$H$2:$H$1775,"&lt;&gt;")</f>
        <v>2</v>
      </c>
      <c r="N125" s="4">
        <f>COUNTIFS('Opportunities'!$C$2:$C$1775,"=r04",'Opportunities'!$M$2:$M$1775,"=mar26",'Opportunities'!$H$2:$H$1775,"&lt;&gt;")</f>
        <v>5</v>
      </c>
      <c r="O125" s="4">
        <f>COUNTIFS('Opportunities'!$C$2:$C$1775,"=r04",'Opportunities'!$M$2:$M$1775,"=apr26",'Opportunities'!$H$2:$H$1775,"&lt;&gt;")</f>
        <v>3</v>
      </c>
      <c r="P125" s="4">
        <f>COUNTIFS('Opportunities'!$C$2:$C$1775,"=r04",'Opportunities'!$M$2:$M$1775,"=may26",'Opportunities'!$H$2:$H$1775,"&lt;&gt;")</f>
        <v>6</v>
      </c>
      <c r="Q125" s="4">
        <f>COUNTIFS('Opportunities'!$C$2:$C$1775,"=r04",'Opportunities'!$M$2:$M$1775,"=jun26",'Opportunities'!$H$2:$H$1775,"&lt;&gt;")</f>
        <v>5</v>
      </c>
      <c r="R125" s="4">
        <f>COUNTIFS('Opportunities'!$C$2:$C$1775,"=r04",'Opportunities'!$M$2:$M$1775,"=jul26",'Opportunities'!$H$2:$H$1775,"&lt;&gt;")</f>
        <v>4</v>
      </c>
      <c r="S125" s="4">
        <f>COUNTIFS('Opportunities'!$C$2:$C$1775,"=r04",'Opportunities'!$M$2:$M$1775,"=aug26",'Opportunities'!$H$2:$H$1775,"&lt;&gt;")</f>
        <v>8</v>
      </c>
      <c r="T125" s="4">
        <f>COUNTIFS('Opportunities'!$C$2:$C$1775,"=r04",'Opportunities'!$M$2:$M$1775,"=sep26",'Opportunities'!$H$2:$H$1775,"&lt;&gt;")</f>
        <v>6</v>
      </c>
      <c r="U125" s="4">
        <f>COUNTIFS('Opportunities'!$C$2:$C$1775,"=r04",'Opportunities'!$M$2:$M$1775,"=oct26",'Opportunities'!$H$2:$H$1775,"&lt;&gt;")</f>
        <v>0</v>
      </c>
      <c r="V125" s="4">
        <f>COUNTIFS('Opportunities'!$C$2:$C$1775,"=r04",'Opportunities'!$M$2:$M$1775,"=nov26",'Opportunities'!$H$2:$H$1775,"&lt;&gt;")</f>
        <v>0</v>
      </c>
      <c r="W125" s="4">
        <f>COUNTIFS('Opportunities'!$C$2:$C$1775,"=r04",'Opportunities'!$M$2:$M$1775,"=dec26",'Opportunities'!$H$2:$H$1775,"&lt;&gt;")</f>
        <v>0</v>
      </c>
    </row>
    <row r="126">
      <c r="A126" s="0" t="inlineStr">
        <is>
          <t xml:space="preserve">Opportunities created</t>
        </is>
      </c>
      <c r="B126" s="0" t="inlineStr">
        <is>
          <t xml:space="preserve">Fatima Silva</t>
        </is>
      </c>
      <c r="C126" s="4">
        <f>COUNTIFS('Opportunities'!$C$2:$C$1775,"=r05",'Opportunities'!$M$2:$M$1775,"=apr25",'Opportunities'!$H$2:$H$1775,"&lt;&gt;")</f>
        <v>10</v>
      </c>
      <c r="D126" s="4">
        <f>COUNTIFS('Opportunities'!$C$2:$C$1775,"=r05",'Opportunities'!$M$2:$M$1775,"=may25",'Opportunities'!$H$2:$H$1775,"&lt;&gt;")</f>
        <v>16</v>
      </c>
      <c r="E126" s="4">
        <f>COUNTIFS('Opportunities'!$C$2:$C$1775,"=r05",'Opportunities'!$M$2:$M$1775,"=jun25",'Opportunities'!$H$2:$H$1775,"&lt;&gt;")</f>
        <v>17</v>
      </c>
      <c r="F126" s="4">
        <f>COUNTIFS('Opportunities'!$C$2:$C$1775,"=r05",'Opportunities'!$M$2:$M$1775,"=jul25",'Opportunities'!$H$2:$H$1775,"&lt;&gt;")</f>
        <v>10</v>
      </c>
      <c r="G126" s="4">
        <f>COUNTIFS('Opportunities'!$C$2:$C$1775,"=r05",'Opportunities'!$M$2:$M$1775,"=aug25",'Opportunities'!$H$2:$H$1775,"&lt;&gt;")</f>
        <v>10</v>
      </c>
      <c r="H126" s="4">
        <f>COUNTIFS('Opportunities'!$C$2:$C$1775,"=r05",'Opportunities'!$M$2:$M$1775,"=sep25",'Opportunities'!$H$2:$H$1775,"&lt;&gt;")</f>
        <v>1</v>
      </c>
      <c r="I126" s="4">
        <f>COUNTIFS('Opportunities'!$C$2:$C$1775,"=r05",'Opportunities'!$M$2:$M$1775,"=oct25",'Opportunities'!$H$2:$H$1775,"&lt;&gt;")</f>
        <v>10</v>
      </c>
      <c r="J126" s="4">
        <f>COUNTIFS('Opportunities'!$C$2:$C$1775,"=r05",'Opportunities'!$M$2:$M$1775,"=nov25",'Opportunities'!$H$2:$H$1775,"&lt;&gt;")</f>
        <v>3</v>
      </c>
      <c r="K126" s="4">
        <f>COUNTIFS('Opportunities'!$C$2:$C$1775,"=r05",'Opportunities'!$M$2:$M$1775,"=dec25",'Opportunities'!$H$2:$H$1775,"&lt;&gt;")</f>
        <v>9</v>
      </c>
      <c r="L126" s="4">
        <f>COUNTIFS('Opportunities'!$C$2:$C$1775,"=r05",'Opportunities'!$M$2:$M$1775,"=jan26",'Opportunities'!$H$2:$H$1775,"&lt;&gt;")</f>
        <v>4</v>
      </c>
      <c r="M126" s="4">
        <f>COUNTIFS('Opportunities'!$C$2:$C$1775,"=r05",'Opportunities'!$M$2:$M$1775,"=feb26",'Opportunities'!$H$2:$H$1775,"&lt;&gt;")</f>
        <v>5</v>
      </c>
      <c r="N126" s="4">
        <f>COUNTIFS('Opportunities'!$C$2:$C$1775,"=r05",'Opportunities'!$M$2:$M$1775,"=mar26",'Opportunities'!$H$2:$H$1775,"&lt;&gt;")</f>
        <v>11</v>
      </c>
      <c r="O126" s="4">
        <f>COUNTIFS('Opportunities'!$C$2:$C$1775,"=r05",'Opportunities'!$M$2:$M$1775,"=apr26",'Opportunities'!$H$2:$H$1775,"&lt;&gt;")</f>
        <v>14</v>
      </c>
      <c r="P126" s="4">
        <f>COUNTIFS('Opportunities'!$C$2:$C$1775,"=r05",'Opportunities'!$M$2:$M$1775,"=may26",'Opportunities'!$H$2:$H$1775,"&lt;&gt;")</f>
        <v>6</v>
      </c>
      <c r="Q126" s="4">
        <f>COUNTIFS('Opportunities'!$C$2:$C$1775,"=r05",'Opportunities'!$M$2:$M$1775,"=jun26",'Opportunities'!$H$2:$H$1775,"&lt;&gt;")</f>
        <v>11</v>
      </c>
      <c r="R126" s="4">
        <f>COUNTIFS('Opportunities'!$C$2:$C$1775,"=r05",'Opportunities'!$M$2:$M$1775,"=jul26",'Opportunities'!$H$2:$H$1775,"&lt;&gt;")</f>
        <v>10</v>
      </c>
      <c r="S126" s="4">
        <f>COUNTIFS('Opportunities'!$C$2:$C$1775,"=r05",'Opportunities'!$M$2:$M$1775,"=aug26",'Opportunities'!$H$2:$H$1775,"&lt;&gt;")</f>
        <v>6</v>
      </c>
      <c r="T126" s="4">
        <f>COUNTIFS('Opportunities'!$C$2:$C$1775,"=r05",'Opportunities'!$M$2:$M$1775,"=sep26",'Opportunities'!$H$2:$H$1775,"&lt;&gt;")</f>
        <v>5</v>
      </c>
      <c r="U126" s="4">
        <f>COUNTIFS('Opportunities'!$C$2:$C$1775,"=r05",'Opportunities'!$M$2:$M$1775,"=oct26",'Opportunities'!$H$2:$H$1775,"&lt;&gt;")</f>
        <v>0</v>
      </c>
      <c r="V126" s="4">
        <f>COUNTIFS('Opportunities'!$C$2:$C$1775,"=r05",'Opportunities'!$M$2:$M$1775,"=nov26",'Opportunities'!$H$2:$H$1775,"&lt;&gt;")</f>
        <v>0</v>
      </c>
      <c r="W126" s="4">
        <f>COUNTIFS('Opportunities'!$C$2:$C$1775,"=r05",'Opportunities'!$M$2:$M$1775,"=dec26",'Opportunities'!$H$2:$H$1775,"&lt;&gt;")</f>
        <v>0</v>
      </c>
    </row>
    <row r="127">
      <c r="A127" s="0" t="inlineStr">
        <is>
          <t xml:space="preserve">Opportunities created</t>
        </is>
      </c>
      <c r="B127" s="0" t="inlineStr">
        <is>
          <t xml:space="preserve">Ana Ortiz</t>
        </is>
      </c>
      <c r="C127" s="4">
        <f>COUNTIFS('Opportunities'!$C$2:$C$1775,"=r06",'Opportunities'!$M$2:$M$1775,"=apr25",'Opportunities'!$H$2:$H$1775,"&lt;&gt;")</f>
        <v>2</v>
      </c>
      <c r="D127" s="4">
        <f>COUNTIFS('Opportunities'!$C$2:$C$1775,"=r06",'Opportunities'!$M$2:$M$1775,"=may25",'Opportunities'!$H$2:$H$1775,"&lt;&gt;")</f>
        <v>3</v>
      </c>
      <c r="E127" s="4">
        <f>COUNTIFS('Opportunities'!$C$2:$C$1775,"=r06",'Opportunities'!$M$2:$M$1775,"=jun25",'Opportunities'!$H$2:$H$1775,"&lt;&gt;")</f>
        <v>11</v>
      </c>
      <c r="F127" s="4">
        <f>COUNTIFS('Opportunities'!$C$2:$C$1775,"=r06",'Opportunities'!$M$2:$M$1775,"=jul25",'Opportunities'!$H$2:$H$1775,"&lt;&gt;")</f>
        <v>9</v>
      </c>
      <c r="G127" s="4">
        <f>COUNTIFS('Opportunities'!$C$2:$C$1775,"=r06",'Opportunities'!$M$2:$M$1775,"=aug25",'Opportunities'!$H$2:$H$1775,"&lt;&gt;")</f>
        <v>4</v>
      </c>
      <c r="H127" s="4">
        <f>COUNTIFS('Opportunities'!$C$2:$C$1775,"=r06",'Opportunities'!$M$2:$M$1775,"=sep25",'Opportunities'!$H$2:$H$1775,"&lt;&gt;")</f>
        <v>2</v>
      </c>
      <c r="I127" s="4">
        <f>COUNTIFS('Opportunities'!$C$2:$C$1775,"=r06",'Opportunities'!$M$2:$M$1775,"=oct25",'Opportunities'!$H$2:$H$1775,"&lt;&gt;")</f>
        <v>4</v>
      </c>
      <c r="J127" s="4">
        <f>COUNTIFS('Opportunities'!$C$2:$C$1775,"=r06",'Opportunities'!$M$2:$M$1775,"=nov25",'Opportunities'!$H$2:$H$1775,"&lt;&gt;")</f>
        <v>5</v>
      </c>
      <c r="K127" s="4">
        <f>COUNTIFS('Opportunities'!$C$2:$C$1775,"=r06",'Opportunities'!$M$2:$M$1775,"=dec25",'Opportunities'!$H$2:$H$1775,"&lt;&gt;")</f>
        <v>6</v>
      </c>
      <c r="L127" s="4">
        <f>COUNTIFS('Opportunities'!$C$2:$C$1775,"=r06",'Opportunities'!$M$2:$M$1775,"=jan26",'Opportunities'!$H$2:$H$1775,"&lt;&gt;")</f>
        <v>3</v>
      </c>
      <c r="M127" s="4">
        <f>COUNTIFS('Opportunities'!$C$2:$C$1775,"=r06",'Opportunities'!$M$2:$M$1775,"=feb26",'Opportunities'!$H$2:$H$1775,"&lt;&gt;")</f>
        <v>4</v>
      </c>
      <c r="N127" s="4">
        <f>COUNTIFS('Opportunities'!$C$2:$C$1775,"=r06",'Opportunities'!$M$2:$M$1775,"=mar26",'Opportunities'!$H$2:$H$1775,"&lt;&gt;")</f>
        <v>11</v>
      </c>
      <c r="O127" s="4">
        <f>COUNTIFS('Opportunities'!$C$2:$C$1775,"=r06",'Opportunities'!$M$2:$M$1775,"=apr26",'Opportunities'!$H$2:$H$1775,"&lt;&gt;")</f>
        <v>10</v>
      </c>
      <c r="P127" s="4">
        <f>COUNTIFS('Opportunities'!$C$2:$C$1775,"=r06",'Opportunities'!$M$2:$M$1775,"=may26",'Opportunities'!$H$2:$H$1775,"&lt;&gt;")</f>
        <v>6</v>
      </c>
      <c r="Q127" s="4">
        <f>COUNTIFS('Opportunities'!$C$2:$C$1775,"=r06",'Opportunities'!$M$2:$M$1775,"=jun26",'Opportunities'!$H$2:$H$1775,"&lt;&gt;")</f>
        <v>10</v>
      </c>
      <c r="R127" s="4">
        <f>COUNTIFS('Opportunities'!$C$2:$C$1775,"=r06",'Opportunities'!$M$2:$M$1775,"=jul26",'Opportunities'!$H$2:$H$1775,"&lt;&gt;")</f>
        <v>11</v>
      </c>
      <c r="S127" s="4">
        <f>COUNTIFS('Opportunities'!$C$2:$C$1775,"=r06",'Opportunities'!$M$2:$M$1775,"=aug26",'Opportunities'!$H$2:$H$1775,"&lt;&gt;")</f>
        <v>9</v>
      </c>
      <c r="T127" s="4">
        <f>COUNTIFS('Opportunities'!$C$2:$C$1775,"=r06",'Opportunities'!$M$2:$M$1775,"=sep26",'Opportunities'!$H$2:$H$1775,"&lt;&gt;")</f>
        <v>7</v>
      </c>
      <c r="U127" s="4">
        <f>COUNTIFS('Opportunities'!$C$2:$C$1775,"=r06",'Opportunities'!$M$2:$M$1775,"=oct26",'Opportunities'!$H$2:$H$1775,"&lt;&gt;")</f>
        <v>0</v>
      </c>
      <c r="V127" s="4">
        <f>COUNTIFS('Opportunities'!$C$2:$C$1775,"=r06",'Opportunities'!$M$2:$M$1775,"=nov26",'Opportunities'!$H$2:$H$1775,"&lt;&gt;")</f>
        <v>0</v>
      </c>
      <c r="W127" s="4">
        <f>COUNTIFS('Opportunities'!$C$2:$C$1775,"=r06",'Opportunities'!$M$2:$M$1775,"=dec26",'Opportunities'!$H$2:$H$1775,"&lt;&gt;")</f>
        <v>0</v>
      </c>
    </row>
    <row r="128">
      <c r="A128" s="0" t="inlineStr">
        <is>
          <t xml:space="preserve">Opportunities created</t>
        </is>
      </c>
      <c r="B128" s="0" t="inlineStr">
        <is>
          <t xml:space="preserve">Tobias Silva</t>
        </is>
      </c>
      <c r="C128" s="4">
        <f>COUNTIFS('Opportunities'!$C$2:$C$1775,"=r07",'Opportunities'!$M$2:$M$1775,"=apr25",'Opportunities'!$H$2:$H$1775,"&lt;&gt;")</f>
        <v>3</v>
      </c>
      <c r="D128" s="4">
        <f>COUNTIFS('Opportunities'!$C$2:$C$1775,"=r07",'Opportunities'!$M$2:$M$1775,"=may25",'Opportunities'!$H$2:$H$1775,"&lt;&gt;")</f>
        <v>1</v>
      </c>
      <c r="E128" s="4">
        <f>COUNTIFS('Opportunities'!$C$2:$C$1775,"=r07",'Opportunities'!$M$2:$M$1775,"=jun25",'Opportunities'!$H$2:$H$1775,"&lt;&gt;")</f>
        <v>1</v>
      </c>
      <c r="F128" s="4">
        <f>COUNTIFS('Opportunities'!$C$2:$C$1775,"=r07",'Opportunities'!$M$2:$M$1775,"=jul25",'Opportunities'!$H$2:$H$1775,"&lt;&gt;")</f>
        <v>0</v>
      </c>
      <c r="G128" s="4">
        <f>COUNTIFS('Opportunities'!$C$2:$C$1775,"=r07",'Opportunities'!$M$2:$M$1775,"=aug25",'Opportunities'!$H$2:$H$1775,"&lt;&gt;")</f>
        <v>1</v>
      </c>
      <c r="H128" s="4">
        <f>COUNTIFS('Opportunities'!$C$2:$C$1775,"=r07",'Opportunities'!$M$2:$M$1775,"=sep25",'Opportunities'!$H$2:$H$1775,"&lt;&gt;")</f>
        <v>0</v>
      </c>
      <c r="I128" s="4">
        <f>COUNTIFS('Opportunities'!$C$2:$C$1775,"=r07",'Opportunities'!$M$2:$M$1775,"=oct25",'Opportunities'!$H$2:$H$1775,"&lt;&gt;")</f>
        <v>1</v>
      </c>
      <c r="J128" s="4">
        <f>COUNTIFS('Opportunities'!$C$2:$C$1775,"=r07",'Opportunities'!$M$2:$M$1775,"=nov25",'Opportunities'!$H$2:$H$1775,"&lt;&gt;")</f>
        <v>6</v>
      </c>
      <c r="K128" s="4">
        <f>COUNTIFS('Opportunities'!$C$2:$C$1775,"=r07",'Opportunities'!$M$2:$M$1775,"=dec25",'Opportunities'!$H$2:$H$1775,"&lt;&gt;")</f>
        <v>1</v>
      </c>
      <c r="L128" s="4">
        <f>COUNTIFS('Opportunities'!$C$2:$C$1775,"=r07",'Opportunities'!$M$2:$M$1775,"=jan26",'Opportunities'!$H$2:$H$1775,"&lt;&gt;")</f>
        <v>0</v>
      </c>
      <c r="M128" s="4">
        <f>COUNTIFS('Opportunities'!$C$2:$C$1775,"=r07",'Opportunities'!$M$2:$M$1775,"=feb26",'Opportunities'!$H$2:$H$1775,"&lt;&gt;")</f>
        <v>4</v>
      </c>
      <c r="N128" s="4">
        <f>COUNTIFS('Opportunities'!$C$2:$C$1775,"=r07",'Opportunities'!$M$2:$M$1775,"=mar26",'Opportunities'!$H$2:$H$1775,"&lt;&gt;")</f>
        <v>2</v>
      </c>
      <c r="O128" s="4">
        <f>COUNTIFS('Opportunities'!$C$2:$C$1775,"=r07",'Opportunities'!$M$2:$M$1775,"=apr26",'Opportunities'!$H$2:$H$1775,"&lt;&gt;")</f>
        <v>3</v>
      </c>
      <c r="P128" s="4">
        <f>COUNTIFS('Opportunities'!$C$2:$C$1775,"=r07",'Opportunities'!$M$2:$M$1775,"=may26",'Opportunities'!$H$2:$H$1775,"&lt;&gt;")</f>
        <v>2</v>
      </c>
      <c r="Q128" s="4">
        <f>COUNTIFS('Opportunities'!$C$2:$C$1775,"=r07",'Opportunities'!$M$2:$M$1775,"=jun26",'Opportunities'!$H$2:$H$1775,"&lt;&gt;")</f>
        <v>4</v>
      </c>
      <c r="R128" s="4">
        <f>COUNTIFS('Opportunities'!$C$2:$C$1775,"=r07",'Opportunities'!$M$2:$M$1775,"=jul26",'Opportunities'!$H$2:$H$1775,"&lt;&gt;")</f>
        <v>0</v>
      </c>
      <c r="S128" s="4">
        <f>COUNTIFS('Opportunities'!$C$2:$C$1775,"=r07",'Opportunities'!$M$2:$M$1775,"=aug26",'Opportunities'!$H$2:$H$1775,"&lt;&gt;")</f>
        <v>1</v>
      </c>
      <c r="T128" s="4">
        <f>COUNTIFS('Opportunities'!$C$2:$C$1775,"=r07",'Opportunities'!$M$2:$M$1775,"=sep26",'Opportunities'!$H$2:$H$1775,"&lt;&gt;")</f>
        <v>1</v>
      </c>
      <c r="U128" s="4">
        <f>COUNTIFS('Opportunities'!$C$2:$C$1775,"=r07",'Opportunities'!$M$2:$M$1775,"=oct26",'Opportunities'!$H$2:$H$1775,"&lt;&gt;")</f>
        <v>0</v>
      </c>
      <c r="V128" s="4">
        <f>COUNTIFS('Opportunities'!$C$2:$C$1775,"=r07",'Opportunities'!$M$2:$M$1775,"=nov26",'Opportunities'!$H$2:$H$1775,"&lt;&gt;")</f>
        <v>0</v>
      </c>
      <c r="W128" s="4">
        <f>COUNTIFS('Opportunities'!$C$2:$C$1775,"=r07",'Opportunities'!$M$2:$M$1775,"=dec26",'Opportunities'!$H$2:$H$1775,"&lt;&gt;")</f>
        <v>0</v>
      </c>
    </row>
    <row r="129">
      <c r="A129" s="0" t="inlineStr">
        <is>
          <t xml:space="preserve">Opportunities created</t>
        </is>
      </c>
      <c r="B129" s="0" t="inlineStr">
        <is>
          <t xml:space="preserve">Leila Osei</t>
        </is>
      </c>
      <c r="C129" s="4">
        <f>COUNTIFS('Opportunities'!$C$2:$C$1775,"=r08",'Opportunities'!$M$2:$M$1775,"=apr25",'Opportunities'!$H$2:$H$1775,"&lt;&gt;")</f>
        <v>1</v>
      </c>
      <c r="D129" s="4">
        <f>COUNTIFS('Opportunities'!$C$2:$C$1775,"=r08",'Opportunities'!$M$2:$M$1775,"=may25",'Opportunities'!$H$2:$H$1775,"&lt;&gt;")</f>
        <v>0</v>
      </c>
      <c r="E129" s="4">
        <f>COUNTIFS('Opportunities'!$C$2:$C$1775,"=r08",'Opportunities'!$M$2:$M$1775,"=jun25",'Opportunities'!$H$2:$H$1775,"&lt;&gt;")</f>
        <v>0</v>
      </c>
      <c r="F129" s="4">
        <f>COUNTIFS('Opportunities'!$C$2:$C$1775,"=r08",'Opportunities'!$M$2:$M$1775,"=jul25",'Opportunities'!$H$2:$H$1775,"&lt;&gt;")</f>
        <v>2</v>
      </c>
      <c r="G129" s="4">
        <f>COUNTIFS('Opportunities'!$C$2:$C$1775,"=r08",'Opportunities'!$M$2:$M$1775,"=aug25",'Opportunities'!$H$2:$H$1775,"&lt;&gt;")</f>
        <v>0</v>
      </c>
      <c r="H129" s="4">
        <f>COUNTIFS('Opportunities'!$C$2:$C$1775,"=r08",'Opportunities'!$M$2:$M$1775,"=sep25",'Opportunities'!$H$2:$H$1775,"&lt;&gt;")</f>
        <v>2</v>
      </c>
      <c r="I129" s="4">
        <f>COUNTIFS('Opportunities'!$C$2:$C$1775,"=r08",'Opportunities'!$M$2:$M$1775,"=oct25",'Opportunities'!$H$2:$H$1775,"&lt;&gt;")</f>
        <v>2</v>
      </c>
      <c r="J129" s="4">
        <f>COUNTIFS('Opportunities'!$C$2:$C$1775,"=r08",'Opportunities'!$M$2:$M$1775,"=nov25",'Opportunities'!$H$2:$H$1775,"&lt;&gt;")</f>
        <v>1</v>
      </c>
      <c r="K129" s="4">
        <f>COUNTIFS('Opportunities'!$C$2:$C$1775,"=r08",'Opportunities'!$M$2:$M$1775,"=dec25",'Opportunities'!$H$2:$H$1775,"&lt;&gt;")</f>
        <v>1</v>
      </c>
      <c r="L129" s="4">
        <f>COUNTIFS('Opportunities'!$C$2:$C$1775,"=r08",'Opportunities'!$M$2:$M$1775,"=jan26",'Opportunities'!$H$2:$H$1775,"&lt;&gt;")</f>
        <v>3</v>
      </c>
      <c r="M129" s="4">
        <f>COUNTIFS('Opportunities'!$C$2:$C$1775,"=r08",'Opportunities'!$M$2:$M$1775,"=feb26",'Opportunities'!$H$2:$H$1775,"&lt;&gt;")</f>
        <v>5</v>
      </c>
      <c r="N129" s="4">
        <f>COUNTIFS('Opportunities'!$C$2:$C$1775,"=r08",'Opportunities'!$M$2:$M$1775,"=mar26",'Opportunities'!$H$2:$H$1775,"&lt;&gt;")</f>
        <v>3</v>
      </c>
      <c r="O129" s="4">
        <f>COUNTIFS('Opportunities'!$C$2:$C$1775,"=r08",'Opportunities'!$M$2:$M$1775,"=apr26",'Opportunities'!$H$2:$H$1775,"&lt;&gt;")</f>
        <v>1</v>
      </c>
      <c r="P129" s="4">
        <f>COUNTIFS('Opportunities'!$C$2:$C$1775,"=r08",'Opportunities'!$M$2:$M$1775,"=may26",'Opportunities'!$H$2:$H$1775,"&lt;&gt;")</f>
        <v>1</v>
      </c>
      <c r="Q129" s="4">
        <f>COUNTIFS('Opportunities'!$C$2:$C$1775,"=r08",'Opportunities'!$M$2:$M$1775,"=jun26",'Opportunities'!$H$2:$H$1775,"&lt;&gt;")</f>
        <v>3</v>
      </c>
      <c r="R129" s="4">
        <f>COUNTIFS('Opportunities'!$C$2:$C$1775,"=r08",'Opportunities'!$M$2:$M$1775,"=jul26",'Opportunities'!$H$2:$H$1775,"&lt;&gt;")</f>
        <v>4</v>
      </c>
      <c r="S129" s="4">
        <f>COUNTIFS('Opportunities'!$C$2:$C$1775,"=r08",'Opportunities'!$M$2:$M$1775,"=aug26",'Opportunities'!$H$2:$H$1775,"&lt;&gt;")</f>
        <v>0</v>
      </c>
      <c r="T129" s="4">
        <f>COUNTIFS('Opportunities'!$C$2:$C$1775,"=r08",'Opportunities'!$M$2:$M$1775,"=sep26",'Opportunities'!$H$2:$H$1775,"&lt;&gt;")</f>
        <v>0</v>
      </c>
      <c r="U129" s="4">
        <f>COUNTIFS('Opportunities'!$C$2:$C$1775,"=r08",'Opportunities'!$M$2:$M$1775,"=oct26",'Opportunities'!$H$2:$H$1775,"&lt;&gt;")</f>
        <v>0</v>
      </c>
      <c r="V129" s="4">
        <f>COUNTIFS('Opportunities'!$C$2:$C$1775,"=r08",'Opportunities'!$M$2:$M$1775,"=nov26",'Opportunities'!$H$2:$H$1775,"&lt;&gt;")</f>
        <v>0</v>
      </c>
      <c r="W129" s="4">
        <f>COUNTIFS('Opportunities'!$C$2:$C$1775,"=r08",'Opportunities'!$M$2:$M$1775,"=dec26",'Opportunities'!$H$2:$H$1775,"&lt;&gt;")</f>
        <v>0</v>
      </c>
    </row>
    <row r="130">
      <c r="A130" s="0" t="inlineStr">
        <is>
          <t xml:space="preserve">Opportunities created</t>
        </is>
      </c>
      <c r="B130" s="0" t="inlineStr">
        <is>
          <t xml:space="preserve">Grace Costa</t>
        </is>
      </c>
      <c r="C130" s="4">
        <f>COUNTIFS('Opportunities'!$C$2:$C$1775,"=r09",'Opportunities'!$M$2:$M$1775,"=apr25",'Opportunities'!$H$2:$H$1775,"&lt;&gt;")</f>
        <v>8</v>
      </c>
      <c r="D130" s="4">
        <f>COUNTIFS('Opportunities'!$C$2:$C$1775,"=r09",'Opportunities'!$M$2:$M$1775,"=may25",'Opportunities'!$H$2:$H$1775,"&lt;&gt;")</f>
        <v>11</v>
      </c>
      <c r="E130" s="4">
        <f>COUNTIFS('Opportunities'!$C$2:$C$1775,"=r09",'Opportunities'!$M$2:$M$1775,"=jun25",'Opportunities'!$H$2:$H$1775,"&lt;&gt;")</f>
        <v>9</v>
      </c>
      <c r="F130" s="4">
        <f>COUNTIFS('Opportunities'!$C$2:$C$1775,"=r09",'Opportunities'!$M$2:$M$1775,"=jul25",'Opportunities'!$H$2:$H$1775,"&lt;&gt;")</f>
        <v>6</v>
      </c>
      <c r="G130" s="4">
        <f>COUNTIFS('Opportunities'!$C$2:$C$1775,"=r09",'Opportunities'!$M$2:$M$1775,"=aug25",'Opportunities'!$H$2:$H$1775,"&lt;&gt;")</f>
        <v>7</v>
      </c>
      <c r="H130" s="4">
        <f>COUNTIFS('Opportunities'!$C$2:$C$1775,"=r09",'Opportunities'!$M$2:$M$1775,"=sep25",'Opportunities'!$H$2:$H$1775,"&lt;&gt;")</f>
        <v>12</v>
      </c>
      <c r="I130" s="4">
        <f>COUNTIFS('Opportunities'!$C$2:$C$1775,"=r09",'Opportunities'!$M$2:$M$1775,"=oct25",'Opportunities'!$H$2:$H$1775,"&lt;&gt;")</f>
        <v>5</v>
      </c>
      <c r="J130" s="4">
        <f>COUNTIFS('Opportunities'!$C$2:$C$1775,"=r09",'Opportunities'!$M$2:$M$1775,"=nov25",'Opportunities'!$H$2:$H$1775,"&lt;&gt;")</f>
        <v>13</v>
      </c>
      <c r="K130" s="4">
        <f>COUNTIFS('Opportunities'!$C$2:$C$1775,"=r09",'Opportunities'!$M$2:$M$1775,"=dec25",'Opportunities'!$H$2:$H$1775,"&lt;&gt;")</f>
        <v>16</v>
      </c>
      <c r="L130" s="4">
        <f>COUNTIFS('Opportunities'!$C$2:$C$1775,"=r09",'Opportunities'!$M$2:$M$1775,"=jan26",'Opportunities'!$H$2:$H$1775,"&lt;&gt;")</f>
        <v>10</v>
      </c>
      <c r="M130" s="4">
        <f>COUNTIFS('Opportunities'!$C$2:$C$1775,"=r09",'Opportunities'!$M$2:$M$1775,"=feb26",'Opportunities'!$H$2:$H$1775,"&lt;&gt;")</f>
        <v>7</v>
      </c>
      <c r="N130" s="4">
        <f>COUNTIFS('Opportunities'!$C$2:$C$1775,"=r09",'Opportunities'!$M$2:$M$1775,"=mar26",'Opportunities'!$H$2:$H$1775,"&lt;&gt;")</f>
        <v>9</v>
      </c>
      <c r="O130" s="4">
        <f>COUNTIFS('Opportunities'!$C$2:$C$1775,"=r09",'Opportunities'!$M$2:$M$1775,"=apr26",'Opportunities'!$H$2:$H$1775,"&lt;&gt;")</f>
        <v>7</v>
      </c>
      <c r="P130" s="4">
        <f>COUNTIFS('Opportunities'!$C$2:$C$1775,"=r09",'Opportunities'!$M$2:$M$1775,"=may26",'Opportunities'!$H$2:$H$1775,"&lt;&gt;")</f>
        <v>13</v>
      </c>
      <c r="Q130" s="4">
        <f>COUNTIFS('Opportunities'!$C$2:$C$1775,"=r09",'Opportunities'!$M$2:$M$1775,"=jun26",'Opportunities'!$H$2:$H$1775,"&lt;&gt;")</f>
        <v>9</v>
      </c>
      <c r="R130" s="4">
        <f>COUNTIFS('Opportunities'!$C$2:$C$1775,"=r09",'Opportunities'!$M$2:$M$1775,"=jul26",'Opportunities'!$H$2:$H$1775,"&lt;&gt;")</f>
        <v>13</v>
      </c>
      <c r="S130" s="4">
        <f>COUNTIFS('Opportunities'!$C$2:$C$1775,"=r09",'Opportunities'!$M$2:$M$1775,"=aug26",'Opportunities'!$H$2:$H$1775,"&lt;&gt;")</f>
        <v>2</v>
      </c>
      <c r="T130" s="4">
        <f>COUNTIFS('Opportunities'!$C$2:$C$1775,"=r09",'Opportunities'!$M$2:$M$1775,"=sep26",'Opportunities'!$H$2:$H$1775,"&lt;&gt;")</f>
        <v>3</v>
      </c>
      <c r="U130" s="4">
        <f>COUNTIFS('Opportunities'!$C$2:$C$1775,"=r09",'Opportunities'!$M$2:$M$1775,"=oct26",'Opportunities'!$H$2:$H$1775,"&lt;&gt;")</f>
        <v>0</v>
      </c>
      <c r="V130" s="4">
        <f>COUNTIFS('Opportunities'!$C$2:$C$1775,"=r09",'Opportunities'!$M$2:$M$1775,"=nov26",'Opportunities'!$H$2:$H$1775,"&lt;&gt;")</f>
        <v>0</v>
      </c>
      <c r="W130" s="4">
        <f>COUNTIFS('Opportunities'!$C$2:$C$1775,"=r09",'Opportunities'!$M$2:$M$1775,"=dec26",'Opportunities'!$H$2:$H$1775,"&lt;&gt;")</f>
        <v>0</v>
      </c>
    </row>
    <row r="131">
      <c r="A131" s="0" t="inlineStr">
        <is>
          <t xml:space="preserve">Opportunities created</t>
        </is>
      </c>
      <c r="B131" s="0" t="inlineStr">
        <is>
          <t xml:space="preserve">Ingrid Müller</t>
        </is>
      </c>
      <c r="C131" s="4">
        <f>COUNTIFS('Opportunities'!$C$2:$C$1775,"=r10",'Opportunities'!$M$2:$M$1775,"=apr25",'Opportunities'!$H$2:$H$1775,"&lt;&gt;")</f>
        <v>0</v>
      </c>
      <c r="D131" s="4">
        <f>COUNTIFS('Opportunities'!$C$2:$C$1775,"=r10",'Opportunities'!$M$2:$M$1775,"=may25",'Opportunities'!$H$2:$H$1775,"&lt;&gt;")</f>
        <v>0</v>
      </c>
      <c r="E131" s="4">
        <f>COUNTIFS('Opportunities'!$C$2:$C$1775,"=r10",'Opportunities'!$M$2:$M$1775,"=jun25",'Opportunities'!$H$2:$H$1775,"&lt;&gt;")</f>
        <v>0</v>
      </c>
      <c r="F131" s="4">
        <f>COUNTIFS('Opportunities'!$C$2:$C$1775,"=r10",'Opportunities'!$M$2:$M$1775,"=jul25",'Opportunities'!$H$2:$H$1775,"&lt;&gt;")</f>
        <v>0</v>
      </c>
      <c r="G131" s="4">
        <f>COUNTIFS('Opportunities'!$C$2:$C$1775,"=r10",'Opportunities'!$M$2:$M$1775,"=aug25",'Opportunities'!$H$2:$H$1775,"&lt;&gt;")</f>
        <v>0</v>
      </c>
      <c r="H131" s="4">
        <f>COUNTIFS('Opportunities'!$C$2:$C$1775,"=r10",'Opportunities'!$M$2:$M$1775,"=sep25",'Opportunities'!$H$2:$H$1775,"&lt;&gt;")</f>
        <v>0</v>
      </c>
      <c r="I131" s="4">
        <f>COUNTIFS('Opportunities'!$C$2:$C$1775,"=r10",'Opportunities'!$M$2:$M$1775,"=oct25",'Opportunities'!$H$2:$H$1775,"&lt;&gt;")</f>
        <v>0</v>
      </c>
      <c r="J131" s="4">
        <f>COUNTIFS('Opportunities'!$C$2:$C$1775,"=r10",'Opportunities'!$M$2:$M$1775,"=nov25",'Opportunities'!$H$2:$H$1775,"&lt;&gt;")</f>
        <v>0</v>
      </c>
      <c r="K131" s="4">
        <f>COUNTIFS('Opportunities'!$C$2:$C$1775,"=r10",'Opportunities'!$M$2:$M$1775,"=dec25",'Opportunities'!$H$2:$H$1775,"&lt;&gt;")</f>
        <v>0</v>
      </c>
      <c r="L131" s="4">
        <f>COUNTIFS('Opportunities'!$C$2:$C$1775,"=r10",'Opportunities'!$M$2:$M$1775,"=jan26",'Opportunities'!$H$2:$H$1775,"&lt;&gt;")</f>
        <v>0</v>
      </c>
      <c r="M131" s="4">
        <f>COUNTIFS('Opportunities'!$C$2:$C$1775,"=r10",'Opportunities'!$M$2:$M$1775,"=feb26",'Opportunities'!$H$2:$H$1775,"&lt;&gt;")</f>
        <v>3</v>
      </c>
      <c r="N131" s="4">
        <f>COUNTIFS('Opportunities'!$C$2:$C$1775,"=r10",'Opportunities'!$M$2:$M$1775,"=mar26",'Opportunities'!$H$2:$H$1775,"&lt;&gt;")</f>
        <v>3</v>
      </c>
      <c r="O131" s="4">
        <f>COUNTIFS('Opportunities'!$C$2:$C$1775,"=r10",'Opportunities'!$M$2:$M$1775,"=apr26",'Opportunities'!$H$2:$H$1775,"&lt;&gt;")</f>
        <v>2</v>
      </c>
      <c r="P131" s="4">
        <f>COUNTIFS('Opportunities'!$C$2:$C$1775,"=r10",'Opportunities'!$M$2:$M$1775,"=may26",'Opportunities'!$H$2:$H$1775,"&lt;&gt;")</f>
        <v>2</v>
      </c>
      <c r="Q131" s="4">
        <f>COUNTIFS('Opportunities'!$C$2:$C$1775,"=r10",'Opportunities'!$M$2:$M$1775,"=jun26",'Opportunities'!$H$2:$H$1775,"&lt;&gt;")</f>
        <v>4</v>
      </c>
      <c r="R131" s="4">
        <f>COUNTIFS('Opportunities'!$C$2:$C$1775,"=r10",'Opportunities'!$M$2:$M$1775,"=jul26",'Opportunities'!$H$2:$H$1775,"&lt;&gt;")</f>
        <v>5</v>
      </c>
      <c r="S131" s="4">
        <f>COUNTIFS('Opportunities'!$C$2:$C$1775,"=r10",'Opportunities'!$M$2:$M$1775,"=aug26",'Opportunities'!$H$2:$H$1775,"&lt;&gt;")</f>
        <v>6</v>
      </c>
      <c r="T131" s="4">
        <f>COUNTIFS('Opportunities'!$C$2:$C$1775,"=r10",'Opportunities'!$M$2:$M$1775,"=sep26",'Opportunities'!$H$2:$H$1775,"&lt;&gt;")</f>
        <v>1</v>
      </c>
      <c r="U131" s="4">
        <f>COUNTIFS('Opportunities'!$C$2:$C$1775,"=r10",'Opportunities'!$M$2:$M$1775,"=oct26",'Opportunities'!$H$2:$H$1775,"&lt;&gt;")</f>
        <v>0</v>
      </c>
      <c r="V131" s="4">
        <f>COUNTIFS('Opportunities'!$C$2:$C$1775,"=r10",'Opportunities'!$M$2:$M$1775,"=nov26",'Opportunities'!$H$2:$H$1775,"&lt;&gt;")</f>
        <v>0</v>
      </c>
      <c r="W131" s="4">
        <f>COUNTIFS('Opportunities'!$C$2:$C$1775,"=r10",'Opportunities'!$M$2:$M$1775,"=dec26",'Opportunities'!$H$2:$H$1775,"&lt;&gt;")</f>
        <v>0</v>
      </c>
    </row>
    <row r="132">
      <c r="A132" s="0" t="inlineStr">
        <is>
          <t xml:space="preserve">Opportunities created</t>
        </is>
      </c>
      <c r="B132" s="0" t="inlineStr">
        <is>
          <t xml:space="preserve">Ingrid Kim</t>
        </is>
      </c>
      <c r="C132" s="4">
        <f>COUNTIFS('Opportunities'!$C$2:$C$1775,"=r11",'Opportunities'!$M$2:$M$1775,"=apr25",'Opportunities'!$H$2:$H$1775,"&lt;&gt;")</f>
        <v>7</v>
      </c>
      <c r="D132" s="4">
        <f>COUNTIFS('Opportunities'!$C$2:$C$1775,"=r11",'Opportunities'!$M$2:$M$1775,"=may25",'Opportunities'!$H$2:$H$1775,"&lt;&gt;")</f>
        <v>7</v>
      </c>
      <c r="E132" s="4">
        <f>COUNTIFS('Opportunities'!$C$2:$C$1775,"=r11",'Opportunities'!$M$2:$M$1775,"=jun25",'Opportunities'!$H$2:$H$1775,"&lt;&gt;")</f>
        <v>7</v>
      </c>
      <c r="F132" s="4">
        <f>COUNTIFS('Opportunities'!$C$2:$C$1775,"=r11",'Opportunities'!$M$2:$M$1775,"=jul25",'Opportunities'!$H$2:$H$1775,"&lt;&gt;")</f>
        <v>10</v>
      </c>
      <c r="G132" s="4">
        <f>COUNTIFS('Opportunities'!$C$2:$C$1775,"=r11",'Opportunities'!$M$2:$M$1775,"=aug25",'Opportunities'!$H$2:$H$1775,"&lt;&gt;")</f>
        <v>2</v>
      </c>
      <c r="H132" s="4">
        <f>COUNTIFS('Opportunities'!$C$2:$C$1775,"=r11",'Opportunities'!$M$2:$M$1775,"=sep25",'Opportunities'!$H$2:$H$1775,"&lt;&gt;")</f>
        <v>4</v>
      </c>
      <c r="I132" s="4">
        <f>COUNTIFS('Opportunities'!$C$2:$C$1775,"=r11",'Opportunities'!$M$2:$M$1775,"=oct25",'Opportunities'!$H$2:$H$1775,"&lt;&gt;")</f>
        <v>8</v>
      </c>
      <c r="J132" s="4">
        <f>COUNTIFS('Opportunities'!$C$2:$C$1775,"=r11",'Opportunities'!$M$2:$M$1775,"=nov25",'Opportunities'!$H$2:$H$1775,"&lt;&gt;")</f>
        <v>3</v>
      </c>
      <c r="K132" s="4">
        <f>COUNTIFS('Opportunities'!$C$2:$C$1775,"=r11",'Opportunities'!$M$2:$M$1775,"=dec25",'Opportunities'!$H$2:$H$1775,"&lt;&gt;")</f>
        <v>10</v>
      </c>
      <c r="L132" s="4">
        <f>COUNTIFS('Opportunities'!$C$2:$C$1775,"=r11",'Opportunities'!$M$2:$M$1775,"=jan26",'Opportunities'!$H$2:$H$1775,"&lt;&gt;")</f>
        <v>5</v>
      </c>
      <c r="M132" s="4">
        <f>COUNTIFS('Opportunities'!$C$2:$C$1775,"=r11",'Opportunities'!$M$2:$M$1775,"=feb26",'Opportunities'!$H$2:$H$1775,"&lt;&gt;")</f>
        <v>7</v>
      </c>
      <c r="N132" s="4">
        <f>COUNTIFS('Opportunities'!$C$2:$C$1775,"=r11",'Opportunities'!$M$2:$M$1775,"=mar26",'Opportunities'!$H$2:$H$1775,"&lt;&gt;")</f>
        <v>4</v>
      </c>
      <c r="O132" s="4">
        <f>COUNTIFS('Opportunities'!$C$2:$C$1775,"=r11",'Opportunities'!$M$2:$M$1775,"=apr26",'Opportunities'!$H$2:$H$1775,"&lt;&gt;")</f>
        <v>5</v>
      </c>
      <c r="P132" s="4">
        <f>COUNTIFS('Opportunities'!$C$2:$C$1775,"=r11",'Opportunities'!$M$2:$M$1775,"=may26",'Opportunities'!$H$2:$H$1775,"&lt;&gt;")</f>
        <v>3</v>
      </c>
      <c r="Q132" s="4">
        <f>COUNTIFS('Opportunities'!$C$2:$C$1775,"=r11",'Opportunities'!$M$2:$M$1775,"=jun26",'Opportunities'!$H$2:$H$1775,"&lt;&gt;")</f>
        <v>9</v>
      </c>
      <c r="R132" s="4">
        <f>COUNTIFS('Opportunities'!$C$2:$C$1775,"=r11",'Opportunities'!$M$2:$M$1775,"=jul26",'Opportunities'!$H$2:$H$1775,"&lt;&gt;")</f>
        <v>7</v>
      </c>
      <c r="S132" s="4">
        <f>COUNTIFS('Opportunities'!$C$2:$C$1775,"=r11",'Opportunities'!$M$2:$M$1775,"=aug26",'Opportunities'!$H$2:$H$1775,"&lt;&gt;")</f>
        <v>5</v>
      </c>
      <c r="T132" s="4">
        <f>COUNTIFS('Opportunities'!$C$2:$C$1775,"=r11",'Opportunities'!$M$2:$M$1775,"=sep26",'Opportunities'!$H$2:$H$1775,"&lt;&gt;")</f>
        <v>1</v>
      </c>
      <c r="U132" s="4">
        <f>COUNTIFS('Opportunities'!$C$2:$C$1775,"=r11",'Opportunities'!$M$2:$M$1775,"=oct26",'Opportunities'!$H$2:$H$1775,"&lt;&gt;")</f>
        <v>0</v>
      </c>
      <c r="V132" s="4">
        <f>COUNTIFS('Opportunities'!$C$2:$C$1775,"=r11",'Opportunities'!$M$2:$M$1775,"=nov26",'Opportunities'!$H$2:$H$1775,"&lt;&gt;")</f>
        <v>0</v>
      </c>
      <c r="W132" s="4">
        <f>COUNTIFS('Opportunities'!$C$2:$C$1775,"=r11",'Opportunities'!$M$2:$M$1775,"=dec26",'Opportunities'!$H$2:$H$1775,"&lt;&gt;")</f>
        <v>0</v>
      </c>
    </row>
    <row r="133">
      <c r="A133" s="0" t="inlineStr">
        <is>
          <t xml:space="preserve">Opportunities created</t>
        </is>
      </c>
      <c r="B133" s="0" t="inlineStr">
        <is>
          <t xml:space="preserve">Priya Nair</t>
        </is>
      </c>
      <c r="C133" s="4">
        <f>COUNTIFS('Opportunities'!$C$2:$C$1775,"=r12",'Opportunities'!$M$2:$M$1775,"=apr25",'Opportunities'!$H$2:$H$1775,"&lt;&gt;")</f>
        <v>6</v>
      </c>
      <c r="D133" s="4">
        <f>COUNTIFS('Opportunities'!$C$2:$C$1775,"=r12",'Opportunities'!$M$2:$M$1775,"=may25",'Opportunities'!$H$2:$H$1775,"&lt;&gt;")</f>
        <v>14</v>
      </c>
      <c r="E133" s="4">
        <f>COUNTIFS('Opportunities'!$C$2:$C$1775,"=r12",'Opportunities'!$M$2:$M$1775,"=jun25",'Opportunities'!$H$2:$H$1775,"&lt;&gt;")</f>
        <v>5</v>
      </c>
      <c r="F133" s="4">
        <f>COUNTIFS('Opportunities'!$C$2:$C$1775,"=r12",'Opportunities'!$M$2:$M$1775,"=jul25",'Opportunities'!$H$2:$H$1775,"&lt;&gt;")</f>
        <v>9</v>
      </c>
      <c r="G133" s="4">
        <f>COUNTIFS('Opportunities'!$C$2:$C$1775,"=r12",'Opportunities'!$M$2:$M$1775,"=aug25",'Opportunities'!$H$2:$H$1775,"&lt;&gt;")</f>
        <v>8</v>
      </c>
      <c r="H133" s="4">
        <f>COUNTIFS('Opportunities'!$C$2:$C$1775,"=r12",'Opportunities'!$M$2:$M$1775,"=sep25",'Opportunities'!$H$2:$H$1775,"&lt;&gt;")</f>
        <v>10</v>
      </c>
      <c r="I133" s="4">
        <f>COUNTIFS('Opportunities'!$C$2:$C$1775,"=r12",'Opportunities'!$M$2:$M$1775,"=oct25",'Opportunities'!$H$2:$H$1775,"&lt;&gt;")</f>
        <v>7</v>
      </c>
      <c r="J133" s="4">
        <f>COUNTIFS('Opportunities'!$C$2:$C$1775,"=r12",'Opportunities'!$M$2:$M$1775,"=nov25",'Opportunities'!$H$2:$H$1775,"&lt;&gt;")</f>
        <v>2</v>
      </c>
      <c r="K133" s="4">
        <f>COUNTIFS('Opportunities'!$C$2:$C$1775,"=r12",'Opportunities'!$M$2:$M$1775,"=dec25",'Opportunities'!$H$2:$H$1775,"&lt;&gt;")</f>
        <v>6</v>
      </c>
      <c r="L133" s="4">
        <f>COUNTIFS('Opportunities'!$C$2:$C$1775,"=r12",'Opportunities'!$M$2:$M$1775,"=jan26",'Opportunities'!$H$2:$H$1775,"&lt;&gt;")</f>
        <v>7</v>
      </c>
      <c r="M133" s="4">
        <f>COUNTIFS('Opportunities'!$C$2:$C$1775,"=r12",'Opportunities'!$M$2:$M$1775,"=feb26",'Opportunities'!$H$2:$H$1775,"&lt;&gt;")</f>
        <v>5</v>
      </c>
      <c r="N133" s="4">
        <f>COUNTIFS('Opportunities'!$C$2:$C$1775,"=r12",'Opportunities'!$M$2:$M$1775,"=mar26",'Opportunities'!$H$2:$H$1775,"&lt;&gt;")</f>
        <v>7</v>
      </c>
      <c r="O133" s="4">
        <f>COUNTIFS('Opportunities'!$C$2:$C$1775,"=r12",'Opportunities'!$M$2:$M$1775,"=apr26",'Opportunities'!$H$2:$H$1775,"&lt;&gt;")</f>
        <v>5</v>
      </c>
      <c r="P133" s="4">
        <f>COUNTIFS('Opportunities'!$C$2:$C$1775,"=r12",'Opportunities'!$M$2:$M$1775,"=may26",'Opportunities'!$H$2:$H$1775,"&lt;&gt;")</f>
        <v>7</v>
      </c>
      <c r="Q133" s="4">
        <f>COUNTIFS('Opportunities'!$C$2:$C$1775,"=r12",'Opportunities'!$M$2:$M$1775,"=jun26",'Opportunities'!$H$2:$H$1775,"&lt;&gt;")</f>
        <v>14</v>
      </c>
      <c r="R133" s="4">
        <f>COUNTIFS('Opportunities'!$C$2:$C$1775,"=r12",'Opportunities'!$M$2:$M$1775,"=jul26",'Opportunities'!$H$2:$H$1775,"&lt;&gt;")</f>
        <v>5</v>
      </c>
      <c r="S133" s="4">
        <f>COUNTIFS('Opportunities'!$C$2:$C$1775,"=r12",'Opportunities'!$M$2:$M$1775,"=aug26",'Opportunities'!$H$2:$H$1775,"&lt;&gt;")</f>
        <v>5</v>
      </c>
      <c r="T133" s="4">
        <f>COUNTIFS('Opportunities'!$C$2:$C$1775,"=r12",'Opportunities'!$M$2:$M$1775,"=sep26",'Opportunities'!$H$2:$H$1775,"&lt;&gt;")</f>
        <v>9</v>
      </c>
      <c r="U133" s="4">
        <f>COUNTIFS('Opportunities'!$C$2:$C$1775,"=r12",'Opportunities'!$M$2:$M$1775,"=oct26",'Opportunities'!$H$2:$H$1775,"&lt;&gt;")</f>
        <v>0</v>
      </c>
      <c r="V133" s="4">
        <f>COUNTIFS('Opportunities'!$C$2:$C$1775,"=r12",'Opportunities'!$M$2:$M$1775,"=nov26",'Opportunities'!$H$2:$H$1775,"&lt;&gt;")</f>
        <v>0</v>
      </c>
      <c r="W133" s="4">
        <f>COUNTIFS('Opportunities'!$C$2:$C$1775,"=r12",'Opportunities'!$M$2:$M$1775,"=dec26",'Opportunities'!$H$2:$H$1775,"&lt;&gt;")</f>
        <v>0</v>
      </c>
    </row>
    <row r="134">
      <c r="A134" s="0" t="inlineStr">
        <is>
          <t xml:space="preserve">Opportunities created</t>
        </is>
      </c>
      <c r="B134" s="0" t="inlineStr">
        <is>
          <t xml:space="preserve">Hugo Lindqvist</t>
        </is>
      </c>
      <c r="C134" s="4">
        <f>COUNTIFS('Opportunities'!$C$2:$C$1775,"=r13",'Opportunities'!$M$2:$M$1775,"=apr25",'Opportunities'!$H$2:$H$1775,"&lt;&gt;")</f>
        <v>3</v>
      </c>
      <c r="D134" s="4">
        <f>COUNTIFS('Opportunities'!$C$2:$C$1775,"=r13",'Opportunities'!$M$2:$M$1775,"=may25",'Opportunities'!$H$2:$H$1775,"&lt;&gt;")</f>
        <v>10</v>
      </c>
      <c r="E134" s="4">
        <f>COUNTIFS('Opportunities'!$C$2:$C$1775,"=r13",'Opportunities'!$M$2:$M$1775,"=jun25",'Opportunities'!$H$2:$H$1775,"&lt;&gt;")</f>
        <v>8</v>
      </c>
      <c r="F134" s="4">
        <f>COUNTIFS('Opportunities'!$C$2:$C$1775,"=r13",'Opportunities'!$M$2:$M$1775,"=jul25",'Opportunities'!$H$2:$H$1775,"&lt;&gt;")</f>
        <v>6</v>
      </c>
      <c r="G134" s="4">
        <f>COUNTIFS('Opportunities'!$C$2:$C$1775,"=r13",'Opportunities'!$M$2:$M$1775,"=aug25",'Opportunities'!$H$2:$H$1775,"&lt;&gt;")</f>
        <v>2</v>
      </c>
      <c r="H134" s="4">
        <f>COUNTIFS('Opportunities'!$C$2:$C$1775,"=r13",'Opportunities'!$M$2:$M$1775,"=sep25",'Opportunities'!$H$2:$H$1775,"&lt;&gt;")</f>
        <v>3</v>
      </c>
      <c r="I134" s="4">
        <f>COUNTIFS('Opportunities'!$C$2:$C$1775,"=r13",'Opportunities'!$M$2:$M$1775,"=oct25",'Opportunities'!$H$2:$H$1775,"&lt;&gt;")</f>
        <v>3</v>
      </c>
      <c r="J134" s="4">
        <f>COUNTIFS('Opportunities'!$C$2:$C$1775,"=r13",'Opportunities'!$M$2:$M$1775,"=nov25",'Opportunities'!$H$2:$H$1775,"&lt;&gt;")</f>
        <v>1</v>
      </c>
      <c r="K134" s="4">
        <f>COUNTIFS('Opportunities'!$C$2:$C$1775,"=r13",'Opportunities'!$M$2:$M$1775,"=dec25",'Opportunities'!$H$2:$H$1775,"&lt;&gt;")</f>
        <v>5</v>
      </c>
      <c r="L134" s="4">
        <f>COUNTIFS('Opportunities'!$C$2:$C$1775,"=r13",'Opportunities'!$M$2:$M$1775,"=jan26",'Opportunities'!$H$2:$H$1775,"&lt;&gt;")</f>
        <v>5</v>
      </c>
      <c r="M134" s="4">
        <f>COUNTIFS('Opportunities'!$C$2:$C$1775,"=r13",'Opportunities'!$M$2:$M$1775,"=feb26",'Opportunities'!$H$2:$H$1775,"&lt;&gt;")</f>
        <v>3</v>
      </c>
      <c r="N134" s="4">
        <f>COUNTIFS('Opportunities'!$C$2:$C$1775,"=r13",'Opportunities'!$M$2:$M$1775,"=mar26",'Opportunities'!$H$2:$H$1775,"&lt;&gt;")</f>
        <v>0</v>
      </c>
      <c r="O134" s="4">
        <f>COUNTIFS('Opportunities'!$C$2:$C$1775,"=r13",'Opportunities'!$M$2:$M$1775,"=apr26",'Opportunities'!$H$2:$H$1775,"&lt;&gt;")</f>
        <v>2</v>
      </c>
      <c r="P134" s="4">
        <f>COUNTIFS('Opportunities'!$C$2:$C$1775,"=r13",'Opportunities'!$M$2:$M$1775,"=may26",'Opportunities'!$H$2:$H$1775,"&lt;&gt;")</f>
        <v>2</v>
      </c>
      <c r="Q134" s="4">
        <f>COUNTIFS('Opportunities'!$C$2:$C$1775,"=r13",'Opportunities'!$M$2:$M$1775,"=jun26",'Opportunities'!$H$2:$H$1775,"&lt;&gt;")</f>
        <v>7</v>
      </c>
      <c r="R134" s="4">
        <f>COUNTIFS('Opportunities'!$C$2:$C$1775,"=r13",'Opportunities'!$M$2:$M$1775,"=jul26",'Opportunities'!$H$2:$H$1775,"&lt;&gt;")</f>
        <v>2</v>
      </c>
      <c r="S134" s="4">
        <f>COUNTIFS('Opportunities'!$C$2:$C$1775,"=r13",'Opportunities'!$M$2:$M$1775,"=aug26",'Opportunities'!$H$2:$H$1775,"&lt;&gt;")</f>
        <v>1</v>
      </c>
      <c r="T134" s="4">
        <f>COUNTIFS('Opportunities'!$C$2:$C$1775,"=r13",'Opportunities'!$M$2:$M$1775,"=sep26",'Opportunities'!$H$2:$H$1775,"&lt;&gt;")</f>
        <v>1</v>
      </c>
      <c r="U134" s="4">
        <f>COUNTIFS('Opportunities'!$C$2:$C$1775,"=r13",'Opportunities'!$M$2:$M$1775,"=oct26",'Opportunities'!$H$2:$H$1775,"&lt;&gt;")</f>
        <v>0</v>
      </c>
      <c r="V134" s="4">
        <f>COUNTIFS('Opportunities'!$C$2:$C$1775,"=r13",'Opportunities'!$M$2:$M$1775,"=nov26",'Opportunities'!$H$2:$H$1775,"&lt;&gt;")</f>
        <v>0</v>
      </c>
      <c r="W134" s="4">
        <f>COUNTIFS('Opportunities'!$C$2:$C$1775,"=r13",'Opportunities'!$M$2:$M$1775,"=dec26",'Opportunities'!$H$2:$H$1775,"&lt;&gt;")</f>
        <v>0</v>
      </c>
    </row>
    <row r="135">
      <c r="A135" s="0" t="inlineStr">
        <is>
          <t xml:space="preserve">Opportunities created</t>
        </is>
      </c>
      <c r="B135" s="0" t="inlineStr">
        <is>
          <t xml:space="preserve">Wei Novak</t>
        </is>
      </c>
      <c r="C135" s="4">
        <f>COUNTIFS('Opportunities'!$C$2:$C$1775,"=r14",'Opportunities'!$M$2:$M$1775,"=apr25",'Opportunities'!$H$2:$H$1775,"&lt;&gt;")</f>
        <v>0</v>
      </c>
      <c r="D135" s="4">
        <f>COUNTIFS('Opportunities'!$C$2:$C$1775,"=r14",'Opportunities'!$M$2:$M$1775,"=may25",'Opportunities'!$H$2:$H$1775,"&lt;&gt;")</f>
        <v>0</v>
      </c>
      <c r="E135" s="4">
        <f>COUNTIFS('Opportunities'!$C$2:$C$1775,"=r14",'Opportunities'!$M$2:$M$1775,"=jun25",'Opportunities'!$H$2:$H$1775,"&lt;&gt;")</f>
        <v>0</v>
      </c>
      <c r="F135" s="4">
        <f>COUNTIFS('Opportunities'!$C$2:$C$1775,"=r14",'Opportunities'!$M$2:$M$1775,"=jul25",'Opportunities'!$H$2:$H$1775,"&lt;&gt;")</f>
        <v>0</v>
      </c>
      <c r="G135" s="4">
        <f>COUNTIFS('Opportunities'!$C$2:$C$1775,"=r14",'Opportunities'!$M$2:$M$1775,"=aug25",'Opportunities'!$H$2:$H$1775,"&lt;&gt;")</f>
        <v>0</v>
      </c>
      <c r="H135" s="4">
        <f>COUNTIFS('Opportunities'!$C$2:$C$1775,"=r14",'Opportunities'!$M$2:$M$1775,"=sep25",'Opportunities'!$H$2:$H$1775,"&lt;&gt;")</f>
        <v>0</v>
      </c>
      <c r="I135" s="4">
        <f>COUNTIFS('Opportunities'!$C$2:$C$1775,"=r14",'Opportunities'!$M$2:$M$1775,"=oct25",'Opportunities'!$H$2:$H$1775,"&lt;&gt;")</f>
        <v>0</v>
      </c>
      <c r="J135" s="4">
        <f>COUNTIFS('Opportunities'!$C$2:$C$1775,"=r14",'Opportunities'!$M$2:$M$1775,"=nov25",'Opportunities'!$H$2:$H$1775,"&lt;&gt;")</f>
        <v>1</v>
      </c>
      <c r="K135" s="4">
        <f>COUNTIFS('Opportunities'!$C$2:$C$1775,"=r14",'Opportunities'!$M$2:$M$1775,"=dec25",'Opportunities'!$H$2:$H$1775,"&lt;&gt;")</f>
        <v>0</v>
      </c>
      <c r="L135" s="4">
        <f>COUNTIFS('Opportunities'!$C$2:$C$1775,"=r14",'Opportunities'!$M$2:$M$1775,"=jan26",'Opportunities'!$H$2:$H$1775,"&lt;&gt;")</f>
        <v>2</v>
      </c>
      <c r="M135" s="4">
        <f>COUNTIFS('Opportunities'!$C$2:$C$1775,"=r14",'Opportunities'!$M$2:$M$1775,"=feb26",'Opportunities'!$H$2:$H$1775,"&lt;&gt;")</f>
        <v>0</v>
      </c>
      <c r="N135" s="4">
        <f>COUNTIFS('Opportunities'!$C$2:$C$1775,"=r14",'Opportunities'!$M$2:$M$1775,"=mar26",'Opportunities'!$H$2:$H$1775,"&lt;&gt;")</f>
        <v>1</v>
      </c>
      <c r="O135" s="4">
        <f>COUNTIFS('Opportunities'!$C$2:$C$1775,"=r14",'Opportunities'!$M$2:$M$1775,"=apr26",'Opportunities'!$H$2:$H$1775,"&lt;&gt;")</f>
        <v>1</v>
      </c>
      <c r="P135" s="4">
        <f>COUNTIFS('Opportunities'!$C$2:$C$1775,"=r14",'Opportunities'!$M$2:$M$1775,"=may26",'Opportunities'!$H$2:$H$1775,"&lt;&gt;")</f>
        <v>4</v>
      </c>
      <c r="Q135" s="4">
        <f>COUNTIFS('Opportunities'!$C$2:$C$1775,"=r14",'Opportunities'!$M$2:$M$1775,"=jun26",'Opportunities'!$H$2:$H$1775,"&lt;&gt;")</f>
        <v>2</v>
      </c>
      <c r="R135" s="4">
        <f>COUNTIFS('Opportunities'!$C$2:$C$1775,"=r14",'Opportunities'!$M$2:$M$1775,"=jul26",'Opportunities'!$H$2:$H$1775,"&lt;&gt;")</f>
        <v>1</v>
      </c>
      <c r="S135" s="4">
        <f>COUNTIFS('Opportunities'!$C$2:$C$1775,"=r14",'Opportunities'!$M$2:$M$1775,"=aug26",'Opportunities'!$H$2:$H$1775,"&lt;&gt;")</f>
        <v>3</v>
      </c>
      <c r="T135" s="4">
        <f>COUNTIFS('Opportunities'!$C$2:$C$1775,"=r14",'Opportunities'!$M$2:$M$1775,"=sep26",'Opportunities'!$H$2:$H$1775,"&lt;&gt;")</f>
        <v>0</v>
      </c>
      <c r="U135" s="4">
        <f>COUNTIFS('Opportunities'!$C$2:$C$1775,"=r14",'Opportunities'!$M$2:$M$1775,"=oct26",'Opportunities'!$H$2:$H$1775,"&lt;&gt;")</f>
        <v>0</v>
      </c>
      <c r="V135" s="4">
        <f>COUNTIFS('Opportunities'!$C$2:$C$1775,"=r14",'Opportunities'!$M$2:$M$1775,"=nov26",'Opportunities'!$H$2:$H$1775,"&lt;&gt;")</f>
        <v>0</v>
      </c>
      <c r="W135" s="4">
        <f>COUNTIFS('Opportunities'!$C$2:$C$1775,"=r14",'Opportunities'!$M$2:$M$1775,"=dec26",'Opportunities'!$H$2:$H$1775,"&lt;&gt;")</f>
        <v>0</v>
      </c>
    </row>
    <row r="136">
      <c r="A136" s="0" t="inlineStr">
        <is>
          <t xml:space="preserve">Opportunities created</t>
        </is>
      </c>
      <c r="B136" s="0" t="inlineStr">
        <is>
          <t xml:space="preserve">Nikolai Kim</t>
        </is>
      </c>
      <c r="C136" s="4">
        <f>COUNTIFS('Opportunities'!$C$2:$C$1775,"=r15",'Opportunities'!$M$2:$M$1775,"=apr25",'Opportunities'!$H$2:$H$1775,"&lt;&gt;")</f>
        <v>2</v>
      </c>
      <c r="D136" s="4">
        <f>COUNTIFS('Opportunities'!$C$2:$C$1775,"=r15",'Opportunities'!$M$2:$M$1775,"=may25",'Opportunities'!$H$2:$H$1775,"&lt;&gt;")</f>
        <v>10</v>
      </c>
      <c r="E136" s="4">
        <f>COUNTIFS('Opportunities'!$C$2:$C$1775,"=r15",'Opportunities'!$M$2:$M$1775,"=jun25",'Opportunities'!$H$2:$H$1775,"&lt;&gt;")</f>
        <v>7</v>
      </c>
      <c r="F136" s="4">
        <f>COUNTIFS('Opportunities'!$C$2:$C$1775,"=r15",'Opportunities'!$M$2:$M$1775,"=jul25",'Opportunities'!$H$2:$H$1775,"&lt;&gt;")</f>
        <v>3</v>
      </c>
      <c r="G136" s="4">
        <f>COUNTIFS('Opportunities'!$C$2:$C$1775,"=r15",'Opportunities'!$M$2:$M$1775,"=aug25",'Opportunities'!$H$2:$H$1775,"&lt;&gt;")</f>
        <v>6</v>
      </c>
      <c r="H136" s="4">
        <f>COUNTIFS('Opportunities'!$C$2:$C$1775,"=r15",'Opportunities'!$M$2:$M$1775,"=sep25",'Opportunities'!$H$2:$H$1775,"&lt;&gt;")</f>
        <v>7</v>
      </c>
      <c r="I136" s="4">
        <f>COUNTIFS('Opportunities'!$C$2:$C$1775,"=r15",'Opportunities'!$M$2:$M$1775,"=oct25",'Opportunities'!$H$2:$H$1775,"&lt;&gt;")</f>
        <v>6</v>
      </c>
      <c r="J136" s="4">
        <f>COUNTIFS('Opportunities'!$C$2:$C$1775,"=r15",'Opportunities'!$M$2:$M$1775,"=nov25",'Opportunities'!$H$2:$H$1775,"&lt;&gt;")</f>
        <v>2</v>
      </c>
      <c r="K136" s="4">
        <f>COUNTIFS('Opportunities'!$C$2:$C$1775,"=r15",'Opportunities'!$M$2:$M$1775,"=dec25",'Opportunities'!$H$2:$H$1775,"&lt;&gt;")</f>
        <v>6</v>
      </c>
      <c r="L136" s="4">
        <f>COUNTIFS('Opportunities'!$C$2:$C$1775,"=r15",'Opportunities'!$M$2:$M$1775,"=jan26",'Opportunities'!$H$2:$H$1775,"&lt;&gt;")</f>
        <v>6</v>
      </c>
      <c r="M136" s="4">
        <f>COUNTIFS('Opportunities'!$C$2:$C$1775,"=r15",'Opportunities'!$M$2:$M$1775,"=feb26",'Opportunities'!$H$2:$H$1775,"&lt;&gt;")</f>
        <v>3</v>
      </c>
      <c r="N136" s="4">
        <f>COUNTIFS('Opportunities'!$C$2:$C$1775,"=r15",'Opportunities'!$M$2:$M$1775,"=mar26",'Opportunities'!$H$2:$H$1775,"&lt;&gt;")</f>
        <v>3</v>
      </c>
      <c r="O136" s="4">
        <f>COUNTIFS('Opportunities'!$C$2:$C$1775,"=r15",'Opportunities'!$M$2:$M$1775,"=apr26",'Opportunities'!$H$2:$H$1775,"&lt;&gt;")</f>
        <v>8</v>
      </c>
      <c r="P136" s="4">
        <f>COUNTIFS('Opportunities'!$C$2:$C$1775,"=r15",'Opportunities'!$M$2:$M$1775,"=may26",'Opportunities'!$H$2:$H$1775,"&lt;&gt;")</f>
        <v>3</v>
      </c>
      <c r="Q136" s="4">
        <f>COUNTIFS('Opportunities'!$C$2:$C$1775,"=r15",'Opportunities'!$M$2:$M$1775,"=jun26",'Opportunities'!$H$2:$H$1775,"&lt;&gt;")</f>
        <v>3</v>
      </c>
      <c r="R136" s="4">
        <f>COUNTIFS('Opportunities'!$C$2:$C$1775,"=r15",'Opportunities'!$M$2:$M$1775,"=jul26",'Opportunities'!$H$2:$H$1775,"&lt;&gt;")</f>
        <v>4</v>
      </c>
      <c r="S136" s="4">
        <f>COUNTIFS('Opportunities'!$C$2:$C$1775,"=r15",'Opportunities'!$M$2:$M$1775,"=aug26",'Opportunities'!$H$2:$H$1775,"&lt;&gt;")</f>
        <v>5</v>
      </c>
      <c r="T136" s="4">
        <f>COUNTIFS('Opportunities'!$C$2:$C$1775,"=r15",'Opportunities'!$M$2:$M$1775,"=sep26",'Opportunities'!$H$2:$H$1775,"&lt;&gt;")</f>
        <v>2</v>
      </c>
      <c r="U136" s="4">
        <f>COUNTIFS('Opportunities'!$C$2:$C$1775,"=r15",'Opportunities'!$M$2:$M$1775,"=oct26",'Opportunities'!$H$2:$H$1775,"&lt;&gt;")</f>
        <v>0</v>
      </c>
      <c r="V136" s="4">
        <f>COUNTIFS('Opportunities'!$C$2:$C$1775,"=r15",'Opportunities'!$M$2:$M$1775,"=nov26",'Opportunities'!$H$2:$H$1775,"&lt;&gt;")</f>
        <v>0</v>
      </c>
      <c r="W136" s="4">
        <f>COUNTIFS('Opportunities'!$C$2:$C$1775,"=r15",'Opportunities'!$M$2:$M$1775,"=dec26",'Opportunities'!$H$2:$H$1775,"&lt;&gt;")</f>
        <v>0</v>
      </c>
    </row>
    <row r="137">
      <c r="A137" s="0" t="inlineStr">
        <is>
          <t xml:space="preserve">Opportunities created</t>
        </is>
      </c>
      <c r="B137" s="0" t="inlineStr">
        <is>
          <t xml:space="preserve">Wei Nair</t>
        </is>
      </c>
      <c r="C137" s="4">
        <f>COUNTIFS('Opportunities'!$C$2:$C$1775,"=r16",'Opportunities'!$M$2:$M$1775,"=apr25",'Opportunities'!$H$2:$H$1775,"&lt;&gt;")</f>
        <v>8</v>
      </c>
      <c r="D137" s="4">
        <f>COUNTIFS('Opportunities'!$C$2:$C$1775,"=r16",'Opportunities'!$M$2:$M$1775,"=may25",'Opportunities'!$H$2:$H$1775,"&lt;&gt;")</f>
        <v>9</v>
      </c>
      <c r="E137" s="4">
        <f>COUNTIFS('Opportunities'!$C$2:$C$1775,"=r16",'Opportunities'!$M$2:$M$1775,"=jun25",'Opportunities'!$H$2:$H$1775,"&lt;&gt;")</f>
        <v>3</v>
      </c>
      <c r="F137" s="4">
        <f>COUNTIFS('Opportunities'!$C$2:$C$1775,"=r16",'Opportunities'!$M$2:$M$1775,"=jul25",'Opportunities'!$H$2:$H$1775,"&lt;&gt;")</f>
        <v>3</v>
      </c>
      <c r="G137" s="4">
        <f>COUNTIFS('Opportunities'!$C$2:$C$1775,"=r16",'Opportunities'!$M$2:$M$1775,"=aug25",'Opportunities'!$H$2:$H$1775,"&lt;&gt;")</f>
        <v>2</v>
      </c>
      <c r="H137" s="4">
        <f>COUNTIFS('Opportunities'!$C$2:$C$1775,"=r16",'Opportunities'!$M$2:$M$1775,"=sep25",'Opportunities'!$H$2:$H$1775,"&lt;&gt;")</f>
        <v>1</v>
      </c>
      <c r="I137" s="4">
        <f>COUNTIFS('Opportunities'!$C$2:$C$1775,"=r16",'Opportunities'!$M$2:$M$1775,"=oct25",'Opportunities'!$H$2:$H$1775,"&lt;&gt;")</f>
        <v>5</v>
      </c>
      <c r="J137" s="4">
        <f>COUNTIFS('Opportunities'!$C$2:$C$1775,"=r16",'Opportunities'!$M$2:$M$1775,"=nov25",'Opportunities'!$H$2:$H$1775,"&lt;&gt;")</f>
        <v>5</v>
      </c>
      <c r="K137" s="4">
        <f>COUNTIFS('Opportunities'!$C$2:$C$1775,"=r16",'Opportunities'!$M$2:$M$1775,"=dec25",'Opportunities'!$H$2:$H$1775,"&lt;&gt;")</f>
        <v>2</v>
      </c>
      <c r="L137" s="4">
        <f>COUNTIFS('Opportunities'!$C$2:$C$1775,"=r16",'Opportunities'!$M$2:$M$1775,"=jan26",'Opportunities'!$H$2:$H$1775,"&lt;&gt;")</f>
        <v>2</v>
      </c>
      <c r="M137" s="4">
        <f>COUNTIFS('Opportunities'!$C$2:$C$1775,"=r16",'Opportunities'!$M$2:$M$1775,"=feb26",'Opportunities'!$H$2:$H$1775,"&lt;&gt;")</f>
        <v>4</v>
      </c>
      <c r="N137" s="4">
        <f>COUNTIFS('Opportunities'!$C$2:$C$1775,"=r16",'Opportunities'!$M$2:$M$1775,"=mar26",'Opportunities'!$H$2:$H$1775,"&lt;&gt;")</f>
        <v>3</v>
      </c>
      <c r="O137" s="4">
        <f>COUNTIFS('Opportunities'!$C$2:$C$1775,"=r16",'Opportunities'!$M$2:$M$1775,"=apr26",'Opportunities'!$H$2:$H$1775,"&lt;&gt;")</f>
        <v>4</v>
      </c>
      <c r="P137" s="4">
        <f>COUNTIFS('Opportunities'!$C$2:$C$1775,"=r16",'Opportunities'!$M$2:$M$1775,"=may26",'Opportunities'!$H$2:$H$1775,"&lt;&gt;")</f>
        <v>3</v>
      </c>
      <c r="Q137" s="4">
        <f>COUNTIFS('Opportunities'!$C$2:$C$1775,"=r16",'Opportunities'!$M$2:$M$1775,"=jun26",'Opportunities'!$H$2:$H$1775,"&lt;&gt;")</f>
        <v>9</v>
      </c>
      <c r="R137" s="4">
        <f>COUNTIFS('Opportunities'!$C$2:$C$1775,"=r16",'Opportunities'!$M$2:$M$1775,"=jul26",'Opportunities'!$H$2:$H$1775,"&lt;&gt;")</f>
        <v>1</v>
      </c>
      <c r="S137" s="4">
        <f>COUNTIFS('Opportunities'!$C$2:$C$1775,"=r16",'Opportunities'!$M$2:$M$1775,"=aug26",'Opportunities'!$H$2:$H$1775,"&lt;&gt;")</f>
        <v>1</v>
      </c>
      <c r="T137" s="4">
        <f>COUNTIFS('Opportunities'!$C$2:$C$1775,"=r16",'Opportunities'!$M$2:$M$1775,"=sep26",'Opportunities'!$H$2:$H$1775,"&lt;&gt;")</f>
        <v>0</v>
      </c>
      <c r="U137" s="4">
        <f>COUNTIFS('Opportunities'!$C$2:$C$1775,"=r16",'Opportunities'!$M$2:$M$1775,"=oct26",'Opportunities'!$H$2:$H$1775,"&lt;&gt;")</f>
        <v>0</v>
      </c>
      <c r="V137" s="4">
        <f>COUNTIFS('Opportunities'!$C$2:$C$1775,"=r16",'Opportunities'!$M$2:$M$1775,"=nov26",'Opportunities'!$H$2:$H$1775,"&lt;&gt;")</f>
        <v>0</v>
      </c>
      <c r="W137" s="4">
        <f>COUNTIFS('Opportunities'!$C$2:$C$1775,"=r16",'Opportunities'!$M$2:$M$1775,"=dec26",'Opportunities'!$H$2:$H$1775,"&lt;&gt;")</f>
        <v>0</v>
      </c>
    </row>
    <row r="138">
      <c r="A138" s="0" t="inlineStr">
        <is>
          <t xml:space="preserve">Opportunities created</t>
        </is>
      </c>
      <c r="B138" s="0" t="inlineStr">
        <is>
          <t xml:space="preserve">Liam Silva</t>
        </is>
      </c>
      <c r="C138" s="4">
        <f>COUNTIFS('Opportunities'!$C$2:$C$1775,"=r17",'Opportunities'!$M$2:$M$1775,"=apr25",'Opportunities'!$H$2:$H$1775,"&lt;&gt;")</f>
        <v>3</v>
      </c>
      <c r="D138" s="4">
        <f>COUNTIFS('Opportunities'!$C$2:$C$1775,"=r17",'Opportunities'!$M$2:$M$1775,"=may25",'Opportunities'!$H$2:$H$1775,"&lt;&gt;")</f>
        <v>2</v>
      </c>
      <c r="E138" s="4">
        <f>COUNTIFS('Opportunities'!$C$2:$C$1775,"=r17",'Opportunities'!$M$2:$M$1775,"=jun25",'Opportunities'!$H$2:$H$1775,"&lt;&gt;")</f>
        <v>3</v>
      </c>
      <c r="F138" s="4">
        <f>COUNTIFS('Opportunities'!$C$2:$C$1775,"=r17",'Opportunities'!$M$2:$M$1775,"=jul25",'Opportunities'!$H$2:$H$1775,"&lt;&gt;")</f>
        <v>6</v>
      </c>
      <c r="G138" s="4">
        <f>COUNTIFS('Opportunities'!$C$2:$C$1775,"=r17",'Opportunities'!$M$2:$M$1775,"=aug25",'Opportunities'!$H$2:$H$1775,"&lt;&gt;")</f>
        <v>4</v>
      </c>
      <c r="H138" s="4">
        <f>COUNTIFS('Opportunities'!$C$2:$C$1775,"=r17",'Opportunities'!$M$2:$M$1775,"=sep25",'Opportunities'!$H$2:$H$1775,"&lt;&gt;")</f>
        <v>3</v>
      </c>
      <c r="I138" s="4">
        <f>COUNTIFS('Opportunities'!$C$2:$C$1775,"=r17",'Opportunities'!$M$2:$M$1775,"=oct25",'Opportunities'!$H$2:$H$1775,"&lt;&gt;")</f>
        <v>13</v>
      </c>
      <c r="J138" s="4">
        <f>COUNTIFS('Opportunities'!$C$2:$C$1775,"=r17",'Opportunities'!$M$2:$M$1775,"=nov25",'Opportunities'!$H$2:$H$1775,"&lt;&gt;")</f>
        <v>5</v>
      </c>
      <c r="K138" s="4">
        <f>COUNTIFS('Opportunities'!$C$2:$C$1775,"=r17",'Opportunities'!$M$2:$M$1775,"=dec25",'Opportunities'!$H$2:$H$1775,"&lt;&gt;")</f>
        <v>6</v>
      </c>
      <c r="L138" s="4">
        <f>COUNTIFS('Opportunities'!$C$2:$C$1775,"=r17",'Opportunities'!$M$2:$M$1775,"=jan26",'Opportunities'!$H$2:$H$1775,"&lt;&gt;")</f>
        <v>3</v>
      </c>
      <c r="M138" s="4">
        <f>COUNTIFS('Opportunities'!$C$2:$C$1775,"=r17",'Opportunities'!$M$2:$M$1775,"=feb26",'Opportunities'!$H$2:$H$1775,"&lt;&gt;")</f>
        <v>9</v>
      </c>
      <c r="N138" s="4">
        <f>COUNTIFS('Opportunities'!$C$2:$C$1775,"=r17",'Opportunities'!$M$2:$M$1775,"=mar26",'Opportunities'!$H$2:$H$1775,"&lt;&gt;")</f>
        <v>8</v>
      </c>
      <c r="O138" s="4">
        <f>COUNTIFS('Opportunities'!$C$2:$C$1775,"=r17",'Opportunities'!$M$2:$M$1775,"=apr26",'Opportunities'!$H$2:$H$1775,"&lt;&gt;")</f>
        <v>2</v>
      </c>
      <c r="P138" s="4">
        <f>COUNTIFS('Opportunities'!$C$2:$C$1775,"=r17",'Opportunities'!$M$2:$M$1775,"=may26",'Opportunities'!$H$2:$H$1775,"&lt;&gt;")</f>
        <v>5</v>
      </c>
      <c r="Q138" s="4">
        <f>COUNTIFS('Opportunities'!$C$2:$C$1775,"=r17",'Opportunities'!$M$2:$M$1775,"=jun26",'Opportunities'!$H$2:$H$1775,"&lt;&gt;")</f>
        <v>5</v>
      </c>
      <c r="R138" s="4">
        <f>COUNTIFS('Opportunities'!$C$2:$C$1775,"=r17",'Opportunities'!$M$2:$M$1775,"=jul26",'Opportunities'!$H$2:$H$1775,"&lt;&gt;")</f>
        <v>7</v>
      </c>
      <c r="S138" s="4">
        <f>COUNTIFS('Opportunities'!$C$2:$C$1775,"=r17",'Opportunities'!$M$2:$M$1775,"=aug26",'Opportunities'!$H$2:$H$1775,"&lt;&gt;")</f>
        <v>10</v>
      </c>
      <c r="T138" s="4">
        <f>COUNTIFS('Opportunities'!$C$2:$C$1775,"=r17",'Opportunities'!$M$2:$M$1775,"=sep26",'Opportunities'!$H$2:$H$1775,"&lt;&gt;")</f>
        <v>3</v>
      </c>
      <c r="U138" s="4">
        <f>COUNTIFS('Opportunities'!$C$2:$C$1775,"=r17",'Opportunities'!$M$2:$M$1775,"=oct26",'Opportunities'!$H$2:$H$1775,"&lt;&gt;")</f>
        <v>0</v>
      </c>
      <c r="V138" s="4">
        <f>COUNTIFS('Opportunities'!$C$2:$C$1775,"=r17",'Opportunities'!$M$2:$M$1775,"=nov26",'Opportunities'!$H$2:$H$1775,"&lt;&gt;")</f>
        <v>0</v>
      </c>
      <c r="W138" s="4">
        <f>COUNTIFS('Opportunities'!$C$2:$C$1775,"=r17",'Opportunities'!$M$2:$M$1775,"=dec26",'Opportunities'!$H$2:$H$1775,"&lt;&gt;")</f>
        <v>0</v>
      </c>
    </row>
    <row r="139">
      <c r="A139" s="0" t="inlineStr">
        <is>
          <t xml:space="preserve">Opportunities created</t>
        </is>
      </c>
      <c r="B139" s="0" t="inlineStr">
        <is>
          <t xml:space="preserve">Samuel Silva</t>
        </is>
      </c>
      <c r="C139" s="4">
        <f>COUNTIFS('Opportunities'!$C$2:$C$1775,"=r18",'Opportunities'!$M$2:$M$1775,"=apr25",'Opportunities'!$H$2:$H$1775,"&lt;&gt;")</f>
        <v>9</v>
      </c>
      <c r="D139" s="4">
        <f>COUNTIFS('Opportunities'!$C$2:$C$1775,"=r18",'Opportunities'!$M$2:$M$1775,"=may25",'Opportunities'!$H$2:$H$1775,"&lt;&gt;")</f>
        <v>9</v>
      </c>
      <c r="E139" s="4">
        <f>COUNTIFS('Opportunities'!$C$2:$C$1775,"=r18",'Opportunities'!$M$2:$M$1775,"=jun25",'Opportunities'!$H$2:$H$1775,"&lt;&gt;")</f>
        <v>8</v>
      </c>
      <c r="F139" s="4">
        <f>COUNTIFS('Opportunities'!$C$2:$C$1775,"=r18",'Opportunities'!$M$2:$M$1775,"=jul25",'Opportunities'!$H$2:$H$1775,"&lt;&gt;")</f>
        <v>8</v>
      </c>
      <c r="G139" s="4">
        <f>COUNTIFS('Opportunities'!$C$2:$C$1775,"=r18",'Opportunities'!$M$2:$M$1775,"=aug25",'Opportunities'!$H$2:$H$1775,"&lt;&gt;")</f>
        <v>3</v>
      </c>
      <c r="H139" s="4">
        <f>COUNTIFS('Opportunities'!$C$2:$C$1775,"=r18",'Opportunities'!$M$2:$M$1775,"=sep25",'Opportunities'!$H$2:$H$1775,"&lt;&gt;")</f>
        <v>5</v>
      </c>
      <c r="I139" s="4">
        <f>COUNTIFS('Opportunities'!$C$2:$C$1775,"=r18",'Opportunities'!$M$2:$M$1775,"=oct25",'Opportunities'!$H$2:$H$1775,"&lt;&gt;")</f>
        <v>4</v>
      </c>
      <c r="J139" s="4">
        <f>COUNTIFS('Opportunities'!$C$2:$C$1775,"=r18",'Opportunities'!$M$2:$M$1775,"=nov25",'Opportunities'!$H$2:$H$1775,"&lt;&gt;")</f>
        <v>7</v>
      </c>
      <c r="K139" s="4">
        <f>COUNTIFS('Opportunities'!$C$2:$C$1775,"=r18",'Opportunities'!$M$2:$M$1775,"=dec25",'Opportunities'!$H$2:$H$1775,"&lt;&gt;")</f>
        <v>8</v>
      </c>
      <c r="L139" s="4">
        <f>COUNTIFS('Opportunities'!$C$2:$C$1775,"=r18",'Opportunities'!$M$2:$M$1775,"=jan26",'Opportunities'!$H$2:$H$1775,"&lt;&gt;")</f>
        <v>11</v>
      </c>
      <c r="M139" s="4">
        <f>COUNTIFS('Opportunities'!$C$2:$C$1775,"=r18",'Opportunities'!$M$2:$M$1775,"=feb26",'Opportunities'!$H$2:$H$1775,"&lt;&gt;")</f>
        <v>7</v>
      </c>
      <c r="N139" s="4">
        <f>COUNTIFS('Opportunities'!$C$2:$C$1775,"=r18",'Opportunities'!$M$2:$M$1775,"=mar26",'Opportunities'!$H$2:$H$1775,"&lt;&gt;")</f>
        <v>6</v>
      </c>
      <c r="O139" s="4">
        <f>COUNTIFS('Opportunities'!$C$2:$C$1775,"=r18",'Opportunities'!$M$2:$M$1775,"=apr26",'Opportunities'!$H$2:$H$1775,"&lt;&gt;")</f>
        <v>12</v>
      </c>
      <c r="P139" s="4">
        <f>COUNTIFS('Opportunities'!$C$2:$C$1775,"=r18",'Opportunities'!$M$2:$M$1775,"=may26",'Opportunities'!$H$2:$H$1775,"&lt;&gt;")</f>
        <v>4</v>
      </c>
      <c r="Q139" s="4">
        <f>COUNTIFS('Opportunities'!$C$2:$C$1775,"=r18",'Opportunities'!$M$2:$M$1775,"=jun26",'Opportunities'!$H$2:$H$1775,"&lt;&gt;")</f>
        <v>10</v>
      </c>
      <c r="R139" s="4">
        <f>COUNTIFS('Opportunities'!$C$2:$C$1775,"=r18",'Opportunities'!$M$2:$M$1775,"=jul26",'Opportunities'!$H$2:$H$1775,"&lt;&gt;")</f>
        <v>6</v>
      </c>
      <c r="S139" s="4">
        <f>COUNTIFS('Opportunities'!$C$2:$C$1775,"=r18",'Opportunities'!$M$2:$M$1775,"=aug26",'Opportunities'!$H$2:$H$1775,"&lt;&gt;")</f>
        <v>4</v>
      </c>
      <c r="T139" s="4">
        <f>COUNTIFS('Opportunities'!$C$2:$C$1775,"=r18",'Opportunities'!$M$2:$M$1775,"=sep26",'Opportunities'!$H$2:$H$1775,"&lt;&gt;")</f>
        <v>2</v>
      </c>
      <c r="U139" s="4">
        <f>COUNTIFS('Opportunities'!$C$2:$C$1775,"=r18",'Opportunities'!$M$2:$M$1775,"=oct26",'Opportunities'!$H$2:$H$1775,"&lt;&gt;")</f>
        <v>0</v>
      </c>
      <c r="V139" s="4">
        <f>COUNTIFS('Opportunities'!$C$2:$C$1775,"=r18",'Opportunities'!$M$2:$M$1775,"=nov26",'Opportunities'!$H$2:$H$1775,"&lt;&gt;")</f>
        <v>0</v>
      </c>
      <c r="W139" s="4">
        <f>COUNTIFS('Opportunities'!$C$2:$C$1775,"=r18",'Opportunities'!$M$2:$M$1775,"=dec26",'Opportunities'!$H$2:$H$1775,"&lt;&gt;")</f>
        <v>0</v>
      </c>
    </row>
    <row r="140">
      <c r="A140" s="0" t="inlineStr">
        <is>
          <t xml:space="preserve">Opportunities created</t>
        </is>
      </c>
      <c r="B140" s="0" t="inlineStr">
        <is>
          <t xml:space="preserve">Yuki Larsen</t>
        </is>
      </c>
      <c r="C140" s="4">
        <f>COUNTIFS('Opportunities'!$C$2:$C$1775,"=r19",'Opportunities'!$M$2:$M$1775,"=apr25",'Opportunities'!$H$2:$H$1775,"&lt;&gt;")</f>
        <v>0</v>
      </c>
      <c r="D140" s="4">
        <f>COUNTIFS('Opportunities'!$C$2:$C$1775,"=r19",'Opportunities'!$M$2:$M$1775,"=may25",'Opportunities'!$H$2:$H$1775,"&lt;&gt;")</f>
        <v>1</v>
      </c>
      <c r="E140" s="4">
        <f>COUNTIFS('Opportunities'!$C$2:$C$1775,"=r19",'Opportunities'!$M$2:$M$1775,"=jun25",'Opportunities'!$H$2:$H$1775,"&lt;&gt;")</f>
        <v>1</v>
      </c>
      <c r="F140" s="4">
        <f>COUNTIFS('Opportunities'!$C$2:$C$1775,"=r19",'Opportunities'!$M$2:$M$1775,"=jul25",'Opportunities'!$H$2:$H$1775,"&lt;&gt;")</f>
        <v>1</v>
      </c>
      <c r="G140" s="4">
        <f>COUNTIFS('Opportunities'!$C$2:$C$1775,"=r19",'Opportunities'!$M$2:$M$1775,"=aug25",'Opportunities'!$H$2:$H$1775,"&lt;&gt;")</f>
        <v>0</v>
      </c>
      <c r="H140" s="4">
        <f>COUNTIFS('Opportunities'!$C$2:$C$1775,"=r19",'Opportunities'!$M$2:$M$1775,"=sep25",'Opportunities'!$H$2:$H$1775,"&lt;&gt;")</f>
        <v>0</v>
      </c>
      <c r="I140" s="4">
        <f>COUNTIFS('Opportunities'!$C$2:$C$1775,"=r19",'Opportunities'!$M$2:$M$1775,"=oct25",'Opportunities'!$H$2:$H$1775,"&lt;&gt;")</f>
        <v>1</v>
      </c>
      <c r="J140" s="4">
        <f>COUNTIFS('Opportunities'!$C$2:$C$1775,"=r19",'Opportunities'!$M$2:$M$1775,"=nov25",'Opportunities'!$H$2:$H$1775,"&lt;&gt;")</f>
        <v>1</v>
      </c>
      <c r="K140" s="4">
        <f>COUNTIFS('Opportunities'!$C$2:$C$1775,"=r19",'Opportunities'!$M$2:$M$1775,"=dec25",'Opportunities'!$H$2:$H$1775,"&lt;&gt;")</f>
        <v>1</v>
      </c>
      <c r="L140" s="4">
        <f>COUNTIFS('Opportunities'!$C$2:$C$1775,"=r19",'Opportunities'!$M$2:$M$1775,"=jan26",'Opportunities'!$H$2:$H$1775,"&lt;&gt;")</f>
        <v>1</v>
      </c>
      <c r="M140" s="4">
        <f>COUNTIFS('Opportunities'!$C$2:$C$1775,"=r19",'Opportunities'!$M$2:$M$1775,"=feb26",'Opportunities'!$H$2:$H$1775,"&lt;&gt;")</f>
        <v>1</v>
      </c>
      <c r="N140" s="4">
        <f>COUNTIFS('Opportunities'!$C$2:$C$1775,"=r19",'Opportunities'!$M$2:$M$1775,"=mar26",'Opportunities'!$H$2:$H$1775,"&lt;&gt;")</f>
        <v>3</v>
      </c>
      <c r="O140" s="4">
        <f>COUNTIFS('Opportunities'!$C$2:$C$1775,"=r19",'Opportunities'!$M$2:$M$1775,"=apr26",'Opportunities'!$H$2:$H$1775,"&lt;&gt;")</f>
        <v>2</v>
      </c>
      <c r="P140" s="4">
        <f>COUNTIFS('Opportunities'!$C$2:$C$1775,"=r19",'Opportunities'!$M$2:$M$1775,"=may26",'Opportunities'!$H$2:$H$1775,"&lt;&gt;")</f>
        <v>1</v>
      </c>
      <c r="Q140" s="4">
        <f>COUNTIFS('Opportunities'!$C$2:$C$1775,"=r19",'Opportunities'!$M$2:$M$1775,"=jun26",'Opportunities'!$H$2:$H$1775,"&lt;&gt;")</f>
        <v>2</v>
      </c>
      <c r="R140" s="4">
        <f>COUNTIFS('Opportunities'!$C$2:$C$1775,"=r19",'Opportunities'!$M$2:$M$1775,"=jul26",'Opportunities'!$H$2:$H$1775,"&lt;&gt;")</f>
        <v>1</v>
      </c>
      <c r="S140" s="4">
        <f>COUNTIFS('Opportunities'!$C$2:$C$1775,"=r19",'Opportunities'!$M$2:$M$1775,"=aug26",'Opportunities'!$H$2:$H$1775,"&lt;&gt;")</f>
        <v>3</v>
      </c>
      <c r="T140" s="4">
        <f>COUNTIFS('Opportunities'!$C$2:$C$1775,"=r19",'Opportunities'!$M$2:$M$1775,"=sep26",'Opportunities'!$H$2:$H$1775,"&lt;&gt;")</f>
        <v>2</v>
      </c>
      <c r="U140" s="4">
        <f>COUNTIFS('Opportunities'!$C$2:$C$1775,"=r19",'Opportunities'!$M$2:$M$1775,"=oct26",'Opportunities'!$H$2:$H$1775,"&lt;&gt;")</f>
        <v>0</v>
      </c>
      <c r="V140" s="4">
        <f>COUNTIFS('Opportunities'!$C$2:$C$1775,"=r19",'Opportunities'!$M$2:$M$1775,"=nov26",'Opportunities'!$H$2:$H$1775,"&lt;&gt;")</f>
        <v>0</v>
      </c>
      <c r="W140" s="4">
        <f>COUNTIFS('Opportunities'!$C$2:$C$1775,"=r19",'Opportunities'!$M$2:$M$1775,"=dec26",'Opportunities'!$H$2:$H$1775,"&lt;&gt;")</f>
        <v>0</v>
      </c>
    </row>
    <row r="141">
      <c r="A141" s="0" t="inlineStr">
        <is>
          <t xml:space="preserve">Opportunities created</t>
        </is>
      </c>
      <c r="B141" s="0" t="inlineStr">
        <is>
          <t xml:space="preserve">Nikolai Sato</t>
        </is>
      </c>
      <c r="C141" s="4">
        <f>COUNTIFS('Opportunities'!$C$2:$C$1775,"=r20",'Opportunities'!$M$2:$M$1775,"=apr25",'Opportunities'!$H$2:$H$1775,"&lt;&gt;")</f>
        <v>2</v>
      </c>
      <c r="D141" s="4">
        <f>COUNTIFS('Opportunities'!$C$2:$C$1775,"=r20",'Opportunities'!$M$2:$M$1775,"=may25",'Opportunities'!$H$2:$H$1775,"&lt;&gt;")</f>
        <v>6</v>
      </c>
      <c r="E141" s="4">
        <f>COUNTIFS('Opportunities'!$C$2:$C$1775,"=r20",'Opportunities'!$M$2:$M$1775,"=jun25",'Opportunities'!$H$2:$H$1775,"&lt;&gt;")</f>
        <v>2</v>
      </c>
      <c r="F141" s="4">
        <f>COUNTIFS('Opportunities'!$C$2:$C$1775,"=r20",'Opportunities'!$M$2:$M$1775,"=jul25",'Opportunities'!$H$2:$H$1775,"&lt;&gt;")</f>
        <v>0</v>
      </c>
      <c r="G141" s="4">
        <f>COUNTIFS('Opportunities'!$C$2:$C$1775,"=r20",'Opportunities'!$M$2:$M$1775,"=aug25",'Opportunities'!$H$2:$H$1775,"&lt;&gt;")</f>
        <v>1</v>
      </c>
      <c r="H141" s="4">
        <f>COUNTIFS('Opportunities'!$C$2:$C$1775,"=r20",'Opportunities'!$M$2:$M$1775,"=sep25",'Opportunities'!$H$2:$H$1775,"&lt;&gt;")</f>
        <v>2</v>
      </c>
      <c r="I141" s="4">
        <f>COUNTIFS('Opportunities'!$C$2:$C$1775,"=r20",'Opportunities'!$M$2:$M$1775,"=oct25",'Opportunities'!$H$2:$H$1775,"&lt;&gt;")</f>
        <v>0</v>
      </c>
      <c r="J141" s="4">
        <f>COUNTIFS('Opportunities'!$C$2:$C$1775,"=r20",'Opportunities'!$M$2:$M$1775,"=nov25",'Opportunities'!$H$2:$H$1775,"&lt;&gt;")</f>
        <v>0</v>
      </c>
      <c r="K141" s="4">
        <f>COUNTIFS('Opportunities'!$C$2:$C$1775,"=r20",'Opportunities'!$M$2:$M$1775,"=dec25",'Opportunities'!$H$2:$H$1775,"&lt;&gt;")</f>
        <v>0</v>
      </c>
      <c r="L141" s="4">
        <f>COUNTIFS('Opportunities'!$C$2:$C$1775,"=r20",'Opportunities'!$M$2:$M$1775,"=jan26",'Opportunities'!$H$2:$H$1775,"&lt;&gt;")</f>
        <v>2</v>
      </c>
      <c r="M141" s="4">
        <f>COUNTIFS('Opportunities'!$C$2:$C$1775,"=r20",'Opportunities'!$M$2:$M$1775,"=feb26",'Opportunities'!$H$2:$H$1775,"&lt;&gt;")</f>
        <v>0</v>
      </c>
      <c r="N141" s="4">
        <f>COUNTIFS('Opportunities'!$C$2:$C$1775,"=r20",'Opportunities'!$M$2:$M$1775,"=mar26",'Opportunities'!$H$2:$H$1775,"&lt;&gt;")</f>
        <v>2</v>
      </c>
      <c r="O141" s="4">
        <f>COUNTIFS('Opportunities'!$C$2:$C$1775,"=r20",'Opportunities'!$M$2:$M$1775,"=apr26",'Opportunities'!$H$2:$H$1775,"&lt;&gt;")</f>
        <v>0</v>
      </c>
      <c r="P141" s="4">
        <f>COUNTIFS('Opportunities'!$C$2:$C$1775,"=r20",'Opportunities'!$M$2:$M$1775,"=may26",'Opportunities'!$H$2:$H$1775,"&lt;&gt;")</f>
        <v>2</v>
      </c>
      <c r="Q141" s="4">
        <f>COUNTIFS('Opportunities'!$C$2:$C$1775,"=r20",'Opportunities'!$M$2:$M$1775,"=jun26",'Opportunities'!$H$2:$H$1775,"&lt;&gt;")</f>
        <v>2</v>
      </c>
      <c r="R141" s="4">
        <f>COUNTIFS('Opportunities'!$C$2:$C$1775,"=r20",'Opportunities'!$M$2:$M$1775,"=jul26",'Opportunities'!$H$2:$H$1775,"&lt;&gt;")</f>
        <v>0</v>
      </c>
      <c r="S141" s="4">
        <f>COUNTIFS('Opportunities'!$C$2:$C$1775,"=r20",'Opportunities'!$M$2:$M$1775,"=aug26",'Opportunities'!$H$2:$H$1775,"&lt;&gt;")</f>
        <v>5</v>
      </c>
      <c r="T141" s="4">
        <f>COUNTIFS('Opportunities'!$C$2:$C$1775,"=r20",'Opportunities'!$M$2:$M$1775,"=sep26",'Opportunities'!$H$2:$H$1775,"&lt;&gt;")</f>
        <v>1</v>
      </c>
      <c r="U141" s="4">
        <f>COUNTIFS('Opportunities'!$C$2:$C$1775,"=r20",'Opportunities'!$M$2:$M$1775,"=oct26",'Opportunities'!$H$2:$H$1775,"&lt;&gt;")</f>
        <v>0</v>
      </c>
      <c r="V141" s="4">
        <f>COUNTIFS('Opportunities'!$C$2:$C$1775,"=r20",'Opportunities'!$M$2:$M$1775,"=nov26",'Opportunities'!$H$2:$H$1775,"&lt;&gt;")</f>
        <v>0</v>
      </c>
      <c r="W141" s="4">
        <f>COUNTIFS('Opportunities'!$C$2:$C$1775,"=r20",'Opportunities'!$M$2:$M$1775,"=dec26",'Opportunities'!$H$2:$H$1775,"&lt;&gt;")</f>
        <v>0</v>
      </c>
    </row>
    <row r="142">
      <c r="A142" s="0" t="inlineStr">
        <is>
          <t xml:space="preserve">Opportunities created</t>
        </is>
      </c>
      <c r="B142" s="0" t="inlineStr">
        <is>
          <t xml:space="preserve">Elena Silva</t>
        </is>
      </c>
      <c r="C142" s="4">
        <f>COUNTIFS('Opportunities'!$C$2:$C$1775,"=r21",'Opportunities'!$M$2:$M$1775,"=apr25",'Opportunities'!$H$2:$H$1775,"&lt;&gt;")</f>
        <v>4</v>
      </c>
      <c r="D142" s="4">
        <f>COUNTIFS('Opportunities'!$C$2:$C$1775,"=r21",'Opportunities'!$M$2:$M$1775,"=may25",'Opportunities'!$H$2:$H$1775,"&lt;&gt;")</f>
        <v>4</v>
      </c>
      <c r="E142" s="4">
        <f>COUNTIFS('Opportunities'!$C$2:$C$1775,"=r21",'Opportunities'!$M$2:$M$1775,"=jun25",'Opportunities'!$H$2:$H$1775,"&lt;&gt;")</f>
        <v>7</v>
      </c>
      <c r="F142" s="4">
        <f>COUNTIFS('Opportunities'!$C$2:$C$1775,"=r21",'Opportunities'!$M$2:$M$1775,"=jul25",'Opportunities'!$H$2:$H$1775,"&lt;&gt;")</f>
        <v>8</v>
      </c>
      <c r="G142" s="4">
        <f>COUNTIFS('Opportunities'!$C$2:$C$1775,"=r21",'Opportunities'!$M$2:$M$1775,"=aug25",'Opportunities'!$H$2:$H$1775,"&lt;&gt;")</f>
        <v>2</v>
      </c>
      <c r="H142" s="4">
        <f>COUNTIFS('Opportunities'!$C$2:$C$1775,"=r21",'Opportunities'!$M$2:$M$1775,"=sep25",'Opportunities'!$H$2:$H$1775,"&lt;&gt;")</f>
        <v>3</v>
      </c>
      <c r="I142" s="4">
        <f>COUNTIFS('Opportunities'!$C$2:$C$1775,"=r21",'Opportunities'!$M$2:$M$1775,"=oct25",'Opportunities'!$H$2:$H$1775,"&lt;&gt;")</f>
        <v>5</v>
      </c>
      <c r="J142" s="4">
        <f>COUNTIFS('Opportunities'!$C$2:$C$1775,"=r21",'Opportunities'!$M$2:$M$1775,"=nov25",'Opportunities'!$H$2:$H$1775,"&lt;&gt;")</f>
        <v>3</v>
      </c>
      <c r="K142" s="4">
        <f>COUNTIFS('Opportunities'!$C$2:$C$1775,"=r21",'Opportunities'!$M$2:$M$1775,"=dec25",'Opportunities'!$H$2:$H$1775,"&lt;&gt;")</f>
        <v>2</v>
      </c>
      <c r="L142" s="4">
        <f>COUNTIFS('Opportunities'!$C$2:$C$1775,"=r21",'Opportunities'!$M$2:$M$1775,"=jan26",'Opportunities'!$H$2:$H$1775,"&lt;&gt;")</f>
        <v>0</v>
      </c>
      <c r="M142" s="4">
        <f>COUNTIFS('Opportunities'!$C$2:$C$1775,"=r21",'Opportunities'!$M$2:$M$1775,"=feb26",'Opportunities'!$H$2:$H$1775,"&lt;&gt;")</f>
        <v>4</v>
      </c>
      <c r="N142" s="4">
        <f>COUNTIFS('Opportunities'!$C$2:$C$1775,"=r21",'Opportunities'!$M$2:$M$1775,"=mar26",'Opportunities'!$H$2:$H$1775,"&lt;&gt;")</f>
        <v>9</v>
      </c>
      <c r="O142" s="4">
        <f>COUNTIFS('Opportunities'!$C$2:$C$1775,"=r21",'Opportunities'!$M$2:$M$1775,"=apr26",'Opportunities'!$H$2:$H$1775,"&lt;&gt;")</f>
        <v>2</v>
      </c>
      <c r="P142" s="4">
        <f>COUNTIFS('Opportunities'!$C$2:$C$1775,"=r21",'Opportunities'!$M$2:$M$1775,"=may26",'Opportunities'!$H$2:$H$1775,"&lt;&gt;")</f>
        <v>5</v>
      </c>
      <c r="Q142" s="4">
        <f>COUNTIFS('Opportunities'!$C$2:$C$1775,"=r21",'Opportunities'!$M$2:$M$1775,"=jun26",'Opportunities'!$H$2:$H$1775,"&lt;&gt;")</f>
        <v>6</v>
      </c>
      <c r="R142" s="4">
        <f>COUNTIFS('Opportunities'!$C$2:$C$1775,"=r21",'Opportunities'!$M$2:$M$1775,"=jul26",'Opportunities'!$H$2:$H$1775,"&lt;&gt;")</f>
        <v>5</v>
      </c>
      <c r="S142" s="4">
        <f>COUNTIFS('Opportunities'!$C$2:$C$1775,"=r21",'Opportunities'!$M$2:$M$1775,"=aug26",'Opportunities'!$H$2:$H$1775,"&lt;&gt;")</f>
        <v>4</v>
      </c>
      <c r="T142" s="4">
        <f>COUNTIFS('Opportunities'!$C$2:$C$1775,"=r21",'Opportunities'!$M$2:$M$1775,"=sep26",'Opportunities'!$H$2:$H$1775,"&lt;&gt;")</f>
        <v>4</v>
      </c>
      <c r="U142" s="4">
        <f>COUNTIFS('Opportunities'!$C$2:$C$1775,"=r21",'Opportunities'!$M$2:$M$1775,"=oct26",'Opportunities'!$H$2:$H$1775,"&lt;&gt;")</f>
        <v>0</v>
      </c>
      <c r="V142" s="4">
        <f>COUNTIFS('Opportunities'!$C$2:$C$1775,"=r21",'Opportunities'!$M$2:$M$1775,"=nov26",'Opportunities'!$H$2:$H$1775,"&lt;&gt;")</f>
        <v>0</v>
      </c>
      <c r="W142" s="4">
        <f>COUNTIFS('Opportunities'!$C$2:$C$1775,"=r21",'Opportunities'!$M$2:$M$1775,"=dec26",'Opportunities'!$H$2:$H$1775,"&lt;&gt;")</f>
        <v>0</v>
      </c>
    </row>
    <row r="143">
      <c r="A143" s="0" t="inlineStr">
        <is>
          <t xml:space="preserve">Opportunities created</t>
        </is>
      </c>
      <c r="B143" s="0" t="inlineStr">
        <is>
          <t xml:space="preserve">Arjun Müller</t>
        </is>
      </c>
      <c r="C143" s="4">
        <f>COUNTIFS('Opportunities'!$C$2:$C$1775,"=r22",'Opportunities'!$M$2:$M$1775,"=apr25",'Opportunities'!$H$2:$H$1775,"&lt;&gt;")</f>
        <v>3</v>
      </c>
      <c r="D143" s="4">
        <f>COUNTIFS('Opportunities'!$C$2:$C$1775,"=r22",'Opportunities'!$M$2:$M$1775,"=may25",'Opportunities'!$H$2:$H$1775,"&lt;&gt;")</f>
        <v>3</v>
      </c>
      <c r="E143" s="4">
        <f>COUNTIFS('Opportunities'!$C$2:$C$1775,"=r22",'Opportunities'!$M$2:$M$1775,"=jun25",'Opportunities'!$H$2:$H$1775,"&lt;&gt;")</f>
        <v>3</v>
      </c>
      <c r="F143" s="4">
        <f>COUNTIFS('Opportunities'!$C$2:$C$1775,"=r22",'Opportunities'!$M$2:$M$1775,"=jul25",'Opportunities'!$H$2:$H$1775,"&lt;&gt;")</f>
        <v>1</v>
      </c>
      <c r="G143" s="4">
        <f>COUNTIFS('Opportunities'!$C$2:$C$1775,"=r22",'Opportunities'!$M$2:$M$1775,"=aug25",'Opportunities'!$H$2:$H$1775,"&lt;&gt;")</f>
        <v>4</v>
      </c>
      <c r="H143" s="4">
        <f>COUNTIFS('Opportunities'!$C$2:$C$1775,"=r22",'Opportunities'!$M$2:$M$1775,"=sep25",'Opportunities'!$H$2:$H$1775,"&lt;&gt;")</f>
        <v>7</v>
      </c>
      <c r="I143" s="4">
        <f>COUNTIFS('Opportunities'!$C$2:$C$1775,"=r22",'Opportunities'!$M$2:$M$1775,"=oct25",'Opportunities'!$H$2:$H$1775,"&lt;&gt;")</f>
        <v>4</v>
      </c>
      <c r="J143" s="4">
        <f>COUNTIFS('Opportunities'!$C$2:$C$1775,"=r22",'Opportunities'!$M$2:$M$1775,"=nov25",'Opportunities'!$H$2:$H$1775,"&lt;&gt;")</f>
        <v>1</v>
      </c>
      <c r="K143" s="4">
        <f>COUNTIFS('Opportunities'!$C$2:$C$1775,"=r22",'Opportunities'!$M$2:$M$1775,"=dec25",'Opportunities'!$H$2:$H$1775,"&lt;&gt;")</f>
        <v>1</v>
      </c>
      <c r="L143" s="4">
        <f>COUNTIFS('Opportunities'!$C$2:$C$1775,"=r22",'Opportunities'!$M$2:$M$1775,"=jan26",'Opportunities'!$H$2:$H$1775,"&lt;&gt;")</f>
        <v>4</v>
      </c>
      <c r="M143" s="4">
        <f>COUNTIFS('Opportunities'!$C$2:$C$1775,"=r22",'Opportunities'!$M$2:$M$1775,"=feb26",'Opportunities'!$H$2:$H$1775,"&lt;&gt;")</f>
        <v>4</v>
      </c>
      <c r="N143" s="4">
        <f>COUNTIFS('Opportunities'!$C$2:$C$1775,"=r22",'Opportunities'!$M$2:$M$1775,"=mar26",'Opportunities'!$H$2:$H$1775,"&lt;&gt;")</f>
        <v>5</v>
      </c>
      <c r="O143" s="4">
        <f>COUNTIFS('Opportunities'!$C$2:$C$1775,"=r22",'Opportunities'!$M$2:$M$1775,"=apr26",'Opportunities'!$H$2:$H$1775,"&lt;&gt;")</f>
        <v>3</v>
      </c>
      <c r="P143" s="4">
        <f>COUNTIFS('Opportunities'!$C$2:$C$1775,"=r22",'Opportunities'!$M$2:$M$1775,"=may26",'Opportunities'!$H$2:$H$1775,"&lt;&gt;")</f>
        <v>5</v>
      </c>
      <c r="Q143" s="4">
        <f>COUNTIFS('Opportunities'!$C$2:$C$1775,"=r22",'Opportunities'!$M$2:$M$1775,"=jun26",'Opportunities'!$H$2:$H$1775,"&lt;&gt;")</f>
        <v>7</v>
      </c>
      <c r="R143" s="4">
        <f>COUNTIFS('Opportunities'!$C$2:$C$1775,"=r22",'Opportunities'!$M$2:$M$1775,"=jul26",'Opportunities'!$H$2:$H$1775,"&lt;&gt;")</f>
        <v>3</v>
      </c>
      <c r="S143" s="4">
        <f>COUNTIFS('Opportunities'!$C$2:$C$1775,"=r22",'Opportunities'!$M$2:$M$1775,"=aug26",'Opportunities'!$H$2:$H$1775,"&lt;&gt;")</f>
        <v>2</v>
      </c>
      <c r="T143" s="4">
        <f>COUNTIFS('Opportunities'!$C$2:$C$1775,"=r22",'Opportunities'!$M$2:$M$1775,"=sep26",'Opportunities'!$H$2:$H$1775,"&lt;&gt;")</f>
        <v>1</v>
      </c>
      <c r="U143" s="4">
        <f>COUNTIFS('Opportunities'!$C$2:$C$1775,"=r22",'Opportunities'!$M$2:$M$1775,"=oct26",'Opportunities'!$H$2:$H$1775,"&lt;&gt;")</f>
        <v>0</v>
      </c>
      <c r="V143" s="4">
        <f>COUNTIFS('Opportunities'!$C$2:$C$1775,"=r22",'Opportunities'!$M$2:$M$1775,"=nov26",'Opportunities'!$H$2:$H$1775,"&lt;&gt;")</f>
        <v>0</v>
      </c>
      <c r="W143" s="4">
        <f>COUNTIFS('Opportunities'!$C$2:$C$1775,"=r22",'Opportunities'!$M$2:$M$1775,"=dec26",'Opportunities'!$H$2:$H$1775,"&lt;&gt;")</f>
        <v>0</v>
      </c>
    </row>
    <row r="144">
      <c r="A144" s="0" t="inlineStr">
        <is>
          <t xml:space="preserve">Opportunities created</t>
        </is>
      </c>
      <c r="B144" s="0" t="inlineStr">
        <is>
          <t xml:space="preserve">Nikolai Park</t>
        </is>
      </c>
      <c r="C144" s="4">
        <f>COUNTIFS('Opportunities'!$C$2:$C$1775,"=r23",'Opportunities'!$M$2:$M$1775,"=apr25",'Opportunities'!$H$2:$H$1775,"&lt;&gt;")</f>
        <v>0</v>
      </c>
      <c r="D144" s="4">
        <f>COUNTIFS('Opportunities'!$C$2:$C$1775,"=r23",'Opportunities'!$M$2:$M$1775,"=may25",'Opportunities'!$H$2:$H$1775,"&lt;&gt;")</f>
        <v>0</v>
      </c>
      <c r="E144" s="4">
        <f>COUNTIFS('Opportunities'!$C$2:$C$1775,"=r23",'Opportunities'!$M$2:$M$1775,"=jun25",'Opportunities'!$H$2:$H$1775,"&lt;&gt;")</f>
        <v>0</v>
      </c>
      <c r="F144" s="4">
        <f>COUNTIFS('Opportunities'!$C$2:$C$1775,"=r23",'Opportunities'!$M$2:$M$1775,"=jul25",'Opportunities'!$H$2:$H$1775,"&lt;&gt;")</f>
        <v>0</v>
      </c>
      <c r="G144" s="4">
        <f>COUNTIFS('Opportunities'!$C$2:$C$1775,"=r23",'Opportunities'!$M$2:$M$1775,"=aug25",'Opportunities'!$H$2:$H$1775,"&lt;&gt;")</f>
        <v>0</v>
      </c>
      <c r="H144" s="4">
        <f>COUNTIFS('Opportunities'!$C$2:$C$1775,"=r23",'Opportunities'!$M$2:$M$1775,"=sep25",'Opportunities'!$H$2:$H$1775,"&lt;&gt;")</f>
        <v>0</v>
      </c>
      <c r="I144" s="4">
        <f>COUNTIFS('Opportunities'!$C$2:$C$1775,"=r23",'Opportunities'!$M$2:$M$1775,"=oct25",'Opportunities'!$H$2:$H$1775,"&lt;&gt;")</f>
        <v>0</v>
      </c>
      <c r="J144" s="4">
        <f>COUNTIFS('Opportunities'!$C$2:$C$1775,"=r23",'Opportunities'!$M$2:$M$1775,"=nov25",'Opportunities'!$H$2:$H$1775,"&lt;&gt;")</f>
        <v>0</v>
      </c>
      <c r="K144" s="4">
        <f>COUNTIFS('Opportunities'!$C$2:$C$1775,"=r23",'Opportunities'!$M$2:$M$1775,"=dec25",'Opportunities'!$H$2:$H$1775,"&lt;&gt;")</f>
        <v>0</v>
      </c>
      <c r="L144" s="4">
        <f>COUNTIFS('Opportunities'!$C$2:$C$1775,"=r23",'Opportunities'!$M$2:$M$1775,"=jan26",'Opportunities'!$H$2:$H$1775,"&lt;&gt;")</f>
        <v>0</v>
      </c>
      <c r="M144" s="4">
        <f>COUNTIFS('Opportunities'!$C$2:$C$1775,"=r23",'Opportunities'!$M$2:$M$1775,"=feb26",'Opportunities'!$H$2:$H$1775,"&lt;&gt;")</f>
        <v>0</v>
      </c>
      <c r="N144" s="4">
        <f>COUNTIFS('Opportunities'!$C$2:$C$1775,"=r23",'Opportunities'!$M$2:$M$1775,"=mar26",'Opportunities'!$H$2:$H$1775,"&lt;&gt;")</f>
        <v>0</v>
      </c>
      <c r="O144" s="4">
        <f>COUNTIFS('Opportunities'!$C$2:$C$1775,"=r23",'Opportunities'!$M$2:$M$1775,"=apr26",'Opportunities'!$H$2:$H$1775,"&lt;&gt;")</f>
        <v>0</v>
      </c>
      <c r="P144" s="4">
        <f>COUNTIFS('Opportunities'!$C$2:$C$1775,"=r23",'Opportunities'!$M$2:$M$1775,"=may26",'Opportunities'!$H$2:$H$1775,"&lt;&gt;")</f>
        <v>1</v>
      </c>
      <c r="Q144" s="4">
        <f>COUNTIFS('Opportunities'!$C$2:$C$1775,"=r23",'Opportunities'!$M$2:$M$1775,"=jun26",'Opportunities'!$H$2:$H$1775,"&lt;&gt;")</f>
        <v>3</v>
      </c>
      <c r="R144" s="4">
        <f>COUNTIFS('Opportunities'!$C$2:$C$1775,"=r23",'Opportunities'!$M$2:$M$1775,"=jul26",'Opportunities'!$H$2:$H$1775,"&lt;&gt;")</f>
        <v>0</v>
      </c>
      <c r="S144" s="4">
        <f>COUNTIFS('Opportunities'!$C$2:$C$1775,"=r23",'Opportunities'!$M$2:$M$1775,"=aug26",'Opportunities'!$H$2:$H$1775,"&lt;&gt;")</f>
        <v>2</v>
      </c>
      <c r="T144" s="4">
        <f>COUNTIFS('Opportunities'!$C$2:$C$1775,"=r23",'Opportunities'!$M$2:$M$1775,"=sep26",'Opportunities'!$H$2:$H$1775,"&lt;&gt;")</f>
        <v>3</v>
      </c>
      <c r="U144" s="4">
        <f>COUNTIFS('Opportunities'!$C$2:$C$1775,"=r23",'Opportunities'!$M$2:$M$1775,"=oct26",'Opportunities'!$H$2:$H$1775,"&lt;&gt;")</f>
        <v>0</v>
      </c>
      <c r="V144" s="4">
        <f>COUNTIFS('Opportunities'!$C$2:$C$1775,"=r23",'Opportunities'!$M$2:$M$1775,"=nov26",'Opportunities'!$H$2:$H$1775,"&lt;&gt;")</f>
        <v>0</v>
      </c>
      <c r="W144" s="4">
        <f>COUNTIFS('Opportunities'!$C$2:$C$1775,"=r23",'Opportunities'!$M$2:$M$1775,"=dec26",'Opportunities'!$H$2:$H$1775,"&lt;&gt;")</f>
        <v>0</v>
      </c>
    </row>
    <row r="145">
      <c r="A145" s="0" t="inlineStr">
        <is>
          <t xml:space="preserve">Opportunities created</t>
        </is>
      </c>
      <c r="B145" s="0" t="inlineStr">
        <is>
          <t xml:space="preserve">Ingrid Dubois</t>
        </is>
      </c>
      <c r="C145" s="4">
        <f>COUNTIFS('Opportunities'!$C$2:$C$1775,"=r24",'Opportunities'!$M$2:$M$1775,"=apr25",'Opportunities'!$H$2:$H$1775,"&lt;&gt;")</f>
        <v>3</v>
      </c>
      <c r="D145" s="4">
        <f>COUNTIFS('Opportunities'!$C$2:$C$1775,"=r24",'Opportunities'!$M$2:$M$1775,"=may25",'Opportunities'!$H$2:$H$1775,"&lt;&gt;")</f>
        <v>5</v>
      </c>
      <c r="E145" s="4">
        <f>COUNTIFS('Opportunities'!$C$2:$C$1775,"=r24",'Opportunities'!$M$2:$M$1775,"=jun25",'Opportunities'!$H$2:$H$1775,"&lt;&gt;")</f>
        <v>5</v>
      </c>
      <c r="F145" s="4">
        <f>COUNTIFS('Opportunities'!$C$2:$C$1775,"=r24",'Opportunities'!$M$2:$M$1775,"=jul25",'Opportunities'!$H$2:$H$1775,"&lt;&gt;")</f>
        <v>6</v>
      </c>
      <c r="G145" s="4">
        <f>COUNTIFS('Opportunities'!$C$2:$C$1775,"=r24",'Opportunities'!$M$2:$M$1775,"=aug25",'Opportunities'!$H$2:$H$1775,"&lt;&gt;")</f>
        <v>7</v>
      </c>
      <c r="H145" s="4">
        <f>COUNTIFS('Opportunities'!$C$2:$C$1775,"=r24",'Opportunities'!$M$2:$M$1775,"=sep25",'Opportunities'!$H$2:$H$1775,"&lt;&gt;")</f>
        <v>4</v>
      </c>
      <c r="I145" s="4">
        <f>COUNTIFS('Opportunities'!$C$2:$C$1775,"=r24",'Opportunities'!$M$2:$M$1775,"=oct25",'Opportunities'!$H$2:$H$1775,"&lt;&gt;")</f>
        <v>7</v>
      </c>
      <c r="J145" s="4">
        <f>COUNTIFS('Opportunities'!$C$2:$C$1775,"=r24",'Opportunities'!$M$2:$M$1775,"=nov25",'Opportunities'!$H$2:$H$1775,"&lt;&gt;")</f>
        <v>8</v>
      </c>
      <c r="K145" s="4">
        <f>COUNTIFS('Opportunities'!$C$2:$C$1775,"=r24",'Opportunities'!$M$2:$M$1775,"=dec25",'Opportunities'!$H$2:$H$1775,"&lt;&gt;")</f>
        <v>6</v>
      </c>
      <c r="L145" s="4">
        <f>COUNTIFS('Opportunities'!$C$2:$C$1775,"=r24",'Opportunities'!$M$2:$M$1775,"=jan26",'Opportunities'!$H$2:$H$1775,"&lt;&gt;")</f>
        <v>2</v>
      </c>
      <c r="M145" s="4">
        <f>COUNTIFS('Opportunities'!$C$2:$C$1775,"=r24",'Opportunities'!$M$2:$M$1775,"=feb26",'Opportunities'!$H$2:$H$1775,"&lt;&gt;")</f>
        <v>6</v>
      </c>
      <c r="N145" s="4">
        <f>COUNTIFS('Opportunities'!$C$2:$C$1775,"=r24",'Opportunities'!$M$2:$M$1775,"=mar26",'Opportunities'!$H$2:$H$1775,"&lt;&gt;")</f>
        <v>8</v>
      </c>
      <c r="O145" s="4">
        <f>COUNTIFS('Opportunities'!$C$2:$C$1775,"=r24",'Opportunities'!$M$2:$M$1775,"=apr26",'Opportunities'!$H$2:$H$1775,"&lt;&gt;")</f>
        <v>10</v>
      </c>
      <c r="P145" s="4">
        <f>COUNTIFS('Opportunities'!$C$2:$C$1775,"=r24",'Opportunities'!$M$2:$M$1775,"=may26",'Opportunities'!$H$2:$H$1775,"&lt;&gt;")</f>
        <v>3</v>
      </c>
      <c r="Q145" s="4">
        <f>COUNTIFS('Opportunities'!$C$2:$C$1775,"=r24",'Opportunities'!$M$2:$M$1775,"=jun26",'Opportunities'!$H$2:$H$1775,"&lt;&gt;")</f>
        <v>12</v>
      </c>
      <c r="R145" s="4">
        <f>COUNTIFS('Opportunities'!$C$2:$C$1775,"=r24",'Opportunities'!$M$2:$M$1775,"=jul26",'Opportunities'!$H$2:$H$1775,"&lt;&gt;")</f>
        <v>4</v>
      </c>
      <c r="S145" s="4">
        <f>COUNTIFS('Opportunities'!$C$2:$C$1775,"=r24",'Opportunities'!$M$2:$M$1775,"=aug26",'Opportunities'!$H$2:$H$1775,"&lt;&gt;")</f>
        <v>5</v>
      </c>
      <c r="T145" s="4">
        <f>COUNTIFS('Opportunities'!$C$2:$C$1775,"=r24",'Opportunities'!$M$2:$M$1775,"=sep26",'Opportunities'!$H$2:$H$1775,"&lt;&gt;")</f>
        <v>4</v>
      </c>
      <c r="U145" s="4">
        <f>COUNTIFS('Opportunities'!$C$2:$C$1775,"=r24",'Opportunities'!$M$2:$M$1775,"=oct26",'Opportunities'!$H$2:$H$1775,"&lt;&gt;")</f>
        <v>0</v>
      </c>
      <c r="V145" s="4">
        <f>COUNTIFS('Opportunities'!$C$2:$C$1775,"=r24",'Opportunities'!$M$2:$M$1775,"=nov26",'Opportunities'!$H$2:$H$1775,"&lt;&gt;")</f>
        <v>0</v>
      </c>
      <c r="W145" s="4">
        <f>COUNTIFS('Opportunities'!$C$2:$C$1775,"=r24",'Opportunities'!$M$2:$M$1775,"=dec26",'Opportunities'!$H$2:$H$1775,"&lt;&gt;")</f>
        <v>0</v>
      </c>
    </row>
    <row r="146">
      <c r="A146" s="0" t="inlineStr">
        <is>
          <t xml:space="preserve">Pipeline created</t>
        </is>
      </c>
      <c r="B146" s="0" t="inlineStr">
        <is>
          <t xml:space="preserve">Noor Ortiz</t>
        </is>
      </c>
      <c r="C146" s="4">
        <f>SUMIFS('Opportunities'!$H$2:$H$1775,'Opportunities'!$C$2:$C$1775,"=r01",'Opportunities'!$M$2:$M$1775,"=apr25")</f>
        <v>566200</v>
      </c>
      <c r="D146" s="4">
        <f>SUMIFS('Opportunities'!$H$2:$H$1775,'Opportunities'!$C$2:$C$1775,"=r01",'Opportunities'!$M$2:$M$1775,"=may25")</f>
        <v>366200</v>
      </c>
      <c r="E146" s="4">
        <f>SUMIFS('Opportunities'!$H$2:$H$1775,'Opportunities'!$C$2:$C$1775,"=r01",'Opportunities'!$M$2:$M$1775,"=jun25")</f>
        <v>1144500</v>
      </c>
      <c r="F146" s="4">
        <f>SUMIFS('Opportunities'!$H$2:$H$1775,'Opportunities'!$C$2:$C$1775,"=r01",'Opportunities'!$M$2:$M$1775,"=jul25")</f>
        <v>351000</v>
      </c>
      <c r="G146" s="4">
        <f>SUMIFS('Opportunities'!$H$2:$H$1775,'Opportunities'!$C$2:$C$1775,"=r01",'Opportunities'!$M$2:$M$1775,"=aug25")</f>
        <v>462600</v>
      </c>
      <c r="H146" s="4">
        <f>SUMIFS('Opportunities'!$H$2:$H$1775,'Opportunities'!$C$2:$C$1775,"=r01",'Opportunities'!$M$2:$M$1775,"=sep25")</f>
        <v>1382000</v>
      </c>
      <c r="I146" s="4">
        <f>SUMIFS('Opportunities'!$H$2:$H$1775,'Opportunities'!$C$2:$C$1775,"=r01",'Opportunities'!$M$2:$M$1775,"=oct25")</f>
        <v>476800</v>
      </c>
      <c r="J146" s="4">
        <f>SUMIFS('Opportunities'!$H$2:$H$1775,'Opportunities'!$C$2:$C$1775,"=r01",'Opportunities'!$M$2:$M$1775,"=nov25")</f>
        <v>340100</v>
      </c>
      <c r="K146" s="4">
        <f>SUMIFS('Opportunities'!$H$2:$H$1775,'Opportunities'!$C$2:$C$1775,"=r01",'Opportunities'!$M$2:$M$1775,"=dec25")</f>
        <v>804900</v>
      </c>
      <c r="L146" s="4">
        <f>SUMIFS('Opportunities'!$H$2:$H$1775,'Opportunities'!$C$2:$C$1775,"=r01",'Opportunities'!$M$2:$M$1775,"=jan26")</f>
        <v>434900</v>
      </c>
      <c r="M146" s="4">
        <f>SUMIFS('Opportunities'!$H$2:$H$1775,'Opportunities'!$C$2:$C$1775,"=r01",'Opportunities'!$M$2:$M$1775,"=feb26")</f>
        <v>1429000</v>
      </c>
      <c r="N146" s="4">
        <f>SUMIFS('Opportunities'!$H$2:$H$1775,'Opportunities'!$C$2:$C$1775,"=r01",'Opportunities'!$M$2:$M$1775,"=mar26")</f>
        <v>713000</v>
      </c>
      <c r="O146" s="4">
        <f>SUMIFS('Opportunities'!$H$2:$H$1775,'Opportunities'!$C$2:$C$1775,"=r01",'Opportunities'!$M$2:$M$1775,"=apr26")</f>
        <v>389700</v>
      </c>
      <c r="P146" s="4">
        <f>SUMIFS('Opportunities'!$H$2:$H$1775,'Opportunities'!$C$2:$C$1775,"=r01",'Opportunities'!$M$2:$M$1775,"=may26")</f>
        <v>1247800</v>
      </c>
      <c r="Q146" s="4">
        <f>SUMIFS('Opportunities'!$H$2:$H$1775,'Opportunities'!$C$2:$C$1775,"=r01",'Opportunities'!$M$2:$M$1775,"=jun26")</f>
        <v>847400</v>
      </c>
      <c r="R146" s="4">
        <f>SUMIFS('Opportunities'!$H$2:$H$1775,'Opportunities'!$C$2:$C$1775,"=r01",'Opportunities'!$M$2:$M$1775,"=jul26")</f>
        <v>460300</v>
      </c>
      <c r="S146" s="4">
        <f>SUMIFS('Opportunities'!$H$2:$H$1775,'Opportunities'!$C$2:$C$1775,"=r01",'Opportunities'!$M$2:$M$1775,"=aug26")</f>
        <v>883900</v>
      </c>
      <c r="T146" s="4">
        <f>SUMIFS('Opportunities'!$H$2:$H$1775,'Opportunities'!$C$2:$C$1775,"=r01",'Opportunities'!$M$2:$M$1775,"=sep26")</f>
        <v>619800</v>
      </c>
      <c r="U146" s="4">
        <f>SUMIFS('Opportunities'!$H$2:$H$1775,'Opportunities'!$C$2:$C$1775,"=r01",'Opportunities'!$M$2:$M$1775,"=oct26")</f>
        <v>0</v>
      </c>
      <c r="V146" s="4">
        <f>SUMIFS('Opportunities'!$H$2:$H$1775,'Opportunities'!$C$2:$C$1775,"=r01",'Opportunities'!$M$2:$M$1775,"=nov26")</f>
        <v>0</v>
      </c>
      <c r="W146" s="4">
        <f>SUMIFS('Opportunities'!$H$2:$H$1775,'Opportunities'!$C$2:$C$1775,"=r01",'Opportunities'!$M$2:$M$1775,"=dec26")</f>
        <v>0</v>
      </c>
    </row>
    <row r="147">
      <c r="A147" s="0" t="inlineStr">
        <is>
          <t xml:space="preserve">Pipeline created</t>
        </is>
      </c>
      <c r="B147" s="0" t="inlineStr">
        <is>
          <t xml:space="preserve">Priya Yilmaz</t>
        </is>
      </c>
      <c r="C147" s="4">
        <f>SUMIFS('Opportunities'!$H$2:$H$1775,'Opportunities'!$C$2:$C$1775,"=r02",'Opportunities'!$M$2:$M$1775,"=apr25")</f>
        <v>0</v>
      </c>
      <c r="D147" s="4">
        <f>SUMIFS('Opportunities'!$H$2:$H$1775,'Opportunities'!$C$2:$C$1775,"=r02",'Opportunities'!$M$2:$M$1775,"=may25")</f>
        <v>0</v>
      </c>
      <c r="E147" s="4">
        <f>SUMIFS('Opportunities'!$H$2:$H$1775,'Opportunities'!$C$2:$C$1775,"=r02",'Opportunities'!$M$2:$M$1775,"=jun25")</f>
        <v>0</v>
      </c>
      <c r="F147" s="4">
        <f>SUMIFS('Opportunities'!$H$2:$H$1775,'Opportunities'!$C$2:$C$1775,"=r02",'Opportunities'!$M$2:$M$1775,"=jul25")</f>
        <v>0</v>
      </c>
      <c r="G147" s="4">
        <f>SUMIFS('Opportunities'!$H$2:$H$1775,'Opportunities'!$C$2:$C$1775,"=r02",'Opportunities'!$M$2:$M$1775,"=aug25")</f>
        <v>0</v>
      </c>
      <c r="H147" s="4">
        <f>SUMIFS('Opportunities'!$H$2:$H$1775,'Opportunities'!$C$2:$C$1775,"=r02",'Opportunities'!$M$2:$M$1775,"=sep25")</f>
        <v>0</v>
      </c>
      <c r="I147" s="4">
        <f>SUMIFS('Opportunities'!$H$2:$H$1775,'Opportunities'!$C$2:$C$1775,"=r02",'Opportunities'!$M$2:$M$1775,"=oct25")</f>
        <v>0</v>
      </c>
      <c r="J147" s="4">
        <f>SUMIFS('Opportunities'!$H$2:$H$1775,'Opportunities'!$C$2:$C$1775,"=r02",'Opportunities'!$M$2:$M$1775,"=nov25")</f>
        <v>0</v>
      </c>
      <c r="K147" s="4">
        <f>SUMIFS('Opportunities'!$H$2:$H$1775,'Opportunities'!$C$2:$C$1775,"=r02",'Opportunities'!$M$2:$M$1775,"=dec25")</f>
        <v>0</v>
      </c>
      <c r="L147" s="4">
        <f>SUMIFS('Opportunities'!$H$2:$H$1775,'Opportunities'!$C$2:$C$1775,"=r02",'Opportunities'!$M$2:$M$1775,"=jan26")</f>
        <v>0</v>
      </c>
      <c r="M147" s="4">
        <f>SUMIFS('Opportunities'!$H$2:$H$1775,'Opportunities'!$C$2:$C$1775,"=r02",'Opportunities'!$M$2:$M$1775,"=feb26")</f>
        <v>0</v>
      </c>
      <c r="N147" s="4">
        <f>SUMIFS('Opportunities'!$H$2:$H$1775,'Opportunities'!$C$2:$C$1775,"=r02",'Opportunities'!$M$2:$M$1775,"=mar26")</f>
        <v>0</v>
      </c>
      <c r="O147" s="4">
        <f>SUMIFS('Opportunities'!$H$2:$H$1775,'Opportunities'!$C$2:$C$1775,"=r02",'Opportunities'!$M$2:$M$1775,"=apr26")</f>
        <v>0</v>
      </c>
      <c r="P147" s="4">
        <f>SUMIFS('Opportunities'!$H$2:$H$1775,'Opportunities'!$C$2:$C$1775,"=r02",'Opportunities'!$M$2:$M$1775,"=may26")</f>
        <v>0</v>
      </c>
      <c r="Q147" s="4">
        <f>SUMIFS('Opportunities'!$H$2:$H$1775,'Opportunities'!$C$2:$C$1775,"=r02",'Opportunities'!$M$2:$M$1775,"=jun26")</f>
        <v>0</v>
      </c>
      <c r="R147" s="4">
        <f>SUMIFS('Opportunities'!$H$2:$H$1775,'Opportunities'!$C$2:$C$1775,"=r02",'Opportunities'!$M$2:$M$1775,"=jul26")</f>
        <v>0</v>
      </c>
      <c r="S147" s="4">
        <f>SUMIFS('Opportunities'!$H$2:$H$1775,'Opportunities'!$C$2:$C$1775,"=r02",'Opportunities'!$M$2:$M$1775,"=aug26")</f>
        <v>184300</v>
      </c>
      <c r="T147" s="4">
        <f>SUMIFS('Opportunities'!$H$2:$H$1775,'Opportunities'!$C$2:$C$1775,"=r02",'Opportunities'!$M$2:$M$1775,"=sep26")</f>
        <v>200900</v>
      </c>
      <c r="U147" s="4">
        <f>SUMIFS('Opportunities'!$H$2:$H$1775,'Opportunities'!$C$2:$C$1775,"=r02",'Opportunities'!$M$2:$M$1775,"=oct26")</f>
        <v>0</v>
      </c>
      <c r="V147" s="4">
        <f>SUMIFS('Opportunities'!$H$2:$H$1775,'Opportunities'!$C$2:$C$1775,"=r02",'Opportunities'!$M$2:$M$1775,"=nov26")</f>
        <v>0</v>
      </c>
      <c r="W147" s="4">
        <f>SUMIFS('Opportunities'!$H$2:$H$1775,'Opportunities'!$C$2:$C$1775,"=r02",'Opportunities'!$M$2:$M$1775,"=dec26")</f>
        <v>0</v>
      </c>
    </row>
    <row r="148">
      <c r="A148" s="0" t="inlineStr">
        <is>
          <t xml:space="preserve">Pipeline created</t>
        </is>
      </c>
      <c r="B148" s="0" t="inlineStr">
        <is>
          <t xml:space="preserve">Marcus Schmidt</t>
        </is>
      </c>
      <c r="C148" s="4">
        <f>SUMIFS('Opportunities'!$H$2:$H$1775,'Opportunities'!$C$2:$C$1775,"=r03",'Opportunities'!$M$2:$M$1775,"=apr25")</f>
        <v>0</v>
      </c>
      <c r="D148" s="4">
        <f>SUMIFS('Opportunities'!$H$2:$H$1775,'Opportunities'!$C$2:$C$1775,"=r03",'Opportunities'!$M$2:$M$1775,"=may25")</f>
        <v>0</v>
      </c>
      <c r="E148" s="4">
        <f>SUMIFS('Opportunities'!$H$2:$H$1775,'Opportunities'!$C$2:$C$1775,"=r03",'Opportunities'!$M$2:$M$1775,"=jun25")</f>
        <v>0</v>
      </c>
      <c r="F148" s="4">
        <f>SUMIFS('Opportunities'!$H$2:$H$1775,'Opportunities'!$C$2:$C$1775,"=r03",'Opportunities'!$M$2:$M$1775,"=jul25")</f>
        <v>273000</v>
      </c>
      <c r="G148" s="4">
        <f>SUMIFS('Opportunities'!$H$2:$H$1775,'Opportunities'!$C$2:$C$1775,"=r03",'Opportunities'!$M$2:$M$1775,"=aug25")</f>
        <v>63900</v>
      </c>
      <c r="H148" s="4">
        <f>SUMIFS('Opportunities'!$H$2:$H$1775,'Opportunities'!$C$2:$C$1775,"=r03",'Opportunities'!$M$2:$M$1775,"=sep25")</f>
        <v>220100</v>
      </c>
      <c r="I148" s="4">
        <f>SUMIFS('Opportunities'!$H$2:$H$1775,'Opportunities'!$C$2:$C$1775,"=r03",'Opportunities'!$M$2:$M$1775,"=oct25")</f>
        <v>14000</v>
      </c>
      <c r="J148" s="4">
        <f>SUMIFS('Opportunities'!$H$2:$H$1775,'Opportunities'!$C$2:$C$1775,"=r03",'Opportunities'!$M$2:$M$1775,"=nov25")</f>
        <v>103700</v>
      </c>
      <c r="K148" s="4">
        <f>SUMIFS('Opportunities'!$H$2:$H$1775,'Opportunities'!$C$2:$C$1775,"=r03",'Opportunities'!$M$2:$M$1775,"=dec25")</f>
        <v>481300</v>
      </c>
      <c r="L148" s="4">
        <f>SUMIFS('Opportunities'!$H$2:$H$1775,'Opportunities'!$C$2:$C$1775,"=r03",'Opportunities'!$M$2:$M$1775,"=jan26")</f>
        <v>344600</v>
      </c>
      <c r="M148" s="4">
        <f>SUMIFS('Opportunities'!$H$2:$H$1775,'Opportunities'!$C$2:$C$1775,"=r03",'Opportunities'!$M$2:$M$1775,"=feb26")</f>
        <v>158100</v>
      </c>
      <c r="N148" s="4">
        <f>SUMIFS('Opportunities'!$H$2:$H$1775,'Opportunities'!$C$2:$C$1775,"=r03",'Opportunities'!$M$2:$M$1775,"=mar26")</f>
        <v>403100</v>
      </c>
      <c r="O148" s="4">
        <f>SUMIFS('Opportunities'!$H$2:$H$1775,'Opportunities'!$C$2:$C$1775,"=r03",'Opportunities'!$M$2:$M$1775,"=apr26")</f>
        <v>501800</v>
      </c>
      <c r="P148" s="4">
        <f>SUMIFS('Opportunities'!$H$2:$H$1775,'Opportunities'!$C$2:$C$1775,"=r03",'Opportunities'!$M$2:$M$1775,"=may26")</f>
        <v>393800</v>
      </c>
      <c r="Q148" s="4">
        <f>SUMIFS('Opportunities'!$H$2:$H$1775,'Opportunities'!$C$2:$C$1775,"=r03",'Opportunities'!$M$2:$M$1775,"=jun26")</f>
        <v>336500</v>
      </c>
      <c r="R148" s="4">
        <f>SUMIFS('Opportunities'!$H$2:$H$1775,'Opportunities'!$C$2:$C$1775,"=r03",'Opportunities'!$M$2:$M$1775,"=jul26")</f>
        <v>159400</v>
      </c>
      <c r="S148" s="4">
        <f>SUMIFS('Opportunities'!$H$2:$H$1775,'Opportunities'!$C$2:$C$1775,"=r03",'Opportunities'!$M$2:$M$1775,"=aug26")</f>
        <v>218300</v>
      </c>
      <c r="T148" s="4">
        <f>SUMIFS('Opportunities'!$H$2:$H$1775,'Opportunities'!$C$2:$C$1775,"=r03",'Opportunities'!$M$2:$M$1775,"=sep26")</f>
        <v>85300</v>
      </c>
      <c r="U148" s="4">
        <f>SUMIFS('Opportunities'!$H$2:$H$1775,'Opportunities'!$C$2:$C$1775,"=r03",'Opportunities'!$M$2:$M$1775,"=oct26")</f>
        <v>0</v>
      </c>
      <c r="V148" s="4">
        <f>SUMIFS('Opportunities'!$H$2:$H$1775,'Opportunities'!$C$2:$C$1775,"=r03",'Opportunities'!$M$2:$M$1775,"=nov26")</f>
        <v>0</v>
      </c>
      <c r="W148" s="4">
        <f>SUMIFS('Opportunities'!$H$2:$H$1775,'Opportunities'!$C$2:$C$1775,"=r03",'Opportunities'!$M$2:$M$1775,"=dec26")</f>
        <v>0</v>
      </c>
    </row>
    <row r="149">
      <c r="A149" s="0" t="inlineStr">
        <is>
          <t xml:space="preserve">Pipeline created</t>
        </is>
      </c>
      <c r="B149" s="0" t="inlineStr">
        <is>
          <t xml:space="preserve">Amara Haddad</t>
        </is>
      </c>
      <c r="C149" s="4">
        <f>SUMIFS('Opportunities'!$H$2:$H$1775,'Opportunities'!$C$2:$C$1775,"=r04",'Opportunities'!$M$2:$M$1775,"=apr25")</f>
        <v>804000</v>
      </c>
      <c r="D149" s="4">
        <f>SUMIFS('Opportunities'!$H$2:$H$1775,'Opportunities'!$C$2:$C$1775,"=r04",'Opportunities'!$M$2:$M$1775,"=may25")</f>
        <v>638200</v>
      </c>
      <c r="E149" s="4">
        <f>SUMIFS('Opportunities'!$H$2:$H$1775,'Opportunities'!$C$2:$C$1775,"=r04",'Opportunities'!$M$2:$M$1775,"=jun25")</f>
        <v>453800</v>
      </c>
      <c r="F149" s="4">
        <f>SUMIFS('Opportunities'!$H$2:$H$1775,'Opportunities'!$C$2:$C$1775,"=r04",'Opportunities'!$M$2:$M$1775,"=jul25")</f>
        <v>214700</v>
      </c>
      <c r="G149" s="4">
        <f>SUMIFS('Opportunities'!$H$2:$H$1775,'Opportunities'!$C$2:$C$1775,"=r04",'Opportunities'!$M$2:$M$1775,"=aug25")</f>
        <v>203300</v>
      </c>
      <c r="H149" s="4">
        <f>SUMIFS('Opportunities'!$H$2:$H$1775,'Opportunities'!$C$2:$C$1775,"=r04",'Opportunities'!$M$2:$M$1775,"=sep25")</f>
        <v>67200</v>
      </c>
      <c r="I149" s="4">
        <f>SUMIFS('Opportunities'!$H$2:$H$1775,'Opportunities'!$C$2:$C$1775,"=r04",'Opportunities'!$M$2:$M$1775,"=oct25")</f>
        <v>77300</v>
      </c>
      <c r="J149" s="4">
        <f>SUMIFS('Opportunities'!$H$2:$H$1775,'Opportunities'!$C$2:$C$1775,"=r04",'Opportunities'!$M$2:$M$1775,"=nov25")</f>
        <v>229200</v>
      </c>
      <c r="K149" s="4">
        <f>SUMIFS('Opportunities'!$H$2:$H$1775,'Opportunities'!$C$2:$C$1775,"=r04",'Opportunities'!$M$2:$M$1775,"=dec25")</f>
        <v>116500</v>
      </c>
      <c r="L149" s="4">
        <f>SUMIFS('Opportunities'!$H$2:$H$1775,'Opportunities'!$C$2:$C$1775,"=r04",'Opportunities'!$M$2:$M$1775,"=jan26")</f>
        <v>195700</v>
      </c>
      <c r="M149" s="4">
        <f>SUMIFS('Opportunities'!$H$2:$H$1775,'Opportunities'!$C$2:$C$1775,"=r04",'Opportunities'!$M$2:$M$1775,"=feb26")</f>
        <v>66600</v>
      </c>
      <c r="N149" s="4">
        <f>SUMIFS('Opportunities'!$H$2:$H$1775,'Opportunities'!$C$2:$C$1775,"=r04",'Opportunities'!$M$2:$M$1775,"=mar26")</f>
        <v>258300</v>
      </c>
      <c r="O149" s="4">
        <f>SUMIFS('Opportunities'!$H$2:$H$1775,'Opportunities'!$C$2:$C$1775,"=r04",'Opportunities'!$M$2:$M$1775,"=apr26")</f>
        <v>193700</v>
      </c>
      <c r="P149" s="4">
        <f>SUMIFS('Opportunities'!$H$2:$H$1775,'Opportunities'!$C$2:$C$1775,"=r04",'Opportunities'!$M$2:$M$1775,"=may26")</f>
        <v>182100</v>
      </c>
      <c r="Q149" s="4">
        <f>SUMIFS('Opportunities'!$H$2:$H$1775,'Opportunities'!$C$2:$C$1775,"=r04",'Opportunities'!$M$2:$M$1775,"=jun26")</f>
        <v>245800</v>
      </c>
      <c r="R149" s="4">
        <f>SUMIFS('Opportunities'!$H$2:$H$1775,'Opportunities'!$C$2:$C$1775,"=r04",'Opportunities'!$M$2:$M$1775,"=jul26")</f>
        <v>254100</v>
      </c>
      <c r="S149" s="4">
        <f>SUMIFS('Opportunities'!$H$2:$H$1775,'Opportunities'!$C$2:$C$1775,"=r04",'Opportunities'!$M$2:$M$1775,"=aug26")</f>
        <v>268800</v>
      </c>
      <c r="T149" s="4">
        <f>SUMIFS('Opportunities'!$H$2:$H$1775,'Opportunities'!$C$2:$C$1775,"=r04",'Opportunities'!$M$2:$M$1775,"=sep26")</f>
        <v>319500</v>
      </c>
      <c r="U149" s="4">
        <f>SUMIFS('Opportunities'!$H$2:$H$1775,'Opportunities'!$C$2:$C$1775,"=r04",'Opportunities'!$M$2:$M$1775,"=oct26")</f>
        <v>0</v>
      </c>
      <c r="V149" s="4">
        <f>SUMIFS('Opportunities'!$H$2:$H$1775,'Opportunities'!$C$2:$C$1775,"=r04",'Opportunities'!$M$2:$M$1775,"=nov26")</f>
        <v>0</v>
      </c>
      <c r="W149" s="4">
        <f>SUMIFS('Opportunities'!$H$2:$H$1775,'Opportunities'!$C$2:$C$1775,"=r04",'Opportunities'!$M$2:$M$1775,"=dec26")</f>
        <v>0</v>
      </c>
    </row>
    <row r="150">
      <c r="A150" s="0" t="inlineStr">
        <is>
          <t xml:space="preserve">Pipeline created</t>
        </is>
      </c>
      <c r="B150" s="0" t="inlineStr">
        <is>
          <t xml:space="preserve">Fatima Silva</t>
        </is>
      </c>
      <c r="C150" s="4">
        <f>SUMIFS('Opportunities'!$H$2:$H$1775,'Opportunities'!$C$2:$C$1775,"=r05",'Opportunities'!$M$2:$M$1775,"=apr25")</f>
        <v>128100</v>
      </c>
      <c r="D150" s="4">
        <f>SUMIFS('Opportunities'!$H$2:$H$1775,'Opportunities'!$C$2:$C$1775,"=r05",'Opportunities'!$M$2:$M$1775,"=may25")</f>
        <v>243900</v>
      </c>
      <c r="E150" s="4">
        <f>SUMIFS('Opportunities'!$H$2:$H$1775,'Opportunities'!$C$2:$C$1775,"=r05",'Opportunities'!$M$2:$M$1775,"=jun25")</f>
        <v>197300</v>
      </c>
      <c r="F150" s="4">
        <f>SUMIFS('Opportunities'!$H$2:$H$1775,'Opportunities'!$C$2:$C$1775,"=r05",'Opportunities'!$M$2:$M$1775,"=jul25")</f>
        <v>141700</v>
      </c>
      <c r="G150" s="4">
        <f>SUMIFS('Opportunities'!$H$2:$H$1775,'Opportunities'!$C$2:$C$1775,"=r05",'Opportunities'!$M$2:$M$1775,"=aug25")</f>
        <v>100700</v>
      </c>
      <c r="H150" s="4">
        <f>SUMIFS('Opportunities'!$H$2:$H$1775,'Opportunities'!$C$2:$C$1775,"=r05",'Opportunities'!$M$2:$M$1775,"=sep25")</f>
        <v>6600</v>
      </c>
      <c r="I150" s="4">
        <f>SUMIFS('Opportunities'!$H$2:$H$1775,'Opportunities'!$C$2:$C$1775,"=r05",'Opportunities'!$M$2:$M$1775,"=oct25")</f>
        <v>119400</v>
      </c>
      <c r="J150" s="4">
        <f>SUMIFS('Opportunities'!$H$2:$H$1775,'Opportunities'!$C$2:$C$1775,"=r05",'Opportunities'!$M$2:$M$1775,"=nov25")</f>
        <v>46900</v>
      </c>
      <c r="K150" s="4">
        <f>SUMIFS('Opportunities'!$H$2:$H$1775,'Opportunities'!$C$2:$C$1775,"=r05",'Opportunities'!$M$2:$M$1775,"=dec25")</f>
        <v>119900</v>
      </c>
      <c r="L150" s="4">
        <f>SUMIFS('Opportunities'!$H$2:$H$1775,'Opportunities'!$C$2:$C$1775,"=r05",'Opportunities'!$M$2:$M$1775,"=jan26")</f>
        <v>53400</v>
      </c>
      <c r="M150" s="4">
        <f>SUMIFS('Opportunities'!$H$2:$H$1775,'Opportunities'!$C$2:$C$1775,"=r05",'Opportunities'!$M$2:$M$1775,"=feb26")</f>
        <v>51400</v>
      </c>
      <c r="N150" s="4">
        <f>SUMIFS('Opportunities'!$H$2:$H$1775,'Opportunities'!$C$2:$C$1775,"=r05",'Opportunities'!$M$2:$M$1775,"=mar26")</f>
        <v>155100</v>
      </c>
      <c r="O150" s="4">
        <f>SUMIFS('Opportunities'!$H$2:$H$1775,'Opportunities'!$C$2:$C$1775,"=r05",'Opportunities'!$M$2:$M$1775,"=apr26")</f>
        <v>223000</v>
      </c>
      <c r="P150" s="4">
        <f>SUMIFS('Opportunities'!$H$2:$H$1775,'Opportunities'!$C$2:$C$1775,"=r05",'Opportunities'!$M$2:$M$1775,"=may26")</f>
        <v>55800</v>
      </c>
      <c r="Q150" s="4">
        <f>SUMIFS('Opportunities'!$H$2:$H$1775,'Opportunities'!$C$2:$C$1775,"=r05",'Opportunities'!$M$2:$M$1775,"=jun26")</f>
        <v>130200</v>
      </c>
      <c r="R150" s="4">
        <f>SUMIFS('Opportunities'!$H$2:$H$1775,'Opportunities'!$C$2:$C$1775,"=r05",'Opportunities'!$M$2:$M$1775,"=jul26")</f>
        <v>145800</v>
      </c>
      <c r="S150" s="4">
        <f>SUMIFS('Opportunities'!$H$2:$H$1775,'Opportunities'!$C$2:$C$1775,"=r05",'Opportunities'!$M$2:$M$1775,"=aug26")</f>
        <v>66200</v>
      </c>
      <c r="T150" s="4">
        <f>SUMIFS('Opportunities'!$H$2:$H$1775,'Opportunities'!$C$2:$C$1775,"=r05",'Opportunities'!$M$2:$M$1775,"=sep26")</f>
        <v>68800</v>
      </c>
      <c r="U150" s="4">
        <f>SUMIFS('Opportunities'!$H$2:$H$1775,'Opportunities'!$C$2:$C$1775,"=r05",'Opportunities'!$M$2:$M$1775,"=oct26")</f>
        <v>0</v>
      </c>
      <c r="V150" s="4">
        <f>SUMIFS('Opportunities'!$H$2:$H$1775,'Opportunities'!$C$2:$C$1775,"=r05",'Opportunities'!$M$2:$M$1775,"=nov26")</f>
        <v>0</v>
      </c>
      <c r="W150" s="4">
        <f>SUMIFS('Opportunities'!$H$2:$H$1775,'Opportunities'!$C$2:$C$1775,"=r05",'Opportunities'!$M$2:$M$1775,"=dec26")</f>
        <v>0</v>
      </c>
    </row>
    <row r="151">
      <c r="A151" s="0" t="inlineStr">
        <is>
          <t xml:space="preserve">Pipeline created</t>
        </is>
      </c>
      <c r="B151" s="0" t="inlineStr">
        <is>
          <t xml:space="preserve">Ana Ortiz</t>
        </is>
      </c>
      <c r="C151" s="4">
        <f>SUMIFS('Opportunities'!$H$2:$H$1775,'Opportunities'!$C$2:$C$1775,"=r06",'Opportunities'!$M$2:$M$1775,"=apr25")</f>
        <v>23400</v>
      </c>
      <c r="D151" s="4">
        <f>SUMIFS('Opportunities'!$H$2:$H$1775,'Opportunities'!$C$2:$C$1775,"=r06",'Opportunities'!$M$2:$M$1775,"=may25")</f>
        <v>26300</v>
      </c>
      <c r="E151" s="4">
        <f>SUMIFS('Opportunities'!$H$2:$H$1775,'Opportunities'!$C$2:$C$1775,"=r06",'Opportunities'!$M$2:$M$1775,"=jun25")</f>
        <v>137900</v>
      </c>
      <c r="F151" s="4">
        <f>SUMIFS('Opportunities'!$H$2:$H$1775,'Opportunities'!$C$2:$C$1775,"=r06",'Opportunities'!$M$2:$M$1775,"=jul25")</f>
        <v>90000</v>
      </c>
      <c r="G151" s="4">
        <f>SUMIFS('Opportunities'!$H$2:$H$1775,'Opportunities'!$C$2:$C$1775,"=r06",'Opportunities'!$M$2:$M$1775,"=aug25")</f>
        <v>50900</v>
      </c>
      <c r="H151" s="4">
        <f>SUMIFS('Opportunities'!$H$2:$H$1775,'Opportunities'!$C$2:$C$1775,"=r06",'Opportunities'!$M$2:$M$1775,"=sep25")</f>
        <v>41300</v>
      </c>
      <c r="I151" s="4">
        <f>SUMIFS('Opportunities'!$H$2:$H$1775,'Opportunities'!$C$2:$C$1775,"=r06",'Opportunities'!$M$2:$M$1775,"=oct25")</f>
        <v>42800</v>
      </c>
      <c r="J151" s="4">
        <f>SUMIFS('Opportunities'!$H$2:$H$1775,'Opportunities'!$C$2:$C$1775,"=r06",'Opportunities'!$M$2:$M$1775,"=nov25")</f>
        <v>97600</v>
      </c>
      <c r="K151" s="4">
        <f>SUMIFS('Opportunities'!$H$2:$H$1775,'Opportunities'!$C$2:$C$1775,"=r06",'Opportunities'!$M$2:$M$1775,"=dec25")</f>
        <v>62500</v>
      </c>
      <c r="L151" s="4">
        <f>SUMIFS('Opportunities'!$H$2:$H$1775,'Opportunities'!$C$2:$C$1775,"=r06",'Opportunities'!$M$2:$M$1775,"=jan26")</f>
        <v>23800</v>
      </c>
      <c r="M151" s="4">
        <f>SUMIFS('Opportunities'!$H$2:$H$1775,'Opportunities'!$C$2:$C$1775,"=r06",'Opportunities'!$M$2:$M$1775,"=feb26")</f>
        <v>64200</v>
      </c>
      <c r="N151" s="4">
        <f>SUMIFS('Opportunities'!$H$2:$H$1775,'Opportunities'!$C$2:$C$1775,"=r06",'Opportunities'!$M$2:$M$1775,"=mar26")</f>
        <v>124300</v>
      </c>
      <c r="O151" s="4">
        <f>SUMIFS('Opportunities'!$H$2:$H$1775,'Opportunities'!$C$2:$C$1775,"=r06",'Opportunities'!$M$2:$M$1775,"=apr26")</f>
        <v>100100</v>
      </c>
      <c r="P151" s="4">
        <f>SUMIFS('Opportunities'!$H$2:$H$1775,'Opportunities'!$C$2:$C$1775,"=r06",'Opportunities'!$M$2:$M$1775,"=may26")</f>
        <v>117600</v>
      </c>
      <c r="Q151" s="4">
        <f>SUMIFS('Opportunities'!$H$2:$H$1775,'Opportunities'!$C$2:$C$1775,"=r06",'Opportunities'!$M$2:$M$1775,"=jun26")</f>
        <v>136400</v>
      </c>
      <c r="R151" s="4">
        <f>SUMIFS('Opportunities'!$H$2:$H$1775,'Opportunities'!$C$2:$C$1775,"=r06",'Opportunities'!$M$2:$M$1775,"=jul26")</f>
        <v>141100</v>
      </c>
      <c r="S151" s="4">
        <f>SUMIFS('Opportunities'!$H$2:$H$1775,'Opportunities'!$C$2:$C$1775,"=r06",'Opportunities'!$M$2:$M$1775,"=aug26")</f>
        <v>127000</v>
      </c>
      <c r="T151" s="4">
        <f>SUMIFS('Opportunities'!$H$2:$H$1775,'Opportunities'!$C$2:$C$1775,"=r06",'Opportunities'!$M$2:$M$1775,"=sep26")</f>
        <v>102900</v>
      </c>
      <c r="U151" s="4">
        <f>SUMIFS('Opportunities'!$H$2:$H$1775,'Opportunities'!$C$2:$C$1775,"=r06",'Opportunities'!$M$2:$M$1775,"=oct26")</f>
        <v>0</v>
      </c>
      <c r="V151" s="4">
        <f>SUMIFS('Opportunities'!$H$2:$H$1775,'Opportunities'!$C$2:$C$1775,"=r06",'Opportunities'!$M$2:$M$1775,"=nov26")</f>
        <v>0</v>
      </c>
      <c r="W151" s="4">
        <f>SUMIFS('Opportunities'!$H$2:$H$1775,'Opportunities'!$C$2:$C$1775,"=r06",'Opportunities'!$M$2:$M$1775,"=dec26")</f>
        <v>0</v>
      </c>
    </row>
    <row r="152">
      <c r="A152" s="0" t="inlineStr">
        <is>
          <t xml:space="preserve">Pipeline created</t>
        </is>
      </c>
      <c r="B152" s="0" t="inlineStr">
        <is>
          <t xml:space="preserve">Tobias Silva</t>
        </is>
      </c>
      <c r="C152" s="4">
        <f>SUMIFS('Opportunities'!$H$2:$H$1775,'Opportunities'!$C$2:$C$1775,"=r07",'Opportunities'!$M$2:$M$1775,"=apr25")</f>
        <v>535400</v>
      </c>
      <c r="D152" s="4">
        <f>SUMIFS('Opportunities'!$H$2:$H$1775,'Opportunities'!$C$2:$C$1775,"=r07",'Opportunities'!$M$2:$M$1775,"=may25")</f>
        <v>495100</v>
      </c>
      <c r="E152" s="4">
        <f>SUMIFS('Opportunities'!$H$2:$H$1775,'Opportunities'!$C$2:$C$1775,"=r07",'Opportunities'!$M$2:$M$1775,"=jun25")</f>
        <v>456000</v>
      </c>
      <c r="F152" s="4">
        <f>SUMIFS('Opportunities'!$H$2:$H$1775,'Opportunities'!$C$2:$C$1775,"=r07",'Opportunities'!$M$2:$M$1775,"=jul25")</f>
        <v>0</v>
      </c>
      <c r="G152" s="4">
        <f>SUMIFS('Opportunities'!$H$2:$H$1775,'Opportunities'!$C$2:$C$1775,"=r07",'Opportunities'!$M$2:$M$1775,"=aug25")</f>
        <v>146800</v>
      </c>
      <c r="H152" s="4">
        <f>SUMIFS('Opportunities'!$H$2:$H$1775,'Opportunities'!$C$2:$C$1775,"=r07",'Opportunities'!$M$2:$M$1775,"=sep25")</f>
        <v>0</v>
      </c>
      <c r="I152" s="4">
        <f>SUMIFS('Opportunities'!$H$2:$H$1775,'Opportunities'!$C$2:$C$1775,"=r07",'Opportunities'!$M$2:$M$1775,"=oct25")</f>
        <v>700000</v>
      </c>
      <c r="J152" s="4">
        <f>SUMIFS('Opportunities'!$H$2:$H$1775,'Opportunities'!$C$2:$C$1775,"=r07",'Opportunities'!$M$2:$M$1775,"=nov25")</f>
        <v>1790100</v>
      </c>
      <c r="K152" s="4">
        <f>SUMIFS('Opportunities'!$H$2:$H$1775,'Opportunities'!$C$2:$C$1775,"=r07",'Opportunities'!$M$2:$M$1775,"=dec25")</f>
        <v>106800</v>
      </c>
      <c r="L152" s="4">
        <f>SUMIFS('Opportunities'!$H$2:$H$1775,'Opportunities'!$C$2:$C$1775,"=r07",'Opportunities'!$M$2:$M$1775,"=jan26")</f>
        <v>0</v>
      </c>
      <c r="M152" s="4">
        <f>SUMIFS('Opportunities'!$H$2:$H$1775,'Opportunities'!$C$2:$C$1775,"=r07",'Opportunities'!$M$2:$M$1775,"=feb26")</f>
        <v>660000</v>
      </c>
      <c r="N152" s="4">
        <f>SUMIFS('Opportunities'!$H$2:$H$1775,'Opportunities'!$C$2:$C$1775,"=r07",'Opportunities'!$M$2:$M$1775,"=mar26")</f>
        <v>462300</v>
      </c>
      <c r="O152" s="4">
        <f>SUMIFS('Opportunities'!$H$2:$H$1775,'Opportunities'!$C$2:$C$1775,"=r07",'Opportunities'!$M$2:$M$1775,"=apr26")</f>
        <v>348800</v>
      </c>
      <c r="P152" s="4">
        <f>SUMIFS('Opportunities'!$H$2:$H$1775,'Opportunities'!$C$2:$C$1775,"=r07",'Opportunities'!$M$2:$M$1775,"=may26")</f>
        <v>415100</v>
      </c>
      <c r="Q152" s="4">
        <f>SUMIFS('Opportunities'!$H$2:$H$1775,'Opportunities'!$C$2:$C$1775,"=r07",'Opportunities'!$M$2:$M$1775,"=jun26")</f>
        <v>640900</v>
      </c>
      <c r="R152" s="4">
        <f>SUMIFS('Opportunities'!$H$2:$H$1775,'Opportunities'!$C$2:$C$1775,"=r07",'Opportunities'!$M$2:$M$1775,"=jul26")</f>
        <v>0</v>
      </c>
      <c r="S152" s="4">
        <f>SUMIFS('Opportunities'!$H$2:$H$1775,'Opportunities'!$C$2:$C$1775,"=r07",'Opportunities'!$M$2:$M$1775,"=aug26")</f>
        <v>105700</v>
      </c>
      <c r="T152" s="4">
        <f>SUMIFS('Opportunities'!$H$2:$H$1775,'Opportunities'!$C$2:$C$1775,"=r07",'Opportunities'!$M$2:$M$1775,"=sep26")</f>
        <v>96100</v>
      </c>
      <c r="U152" s="4">
        <f>SUMIFS('Opportunities'!$H$2:$H$1775,'Opportunities'!$C$2:$C$1775,"=r07",'Opportunities'!$M$2:$M$1775,"=oct26")</f>
        <v>0</v>
      </c>
      <c r="V152" s="4">
        <f>SUMIFS('Opportunities'!$H$2:$H$1775,'Opportunities'!$C$2:$C$1775,"=r07",'Opportunities'!$M$2:$M$1775,"=nov26")</f>
        <v>0</v>
      </c>
      <c r="W152" s="4">
        <f>SUMIFS('Opportunities'!$H$2:$H$1775,'Opportunities'!$C$2:$C$1775,"=r07",'Opportunities'!$M$2:$M$1775,"=dec26")</f>
        <v>0</v>
      </c>
    </row>
    <row r="153">
      <c r="A153" s="0" t="inlineStr">
        <is>
          <t xml:space="preserve">Pipeline created</t>
        </is>
      </c>
      <c r="B153" s="0" t="inlineStr">
        <is>
          <t xml:space="preserve">Leila Osei</t>
        </is>
      </c>
      <c r="C153" s="4">
        <f>SUMIFS('Opportunities'!$H$2:$H$1775,'Opportunities'!$C$2:$C$1775,"=r08",'Opportunities'!$M$2:$M$1775,"=apr25")</f>
        <v>190800</v>
      </c>
      <c r="D153" s="4">
        <f>SUMIFS('Opportunities'!$H$2:$H$1775,'Opportunities'!$C$2:$C$1775,"=r08",'Opportunities'!$M$2:$M$1775,"=may25")</f>
        <v>0</v>
      </c>
      <c r="E153" s="4">
        <f>SUMIFS('Opportunities'!$H$2:$H$1775,'Opportunities'!$C$2:$C$1775,"=r08",'Opportunities'!$M$2:$M$1775,"=jun25")</f>
        <v>0</v>
      </c>
      <c r="F153" s="4">
        <f>SUMIFS('Opportunities'!$H$2:$H$1775,'Opportunities'!$C$2:$C$1775,"=r08",'Opportunities'!$M$2:$M$1775,"=jul25")</f>
        <v>287900</v>
      </c>
      <c r="G153" s="4">
        <f>SUMIFS('Opportunities'!$H$2:$H$1775,'Opportunities'!$C$2:$C$1775,"=r08",'Opportunities'!$M$2:$M$1775,"=aug25")</f>
        <v>0</v>
      </c>
      <c r="H153" s="4">
        <f>SUMIFS('Opportunities'!$H$2:$H$1775,'Opportunities'!$C$2:$C$1775,"=r08",'Opportunities'!$M$2:$M$1775,"=sep25")</f>
        <v>225300</v>
      </c>
      <c r="I153" s="4">
        <f>SUMIFS('Opportunities'!$H$2:$H$1775,'Opportunities'!$C$2:$C$1775,"=r08",'Opportunities'!$M$2:$M$1775,"=oct25")</f>
        <v>603600</v>
      </c>
      <c r="J153" s="4">
        <f>SUMIFS('Opportunities'!$H$2:$H$1775,'Opportunities'!$C$2:$C$1775,"=r08",'Opportunities'!$M$2:$M$1775,"=nov25")</f>
        <v>33500</v>
      </c>
      <c r="K153" s="4">
        <f>SUMIFS('Opportunities'!$H$2:$H$1775,'Opportunities'!$C$2:$C$1775,"=r08",'Opportunities'!$M$2:$M$1775,"=dec25")</f>
        <v>138900</v>
      </c>
      <c r="L153" s="4">
        <f>SUMIFS('Opportunities'!$H$2:$H$1775,'Opportunities'!$C$2:$C$1775,"=r08",'Opportunities'!$M$2:$M$1775,"=jan26")</f>
        <v>331400</v>
      </c>
      <c r="M153" s="4">
        <f>SUMIFS('Opportunities'!$H$2:$H$1775,'Opportunities'!$C$2:$C$1775,"=r08",'Opportunities'!$M$2:$M$1775,"=feb26")</f>
        <v>709800</v>
      </c>
      <c r="N153" s="4">
        <f>SUMIFS('Opportunities'!$H$2:$H$1775,'Opportunities'!$C$2:$C$1775,"=r08",'Opportunities'!$M$2:$M$1775,"=mar26")</f>
        <v>379500</v>
      </c>
      <c r="O153" s="4">
        <f>SUMIFS('Opportunities'!$H$2:$H$1775,'Opportunities'!$C$2:$C$1775,"=r08",'Opportunities'!$M$2:$M$1775,"=apr26")</f>
        <v>386300</v>
      </c>
      <c r="P153" s="4">
        <f>SUMIFS('Opportunities'!$H$2:$H$1775,'Opportunities'!$C$2:$C$1775,"=r08",'Opportunities'!$M$2:$M$1775,"=may26")</f>
        <v>67600</v>
      </c>
      <c r="Q153" s="4">
        <f>SUMIFS('Opportunities'!$H$2:$H$1775,'Opportunities'!$C$2:$C$1775,"=r08",'Opportunities'!$M$2:$M$1775,"=jun26")</f>
        <v>351200</v>
      </c>
      <c r="R153" s="4">
        <f>SUMIFS('Opportunities'!$H$2:$H$1775,'Opportunities'!$C$2:$C$1775,"=r08",'Opportunities'!$M$2:$M$1775,"=jul26")</f>
        <v>343600</v>
      </c>
      <c r="S153" s="4">
        <f>SUMIFS('Opportunities'!$H$2:$H$1775,'Opportunities'!$C$2:$C$1775,"=r08",'Opportunities'!$M$2:$M$1775,"=aug26")</f>
        <v>0</v>
      </c>
      <c r="T153" s="4">
        <f>SUMIFS('Opportunities'!$H$2:$H$1775,'Opportunities'!$C$2:$C$1775,"=r08",'Opportunities'!$M$2:$M$1775,"=sep26")</f>
        <v>0</v>
      </c>
      <c r="U153" s="4">
        <f>SUMIFS('Opportunities'!$H$2:$H$1775,'Opportunities'!$C$2:$C$1775,"=r08",'Opportunities'!$M$2:$M$1775,"=oct26")</f>
        <v>0</v>
      </c>
      <c r="V153" s="4">
        <f>SUMIFS('Opportunities'!$H$2:$H$1775,'Opportunities'!$C$2:$C$1775,"=r08",'Opportunities'!$M$2:$M$1775,"=nov26")</f>
        <v>0</v>
      </c>
      <c r="W153" s="4">
        <f>SUMIFS('Opportunities'!$H$2:$H$1775,'Opportunities'!$C$2:$C$1775,"=r08",'Opportunities'!$M$2:$M$1775,"=dec26")</f>
        <v>0</v>
      </c>
    </row>
    <row r="154">
      <c r="A154" s="0" t="inlineStr">
        <is>
          <t xml:space="preserve">Pipeline created</t>
        </is>
      </c>
      <c r="B154" s="0" t="inlineStr">
        <is>
          <t xml:space="preserve">Grace Costa</t>
        </is>
      </c>
      <c r="C154" s="4">
        <f>SUMIFS('Opportunities'!$H$2:$H$1775,'Opportunities'!$C$2:$C$1775,"=r09",'Opportunities'!$M$2:$M$1775,"=apr25")</f>
        <v>290200</v>
      </c>
      <c r="D154" s="4">
        <f>SUMIFS('Opportunities'!$H$2:$H$1775,'Opportunities'!$C$2:$C$1775,"=r09",'Opportunities'!$M$2:$M$1775,"=may25")</f>
        <v>425100</v>
      </c>
      <c r="E154" s="4">
        <f>SUMIFS('Opportunities'!$H$2:$H$1775,'Opportunities'!$C$2:$C$1775,"=r09",'Opportunities'!$M$2:$M$1775,"=jun25")</f>
        <v>682500</v>
      </c>
      <c r="F154" s="4">
        <f>SUMIFS('Opportunities'!$H$2:$H$1775,'Opportunities'!$C$2:$C$1775,"=r09",'Opportunities'!$M$2:$M$1775,"=jul25")</f>
        <v>139200</v>
      </c>
      <c r="G154" s="4">
        <f>SUMIFS('Opportunities'!$H$2:$H$1775,'Opportunities'!$C$2:$C$1775,"=r09",'Opportunities'!$M$2:$M$1775,"=aug25")</f>
        <v>284900</v>
      </c>
      <c r="H154" s="4">
        <f>SUMIFS('Opportunities'!$H$2:$H$1775,'Opportunities'!$C$2:$C$1775,"=r09",'Opportunities'!$M$2:$M$1775,"=sep25")</f>
        <v>402500</v>
      </c>
      <c r="I154" s="4">
        <f>SUMIFS('Opportunities'!$H$2:$H$1775,'Opportunities'!$C$2:$C$1775,"=r09",'Opportunities'!$M$2:$M$1775,"=oct25")</f>
        <v>197600</v>
      </c>
      <c r="J154" s="4">
        <f>SUMIFS('Opportunities'!$H$2:$H$1775,'Opportunities'!$C$2:$C$1775,"=r09",'Opportunities'!$M$2:$M$1775,"=nov25")</f>
        <v>566000</v>
      </c>
      <c r="K154" s="4">
        <f>SUMIFS('Opportunities'!$H$2:$H$1775,'Opportunities'!$C$2:$C$1775,"=r09",'Opportunities'!$M$2:$M$1775,"=dec25")</f>
        <v>569600</v>
      </c>
      <c r="L154" s="4">
        <f>SUMIFS('Opportunities'!$H$2:$H$1775,'Opportunities'!$C$2:$C$1775,"=r09",'Opportunities'!$M$2:$M$1775,"=jan26")</f>
        <v>485000</v>
      </c>
      <c r="M154" s="4">
        <f>SUMIFS('Opportunities'!$H$2:$H$1775,'Opportunities'!$C$2:$C$1775,"=r09",'Opportunities'!$M$2:$M$1775,"=feb26")</f>
        <v>291200</v>
      </c>
      <c r="N154" s="4">
        <f>SUMIFS('Opportunities'!$H$2:$H$1775,'Opportunities'!$C$2:$C$1775,"=r09",'Opportunities'!$M$2:$M$1775,"=mar26")</f>
        <v>430400</v>
      </c>
      <c r="O154" s="4">
        <f>SUMIFS('Opportunities'!$H$2:$H$1775,'Opportunities'!$C$2:$C$1775,"=r09",'Opportunities'!$M$2:$M$1775,"=apr26")</f>
        <v>283700</v>
      </c>
      <c r="P154" s="4">
        <f>SUMIFS('Opportunities'!$H$2:$H$1775,'Opportunities'!$C$2:$C$1775,"=r09",'Opportunities'!$M$2:$M$1775,"=may26")</f>
        <v>506500</v>
      </c>
      <c r="Q154" s="4">
        <f>SUMIFS('Opportunities'!$H$2:$H$1775,'Opportunities'!$C$2:$C$1775,"=r09",'Opportunities'!$M$2:$M$1775,"=jun26")</f>
        <v>414200</v>
      </c>
      <c r="R154" s="4">
        <f>SUMIFS('Opportunities'!$H$2:$H$1775,'Opportunities'!$C$2:$C$1775,"=r09",'Opportunities'!$M$2:$M$1775,"=jul26")</f>
        <v>529000</v>
      </c>
      <c r="S154" s="4">
        <f>SUMIFS('Opportunities'!$H$2:$H$1775,'Opportunities'!$C$2:$C$1775,"=r09",'Opportunities'!$M$2:$M$1775,"=aug26")</f>
        <v>100400</v>
      </c>
      <c r="T154" s="4">
        <f>SUMIFS('Opportunities'!$H$2:$H$1775,'Opportunities'!$C$2:$C$1775,"=r09",'Opportunities'!$M$2:$M$1775,"=sep26")</f>
        <v>55600</v>
      </c>
      <c r="U154" s="4">
        <f>SUMIFS('Opportunities'!$H$2:$H$1775,'Opportunities'!$C$2:$C$1775,"=r09",'Opportunities'!$M$2:$M$1775,"=oct26")</f>
        <v>0</v>
      </c>
      <c r="V154" s="4">
        <f>SUMIFS('Opportunities'!$H$2:$H$1775,'Opportunities'!$C$2:$C$1775,"=r09",'Opportunities'!$M$2:$M$1775,"=nov26")</f>
        <v>0</v>
      </c>
      <c r="W154" s="4">
        <f>SUMIFS('Opportunities'!$H$2:$H$1775,'Opportunities'!$C$2:$C$1775,"=r09",'Opportunities'!$M$2:$M$1775,"=dec26")</f>
        <v>0</v>
      </c>
    </row>
    <row r="155">
      <c r="A155" s="0" t="inlineStr">
        <is>
          <t xml:space="preserve">Pipeline created</t>
        </is>
      </c>
      <c r="B155" s="0" t="inlineStr">
        <is>
          <t xml:space="preserve">Ingrid Müller</t>
        </is>
      </c>
      <c r="C155" s="4">
        <f>SUMIFS('Opportunities'!$H$2:$H$1775,'Opportunities'!$C$2:$C$1775,"=r10",'Opportunities'!$M$2:$M$1775,"=apr25")</f>
        <v>0</v>
      </c>
      <c r="D155" s="4">
        <f>SUMIFS('Opportunities'!$H$2:$H$1775,'Opportunities'!$C$2:$C$1775,"=r10",'Opportunities'!$M$2:$M$1775,"=may25")</f>
        <v>0</v>
      </c>
      <c r="E155" s="4">
        <f>SUMIFS('Opportunities'!$H$2:$H$1775,'Opportunities'!$C$2:$C$1775,"=r10",'Opportunities'!$M$2:$M$1775,"=jun25")</f>
        <v>0</v>
      </c>
      <c r="F155" s="4">
        <f>SUMIFS('Opportunities'!$H$2:$H$1775,'Opportunities'!$C$2:$C$1775,"=r10",'Opportunities'!$M$2:$M$1775,"=jul25")</f>
        <v>0</v>
      </c>
      <c r="G155" s="4">
        <f>SUMIFS('Opportunities'!$H$2:$H$1775,'Opportunities'!$C$2:$C$1775,"=r10",'Opportunities'!$M$2:$M$1775,"=aug25")</f>
        <v>0</v>
      </c>
      <c r="H155" s="4">
        <f>SUMIFS('Opportunities'!$H$2:$H$1775,'Opportunities'!$C$2:$C$1775,"=r10",'Opportunities'!$M$2:$M$1775,"=sep25")</f>
        <v>0</v>
      </c>
      <c r="I155" s="4">
        <f>SUMIFS('Opportunities'!$H$2:$H$1775,'Opportunities'!$C$2:$C$1775,"=r10",'Opportunities'!$M$2:$M$1775,"=oct25")</f>
        <v>0</v>
      </c>
      <c r="J155" s="4">
        <f>SUMIFS('Opportunities'!$H$2:$H$1775,'Opportunities'!$C$2:$C$1775,"=r10",'Opportunities'!$M$2:$M$1775,"=nov25")</f>
        <v>0</v>
      </c>
      <c r="K155" s="4">
        <f>SUMIFS('Opportunities'!$H$2:$H$1775,'Opportunities'!$C$2:$C$1775,"=r10",'Opportunities'!$M$2:$M$1775,"=dec25")</f>
        <v>0</v>
      </c>
      <c r="L155" s="4">
        <f>SUMIFS('Opportunities'!$H$2:$H$1775,'Opportunities'!$C$2:$C$1775,"=r10",'Opportunities'!$M$2:$M$1775,"=jan26")</f>
        <v>0</v>
      </c>
      <c r="M155" s="4">
        <f>SUMIFS('Opportunities'!$H$2:$H$1775,'Opportunities'!$C$2:$C$1775,"=r10",'Opportunities'!$M$2:$M$1775,"=feb26")</f>
        <v>198900</v>
      </c>
      <c r="N155" s="4">
        <f>SUMIFS('Opportunities'!$H$2:$H$1775,'Opportunities'!$C$2:$C$1775,"=r10",'Opportunities'!$M$2:$M$1775,"=mar26")</f>
        <v>89100</v>
      </c>
      <c r="O155" s="4">
        <f>SUMIFS('Opportunities'!$H$2:$H$1775,'Opportunities'!$C$2:$C$1775,"=r10",'Opportunities'!$M$2:$M$1775,"=apr26")</f>
        <v>80300</v>
      </c>
      <c r="P155" s="4">
        <f>SUMIFS('Opportunities'!$H$2:$H$1775,'Opportunities'!$C$2:$C$1775,"=r10",'Opportunities'!$M$2:$M$1775,"=may26")</f>
        <v>104300</v>
      </c>
      <c r="Q155" s="4">
        <f>SUMIFS('Opportunities'!$H$2:$H$1775,'Opportunities'!$C$2:$C$1775,"=r10",'Opportunities'!$M$2:$M$1775,"=jun26")</f>
        <v>244800</v>
      </c>
      <c r="R155" s="4">
        <f>SUMIFS('Opportunities'!$H$2:$H$1775,'Opportunities'!$C$2:$C$1775,"=r10",'Opportunities'!$M$2:$M$1775,"=jul26")</f>
        <v>219100</v>
      </c>
      <c r="S155" s="4">
        <f>SUMIFS('Opportunities'!$H$2:$H$1775,'Opportunities'!$C$2:$C$1775,"=r10",'Opportunities'!$M$2:$M$1775,"=aug26")</f>
        <v>162600</v>
      </c>
      <c r="T155" s="4">
        <f>SUMIFS('Opportunities'!$H$2:$H$1775,'Opportunities'!$C$2:$C$1775,"=r10",'Opportunities'!$M$2:$M$1775,"=sep26")</f>
        <v>71000</v>
      </c>
      <c r="U155" s="4">
        <f>SUMIFS('Opportunities'!$H$2:$H$1775,'Opportunities'!$C$2:$C$1775,"=r10",'Opportunities'!$M$2:$M$1775,"=oct26")</f>
        <v>0</v>
      </c>
      <c r="V155" s="4">
        <f>SUMIFS('Opportunities'!$H$2:$H$1775,'Opportunities'!$C$2:$C$1775,"=r10",'Opportunities'!$M$2:$M$1775,"=nov26")</f>
        <v>0</v>
      </c>
      <c r="W155" s="4">
        <f>SUMIFS('Opportunities'!$H$2:$H$1775,'Opportunities'!$C$2:$C$1775,"=r10",'Opportunities'!$M$2:$M$1775,"=dec26")</f>
        <v>0</v>
      </c>
    </row>
    <row r="156">
      <c r="A156" s="0" t="inlineStr">
        <is>
          <t xml:space="preserve">Pipeline created</t>
        </is>
      </c>
      <c r="B156" s="0" t="inlineStr">
        <is>
          <t xml:space="preserve">Ingrid Kim</t>
        </is>
      </c>
      <c r="C156" s="4">
        <f>SUMIFS('Opportunities'!$H$2:$H$1775,'Opportunities'!$C$2:$C$1775,"=r11",'Opportunities'!$M$2:$M$1775,"=apr25")</f>
        <v>82900</v>
      </c>
      <c r="D156" s="4">
        <f>SUMIFS('Opportunities'!$H$2:$H$1775,'Opportunities'!$C$2:$C$1775,"=r11",'Opportunities'!$M$2:$M$1775,"=may25")</f>
        <v>123800</v>
      </c>
      <c r="E156" s="4">
        <f>SUMIFS('Opportunities'!$H$2:$H$1775,'Opportunities'!$C$2:$C$1775,"=r11",'Opportunities'!$M$2:$M$1775,"=jun25")</f>
        <v>86400</v>
      </c>
      <c r="F156" s="4">
        <f>SUMIFS('Opportunities'!$H$2:$H$1775,'Opportunities'!$C$2:$C$1775,"=r11",'Opportunities'!$M$2:$M$1775,"=jul25")</f>
        <v>93800</v>
      </c>
      <c r="G156" s="4">
        <f>SUMIFS('Opportunities'!$H$2:$H$1775,'Opportunities'!$C$2:$C$1775,"=r11",'Opportunities'!$M$2:$M$1775,"=aug25")</f>
        <v>29600</v>
      </c>
      <c r="H156" s="4">
        <f>SUMIFS('Opportunities'!$H$2:$H$1775,'Opportunities'!$C$2:$C$1775,"=r11",'Opportunities'!$M$2:$M$1775,"=sep25")</f>
        <v>62800</v>
      </c>
      <c r="I156" s="4">
        <f>SUMIFS('Opportunities'!$H$2:$H$1775,'Opportunities'!$C$2:$C$1775,"=r11",'Opportunities'!$M$2:$M$1775,"=oct25")</f>
        <v>108600</v>
      </c>
      <c r="J156" s="4">
        <f>SUMIFS('Opportunities'!$H$2:$H$1775,'Opportunities'!$C$2:$C$1775,"=r11",'Opportunities'!$M$2:$M$1775,"=nov25")</f>
        <v>95500</v>
      </c>
      <c r="K156" s="4">
        <f>SUMIFS('Opportunities'!$H$2:$H$1775,'Opportunities'!$C$2:$C$1775,"=r11",'Opportunities'!$M$2:$M$1775,"=dec25")</f>
        <v>109100</v>
      </c>
      <c r="L156" s="4">
        <f>SUMIFS('Opportunities'!$H$2:$H$1775,'Opportunities'!$C$2:$C$1775,"=r11",'Opportunities'!$M$2:$M$1775,"=jan26")</f>
        <v>48500</v>
      </c>
      <c r="M156" s="4">
        <f>SUMIFS('Opportunities'!$H$2:$H$1775,'Opportunities'!$C$2:$C$1775,"=r11",'Opportunities'!$M$2:$M$1775,"=feb26")</f>
        <v>87800</v>
      </c>
      <c r="N156" s="4">
        <f>SUMIFS('Opportunities'!$H$2:$H$1775,'Opportunities'!$C$2:$C$1775,"=r11",'Opportunities'!$M$2:$M$1775,"=mar26")</f>
        <v>65500</v>
      </c>
      <c r="O156" s="4">
        <f>SUMIFS('Opportunities'!$H$2:$H$1775,'Opportunities'!$C$2:$C$1775,"=r11",'Opportunities'!$M$2:$M$1775,"=apr26")</f>
        <v>39000</v>
      </c>
      <c r="P156" s="4">
        <f>SUMIFS('Opportunities'!$H$2:$H$1775,'Opportunities'!$C$2:$C$1775,"=r11",'Opportunities'!$M$2:$M$1775,"=may26")</f>
        <v>35000</v>
      </c>
      <c r="Q156" s="4">
        <f>SUMIFS('Opportunities'!$H$2:$H$1775,'Opportunities'!$C$2:$C$1775,"=r11",'Opportunities'!$M$2:$M$1775,"=jun26")</f>
        <v>132900</v>
      </c>
      <c r="R156" s="4">
        <f>SUMIFS('Opportunities'!$H$2:$H$1775,'Opportunities'!$C$2:$C$1775,"=r11",'Opportunities'!$M$2:$M$1775,"=jul26")</f>
        <v>96800</v>
      </c>
      <c r="S156" s="4">
        <f>SUMIFS('Opportunities'!$H$2:$H$1775,'Opportunities'!$C$2:$C$1775,"=r11",'Opportunities'!$M$2:$M$1775,"=aug26")</f>
        <v>79900</v>
      </c>
      <c r="T156" s="4">
        <f>SUMIFS('Opportunities'!$H$2:$H$1775,'Opportunities'!$C$2:$C$1775,"=r11",'Opportunities'!$M$2:$M$1775,"=sep26")</f>
        <v>15100</v>
      </c>
      <c r="U156" s="4">
        <f>SUMIFS('Opportunities'!$H$2:$H$1775,'Opportunities'!$C$2:$C$1775,"=r11",'Opportunities'!$M$2:$M$1775,"=oct26")</f>
        <v>0</v>
      </c>
      <c r="V156" s="4">
        <f>SUMIFS('Opportunities'!$H$2:$H$1775,'Opportunities'!$C$2:$C$1775,"=r11",'Opportunities'!$M$2:$M$1775,"=nov26")</f>
        <v>0</v>
      </c>
      <c r="W156" s="4">
        <f>SUMIFS('Opportunities'!$H$2:$H$1775,'Opportunities'!$C$2:$C$1775,"=r11",'Opportunities'!$M$2:$M$1775,"=dec26")</f>
        <v>0</v>
      </c>
    </row>
    <row r="157">
      <c r="A157" s="0" t="inlineStr">
        <is>
          <t xml:space="preserve">Pipeline created</t>
        </is>
      </c>
      <c r="B157" s="0" t="inlineStr">
        <is>
          <t xml:space="preserve">Priya Nair</t>
        </is>
      </c>
      <c r="C157" s="4">
        <f>SUMIFS('Opportunities'!$H$2:$H$1775,'Opportunities'!$C$2:$C$1775,"=r12",'Opportunities'!$M$2:$M$1775,"=apr25")</f>
        <v>69300</v>
      </c>
      <c r="D157" s="4">
        <f>SUMIFS('Opportunities'!$H$2:$H$1775,'Opportunities'!$C$2:$C$1775,"=r12",'Opportunities'!$M$2:$M$1775,"=may25")</f>
        <v>182100</v>
      </c>
      <c r="E157" s="4">
        <f>SUMIFS('Opportunities'!$H$2:$H$1775,'Opportunities'!$C$2:$C$1775,"=r12",'Opportunities'!$M$2:$M$1775,"=jun25")</f>
        <v>70000</v>
      </c>
      <c r="F157" s="4">
        <f>SUMIFS('Opportunities'!$H$2:$H$1775,'Opportunities'!$C$2:$C$1775,"=r12",'Opportunities'!$M$2:$M$1775,"=jul25")</f>
        <v>157900</v>
      </c>
      <c r="G157" s="4">
        <f>SUMIFS('Opportunities'!$H$2:$H$1775,'Opportunities'!$C$2:$C$1775,"=r12",'Opportunities'!$M$2:$M$1775,"=aug25")</f>
        <v>74900</v>
      </c>
      <c r="H157" s="4">
        <f>SUMIFS('Opportunities'!$H$2:$H$1775,'Opportunities'!$C$2:$C$1775,"=r12",'Opportunities'!$M$2:$M$1775,"=sep25")</f>
        <v>133200</v>
      </c>
      <c r="I157" s="4">
        <f>SUMIFS('Opportunities'!$H$2:$H$1775,'Opportunities'!$C$2:$C$1775,"=r12",'Opportunities'!$M$2:$M$1775,"=oct25")</f>
        <v>81700</v>
      </c>
      <c r="J157" s="4">
        <f>SUMIFS('Opportunities'!$H$2:$H$1775,'Opportunities'!$C$2:$C$1775,"=r12",'Opportunities'!$M$2:$M$1775,"=nov25")</f>
        <v>18400</v>
      </c>
      <c r="K157" s="4">
        <f>SUMIFS('Opportunities'!$H$2:$H$1775,'Opportunities'!$C$2:$C$1775,"=r12",'Opportunities'!$M$2:$M$1775,"=dec25")</f>
        <v>77200</v>
      </c>
      <c r="L157" s="4">
        <f>SUMIFS('Opportunities'!$H$2:$H$1775,'Opportunities'!$C$2:$C$1775,"=r12",'Opportunities'!$M$2:$M$1775,"=jan26")</f>
        <v>78600</v>
      </c>
      <c r="M157" s="4">
        <f>SUMIFS('Opportunities'!$H$2:$H$1775,'Opportunities'!$C$2:$C$1775,"=r12",'Opportunities'!$M$2:$M$1775,"=feb26")</f>
        <v>77600</v>
      </c>
      <c r="N157" s="4">
        <f>SUMIFS('Opportunities'!$H$2:$H$1775,'Opportunities'!$C$2:$C$1775,"=r12",'Opportunities'!$M$2:$M$1775,"=mar26")</f>
        <v>88700</v>
      </c>
      <c r="O157" s="4">
        <f>SUMIFS('Opportunities'!$H$2:$H$1775,'Opportunities'!$C$2:$C$1775,"=r12",'Opportunities'!$M$2:$M$1775,"=apr26")</f>
        <v>61300</v>
      </c>
      <c r="P157" s="4">
        <f>SUMIFS('Opportunities'!$H$2:$H$1775,'Opportunities'!$C$2:$C$1775,"=r12",'Opportunities'!$M$2:$M$1775,"=may26")</f>
        <v>94200</v>
      </c>
      <c r="Q157" s="4">
        <f>SUMIFS('Opportunities'!$H$2:$H$1775,'Opportunities'!$C$2:$C$1775,"=r12",'Opportunities'!$M$2:$M$1775,"=jun26")</f>
        <v>178900</v>
      </c>
      <c r="R157" s="4">
        <f>SUMIFS('Opportunities'!$H$2:$H$1775,'Opportunities'!$C$2:$C$1775,"=r12",'Opportunities'!$M$2:$M$1775,"=jul26")</f>
        <v>82900</v>
      </c>
      <c r="S157" s="4">
        <f>SUMIFS('Opportunities'!$H$2:$H$1775,'Opportunities'!$C$2:$C$1775,"=r12",'Opportunities'!$M$2:$M$1775,"=aug26")</f>
        <v>84700</v>
      </c>
      <c r="T157" s="4">
        <f>SUMIFS('Opportunities'!$H$2:$H$1775,'Opportunities'!$C$2:$C$1775,"=r12",'Opportunities'!$M$2:$M$1775,"=sep26")</f>
        <v>52200</v>
      </c>
      <c r="U157" s="4">
        <f>SUMIFS('Opportunities'!$H$2:$H$1775,'Opportunities'!$C$2:$C$1775,"=r12",'Opportunities'!$M$2:$M$1775,"=oct26")</f>
        <v>0</v>
      </c>
      <c r="V157" s="4">
        <f>SUMIFS('Opportunities'!$H$2:$H$1775,'Opportunities'!$C$2:$C$1775,"=r12",'Opportunities'!$M$2:$M$1775,"=nov26")</f>
        <v>0</v>
      </c>
      <c r="W157" s="4">
        <f>SUMIFS('Opportunities'!$H$2:$H$1775,'Opportunities'!$C$2:$C$1775,"=r12",'Opportunities'!$M$2:$M$1775,"=dec26")</f>
        <v>0</v>
      </c>
    </row>
    <row r="158">
      <c r="A158" s="0" t="inlineStr">
        <is>
          <t xml:space="preserve">Pipeline created</t>
        </is>
      </c>
      <c r="B158" s="0" t="inlineStr">
        <is>
          <t xml:space="preserve">Hugo Lindqvist</t>
        </is>
      </c>
      <c r="C158" s="4">
        <f>SUMIFS('Opportunities'!$H$2:$H$1775,'Opportunities'!$C$2:$C$1775,"=r13",'Opportunities'!$M$2:$M$1775,"=apr25")</f>
        <v>353600</v>
      </c>
      <c r="D158" s="4">
        <f>SUMIFS('Opportunities'!$H$2:$H$1775,'Opportunities'!$C$2:$C$1775,"=r13",'Opportunities'!$M$2:$M$1775,"=may25")</f>
        <v>1012200</v>
      </c>
      <c r="E158" s="4">
        <f>SUMIFS('Opportunities'!$H$2:$H$1775,'Opportunities'!$C$2:$C$1775,"=r13",'Opportunities'!$M$2:$M$1775,"=jun25")</f>
        <v>828700</v>
      </c>
      <c r="F158" s="4">
        <f>SUMIFS('Opportunities'!$H$2:$H$1775,'Opportunities'!$C$2:$C$1775,"=r13",'Opportunities'!$M$2:$M$1775,"=jul25")</f>
        <v>1100700</v>
      </c>
      <c r="G158" s="4">
        <f>SUMIFS('Opportunities'!$H$2:$H$1775,'Opportunities'!$C$2:$C$1775,"=r13",'Opportunities'!$M$2:$M$1775,"=aug25")</f>
        <v>527500</v>
      </c>
      <c r="H158" s="4">
        <f>SUMIFS('Opportunities'!$H$2:$H$1775,'Opportunities'!$C$2:$C$1775,"=r13",'Opportunities'!$M$2:$M$1775,"=sep25")</f>
        <v>258000</v>
      </c>
      <c r="I158" s="4">
        <f>SUMIFS('Opportunities'!$H$2:$H$1775,'Opportunities'!$C$2:$C$1775,"=r13",'Opportunities'!$M$2:$M$1775,"=oct25")</f>
        <v>638600</v>
      </c>
      <c r="J158" s="4">
        <f>SUMIFS('Opportunities'!$H$2:$H$1775,'Opportunities'!$C$2:$C$1775,"=r13",'Opportunities'!$M$2:$M$1775,"=nov25")</f>
        <v>115400</v>
      </c>
      <c r="K158" s="4">
        <f>SUMIFS('Opportunities'!$H$2:$H$1775,'Opportunities'!$C$2:$C$1775,"=r13",'Opportunities'!$M$2:$M$1775,"=dec25")</f>
        <v>451600</v>
      </c>
      <c r="L158" s="4">
        <f>SUMIFS('Opportunities'!$H$2:$H$1775,'Opportunities'!$C$2:$C$1775,"=r13",'Opportunities'!$M$2:$M$1775,"=jan26")</f>
        <v>622700</v>
      </c>
      <c r="M158" s="4">
        <f>SUMIFS('Opportunities'!$H$2:$H$1775,'Opportunities'!$C$2:$C$1775,"=r13",'Opportunities'!$M$2:$M$1775,"=feb26")</f>
        <v>352000</v>
      </c>
      <c r="N158" s="4">
        <f>SUMIFS('Opportunities'!$H$2:$H$1775,'Opportunities'!$C$2:$C$1775,"=r13",'Opportunities'!$M$2:$M$1775,"=mar26")</f>
        <v>0</v>
      </c>
      <c r="O158" s="4">
        <f>SUMIFS('Opportunities'!$H$2:$H$1775,'Opportunities'!$C$2:$C$1775,"=r13",'Opportunities'!$M$2:$M$1775,"=apr26")</f>
        <v>296700</v>
      </c>
      <c r="P158" s="4">
        <f>SUMIFS('Opportunities'!$H$2:$H$1775,'Opportunities'!$C$2:$C$1775,"=r13",'Opportunities'!$M$2:$M$1775,"=may26")</f>
        <v>194800</v>
      </c>
      <c r="Q158" s="4">
        <f>SUMIFS('Opportunities'!$H$2:$H$1775,'Opportunities'!$C$2:$C$1775,"=r13",'Opportunities'!$M$2:$M$1775,"=jun26")</f>
        <v>645300</v>
      </c>
      <c r="R158" s="4">
        <f>SUMIFS('Opportunities'!$H$2:$H$1775,'Opportunities'!$C$2:$C$1775,"=r13",'Opportunities'!$M$2:$M$1775,"=jul26")</f>
        <v>292100</v>
      </c>
      <c r="S158" s="4">
        <f>SUMIFS('Opportunities'!$H$2:$H$1775,'Opportunities'!$C$2:$C$1775,"=r13",'Opportunities'!$M$2:$M$1775,"=aug26")</f>
        <v>96600</v>
      </c>
      <c r="T158" s="4">
        <f>SUMIFS('Opportunities'!$H$2:$H$1775,'Opportunities'!$C$2:$C$1775,"=r13",'Opportunities'!$M$2:$M$1775,"=sep26")</f>
        <v>127200</v>
      </c>
      <c r="U158" s="4">
        <f>SUMIFS('Opportunities'!$H$2:$H$1775,'Opportunities'!$C$2:$C$1775,"=r13",'Opportunities'!$M$2:$M$1775,"=oct26")</f>
        <v>0</v>
      </c>
      <c r="V158" s="4">
        <f>SUMIFS('Opportunities'!$H$2:$H$1775,'Opportunities'!$C$2:$C$1775,"=r13",'Opportunities'!$M$2:$M$1775,"=nov26")</f>
        <v>0</v>
      </c>
      <c r="W158" s="4">
        <f>SUMIFS('Opportunities'!$H$2:$H$1775,'Opportunities'!$C$2:$C$1775,"=r13",'Opportunities'!$M$2:$M$1775,"=dec26")</f>
        <v>0</v>
      </c>
    </row>
    <row r="159">
      <c r="A159" s="0" t="inlineStr">
        <is>
          <t xml:space="preserve">Pipeline created</t>
        </is>
      </c>
      <c r="B159" s="0" t="inlineStr">
        <is>
          <t xml:space="preserve">Wei Novak</t>
        </is>
      </c>
      <c r="C159" s="4">
        <f>SUMIFS('Opportunities'!$H$2:$H$1775,'Opportunities'!$C$2:$C$1775,"=r14",'Opportunities'!$M$2:$M$1775,"=apr25")</f>
        <v>0</v>
      </c>
      <c r="D159" s="4">
        <f>SUMIFS('Opportunities'!$H$2:$H$1775,'Opportunities'!$C$2:$C$1775,"=r14",'Opportunities'!$M$2:$M$1775,"=may25")</f>
        <v>0</v>
      </c>
      <c r="E159" s="4">
        <f>SUMIFS('Opportunities'!$H$2:$H$1775,'Opportunities'!$C$2:$C$1775,"=r14",'Opportunities'!$M$2:$M$1775,"=jun25")</f>
        <v>0</v>
      </c>
      <c r="F159" s="4">
        <f>SUMIFS('Opportunities'!$H$2:$H$1775,'Opportunities'!$C$2:$C$1775,"=r14",'Opportunities'!$M$2:$M$1775,"=jul25")</f>
        <v>0</v>
      </c>
      <c r="G159" s="4">
        <f>SUMIFS('Opportunities'!$H$2:$H$1775,'Opportunities'!$C$2:$C$1775,"=r14",'Opportunities'!$M$2:$M$1775,"=aug25")</f>
        <v>0</v>
      </c>
      <c r="H159" s="4">
        <f>SUMIFS('Opportunities'!$H$2:$H$1775,'Opportunities'!$C$2:$C$1775,"=r14",'Opportunities'!$M$2:$M$1775,"=sep25")</f>
        <v>0</v>
      </c>
      <c r="I159" s="4">
        <f>SUMIFS('Opportunities'!$H$2:$H$1775,'Opportunities'!$C$2:$C$1775,"=r14",'Opportunities'!$M$2:$M$1775,"=oct25")</f>
        <v>0</v>
      </c>
      <c r="J159" s="4">
        <f>SUMIFS('Opportunities'!$H$2:$H$1775,'Opportunities'!$C$2:$C$1775,"=r14",'Opportunities'!$M$2:$M$1775,"=nov25")</f>
        <v>22800</v>
      </c>
      <c r="K159" s="4">
        <f>SUMIFS('Opportunities'!$H$2:$H$1775,'Opportunities'!$C$2:$C$1775,"=r14",'Opportunities'!$M$2:$M$1775,"=dec25")</f>
        <v>0</v>
      </c>
      <c r="L159" s="4">
        <f>SUMIFS('Opportunities'!$H$2:$H$1775,'Opportunities'!$C$2:$C$1775,"=r14",'Opportunities'!$M$2:$M$1775,"=jan26")</f>
        <v>141500</v>
      </c>
      <c r="M159" s="4">
        <f>SUMIFS('Opportunities'!$H$2:$H$1775,'Opportunities'!$C$2:$C$1775,"=r14",'Opportunities'!$M$2:$M$1775,"=feb26")</f>
        <v>0</v>
      </c>
      <c r="N159" s="4">
        <f>SUMIFS('Opportunities'!$H$2:$H$1775,'Opportunities'!$C$2:$C$1775,"=r14",'Opportunities'!$M$2:$M$1775,"=mar26")</f>
        <v>59100</v>
      </c>
      <c r="O159" s="4">
        <f>SUMIFS('Opportunities'!$H$2:$H$1775,'Opportunities'!$C$2:$C$1775,"=r14",'Opportunities'!$M$2:$M$1775,"=apr26")</f>
        <v>29900</v>
      </c>
      <c r="P159" s="4">
        <f>SUMIFS('Opportunities'!$H$2:$H$1775,'Opportunities'!$C$2:$C$1775,"=r14",'Opportunities'!$M$2:$M$1775,"=may26")</f>
        <v>381100</v>
      </c>
      <c r="Q159" s="4">
        <f>SUMIFS('Opportunities'!$H$2:$H$1775,'Opportunities'!$C$2:$C$1775,"=r14",'Opportunities'!$M$2:$M$1775,"=jun26")</f>
        <v>592200</v>
      </c>
      <c r="R159" s="4">
        <f>SUMIFS('Opportunities'!$H$2:$H$1775,'Opportunities'!$C$2:$C$1775,"=r14",'Opportunities'!$M$2:$M$1775,"=jul26")</f>
        <v>157200</v>
      </c>
      <c r="S159" s="4">
        <f>SUMIFS('Opportunities'!$H$2:$H$1775,'Opportunities'!$C$2:$C$1775,"=r14",'Opportunities'!$M$2:$M$1775,"=aug26")</f>
        <v>277200</v>
      </c>
      <c r="T159" s="4">
        <f>SUMIFS('Opportunities'!$H$2:$H$1775,'Opportunities'!$C$2:$C$1775,"=r14",'Opportunities'!$M$2:$M$1775,"=sep26")</f>
        <v>0</v>
      </c>
      <c r="U159" s="4">
        <f>SUMIFS('Opportunities'!$H$2:$H$1775,'Opportunities'!$C$2:$C$1775,"=r14",'Opportunities'!$M$2:$M$1775,"=oct26")</f>
        <v>0</v>
      </c>
      <c r="V159" s="4">
        <f>SUMIFS('Opportunities'!$H$2:$H$1775,'Opportunities'!$C$2:$C$1775,"=r14",'Opportunities'!$M$2:$M$1775,"=nov26")</f>
        <v>0</v>
      </c>
      <c r="W159" s="4">
        <f>SUMIFS('Opportunities'!$H$2:$H$1775,'Opportunities'!$C$2:$C$1775,"=r14",'Opportunities'!$M$2:$M$1775,"=dec26")</f>
        <v>0</v>
      </c>
    </row>
    <row r="160">
      <c r="A160" s="0" t="inlineStr">
        <is>
          <t xml:space="preserve">Pipeline created</t>
        </is>
      </c>
      <c r="B160" s="0" t="inlineStr">
        <is>
          <t xml:space="preserve">Nikolai Kim</t>
        </is>
      </c>
      <c r="C160" s="4">
        <f>SUMIFS('Opportunities'!$H$2:$H$1775,'Opportunities'!$C$2:$C$1775,"=r15",'Opportunities'!$M$2:$M$1775,"=apr25")</f>
        <v>75400</v>
      </c>
      <c r="D160" s="4">
        <f>SUMIFS('Opportunities'!$H$2:$H$1775,'Opportunities'!$C$2:$C$1775,"=r15",'Opportunities'!$M$2:$M$1775,"=may25")</f>
        <v>476900</v>
      </c>
      <c r="E160" s="4">
        <f>SUMIFS('Opportunities'!$H$2:$H$1775,'Opportunities'!$C$2:$C$1775,"=r15",'Opportunities'!$M$2:$M$1775,"=jun25")</f>
        <v>305000</v>
      </c>
      <c r="F160" s="4">
        <f>SUMIFS('Opportunities'!$H$2:$H$1775,'Opportunities'!$C$2:$C$1775,"=r15",'Opportunities'!$M$2:$M$1775,"=jul25")</f>
        <v>168200</v>
      </c>
      <c r="G160" s="4">
        <f>SUMIFS('Opportunities'!$H$2:$H$1775,'Opportunities'!$C$2:$C$1775,"=r15",'Opportunities'!$M$2:$M$1775,"=aug25")</f>
        <v>257700</v>
      </c>
      <c r="H160" s="4">
        <f>SUMIFS('Opportunities'!$H$2:$H$1775,'Opportunities'!$C$2:$C$1775,"=r15",'Opportunities'!$M$2:$M$1775,"=sep25")</f>
        <v>276500</v>
      </c>
      <c r="I160" s="4">
        <f>SUMIFS('Opportunities'!$H$2:$H$1775,'Opportunities'!$C$2:$C$1775,"=r15",'Opportunities'!$M$2:$M$1775,"=oct25")</f>
        <v>288300</v>
      </c>
      <c r="J160" s="4">
        <f>SUMIFS('Opportunities'!$H$2:$H$1775,'Opportunities'!$C$2:$C$1775,"=r15",'Opportunities'!$M$2:$M$1775,"=nov25")</f>
        <v>87000</v>
      </c>
      <c r="K160" s="4">
        <f>SUMIFS('Opportunities'!$H$2:$H$1775,'Opportunities'!$C$2:$C$1775,"=r15",'Opportunities'!$M$2:$M$1775,"=dec25")</f>
        <v>285600</v>
      </c>
      <c r="L160" s="4">
        <f>SUMIFS('Opportunities'!$H$2:$H$1775,'Opportunities'!$C$2:$C$1775,"=r15",'Opportunities'!$M$2:$M$1775,"=jan26")</f>
        <v>287400</v>
      </c>
      <c r="M160" s="4">
        <f>SUMIFS('Opportunities'!$H$2:$H$1775,'Opportunities'!$C$2:$C$1775,"=r15",'Opportunities'!$M$2:$M$1775,"=feb26")</f>
        <v>101400</v>
      </c>
      <c r="N160" s="4">
        <f>SUMIFS('Opportunities'!$H$2:$H$1775,'Opportunities'!$C$2:$C$1775,"=r15",'Opportunities'!$M$2:$M$1775,"=mar26")</f>
        <v>119600</v>
      </c>
      <c r="O160" s="4">
        <f>SUMIFS('Opportunities'!$H$2:$H$1775,'Opportunities'!$C$2:$C$1775,"=r15",'Opportunities'!$M$2:$M$1775,"=apr26")</f>
        <v>324500</v>
      </c>
      <c r="P160" s="4">
        <f>SUMIFS('Opportunities'!$H$2:$H$1775,'Opportunities'!$C$2:$C$1775,"=r15",'Opportunities'!$M$2:$M$1775,"=may26")</f>
        <v>116200</v>
      </c>
      <c r="Q160" s="4">
        <f>SUMIFS('Opportunities'!$H$2:$H$1775,'Opportunities'!$C$2:$C$1775,"=r15",'Opportunities'!$M$2:$M$1775,"=jun26")</f>
        <v>89900</v>
      </c>
      <c r="R160" s="4">
        <f>SUMIFS('Opportunities'!$H$2:$H$1775,'Opportunities'!$C$2:$C$1775,"=r15",'Opportunities'!$M$2:$M$1775,"=jul26")</f>
        <v>132100</v>
      </c>
      <c r="S160" s="4">
        <f>SUMIFS('Opportunities'!$H$2:$H$1775,'Opportunities'!$C$2:$C$1775,"=r15",'Opportunities'!$M$2:$M$1775,"=aug26")</f>
        <v>158500</v>
      </c>
      <c r="T160" s="4">
        <f>SUMIFS('Opportunities'!$H$2:$H$1775,'Opportunities'!$C$2:$C$1775,"=r15",'Opportunities'!$M$2:$M$1775,"=sep26")</f>
        <v>93600</v>
      </c>
      <c r="U160" s="4">
        <f>SUMIFS('Opportunities'!$H$2:$H$1775,'Opportunities'!$C$2:$C$1775,"=r15",'Opportunities'!$M$2:$M$1775,"=oct26")</f>
        <v>0</v>
      </c>
      <c r="V160" s="4">
        <f>SUMIFS('Opportunities'!$H$2:$H$1775,'Opportunities'!$C$2:$C$1775,"=r15",'Opportunities'!$M$2:$M$1775,"=nov26")</f>
        <v>0</v>
      </c>
      <c r="W160" s="4">
        <f>SUMIFS('Opportunities'!$H$2:$H$1775,'Opportunities'!$C$2:$C$1775,"=r15",'Opportunities'!$M$2:$M$1775,"=dec26")</f>
        <v>0</v>
      </c>
    </row>
    <row r="161">
      <c r="A161" s="0" t="inlineStr">
        <is>
          <t xml:space="preserve">Pipeline created</t>
        </is>
      </c>
      <c r="B161" s="0" t="inlineStr">
        <is>
          <t xml:space="preserve">Wei Nair</t>
        </is>
      </c>
      <c r="C161" s="4">
        <f>SUMIFS('Opportunities'!$H$2:$H$1775,'Opportunities'!$C$2:$C$1775,"=r16",'Opportunities'!$M$2:$M$1775,"=apr25")</f>
        <v>317200</v>
      </c>
      <c r="D161" s="4">
        <f>SUMIFS('Opportunities'!$H$2:$H$1775,'Opportunities'!$C$2:$C$1775,"=r16",'Opportunities'!$M$2:$M$1775,"=may25")</f>
        <v>277500</v>
      </c>
      <c r="E161" s="4">
        <f>SUMIFS('Opportunities'!$H$2:$H$1775,'Opportunities'!$C$2:$C$1775,"=r16",'Opportunities'!$M$2:$M$1775,"=jun25")</f>
        <v>60400</v>
      </c>
      <c r="F161" s="4">
        <f>SUMIFS('Opportunities'!$H$2:$H$1775,'Opportunities'!$C$2:$C$1775,"=r16",'Opportunities'!$M$2:$M$1775,"=jul25")</f>
        <v>98000</v>
      </c>
      <c r="G161" s="4">
        <f>SUMIFS('Opportunities'!$H$2:$H$1775,'Opportunities'!$C$2:$C$1775,"=r16",'Opportunities'!$M$2:$M$1775,"=aug25")</f>
        <v>101800</v>
      </c>
      <c r="H161" s="4">
        <f>SUMIFS('Opportunities'!$H$2:$H$1775,'Opportunities'!$C$2:$C$1775,"=r16",'Opportunities'!$M$2:$M$1775,"=sep25")</f>
        <v>23200</v>
      </c>
      <c r="I161" s="4">
        <f>SUMIFS('Opportunities'!$H$2:$H$1775,'Opportunities'!$C$2:$C$1775,"=r16",'Opportunities'!$M$2:$M$1775,"=oct25")</f>
        <v>225800</v>
      </c>
      <c r="J161" s="4">
        <f>SUMIFS('Opportunities'!$H$2:$H$1775,'Opportunities'!$C$2:$C$1775,"=r16",'Opportunities'!$M$2:$M$1775,"=nov25")</f>
        <v>249000</v>
      </c>
      <c r="K161" s="4">
        <f>SUMIFS('Opportunities'!$H$2:$H$1775,'Opportunities'!$C$2:$C$1775,"=r16",'Opportunities'!$M$2:$M$1775,"=dec25")</f>
        <v>52900</v>
      </c>
      <c r="L161" s="4">
        <f>SUMIFS('Opportunities'!$H$2:$H$1775,'Opportunities'!$C$2:$C$1775,"=r16",'Opportunities'!$M$2:$M$1775,"=jan26")</f>
        <v>65300</v>
      </c>
      <c r="M161" s="4">
        <f>SUMIFS('Opportunities'!$H$2:$H$1775,'Opportunities'!$C$2:$C$1775,"=r16",'Opportunities'!$M$2:$M$1775,"=feb26")</f>
        <v>273700</v>
      </c>
      <c r="N161" s="4">
        <f>SUMIFS('Opportunities'!$H$2:$H$1775,'Opportunities'!$C$2:$C$1775,"=r16",'Opportunities'!$M$2:$M$1775,"=mar26")</f>
        <v>75400</v>
      </c>
      <c r="O161" s="4">
        <f>SUMIFS('Opportunities'!$H$2:$H$1775,'Opportunities'!$C$2:$C$1775,"=r16",'Opportunities'!$M$2:$M$1775,"=apr26")</f>
        <v>177000</v>
      </c>
      <c r="P161" s="4">
        <f>SUMIFS('Opportunities'!$H$2:$H$1775,'Opportunities'!$C$2:$C$1775,"=r16",'Opportunities'!$M$2:$M$1775,"=may26")</f>
        <v>78400</v>
      </c>
      <c r="Q161" s="4">
        <f>SUMIFS('Opportunities'!$H$2:$H$1775,'Opportunities'!$C$2:$C$1775,"=r16",'Opportunities'!$M$2:$M$1775,"=jun26")</f>
        <v>336700</v>
      </c>
      <c r="R161" s="4">
        <f>SUMIFS('Opportunities'!$H$2:$H$1775,'Opportunities'!$C$2:$C$1775,"=r16",'Opportunities'!$M$2:$M$1775,"=jul26")</f>
        <v>200000</v>
      </c>
      <c r="S161" s="4">
        <f>SUMIFS('Opportunities'!$H$2:$H$1775,'Opportunities'!$C$2:$C$1775,"=r16",'Opportunities'!$M$2:$M$1775,"=aug26")</f>
        <v>44100</v>
      </c>
      <c r="T161" s="4">
        <f>SUMIFS('Opportunities'!$H$2:$H$1775,'Opportunities'!$C$2:$C$1775,"=r16",'Opportunities'!$M$2:$M$1775,"=sep26")</f>
        <v>0</v>
      </c>
      <c r="U161" s="4">
        <f>SUMIFS('Opportunities'!$H$2:$H$1775,'Opportunities'!$C$2:$C$1775,"=r16",'Opportunities'!$M$2:$M$1775,"=oct26")</f>
        <v>0</v>
      </c>
      <c r="V161" s="4">
        <f>SUMIFS('Opportunities'!$H$2:$H$1775,'Opportunities'!$C$2:$C$1775,"=r16",'Opportunities'!$M$2:$M$1775,"=nov26")</f>
        <v>0</v>
      </c>
      <c r="W161" s="4">
        <f>SUMIFS('Opportunities'!$H$2:$H$1775,'Opportunities'!$C$2:$C$1775,"=r16",'Opportunities'!$M$2:$M$1775,"=dec26")</f>
        <v>0</v>
      </c>
    </row>
    <row r="162">
      <c r="A162" s="0" t="inlineStr">
        <is>
          <t xml:space="preserve">Pipeline created</t>
        </is>
      </c>
      <c r="B162" s="0" t="inlineStr">
        <is>
          <t xml:space="preserve">Liam Silva</t>
        </is>
      </c>
      <c r="C162" s="4">
        <f>SUMIFS('Opportunities'!$H$2:$H$1775,'Opportunities'!$C$2:$C$1775,"=r17",'Opportunities'!$M$2:$M$1775,"=apr25")</f>
        <v>40300</v>
      </c>
      <c r="D162" s="4">
        <f>SUMIFS('Opportunities'!$H$2:$H$1775,'Opportunities'!$C$2:$C$1775,"=r17",'Opportunities'!$M$2:$M$1775,"=may25")</f>
        <v>17200</v>
      </c>
      <c r="E162" s="4">
        <f>SUMIFS('Opportunities'!$H$2:$H$1775,'Opportunities'!$C$2:$C$1775,"=r17",'Opportunities'!$M$2:$M$1775,"=jun25")</f>
        <v>29400</v>
      </c>
      <c r="F162" s="4">
        <f>SUMIFS('Opportunities'!$H$2:$H$1775,'Opportunities'!$C$2:$C$1775,"=r17",'Opportunities'!$M$2:$M$1775,"=jul25")</f>
        <v>64200</v>
      </c>
      <c r="G162" s="4">
        <f>SUMIFS('Opportunities'!$H$2:$H$1775,'Opportunities'!$C$2:$C$1775,"=r17",'Opportunities'!$M$2:$M$1775,"=aug25")</f>
        <v>55000</v>
      </c>
      <c r="H162" s="4">
        <f>SUMIFS('Opportunities'!$H$2:$H$1775,'Opportunities'!$C$2:$C$1775,"=r17",'Opportunities'!$M$2:$M$1775,"=sep25")</f>
        <v>46900</v>
      </c>
      <c r="I162" s="4">
        <f>SUMIFS('Opportunities'!$H$2:$H$1775,'Opportunities'!$C$2:$C$1775,"=r17",'Opportunities'!$M$2:$M$1775,"=oct25")</f>
        <v>156400</v>
      </c>
      <c r="J162" s="4">
        <f>SUMIFS('Opportunities'!$H$2:$H$1775,'Opportunities'!$C$2:$C$1775,"=r17",'Opportunities'!$M$2:$M$1775,"=nov25")</f>
        <v>49800</v>
      </c>
      <c r="K162" s="4">
        <f>SUMIFS('Opportunities'!$H$2:$H$1775,'Opportunities'!$C$2:$C$1775,"=r17",'Opportunities'!$M$2:$M$1775,"=dec25")</f>
        <v>62300</v>
      </c>
      <c r="L162" s="4">
        <f>SUMIFS('Opportunities'!$H$2:$H$1775,'Opportunities'!$C$2:$C$1775,"=r17",'Opportunities'!$M$2:$M$1775,"=jan26")</f>
        <v>37300</v>
      </c>
      <c r="M162" s="4">
        <f>SUMIFS('Opportunities'!$H$2:$H$1775,'Opportunities'!$C$2:$C$1775,"=r17",'Opportunities'!$M$2:$M$1775,"=feb26")</f>
        <v>140200</v>
      </c>
      <c r="N162" s="4">
        <f>SUMIFS('Opportunities'!$H$2:$H$1775,'Opportunities'!$C$2:$C$1775,"=r17",'Opportunities'!$M$2:$M$1775,"=mar26")</f>
        <v>112100</v>
      </c>
      <c r="O162" s="4">
        <f>SUMIFS('Opportunities'!$H$2:$H$1775,'Opportunities'!$C$2:$C$1775,"=r17",'Opportunities'!$M$2:$M$1775,"=apr26")</f>
        <v>32100</v>
      </c>
      <c r="P162" s="4">
        <f>SUMIFS('Opportunities'!$H$2:$H$1775,'Opportunities'!$C$2:$C$1775,"=r17",'Opportunities'!$M$2:$M$1775,"=may26")</f>
        <v>59200</v>
      </c>
      <c r="Q162" s="4">
        <f>SUMIFS('Opportunities'!$H$2:$H$1775,'Opportunities'!$C$2:$C$1775,"=r17",'Opportunities'!$M$2:$M$1775,"=jun26")</f>
        <v>55600</v>
      </c>
      <c r="R162" s="4">
        <f>SUMIFS('Opportunities'!$H$2:$H$1775,'Opportunities'!$C$2:$C$1775,"=r17",'Opportunities'!$M$2:$M$1775,"=jul26")</f>
        <v>112200</v>
      </c>
      <c r="S162" s="4">
        <f>SUMIFS('Opportunities'!$H$2:$H$1775,'Opportunities'!$C$2:$C$1775,"=r17",'Opportunities'!$M$2:$M$1775,"=aug26")</f>
        <v>194900</v>
      </c>
      <c r="T162" s="4">
        <f>SUMIFS('Opportunities'!$H$2:$H$1775,'Opportunities'!$C$2:$C$1775,"=r17",'Opportunities'!$M$2:$M$1775,"=sep26")</f>
        <v>42100</v>
      </c>
      <c r="U162" s="4">
        <f>SUMIFS('Opportunities'!$H$2:$H$1775,'Opportunities'!$C$2:$C$1775,"=r17",'Opportunities'!$M$2:$M$1775,"=oct26")</f>
        <v>0</v>
      </c>
      <c r="V162" s="4">
        <f>SUMIFS('Opportunities'!$H$2:$H$1775,'Opportunities'!$C$2:$C$1775,"=r17",'Opportunities'!$M$2:$M$1775,"=nov26")</f>
        <v>0</v>
      </c>
      <c r="W162" s="4">
        <f>SUMIFS('Opportunities'!$H$2:$H$1775,'Opportunities'!$C$2:$C$1775,"=r17",'Opportunities'!$M$2:$M$1775,"=dec26")</f>
        <v>0</v>
      </c>
    </row>
    <row r="163">
      <c r="A163" s="0" t="inlineStr">
        <is>
          <t xml:space="preserve">Pipeline created</t>
        </is>
      </c>
      <c r="B163" s="0" t="inlineStr">
        <is>
          <t xml:space="preserve">Samuel Silva</t>
        </is>
      </c>
      <c r="C163" s="4">
        <f>SUMIFS('Opportunities'!$H$2:$H$1775,'Opportunities'!$C$2:$C$1775,"=r18",'Opportunities'!$M$2:$M$1775,"=apr25")</f>
        <v>132800</v>
      </c>
      <c r="D163" s="4">
        <f>SUMIFS('Opportunities'!$H$2:$H$1775,'Opportunities'!$C$2:$C$1775,"=r18",'Opportunities'!$M$2:$M$1775,"=may25")</f>
        <v>169900</v>
      </c>
      <c r="E163" s="4">
        <f>SUMIFS('Opportunities'!$H$2:$H$1775,'Opportunities'!$C$2:$C$1775,"=r18",'Opportunities'!$M$2:$M$1775,"=jun25")</f>
        <v>118200</v>
      </c>
      <c r="F163" s="4">
        <f>SUMIFS('Opportunities'!$H$2:$H$1775,'Opportunities'!$C$2:$C$1775,"=r18",'Opportunities'!$M$2:$M$1775,"=jul25")</f>
        <v>148200</v>
      </c>
      <c r="G163" s="4">
        <f>SUMIFS('Opportunities'!$H$2:$H$1775,'Opportunities'!$C$2:$C$1775,"=r18",'Opportunities'!$M$2:$M$1775,"=aug25")</f>
        <v>35700</v>
      </c>
      <c r="H163" s="4">
        <f>SUMIFS('Opportunities'!$H$2:$H$1775,'Opportunities'!$C$2:$C$1775,"=r18",'Opportunities'!$M$2:$M$1775,"=sep25")</f>
        <v>72200</v>
      </c>
      <c r="I163" s="4">
        <f>SUMIFS('Opportunities'!$H$2:$H$1775,'Opportunities'!$C$2:$C$1775,"=r18",'Opportunities'!$M$2:$M$1775,"=oct25")</f>
        <v>64500</v>
      </c>
      <c r="J163" s="4">
        <f>SUMIFS('Opportunities'!$H$2:$H$1775,'Opportunities'!$C$2:$C$1775,"=r18",'Opportunities'!$M$2:$M$1775,"=nov25")</f>
        <v>118800</v>
      </c>
      <c r="K163" s="4">
        <f>SUMIFS('Opportunities'!$H$2:$H$1775,'Opportunities'!$C$2:$C$1775,"=r18",'Opportunities'!$M$2:$M$1775,"=dec25")</f>
        <v>76900</v>
      </c>
      <c r="L163" s="4">
        <f>SUMIFS('Opportunities'!$H$2:$H$1775,'Opportunities'!$C$2:$C$1775,"=r18",'Opportunities'!$M$2:$M$1775,"=jan26")</f>
        <v>131000</v>
      </c>
      <c r="M163" s="4">
        <f>SUMIFS('Opportunities'!$H$2:$H$1775,'Opportunities'!$C$2:$C$1775,"=r18",'Opportunities'!$M$2:$M$1775,"=feb26")</f>
        <v>86200</v>
      </c>
      <c r="N163" s="4">
        <f>SUMIFS('Opportunities'!$H$2:$H$1775,'Opportunities'!$C$2:$C$1775,"=r18",'Opportunities'!$M$2:$M$1775,"=mar26")</f>
        <v>60200</v>
      </c>
      <c r="O163" s="4">
        <f>SUMIFS('Opportunities'!$H$2:$H$1775,'Opportunities'!$C$2:$C$1775,"=r18",'Opportunities'!$M$2:$M$1775,"=apr26")</f>
        <v>146400</v>
      </c>
      <c r="P163" s="4">
        <f>SUMIFS('Opportunities'!$H$2:$H$1775,'Opportunities'!$C$2:$C$1775,"=r18",'Opportunities'!$M$2:$M$1775,"=may26")</f>
        <v>44900</v>
      </c>
      <c r="Q163" s="4">
        <f>SUMIFS('Opportunities'!$H$2:$H$1775,'Opportunities'!$C$2:$C$1775,"=r18",'Opportunities'!$M$2:$M$1775,"=jun26")</f>
        <v>174600</v>
      </c>
      <c r="R163" s="4">
        <f>SUMIFS('Opportunities'!$H$2:$H$1775,'Opportunities'!$C$2:$C$1775,"=r18",'Opportunities'!$M$2:$M$1775,"=jul26")</f>
        <v>79500</v>
      </c>
      <c r="S163" s="4">
        <f>SUMIFS('Opportunities'!$H$2:$H$1775,'Opportunities'!$C$2:$C$1775,"=r18",'Opportunities'!$M$2:$M$1775,"=aug26")</f>
        <v>47300</v>
      </c>
      <c r="T163" s="4">
        <f>SUMIFS('Opportunities'!$H$2:$H$1775,'Opportunities'!$C$2:$C$1775,"=r18",'Opportunities'!$M$2:$M$1775,"=sep26")</f>
        <v>8300</v>
      </c>
      <c r="U163" s="4">
        <f>SUMIFS('Opportunities'!$H$2:$H$1775,'Opportunities'!$C$2:$C$1775,"=r18",'Opportunities'!$M$2:$M$1775,"=oct26")</f>
        <v>0</v>
      </c>
      <c r="V163" s="4">
        <f>SUMIFS('Opportunities'!$H$2:$H$1775,'Opportunities'!$C$2:$C$1775,"=r18",'Opportunities'!$M$2:$M$1775,"=nov26")</f>
        <v>0</v>
      </c>
      <c r="W163" s="4">
        <f>SUMIFS('Opportunities'!$H$2:$H$1775,'Opportunities'!$C$2:$C$1775,"=r18",'Opportunities'!$M$2:$M$1775,"=dec26")</f>
        <v>0</v>
      </c>
    </row>
    <row r="164">
      <c r="A164" s="0" t="inlineStr">
        <is>
          <t xml:space="preserve">Pipeline created</t>
        </is>
      </c>
      <c r="B164" s="0" t="inlineStr">
        <is>
          <t xml:space="preserve">Yuki Larsen</t>
        </is>
      </c>
      <c r="C164" s="4">
        <f>SUMIFS('Opportunities'!$H$2:$H$1775,'Opportunities'!$C$2:$C$1775,"=r19",'Opportunities'!$M$2:$M$1775,"=apr25")</f>
        <v>0</v>
      </c>
      <c r="D164" s="4">
        <f>SUMIFS('Opportunities'!$H$2:$H$1775,'Opportunities'!$C$2:$C$1775,"=r19",'Opportunities'!$M$2:$M$1775,"=may25")</f>
        <v>82000</v>
      </c>
      <c r="E164" s="4">
        <f>SUMIFS('Opportunities'!$H$2:$H$1775,'Opportunities'!$C$2:$C$1775,"=r19",'Opportunities'!$M$2:$M$1775,"=jun25")</f>
        <v>66500</v>
      </c>
      <c r="F164" s="4">
        <f>SUMIFS('Opportunities'!$H$2:$H$1775,'Opportunities'!$C$2:$C$1775,"=r19",'Opportunities'!$M$2:$M$1775,"=jul25")</f>
        <v>80100</v>
      </c>
      <c r="G164" s="4">
        <f>SUMIFS('Opportunities'!$H$2:$H$1775,'Opportunities'!$C$2:$C$1775,"=r19",'Opportunities'!$M$2:$M$1775,"=aug25")</f>
        <v>0</v>
      </c>
      <c r="H164" s="4">
        <f>SUMIFS('Opportunities'!$H$2:$H$1775,'Opportunities'!$C$2:$C$1775,"=r19",'Opportunities'!$M$2:$M$1775,"=sep25")</f>
        <v>0</v>
      </c>
      <c r="I164" s="4">
        <f>SUMIFS('Opportunities'!$H$2:$H$1775,'Opportunities'!$C$2:$C$1775,"=r19",'Opportunities'!$M$2:$M$1775,"=oct25")</f>
        <v>79100</v>
      </c>
      <c r="J164" s="4">
        <f>SUMIFS('Opportunities'!$H$2:$H$1775,'Opportunities'!$C$2:$C$1775,"=r19",'Opportunities'!$M$2:$M$1775,"=nov25")</f>
        <v>124200</v>
      </c>
      <c r="K164" s="4">
        <f>SUMIFS('Opportunities'!$H$2:$H$1775,'Opportunities'!$C$2:$C$1775,"=r19",'Opportunities'!$M$2:$M$1775,"=dec25")</f>
        <v>86200</v>
      </c>
      <c r="L164" s="4">
        <f>SUMIFS('Opportunities'!$H$2:$H$1775,'Opportunities'!$C$2:$C$1775,"=r19",'Opportunities'!$M$2:$M$1775,"=jan26")</f>
        <v>188400</v>
      </c>
      <c r="M164" s="4">
        <f>SUMIFS('Opportunities'!$H$2:$H$1775,'Opportunities'!$C$2:$C$1775,"=r19",'Opportunities'!$M$2:$M$1775,"=feb26")</f>
        <v>107800</v>
      </c>
      <c r="N164" s="4">
        <f>SUMIFS('Opportunities'!$H$2:$H$1775,'Opportunities'!$C$2:$C$1775,"=r19",'Opportunities'!$M$2:$M$1775,"=mar26")</f>
        <v>377000</v>
      </c>
      <c r="O164" s="4">
        <f>SUMIFS('Opportunities'!$H$2:$H$1775,'Opportunities'!$C$2:$C$1775,"=r19",'Opportunities'!$M$2:$M$1775,"=apr26")</f>
        <v>309600</v>
      </c>
      <c r="P164" s="4">
        <f>SUMIFS('Opportunities'!$H$2:$H$1775,'Opportunities'!$C$2:$C$1775,"=r19",'Opportunities'!$M$2:$M$1775,"=may26")</f>
        <v>74900</v>
      </c>
      <c r="Q164" s="4">
        <f>SUMIFS('Opportunities'!$H$2:$H$1775,'Opportunities'!$C$2:$C$1775,"=r19",'Opportunities'!$M$2:$M$1775,"=jun26")</f>
        <v>160000</v>
      </c>
      <c r="R164" s="4">
        <f>SUMIFS('Opportunities'!$H$2:$H$1775,'Opportunities'!$C$2:$C$1775,"=r19",'Opportunities'!$M$2:$M$1775,"=jul26")</f>
        <v>114800</v>
      </c>
      <c r="S164" s="4">
        <f>SUMIFS('Opportunities'!$H$2:$H$1775,'Opportunities'!$C$2:$C$1775,"=r19",'Opportunities'!$M$2:$M$1775,"=aug26")</f>
        <v>797200</v>
      </c>
      <c r="T164" s="4">
        <f>SUMIFS('Opportunities'!$H$2:$H$1775,'Opportunities'!$C$2:$C$1775,"=r19",'Opportunities'!$M$2:$M$1775,"=sep26")</f>
        <v>299400</v>
      </c>
      <c r="U164" s="4">
        <f>SUMIFS('Opportunities'!$H$2:$H$1775,'Opportunities'!$C$2:$C$1775,"=r19",'Opportunities'!$M$2:$M$1775,"=oct26")</f>
        <v>0</v>
      </c>
      <c r="V164" s="4">
        <f>SUMIFS('Opportunities'!$H$2:$H$1775,'Opportunities'!$C$2:$C$1775,"=r19",'Opportunities'!$M$2:$M$1775,"=nov26")</f>
        <v>0</v>
      </c>
      <c r="W164" s="4">
        <f>SUMIFS('Opportunities'!$H$2:$H$1775,'Opportunities'!$C$2:$C$1775,"=r19",'Opportunities'!$M$2:$M$1775,"=dec26")</f>
        <v>0</v>
      </c>
    </row>
    <row r="165">
      <c r="A165" s="0" t="inlineStr">
        <is>
          <t xml:space="preserve">Pipeline created</t>
        </is>
      </c>
      <c r="B165" s="0" t="inlineStr">
        <is>
          <t xml:space="preserve">Nikolai Sato</t>
        </is>
      </c>
      <c r="C165" s="4">
        <f>SUMIFS('Opportunities'!$H$2:$H$1775,'Opportunities'!$C$2:$C$1775,"=r20",'Opportunities'!$M$2:$M$1775,"=apr25")</f>
        <v>151600</v>
      </c>
      <c r="D165" s="4">
        <f>SUMIFS('Opportunities'!$H$2:$H$1775,'Opportunities'!$C$2:$C$1775,"=r20",'Opportunities'!$M$2:$M$1775,"=may25")</f>
        <v>627700</v>
      </c>
      <c r="E165" s="4">
        <f>SUMIFS('Opportunities'!$H$2:$H$1775,'Opportunities'!$C$2:$C$1775,"=r20",'Opportunities'!$M$2:$M$1775,"=jun25")</f>
        <v>208900</v>
      </c>
      <c r="F165" s="4">
        <f>SUMIFS('Opportunities'!$H$2:$H$1775,'Opportunities'!$C$2:$C$1775,"=r20",'Opportunities'!$M$2:$M$1775,"=jul25")</f>
        <v>0</v>
      </c>
      <c r="G165" s="4">
        <f>SUMIFS('Opportunities'!$H$2:$H$1775,'Opportunities'!$C$2:$C$1775,"=r20",'Opportunities'!$M$2:$M$1775,"=aug25")</f>
        <v>248300</v>
      </c>
      <c r="H165" s="4">
        <f>SUMIFS('Opportunities'!$H$2:$H$1775,'Opportunities'!$C$2:$C$1775,"=r20",'Opportunities'!$M$2:$M$1775,"=sep25")</f>
        <v>247100</v>
      </c>
      <c r="I165" s="4">
        <f>SUMIFS('Opportunities'!$H$2:$H$1775,'Opportunities'!$C$2:$C$1775,"=r20",'Opportunities'!$M$2:$M$1775,"=oct25")</f>
        <v>0</v>
      </c>
      <c r="J165" s="4">
        <f>SUMIFS('Opportunities'!$H$2:$H$1775,'Opportunities'!$C$2:$C$1775,"=r20",'Opportunities'!$M$2:$M$1775,"=nov25")</f>
        <v>0</v>
      </c>
      <c r="K165" s="4">
        <f>SUMIFS('Opportunities'!$H$2:$H$1775,'Opportunities'!$C$2:$C$1775,"=r20",'Opportunities'!$M$2:$M$1775,"=dec25")</f>
        <v>0</v>
      </c>
      <c r="L165" s="4">
        <f>SUMIFS('Opportunities'!$H$2:$H$1775,'Opportunities'!$C$2:$C$1775,"=r20",'Opportunities'!$M$2:$M$1775,"=jan26")</f>
        <v>310500</v>
      </c>
      <c r="M165" s="4">
        <f>SUMIFS('Opportunities'!$H$2:$H$1775,'Opportunities'!$C$2:$C$1775,"=r20",'Opportunities'!$M$2:$M$1775,"=feb26")</f>
        <v>0</v>
      </c>
      <c r="N165" s="4">
        <f>SUMIFS('Opportunities'!$H$2:$H$1775,'Opportunities'!$C$2:$C$1775,"=r20",'Opportunities'!$M$2:$M$1775,"=mar26")</f>
        <v>542200</v>
      </c>
      <c r="O165" s="4">
        <f>SUMIFS('Opportunities'!$H$2:$H$1775,'Opportunities'!$C$2:$C$1775,"=r20",'Opportunities'!$M$2:$M$1775,"=apr26")</f>
        <v>0</v>
      </c>
      <c r="P165" s="4">
        <f>SUMIFS('Opportunities'!$H$2:$H$1775,'Opportunities'!$C$2:$C$1775,"=r20",'Opportunities'!$M$2:$M$1775,"=may26")</f>
        <v>204700</v>
      </c>
      <c r="Q165" s="4">
        <f>SUMIFS('Opportunities'!$H$2:$H$1775,'Opportunities'!$C$2:$C$1775,"=r20",'Opportunities'!$M$2:$M$1775,"=jun26")</f>
        <v>577700</v>
      </c>
      <c r="R165" s="4">
        <f>SUMIFS('Opportunities'!$H$2:$H$1775,'Opportunities'!$C$2:$C$1775,"=r20",'Opportunities'!$M$2:$M$1775,"=jul26")</f>
        <v>0</v>
      </c>
      <c r="S165" s="4">
        <f>SUMIFS('Opportunities'!$H$2:$H$1775,'Opportunities'!$C$2:$C$1775,"=r20",'Opportunities'!$M$2:$M$1775,"=aug26")</f>
        <v>610900</v>
      </c>
      <c r="T165" s="4">
        <f>SUMIFS('Opportunities'!$H$2:$H$1775,'Opportunities'!$C$2:$C$1775,"=r20",'Opportunities'!$M$2:$M$1775,"=sep26")</f>
        <v>290800</v>
      </c>
      <c r="U165" s="4">
        <f>SUMIFS('Opportunities'!$H$2:$H$1775,'Opportunities'!$C$2:$C$1775,"=r20",'Opportunities'!$M$2:$M$1775,"=oct26")</f>
        <v>0</v>
      </c>
      <c r="V165" s="4">
        <f>SUMIFS('Opportunities'!$H$2:$H$1775,'Opportunities'!$C$2:$C$1775,"=r20",'Opportunities'!$M$2:$M$1775,"=nov26")</f>
        <v>0</v>
      </c>
      <c r="W165" s="4">
        <f>SUMIFS('Opportunities'!$H$2:$H$1775,'Opportunities'!$C$2:$C$1775,"=r20",'Opportunities'!$M$2:$M$1775,"=dec26")</f>
        <v>0</v>
      </c>
    </row>
    <row r="166">
      <c r="A166" s="0" t="inlineStr">
        <is>
          <t xml:space="preserve">Pipeline created</t>
        </is>
      </c>
      <c r="B166" s="0" t="inlineStr">
        <is>
          <t xml:space="preserve">Elena Silva</t>
        </is>
      </c>
      <c r="C166" s="4">
        <f>SUMIFS('Opportunities'!$H$2:$H$1775,'Opportunities'!$C$2:$C$1775,"=r21",'Opportunities'!$M$2:$M$1775,"=apr25")</f>
        <v>136200</v>
      </c>
      <c r="D166" s="4">
        <f>SUMIFS('Opportunities'!$H$2:$H$1775,'Opportunities'!$C$2:$C$1775,"=r21",'Opportunities'!$M$2:$M$1775,"=may25")</f>
        <v>91300</v>
      </c>
      <c r="E166" s="4">
        <f>SUMIFS('Opportunities'!$H$2:$H$1775,'Opportunities'!$C$2:$C$1775,"=r21",'Opportunities'!$M$2:$M$1775,"=jun25")</f>
        <v>321700</v>
      </c>
      <c r="F166" s="4">
        <f>SUMIFS('Opportunities'!$H$2:$H$1775,'Opportunities'!$C$2:$C$1775,"=r21",'Opportunities'!$M$2:$M$1775,"=jul25")</f>
        <v>445100</v>
      </c>
      <c r="G166" s="4">
        <f>SUMIFS('Opportunities'!$H$2:$H$1775,'Opportunities'!$C$2:$C$1775,"=r21",'Opportunities'!$M$2:$M$1775,"=aug25")</f>
        <v>63000</v>
      </c>
      <c r="H166" s="4">
        <f>SUMIFS('Opportunities'!$H$2:$H$1775,'Opportunities'!$C$2:$C$1775,"=r21",'Opportunities'!$M$2:$M$1775,"=sep25")</f>
        <v>119200</v>
      </c>
      <c r="I166" s="4">
        <f>SUMIFS('Opportunities'!$H$2:$H$1775,'Opportunities'!$C$2:$C$1775,"=r21",'Opportunities'!$M$2:$M$1775,"=oct25")</f>
        <v>123100</v>
      </c>
      <c r="J166" s="4">
        <f>SUMIFS('Opportunities'!$H$2:$H$1775,'Opportunities'!$C$2:$C$1775,"=r21",'Opportunities'!$M$2:$M$1775,"=nov25")</f>
        <v>208700</v>
      </c>
      <c r="K166" s="4">
        <f>SUMIFS('Opportunities'!$H$2:$H$1775,'Opportunities'!$C$2:$C$1775,"=r21",'Opportunities'!$M$2:$M$1775,"=dec25")</f>
        <v>89900</v>
      </c>
      <c r="L166" s="4">
        <f>SUMIFS('Opportunities'!$H$2:$H$1775,'Opportunities'!$C$2:$C$1775,"=r21",'Opportunities'!$M$2:$M$1775,"=jan26")</f>
        <v>0</v>
      </c>
      <c r="M166" s="4">
        <f>SUMIFS('Opportunities'!$H$2:$H$1775,'Opportunities'!$C$2:$C$1775,"=r21",'Opportunities'!$M$2:$M$1775,"=feb26")</f>
        <v>154300</v>
      </c>
      <c r="N166" s="4">
        <f>SUMIFS('Opportunities'!$H$2:$H$1775,'Opportunities'!$C$2:$C$1775,"=r21",'Opportunities'!$M$2:$M$1775,"=mar26")</f>
        <v>537000</v>
      </c>
      <c r="O166" s="4">
        <f>SUMIFS('Opportunities'!$H$2:$H$1775,'Opportunities'!$C$2:$C$1775,"=r21",'Opportunities'!$M$2:$M$1775,"=apr26")</f>
        <v>81800</v>
      </c>
      <c r="P166" s="4">
        <f>SUMIFS('Opportunities'!$H$2:$H$1775,'Opportunities'!$C$2:$C$1775,"=r21",'Opportunities'!$M$2:$M$1775,"=may26")</f>
        <v>107300</v>
      </c>
      <c r="Q166" s="4">
        <f>SUMIFS('Opportunities'!$H$2:$H$1775,'Opportunities'!$C$2:$C$1775,"=r21",'Opportunities'!$M$2:$M$1775,"=jun26")</f>
        <v>235300</v>
      </c>
      <c r="R166" s="4">
        <f>SUMIFS('Opportunities'!$H$2:$H$1775,'Opportunities'!$C$2:$C$1775,"=r21",'Opportunities'!$M$2:$M$1775,"=jul26")</f>
        <v>134400</v>
      </c>
      <c r="S166" s="4">
        <f>SUMIFS('Opportunities'!$H$2:$H$1775,'Opportunities'!$C$2:$C$1775,"=r21",'Opportunities'!$M$2:$M$1775,"=aug26")</f>
        <v>236700</v>
      </c>
      <c r="T166" s="4">
        <f>SUMIFS('Opportunities'!$H$2:$H$1775,'Opportunities'!$C$2:$C$1775,"=r21",'Opportunities'!$M$2:$M$1775,"=sep26")</f>
        <v>240400</v>
      </c>
      <c r="U166" s="4">
        <f>SUMIFS('Opportunities'!$H$2:$H$1775,'Opportunities'!$C$2:$C$1775,"=r21",'Opportunities'!$M$2:$M$1775,"=oct26")</f>
        <v>0</v>
      </c>
      <c r="V166" s="4">
        <f>SUMIFS('Opportunities'!$H$2:$H$1775,'Opportunities'!$C$2:$C$1775,"=r21",'Opportunities'!$M$2:$M$1775,"=nov26")</f>
        <v>0</v>
      </c>
      <c r="W166" s="4">
        <f>SUMIFS('Opportunities'!$H$2:$H$1775,'Opportunities'!$C$2:$C$1775,"=r21",'Opportunities'!$M$2:$M$1775,"=dec26")</f>
        <v>0</v>
      </c>
    </row>
    <row r="167">
      <c r="A167" s="0" t="inlineStr">
        <is>
          <t xml:space="preserve">Pipeline created</t>
        </is>
      </c>
      <c r="B167" s="0" t="inlineStr">
        <is>
          <t xml:space="preserve">Arjun Müller</t>
        </is>
      </c>
      <c r="C167" s="4">
        <f>SUMIFS('Opportunities'!$H$2:$H$1775,'Opportunities'!$C$2:$C$1775,"=r22",'Opportunities'!$M$2:$M$1775,"=apr25")</f>
        <v>58600</v>
      </c>
      <c r="D167" s="4">
        <f>SUMIFS('Opportunities'!$H$2:$H$1775,'Opportunities'!$C$2:$C$1775,"=r22",'Opportunities'!$M$2:$M$1775,"=may25")</f>
        <v>123000</v>
      </c>
      <c r="E167" s="4">
        <f>SUMIFS('Opportunities'!$H$2:$H$1775,'Opportunities'!$C$2:$C$1775,"=r22",'Opportunities'!$M$2:$M$1775,"=jun25")</f>
        <v>147500</v>
      </c>
      <c r="F167" s="4">
        <f>SUMIFS('Opportunities'!$H$2:$H$1775,'Opportunities'!$C$2:$C$1775,"=r22",'Opportunities'!$M$2:$M$1775,"=jul25")</f>
        <v>40700</v>
      </c>
      <c r="G167" s="4">
        <f>SUMIFS('Opportunities'!$H$2:$H$1775,'Opportunities'!$C$2:$C$1775,"=r22",'Opportunities'!$M$2:$M$1775,"=aug25")</f>
        <v>118600</v>
      </c>
      <c r="H167" s="4">
        <f>SUMIFS('Opportunities'!$H$2:$H$1775,'Opportunities'!$C$2:$C$1775,"=r22",'Opportunities'!$M$2:$M$1775,"=sep25")</f>
        <v>388700</v>
      </c>
      <c r="I167" s="4">
        <f>SUMIFS('Opportunities'!$H$2:$H$1775,'Opportunities'!$C$2:$C$1775,"=r22",'Opportunities'!$M$2:$M$1775,"=oct25")</f>
        <v>204300</v>
      </c>
      <c r="J167" s="4">
        <f>SUMIFS('Opportunities'!$H$2:$H$1775,'Opportunities'!$C$2:$C$1775,"=r22",'Opportunities'!$M$2:$M$1775,"=nov25")</f>
        <v>19700</v>
      </c>
      <c r="K167" s="4">
        <f>SUMIFS('Opportunities'!$H$2:$H$1775,'Opportunities'!$C$2:$C$1775,"=r22",'Opportunities'!$M$2:$M$1775,"=dec25")</f>
        <v>19600</v>
      </c>
      <c r="L167" s="4">
        <f>SUMIFS('Opportunities'!$H$2:$H$1775,'Opportunities'!$C$2:$C$1775,"=r22",'Opportunities'!$M$2:$M$1775,"=jan26")</f>
        <v>130300</v>
      </c>
      <c r="M167" s="4">
        <f>SUMIFS('Opportunities'!$H$2:$H$1775,'Opportunities'!$C$2:$C$1775,"=r22",'Opportunities'!$M$2:$M$1775,"=feb26")</f>
        <v>123200</v>
      </c>
      <c r="N167" s="4">
        <f>SUMIFS('Opportunities'!$H$2:$H$1775,'Opportunities'!$C$2:$C$1775,"=r22",'Opportunities'!$M$2:$M$1775,"=mar26")</f>
        <v>204900</v>
      </c>
      <c r="O167" s="4">
        <f>SUMIFS('Opportunities'!$H$2:$H$1775,'Opportunities'!$C$2:$C$1775,"=r22",'Opportunities'!$M$2:$M$1775,"=apr26")</f>
        <v>61600</v>
      </c>
      <c r="P167" s="4">
        <f>SUMIFS('Opportunities'!$H$2:$H$1775,'Opportunities'!$C$2:$C$1775,"=r22",'Opportunities'!$M$2:$M$1775,"=may26")</f>
        <v>256700</v>
      </c>
      <c r="Q167" s="4">
        <f>SUMIFS('Opportunities'!$H$2:$H$1775,'Opportunities'!$C$2:$C$1775,"=r22",'Opportunities'!$M$2:$M$1775,"=jun26")</f>
        <v>231700</v>
      </c>
      <c r="R167" s="4">
        <f>SUMIFS('Opportunities'!$H$2:$H$1775,'Opportunities'!$C$2:$C$1775,"=r22",'Opportunities'!$M$2:$M$1775,"=jul26")</f>
        <v>100500</v>
      </c>
      <c r="S167" s="4">
        <f>SUMIFS('Opportunities'!$H$2:$H$1775,'Opportunities'!$C$2:$C$1775,"=r22",'Opportunities'!$M$2:$M$1775,"=aug26")</f>
        <v>65700</v>
      </c>
      <c r="T167" s="4">
        <f>SUMIFS('Opportunities'!$H$2:$H$1775,'Opportunities'!$C$2:$C$1775,"=r22",'Opportunities'!$M$2:$M$1775,"=sep26")</f>
        <v>19200</v>
      </c>
      <c r="U167" s="4">
        <f>SUMIFS('Opportunities'!$H$2:$H$1775,'Opportunities'!$C$2:$C$1775,"=r22",'Opportunities'!$M$2:$M$1775,"=oct26")</f>
        <v>0</v>
      </c>
      <c r="V167" s="4">
        <f>SUMIFS('Opportunities'!$H$2:$H$1775,'Opportunities'!$C$2:$C$1775,"=r22",'Opportunities'!$M$2:$M$1775,"=nov26")</f>
        <v>0</v>
      </c>
      <c r="W167" s="4">
        <f>SUMIFS('Opportunities'!$H$2:$H$1775,'Opportunities'!$C$2:$C$1775,"=r22",'Opportunities'!$M$2:$M$1775,"=dec26")</f>
        <v>0</v>
      </c>
    </row>
    <row r="168">
      <c r="A168" s="0" t="inlineStr">
        <is>
          <t xml:space="preserve">Pipeline created</t>
        </is>
      </c>
      <c r="B168" s="0" t="inlineStr">
        <is>
          <t xml:space="preserve">Nikolai Park</t>
        </is>
      </c>
      <c r="C168" s="4">
        <f>SUMIFS('Opportunities'!$H$2:$H$1775,'Opportunities'!$C$2:$C$1775,"=r23",'Opportunities'!$M$2:$M$1775,"=apr25")</f>
        <v>0</v>
      </c>
      <c r="D168" s="4">
        <f>SUMIFS('Opportunities'!$H$2:$H$1775,'Opportunities'!$C$2:$C$1775,"=r23",'Opportunities'!$M$2:$M$1775,"=may25")</f>
        <v>0</v>
      </c>
      <c r="E168" s="4">
        <f>SUMIFS('Opportunities'!$H$2:$H$1775,'Opportunities'!$C$2:$C$1775,"=r23",'Opportunities'!$M$2:$M$1775,"=jun25")</f>
        <v>0</v>
      </c>
      <c r="F168" s="4">
        <f>SUMIFS('Opportunities'!$H$2:$H$1775,'Opportunities'!$C$2:$C$1775,"=r23",'Opportunities'!$M$2:$M$1775,"=jul25")</f>
        <v>0</v>
      </c>
      <c r="G168" s="4">
        <f>SUMIFS('Opportunities'!$H$2:$H$1775,'Opportunities'!$C$2:$C$1775,"=r23",'Opportunities'!$M$2:$M$1775,"=aug25")</f>
        <v>0</v>
      </c>
      <c r="H168" s="4">
        <f>SUMIFS('Opportunities'!$H$2:$H$1775,'Opportunities'!$C$2:$C$1775,"=r23",'Opportunities'!$M$2:$M$1775,"=sep25")</f>
        <v>0</v>
      </c>
      <c r="I168" s="4">
        <f>SUMIFS('Opportunities'!$H$2:$H$1775,'Opportunities'!$C$2:$C$1775,"=r23",'Opportunities'!$M$2:$M$1775,"=oct25")</f>
        <v>0</v>
      </c>
      <c r="J168" s="4">
        <f>SUMIFS('Opportunities'!$H$2:$H$1775,'Opportunities'!$C$2:$C$1775,"=r23",'Opportunities'!$M$2:$M$1775,"=nov25")</f>
        <v>0</v>
      </c>
      <c r="K168" s="4">
        <f>SUMIFS('Opportunities'!$H$2:$H$1775,'Opportunities'!$C$2:$C$1775,"=r23",'Opportunities'!$M$2:$M$1775,"=dec25")</f>
        <v>0</v>
      </c>
      <c r="L168" s="4">
        <f>SUMIFS('Opportunities'!$H$2:$H$1775,'Opportunities'!$C$2:$C$1775,"=r23",'Opportunities'!$M$2:$M$1775,"=jan26")</f>
        <v>0</v>
      </c>
      <c r="M168" s="4">
        <f>SUMIFS('Opportunities'!$H$2:$H$1775,'Opportunities'!$C$2:$C$1775,"=r23",'Opportunities'!$M$2:$M$1775,"=feb26")</f>
        <v>0</v>
      </c>
      <c r="N168" s="4">
        <f>SUMIFS('Opportunities'!$H$2:$H$1775,'Opportunities'!$C$2:$C$1775,"=r23",'Opportunities'!$M$2:$M$1775,"=mar26")</f>
        <v>0</v>
      </c>
      <c r="O168" s="4">
        <f>SUMIFS('Opportunities'!$H$2:$H$1775,'Opportunities'!$C$2:$C$1775,"=r23",'Opportunities'!$M$2:$M$1775,"=apr26")</f>
        <v>0</v>
      </c>
      <c r="P168" s="4">
        <f>SUMIFS('Opportunities'!$H$2:$H$1775,'Opportunities'!$C$2:$C$1775,"=r23",'Opportunities'!$M$2:$M$1775,"=may26")</f>
        <v>17400</v>
      </c>
      <c r="Q168" s="4">
        <f>SUMIFS('Opportunities'!$H$2:$H$1775,'Opportunities'!$C$2:$C$1775,"=r23",'Opportunities'!$M$2:$M$1775,"=jun26")</f>
        <v>38800</v>
      </c>
      <c r="R168" s="4">
        <f>SUMIFS('Opportunities'!$H$2:$H$1775,'Opportunities'!$C$2:$C$1775,"=r23",'Opportunities'!$M$2:$M$1775,"=jul26")</f>
        <v>0</v>
      </c>
      <c r="S168" s="4">
        <f>SUMIFS('Opportunities'!$H$2:$H$1775,'Opportunities'!$C$2:$C$1775,"=r23",'Opportunities'!$M$2:$M$1775,"=aug26")</f>
        <v>24700</v>
      </c>
      <c r="T168" s="4">
        <f>SUMIFS('Opportunities'!$H$2:$H$1775,'Opportunities'!$C$2:$C$1775,"=r23",'Opportunities'!$M$2:$M$1775,"=sep26")</f>
        <v>52000</v>
      </c>
      <c r="U168" s="4">
        <f>SUMIFS('Opportunities'!$H$2:$H$1775,'Opportunities'!$C$2:$C$1775,"=r23",'Opportunities'!$M$2:$M$1775,"=oct26")</f>
        <v>0</v>
      </c>
      <c r="V168" s="4">
        <f>SUMIFS('Opportunities'!$H$2:$H$1775,'Opportunities'!$C$2:$C$1775,"=r23",'Opportunities'!$M$2:$M$1775,"=nov26")</f>
        <v>0</v>
      </c>
      <c r="W168" s="4">
        <f>SUMIFS('Opportunities'!$H$2:$H$1775,'Opportunities'!$C$2:$C$1775,"=r23",'Opportunities'!$M$2:$M$1775,"=dec26")</f>
        <v>0</v>
      </c>
    </row>
    <row r="169">
      <c r="A169" s="0" t="inlineStr">
        <is>
          <t xml:space="preserve">Pipeline created</t>
        </is>
      </c>
      <c r="B169" s="0" t="inlineStr">
        <is>
          <t xml:space="preserve">Ingrid Dubois</t>
        </is>
      </c>
      <c r="C169" s="4">
        <f>SUMIFS('Opportunities'!$H$2:$H$1775,'Opportunities'!$C$2:$C$1775,"=r24",'Opportunities'!$M$2:$M$1775,"=apr25")</f>
        <v>44300</v>
      </c>
      <c r="D169" s="4">
        <f>SUMIFS('Opportunities'!$H$2:$H$1775,'Opportunities'!$C$2:$C$1775,"=r24",'Opportunities'!$M$2:$M$1775,"=may25")</f>
        <v>82400</v>
      </c>
      <c r="E169" s="4">
        <f>SUMIFS('Opportunities'!$H$2:$H$1775,'Opportunities'!$C$2:$C$1775,"=r24",'Opportunities'!$M$2:$M$1775,"=jun25")</f>
        <v>39100</v>
      </c>
      <c r="F169" s="4">
        <f>SUMIFS('Opportunities'!$H$2:$H$1775,'Opportunities'!$C$2:$C$1775,"=r24",'Opportunities'!$M$2:$M$1775,"=jul25")</f>
        <v>51600</v>
      </c>
      <c r="G169" s="4">
        <f>SUMIFS('Opportunities'!$H$2:$H$1775,'Opportunities'!$C$2:$C$1775,"=r24",'Opportunities'!$M$2:$M$1775,"=aug25")</f>
        <v>140400</v>
      </c>
      <c r="H169" s="4">
        <f>SUMIFS('Opportunities'!$H$2:$H$1775,'Opportunities'!$C$2:$C$1775,"=r24",'Opportunities'!$M$2:$M$1775,"=sep25")</f>
        <v>43900</v>
      </c>
      <c r="I169" s="4">
        <f>SUMIFS('Opportunities'!$H$2:$H$1775,'Opportunities'!$C$2:$C$1775,"=r24",'Opportunities'!$M$2:$M$1775,"=oct25")</f>
        <v>109400</v>
      </c>
      <c r="J169" s="4">
        <f>SUMIFS('Opportunities'!$H$2:$H$1775,'Opportunities'!$C$2:$C$1775,"=r24",'Opportunities'!$M$2:$M$1775,"=nov25")</f>
        <v>116500</v>
      </c>
      <c r="K169" s="4">
        <f>SUMIFS('Opportunities'!$H$2:$H$1775,'Opportunities'!$C$2:$C$1775,"=r24",'Opportunities'!$M$2:$M$1775,"=dec25")</f>
        <v>86300</v>
      </c>
      <c r="L169" s="4">
        <f>SUMIFS('Opportunities'!$H$2:$H$1775,'Opportunities'!$C$2:$C$1775,"=r24",'Opportunities'!$M$2:$M$1775,"=jan26")</f>
        <v>14500</v>
      </c>
      <c r="M169" s="4">
        <f>SUMIFS('Opportunities'!$H$2:$H$1775,'Opportunities'!$C$2:$C$1775,"=r24",'Opportunities'!$M$2:$M$1775,"=feb26")</f>
        <v>82500</v>
      </c>
      <c r="N169" s="4">
        <f>SUMIFS('Opportunities'!$H$2:$H$1775,'Opportunities'!$C$2:$C$1775,"=r24",'Opportunities'!$M$2:$M$1775,"=mar26")</f>
        <v>86400</v>
      </c>
      <c r="O169" s="4">
        <f>SUMIFS('Opportunities'!$H$2:$H$1775,'Opportunities'!$C$2:$C$1775,"=r24",'Opportunities'!$M$2:$M$1775,"=apr26")</f>
        <v>126300</v>
      </c>
      <c r="P169" s="4">
        <f>SUMIFS('Opportunities'!$H$2:$H$1775,'Opportunities'!$C$2:$C$1775,"=r24",'Opportunities'!$M$2:$M$1775,"=may26")</f>
        <v>57300</v>
      </c>
      <c r="Q169" s="4">
        <f>SUMIFS('Opportunities'!$H$2:$H$1775,'Opportunities'!$C$2:$C$1775,"=r24",'Opportunities'!$M$2:$M$1775,"=jun26")</f>
        <v>182700</v>
      </c>
      <c r="R169" s="4">
        <f>SUMIFS('Opportunities'!$H$2:$H$1775,'Opportunities'!$C$2:$C$1775,"=r24",'Opportunities'!$M$2:$M$1775,"=jul26")</f>
        <v>62000</v>
      </c>
      <c r="S169" s="4">
        <f>SUMIFS('Opportunities'!$H$2:$H$1775,'Opportunities'!$C$2:$C$1775,"=r24",'Opportunities'!$M$2:$M$1775,"=aug26")</f>
        <v>67300</v>
      </c>
      <c r="T169" s="4">
        <f>SUMIFS('Opportunities'!$H$2:$H$1775,'Opportunities'!$C$2:$C$1775,"=r24",'Opportunities'!$M$2:$M$1775,"=sep26")</f>
        <v>48200</v>
      </c>
      <c r="U169" s="4">
        <f>SUMIFS('Opportunities'!$H$2:$H$1775,'Opportunities'!$C$2:$C$1775,"=r24",'Opportunities'!$M$2:$M$1775,"=oct26")</f>
        <v>0</v>
      </c>
      <c r="V169" s="4">
        <f>SUMIFS('Opportunities'!$H$2:$H$1775,'Opportunities'!$C$2:$C$1775,"=r24",'Opportunities'!$M$2:$M$1775,"=nov26")</f>
        <v>0</v>
      </c>
      <c r="W169" s="4">
        <f>SUMIFS('Opportunities'!$H$2:$H$1775,'Opportunities'!$C$2:$C$1775,"=r24",'Opportunities'!$M$2:$M$1775,"=dec26")</f>
        <v>0</v>
      </c>
    </row>
    <row r="170">
      <c r="A170" s="0" t="inlineStr">
        <is>
          <t xml:space="preserve">Open pipeline closing this month</t>
        </is>
      </c>
      <c r="B170" s="0" t="inlineStr">
        <is>
          <t xml:space="preserve">Noor Ortiz</t>
        </is>
      </c>
      <c r="C170" s="4">
        <f>SUMIFS('Opportunities'!$H$2:$H$1775,'Opportunities'!$C$2:$C$1775,"=r01",'Opportunities'!$N$2:$N$1775,"=apr25",'Opportunities'!$R$2:$R$1775,"=1")</f>
        <v>0</v>
      </c>
      <c r="D170" s="4">
        <f>SUMIFS('Opportunities'!$H$2:$H$1775,'Opportunities'!$C$2:$C$1775,"=r01",'Opportunities'!$N$2:$N$1775,"=may25",'Opportunities'!$R$2:$R$1775,"=1")</f>
        <v>0</v>
      </c>
      <c r="E170" s="4">
        <f>SUMIFS('Opportunities'!$H$2:$H$1775,'Opportunities'!$C$2:$C$1775,"=r01",'Opportunities'!$N$2:$N$1775,"=jun25",'Opportunities'!$R$2:$R$1775,"=1")</f>
        <v>0</v>
      </c>
      <c r="F170" s="4">
        <f>SUMIFS('Opportunities'!$H$2:$H$1775,'Opportunities'!$C$2:$C$1775,"=r01",'Opportunities'!$N$2:$N$1775,"=jul25",'Opportunities'!$R$2:$R$1775,"=1")</f>
        <v>0</v>
      </c>
      <c r="G170" s="4">
        <f>SUMIFS('Opportunities'!$H$2:$H$1775,'Opportunities'!$C$2:$C$1775,"=r01",'Opportunities'!$N$2:$N$1775,"=aug25",'Opportunities'!$R$2:$R$1775,"=1")</f>
        <v>0</v>
      </c>
      <c r="H170" s="4">
        <f>SUMIFS('Opportunities'!$H$2:$H$1775,'Opportunities'!$C$2:$C$1775,"=r01",'Opportunities'!$N$2:$N$1775,"=sep25",'Opportunities'!$R$2:$R$1775,"=1")</f>
        <v>0</v>
      </c>
      <c r="I170" s="4">
        <f>SUMIFS('Opportunities'!$H$2:$H$1775,'Opportunities'!$C$2:$C$1775,"=r01",'Opportunities'!$N$2:$N$1775,"=oct25",'Opportunities'!$R$2:$R$1775,"=1")</f>
        <v>0</v>
      </c>
      <c r="J170" s="4">
        <f>SUMIFS('Opportunities'!$H$2:$H$1775,'Opportunities'!$C$2:$C$1775,"=r01",'Opportunities'!$N$2:$N$1775,"=nov25",'Opportunities'!$R$2:$R$1775,"=1")</f>
        <v>0</v>
      </c>
      <c r="K170" s="4">
        <f>SUMIFS('Opportunities'!$H$2:$H$1775,'Opportunities'!$C$2:$C$1775,"=r01",'Opportunities'!$N$2:$N$1775,"=dec25",'Opportunities'!$R$2:$R$1775,"=1")</f>
        <v>0</v>
      </c>
      <c r="L170" s="4">
        <f>SUMIFS('Opportunities'!$H$2:$H$1775,'Opportunities'!$C$2:$C$1775,"=r01",'Opportunities'!$N$2:$N$1775,"=jan26",'Opportunities'!$R$2:$R$1775,"=1")</f>
        <v>0</v>
      </c>
      <c r="M170" s="4">
        <f>SUMIFS('Opportunities'!$H$2:$H$1775,'Opportunities'!$C$2:$C$1775,"=r01",'Opportunities'!$N$2:$N$1775,"=feb26",'Opportunities'!$R$2:$R$1775,"=1")</f>
        <v>0</v>
      </c>
      <c r="N170" s="4">
        <f>SUMIFS('Opportunities'!$H$2:$H$1775,'Opportunities'!$C$2:$C$1775,"=r01",'Opportunities'!$N$2:$N$1775,"=mar26",'Opportunities'!$R$2:$R$1775,"=1")</f>
        <v>0</v>
      </c>
      <c r="O170" s="4">
        <f>SUMIFS('Opportunities'!$H$2:$H$1775,'Opportunities'!$C$2:$C$1775,"=r01",'Opportunities'!$N$2:$N$1775,"=apr26",'Opportunities'!$R$2:$R$1775,"=1")</f>
        <v>0</v>
      </c>
      <c r="P170" s="4">
        <f>SUMIFS('Opportunities'!$H$2:$H$1775,'Opportunities'!$C$2:$C$1775,"=r01",'Opportunities'!$N$2:$N$1775,"=may26",'Opportunities'!$R$2:$R$1775,"=1")</f>
        <v>0</v>
      </c>
      <c r="Q170" s="4">
        <f>SUMIFS('Opportunities'!$H$2:$H$1775,'Opportunities'!$C$2:$C$1775,"=r01",'Opportunities'!$N$2:$N$1775,"=jun26",'Opportunities'!$R$2:$R$1775,"=1")</f>
        <v>0</v>
      </c>
      <c r="R170" s="4">
        <f>SUMIFS('Opportunities'!$H$2:$H$1775,'Opportunities'!$C$2:$C$1775,"=r01",'Opportunities'!$N$2:$N$1775,"=jul26",'Opportunities'!$R$2:$R$1775,"=1")</f>
        <v>0</v>
      </c>
      <c r="S170" s="4">
        <f>SUMIFS('Opportunities'!$H$2:$H$1775,'Opportunities'!$C$2:$C$1775,"=r01",'Opportunities'!$N$2:$N$1775,"=aug26",'Opportunities'!$R$2:$R$1775,"=1")</f>
        <v>0</v>
      </c>
      <c r="T170" s="4">
        <f>SUMIFS('Opportunities'!$H$2:$H$1775,'Opportunities'!$C$2:$C$1775,"=r01",'Opportunities'!$N$2:$N$1775,"=sep26",'Opportunities'!$R$2:$R$1775,"=1")</f>
        <v>258700</v>
      </c>
      <c r="U170" s="4">
        <f>SUMIFS('Opportunities'!$H$2:$H$1775,'Opportunities'!$C$2:$C$1775,"=r01",'Opportunities'!$N$2:$N$1775,"=oct26",'Opportunities'!$R$2:$R$1775,"=1")</f>
        <v>1195200</v>
      </c>
      <c r="V170" s="4">
        <f>SUMIFS('Opportunities'!$H$2:$H$1775,'Opportunities'!$C$2:$C$1775,"=r01",'Opportunities'!$N$2:$N$1775,"=nov26",'Opportunities'!$R$2:$R$1775,"=1")</f>
        <v>183900</v>
      </c>
      <c r="W170" s="4">
        <f>SUMIFS('Opportunities'!$H$2:$H$1775,'Opportunities'!$C$2:$C$1775,"=r01",'Opportunities'!$N$2:$N$1775,"=dec26",'Opportunities'!$R$2:$R$1775,"=1")</f>
        <v>2242600</v>
      </c>
    </row>
    <row r="171">
      <c r="A171" s="0" t="inlineStr">
        <is>
          <t xml:space="preserve">Open pipeline closing this month</t>
        </is>
      </c>
      <c r="B171" s="0" t="inlineStr">
        <is>
          <t xml:space="preserve">Priya Yilmaz</t>
        </is>
      </c>
      <c r="C171" s="4">
        <f>SUMIFS('Opportunities'!$H$2:$H$1775,'Opportunities'!$C$2:$C$1775,"=r02",'Opportunities'!$N$2:$N$1775,"=apr25",'Opportunities'!$R$2:$R$1775,"=1")</f>
        <v>0</v>
      </c>
      <c r="D171" s="4">
        <f>SUMIFS('Opportunities'!$H$2:$H$1775,'Opportunities'!$C$2:$C$1775,"=r02",'Opportunities'!$N$2:$N$1775,"=may25",'Opportunities'!$R$2:$R$1775,"=1")</f>
        <v>0</v>
      </c>
      <c r="E171" s="4">
        <f>SUMIFS('Opportunities'!$H$2:$H$1775,'Opportunities'!$C$2:$C$1775,"=r02",'Opportunities'!$N$2:$N$1775,"=jun25",'Opportunities'!$R$2:$R$1775,"=1")</f>
        <v>0</v>
      </c>
      <c r="F171" s="4">
        <f>SUMIFS('Opportunities'!$H$2:$H$1775,'Opportunities'!$C$2:$C$1775,"=r02",'Opportunities'!$N$2:$N$1775,"=jul25",'Opportunities'!$R$2:$R$1775,"=1")</f>
        <v>0</v>
      </c>
      <c r="G171" s="4">
        <f>SUMIFS('Opportunities'!$H$2:$H$1775,'Opportunities'!$C$2:$C$1775,"=r02",'Opportunities'!$N$2:$N$1775,"=aug25",'Opportunities'!$R$2:$R$1775,"=1")</f>
        <v>0</v>
      </c>
      <c r="H171" s="4">
        <f>SUMIFS('Opportunities'!$H$2:$H$1775,'Opportunities'!$C$2:$C$1775,"=r02",'Opportunities'!$N$2:$N$1775,"=sep25",'Opportunities'!$R$2:$R$1775,"=1")</f>
        <v>0</v>
      </c>
      <c r="I171" s="4">
        <f>SUMIFS('Opportunities'!$H$2:$H$1775,'Opportunities'!$C$2:$C$1775,"=r02",'Opportunities'!$N$2:$N$1775,"=oct25",'Opportunities'!$R$2:$R$1775,"=1")</f>
        <v>0</v>
      </c>
      <c r="J171" s="4">
        <f>SUMIFS('Opportunities'!$H$2:$H$1775,'Opportunities'!$C$2:$C$1775,"=r02",'Opportunities'!$N$2:$N$1775,"=nov25",'Opportunities'!$R$2:$R$1775,"=1")</f>
        <v>0</v>
      </c>
      <c r="K171" s="4">
        <f>SUMIFS('Opportunities'!$H$2:$H$1775,'Opportunities'!$C$2:$C$1775,"=r02",'Opportunities'!$N$2:$N$1775,"=dec25",'Opportunities'!$R$2:$R$1775,"=1")</f>
        <v>0</v>
      </c>
      <c r="L171" s="4">
        <f>SUMIFS('Opportunities'!$H$2:$H$1775,'Opportunities'!$C$2:$C$1775,"=r02",'Opportunities'!$N$2:$N$1775,"=jan26",'Opportunities'!$R$2:$R$1775,"=1")</f>
        <v>0</v>
      </c>
      <c r="M171" s="4">
        <f>SUMIFS('Opportunities'!$H$2:$H$1775,'Opportunities'!$C$2:$C$1775,"=r02",'Opportunities'!$N$2:$N$1775,"=feb26",'Opportunities'!$R$2:$R$1775,"=1")</f>
        <v>0</v>
      </c>
      <c r="N171" s="4">
        <f>SUMIFS('Opportunities'!$H$2:$H$1775,'Opportunities'!$C$2:$C$1775,"=r02",'Opportunities'!$N$2:$N$1775,"=mar26",'Opportunities'!$R$2:$R$1775,"=1")</f>
        <v>0</v>
      </c>
      <c r="O171" s="4">
        <f>SUMIFS('Opportunities'!$H$2:$H$1775,'Opportunities'!$C$2:$C$1775,"=r02",'Opportunities'!$N$2:$N$1775,"=apr26",'Opportunities'!$R$2:$R$1775,"=1")</f>
        <v>0</v>
      </c>
      <c r="P171" s="4">
        <f>SUMIFS('Opportunities'!$H$2:$H$1775,'Opportunities'!$C$2:$C$1775,"=r02",'Opportunities'!$N$2:$N$1775,"=may26",'Opportunities'!$R$2:$R$1775,"=1")</f>
        <v>0</v>
      </c>
      <c r="Q171" s="4">
        <f>SUMIFS('Opportunities'!$H$2:$H$1775,'Opportunities'!$C$2:$C$1775,"=r02",'Opportunities'!$N$2:$N$1775,"=jun26",'Opportunities'!$R$2:$R$1775,"=1")</f>
        <v>0</v>
      </c>
      <c r="R171" s="4">
        <f>SUMIFS('Opportunities'!$H$2:$H$1775,'Opportunities'!$C$2:$C$1775,"=r02",'Opportunities'!$N$2:$N$1775,"=jul26",'Opportunities'!$R$2:$R$1775,"=1")</f>
        <v>0</v>
      </c>
      <c r="S171" s="4">
        <f>SUMIFS('Opportunities'!$H$2:$H$1775,'Opportunities'!$C$2:$C$1775,"=r02",'Opportunities'!$N$2:$N$1775,"=aug26",'Opportunities'!$R$2:$R$1775,"=1")</f>
        <v>0</v>
      </c>
      <c r="T171" s="4">
        <f>SUMIFS('Opportunities'!$H$2:$H$1775,'Opportunities'!$C$2:$C$1775,"=r02",'Opportunities'!$N$2:$N$1775,"=sep26",'Opportunities'!$R$2:$R$1775,"=1")</f>
        <v>128300</v>
      </c>
      <c r="U171" s="4">
        <f>SUMIFS('Opportunities'!$H$2:$H$1775,'Opportunities'!$C$2:$C$1775,"=r02",'Opportunities'!$N$2:$N$1775,"=oct26",'Opportunities'!$R$2:$R$1775,"=1")</f>
        <v>0</v>
      </c>
      <c r="V171" s="4">
        <f>SUMIFS('Opportunities'!$H$2:$H$1775,'Opportunities'!$C$2:$C$1775,"=r02",'Opportunities'!$N$2:$N$1775,"=nov26",'Opportunities'!$R$2:$R$1775,"=1")</f>
        <v>0</v>
      </c>
      <c r="W171" s="4">
        <f>SUMIFS('Opportunities'!$H$2:$H$1775,'Opportunities'!$C$2:$C$1775,"=r02",'Opportunities'!$N$2:$N$1775,"=dec26",'Opportunities'!$R$2:$R$1775,"=1")</f>
        <v>256900</v>
      </c>
    </row>
    <row r="172">
      <c r="A172" s="0" t="inlineStr">
        <is>
          <t xml:space="preserve">Open pipeline closing this month</t>
        </is>
      </c>
      <c r="B172" s="0" t="inlineStr">
        <is>
          <t xml:space="preserve">Marcus Schmidt</t>
        </is>
      </c>
      <c r="C172" s="4">
        <f>SUMIFS('Opportunities'!$H$2:$H$1775,'Opportunities'!$C$2:$C$1775,"=r03",'Opportunities'!$N$2:$N$1775,"=apr25",'Opportunities'!$R$2:$R$1775,"=1")</f>
        <v>0</v>
      </c>
      <c r="D172" s="4">
        <f>SUMIFS('Opportunities'!$H$2:$H$1775,'Opportunities'!$C$2:$C$1775,"=r03",'Opportunities'!$N$2:$N$1775,"=may25",'Opportunities'!$R$2:$R$1775,"=1")</f>
        <v>0</v>
      </c>
      <c r="E172" s="4">
        <f>SUMIFS('Opportunities'!$H$2:$H$1775,'Opportunities'!$C$2:$C$1775,"=r03",'Opportunities'!$N$2:$N$1775,"=jun25",'Opportunities'!$R$2:$R$1775,"=1")</f>
        <v>0</v>
      </c>
      <c r="F172" s="4">
        <f>SUMIFS('Opportunities'!$H$2:$H$1775,'Opportunities'!$C$2:$C$1775,"=r03",'Opportunities'!$N$2:$N$1775,"=jul25",'Opportunities'!$R$2:$R$1775,"=1")</f>
        <v>0</v>
      </c>
      <c r="G172" s="4">
        <f>SUMIFS('Opportunities'!$H$2:$H$1775,'Opportunities'!$C$2:$C$1775,"=r03",'Opportunities'!$N$2:$N$1775,"=aug25",'Opportunities'!$R$2:$R$1775,"=1")</f>
        <v>0</v>
      </c>
      <c r="H172" s="4">
        <f>SUMIFS('Opportunities'!$H$2:$H$1775,'Opportunities'!$C$2:$C$1775,"=r03",'Opportunities'!$N$2:$N$1775,"=sep25",'Opportunities'!$R$2:$R$1775,"=1")</f>
        <v>0</v>
      </c>
      <c r="I172" s="4">
        <f>SUMIFS('Opportunities'!$H$2:$H$1775,'Opportunities'!$C$2:$C$1775,"=r03",'Opportunities'!$N$2:$N$1775,"=oct25",'Opportunities'!$R$2:$R$1775,"=1")</f>
        <v>0</v>
      </c>
      <c r="J172" s="4">
        <f>SUMIFS('Opportunities'!$H$2:$H$1775,'Opportunities'!$C$2:$C$1775,"=r03",'Opportunities'!$N$2:$N$1775,"=nov25",'Opportunities'!$R$2:$R$1775,"=1")</f>
        <v>0</v>
      </c>
      <c r="K172" s="4">
        <f>SUMIFS('Opportunities'!$H$2:$H$1775,'Opportunities'!$C$2:$C$1775,"=r03",'Opportunities'!$N$2:$N$1775,"=dec25",'Opportunities'!$R$2:$R$1775,"=1")</f>
        <v>0</v>
      </c>
      <c r="L172" s="4">
        <f>SUMIFS('Opportunities'!$H$2:$H$1775,'Opportunities'!$C$2:$C$1775,"=r03",'Opportunities'!$N$2:$N$1775,"=jan26",'Opportunities'!$R$2:$R$1775,"=1")</f>
        <v>0</v>
      </c>
      <c r="M172" s="4">
        <f>SUMIFS('Opportunities'!$H$2:$H$1775,'Opportunities'!$C$2:$C$1775,"=r03",'Opportunities'!$N$2:$N$1775,"=feb26",'Opportunities'!$R$2:$R$1775,"=1")</f>
        <v>0</v>
      </c>
      <c r="N172" s="4">
        <f>SUMIFS('Opportunities'!$H$2:$H$1775,'Opportunities'!$C$2:$C$1775,"=r03",'Opportunities'!$N$2:$N$1775,"=mar26",'Opportunities'!$R$2:$R$1775,"=1")</f>
        <v>0</v>
      </c>
      <c r="O172" s="4">
        <f>SUMIFS('Opportunities'!$H$2:$H$1775,'Opportunities'!$C$2:$C$1775,"=r03",'Opportunities'!$N$2:$N$1775,"=apr26",'Opportunities'!$R$2:$R$1775,"=1")</f>
        <v>0</v>
      </c>
      <c r="P172" s="4">
        <f>SUMIFS('Opportunities'!$H$2:$H$1775,'Opportunities'!$C$2:$C$1775,"=r03",'Opportunities'!$N$2:$N$1775,"=may26",'Opportunities'!$R$2:$R$1775,"=1")</f>
        <v>0</v>
      </c>
      <c r="Q172" s="4">
        <f>SUMIFS('Opportunities'!$H$2:$H$1775,'Opportunities'!$C$2:$C$1775,"=r03",'Opportunities'!$N$2:$N$1775,"=jun26",'Opportunities'!$R$2:$R$1775,"=1")</f>
        <v>0</v>
      </c>
      <c r="R172" s="4">
        <f>SUMIFS('Opportunities'!$H$2:$H$1775,'Opportunities'!$C$2:$C$1775,"=r03",'Opportunities'!$N$2:$N$1775,"=jul26",'Opportunities'!$R$2:$R$1775,"=1")</f>
        <v>0</v>
      </c>
      <c r="S172" s="4">
        <f>SUMIFS('Opportunities'!$H$2:$H$1775,'Opportunities'!$C$2:$C$1775,"=r03",'Opportunities'!$N$2:$N$1775,"=aug26",'Opportunities'!$R$2:$R$1775,"=1")</f>
        <v>0</v>
      </c>
      <c r="T172" s="4">
        <f>SUMIFS('Opportunities'!$H$2:$H$1775,'Opportunities'!$C$2:$C$1775,"=r03",'Opportunities'!$N$2:$N$1775,"=sep26",'Opportunities'!$R$2:$R$1775,"=1")</f>
        <v>164000</v>
      </c>
      <c r="U172" s="4">
        <f>SUMIFS('Opportunities'!$H$2:$H$1775,'Opportunities'!$C$2:$C$1775,"=r03",'Opportunities'!$N$2:$N$1775,"=oct26",'Opportunities'!$R$2:$R$1775,"=1")</f>
        <v>184200</v>
      </c>
      <c r="V172" s="4">
        <f>SUMIFS('Opportunities'!$H$2:$H$1775,'Opportunities'!$C$2:$C$1775,"=r03",'Opportunities'!$N$2:$N$1775,"=nov26",'Opportunities'!$R$2:$R$1775,"=1")</f>
        <v>0</v>
      </c>
      <c r="W172" s="4">
        <f>SUMIFS('Opportunities'!$H$2:$H$1775,'Opportunities'!$C$2:$C$1775,"=r03",'Opportunities'!$N$2:$N$1775,"=dec26",'Opportunities'!$R$2:$R$1775,"=1")</f>
        <v>116600</v>
      </c>
    </row>
    <row r="173">
      <c r="A173" s="0" t="inlineStr">
        <is>
          <t xml:space="preserve">Open pipeline closing this month</t>
        </is>
      </c>
      <c r="B173" s="0" t="inlineStr">
        <is>
          <t xml:space="preserve">Amara Haddad</t>
        </is>
      </c>
      <c r="C173" s="4">
        <f>SUMIFS('Opportunities'!$H$2:$H$1775,'Opportunities'!$C$2:$C$1775,"=r04",'Opportunities'!$N$2:$N$1775,"=apr25",'Opportunities'!$R$2:$R$1775,"=1")</f>
        <v>0</v>
      </c>
      <c r="D173" s="4">
        <f>SUMIFS('Opportunities'!$H$2:$H$1775,'Opportunities'!$C$2:$C$1775,"=r04",'Opportunities'!$N$2:$N$1775,"=may25",'Opportunities'!$R$2:$R$1775,"=1")</f>
        <v>0</v>
      </c>
      <c r="E173" s="4">
        <f>SUMIFS('Opportunities'!$H$2:$H$1775,'Opportunities'!$C$2:$C$1775,"=r04",'Opportunities'!$N$2:$N$1775,"=jun25",'Opportunities'!$R$2:$R$1775,"=1")</f>
        <v>0</v>
      </c>
      <c r="F173" s="4">
        <f>SUMIFS('Opportunities'!$H$2:$H$1775,'Opportunities'!$C$2:$C$1775,"=r04",'Opportunities'!$N$2:$N$1775,"=jul25",'Opportunities'!$R$2:$R$1775,"=1")</f>
        <v>0</v>
      </c>
      <c r="G173" s="4">
        <f>SUMIFS('Opportunities'!$H$2:$H$1775,'Opportunities'!$C$2:$C$1775,"=r04",'Opportunities'!$N$2:$N$1775,"=aug25",'Opportunities'!$R$2:$R$1775,"=1")</f>
        <v>0</v>
      </c>
      <c r="H173" s="4">
        <f>SUMIFS('Opportunities'!$H$2:$H$1775,'Opportunities'!$C$2:$C$1775,"=r04",'Opportunities'!$N$2:$N$1775,"=sep25",'Opportunities'!$R$2:$R$1775,"=1")</f>
        <v>0</v>
      </c>
      <c r="I173" s="4">
        <f>SUMIFS('Opportunities'!$H$2:$H$1775,'Opportunities'!$C$2:$C$1775,"=r04",'Opportunities'!$N$2:$N$1775,"=oct25",'Opportunities'!$R$2:$R$1775,"=1")</f>
        <v>0</v>
      </c>
      <c r="J173" s="4">
        <f>SUMIFS('Opportunities'!$H$2:$H$1775,'Opportunities'!$C$2:$C$1775,"=r04",'Opportunities'!$N$2:$N$1775,"=nov25",'Opportunities'!$R$2:$R$1775,"=1")</f>
        <v>0</v>
      </c>
      <c r="K173" s="4">
        <f>SUMIFS('Opportunities'!$H$2:$H$1775,'Opportunities'!$C$2:$C$1775,"=r04",'Opportunities'!$N$2:$N$1775,"=dec25",'Opportunities'!$R$2:$R$1775,"=1")</f>
        <v>0</v>
      </c>
      <c r="L173" s="4">
        <f>SUMIFS('Opportunities'!$H$2:$H$1775,'Opportunities'!$C$2:$C$1775,"=r04",'Opportunities'!$N$2:$N$1775,"=jan26",'Opportunities'!$R$2:$R$1775,"=1")</f>
        <v>0</v>
      </c>
      <c r="M173" s="4">
        <f>SUMIFS('Opportunities'!$H$2:$H$1775,'Opportunities'!$C$2:$C$1775,"=r04",'Opportunities'!$N$2:$N$1775,"=feb26",'Opportunities'!$R$2:$R$1775,"=1")</f>
        <v>0</v>
      </c>
      <c r="N173" s="4">
        <f>SUMIFS('Opportunities'!$H$2:$H$1775,'Opportunities'!$C$2:$C$1775,"=r04",'Opportunities'!$N$2:$N$1775,"=mar26",'Opportunities'!$R$2:$R$1775,"=1")</f>
        <v>0</v>
      </c>
      <c r="O173" s="4">
        <f>SUMIFS('Opportunities'!$H$2:$H$1775,'Opportunities'!$C$2:$C$1775,"=r04",'Opportunities'!$N$2:$N$1775,"=apr26",'Opportunities'!$R$2:$R$1775,"=1")</f>
        <v>0</v>
      </c>
      <c r="P173" s="4">
        <f>SUMIFS('Opportunities'!$H$2:$H$1775,'Opportunities'!$C$2:$C$1775,"=r04",'Opportunities'!$N$2:$N$1775,"=may26",'Opportunities'!$R$2:$R$1775,"=1")</f>
        <v>0</v>
      </c>
      <c r="Q173" s="4">
        <f>SUMIFS('Opportunities'!$H$2:$H$1775,'Opportunities'!$C$2:$C$1775,"=r04",'Opportunities'!$N$2:$N$1775,"=jun26",'Opportunities'!$R$2:$R$1775,"=1")</f>
        <v>0</v>
      </c>
      <c r="R173" s="4">
        <f>SUMIFS('Opportunities'!$H$2:$H$1775,'Opportunities'!$C$2:$C$1775,"=r04",'Opportunities'!$N$2:$N$1775,"=jul26",'Opportunities'!$R$2:$R$1775,"=1")</f>
        <v>0</v>
      </c>
      <c r="S173" s="4">
        <f>SUMIFS('Opportunities'!$H$2:$H$1775,'Opportunities'!$C$2:$C$1775,"=r04",'Opportunities'!$N$2:$N$1775,"=aug26",'Opportunities'!$R$2:$R$1775,"=1")</f>
        <v>0</v>
      </c>
      <c r="T173" s="4">
        <f>SUMIFS('Opportunities'!$H$2:$H$1775,'Opportunities'!$C$2:$C$1775,"=r04",'Opportunities'!$N$2:$N$1775,"=sep26",'Opportunities'!$R$2:$R$1775,"=1")</f>
        <v>94700</v>
      </c>
      <c r="U173" s="4">
        <f>SUMIFS('Opportunities'!$H$2:$H$1775,'Opportunities'!$C$2:$C$1775,"=r04",'Opportunities'!$N$2:$N$1775,"=oct26",'Opportunities'!$R$2:$R$1775,"=1")</f>
        <v>306400</v>
      </c>
      <c r="V173" s="4">
        <f>SUMIFS('Opportunities'!$H$2:$H$1775,'Opportunities'!$C$2:$C$1775,"=r04",'Opportunities'!$N$2:$N$1775,"=nov26",'Opportunities'!$R$2:$R$1775,"=1")</f>
        <v>162000</v>
      </c>
      <c r="W173" s="4">
        <f>SUMIFS('Opportunities'!$H$2:$H$1775,'Opportunities'!$C$2:$C$1775,"=r04",'Opportunities'!$N$2:$N$1775,"=dec26",'Opportunities'!$R$2:$R$1775,"=1")</f>
        <v>271800</v>
      </c>
    </row>
    <row r="174">
      <c r="A174" s="0" t="inlineStr">
        <is>
          <t xml:space="preserve">Open pipeline closing this month</t>
        </is>
      </c>
      <c r="B174" s="0" t="inlineStr">
        <is>
          <t xml:space="preserve">Fatima Silva</t>
        </is>
      </c>
      <c r="C174" s="4">
        <f>SUMIFS('Opportunities'!$H$2:$H$1775,'Opportunities'!$C$2:$C$1775,"=r05",'Opportunities'!$N$2:$N$1775,"=apr25",'Opportunities'!$R$2:$R$1775,"=1")</f>
        <v>0</v>
      </c>
      <c r="D174" s="4">
        <f>SUMIFS('Opportunities'!$H$2:$H$1775,'Opportunities'!$C$2:$C$1775,"=r05",'Opportunities'!$N$2:$N$1775,"=may25",'Opportunities'!$R$2:$R$1775,"=1")</f>
        <v>0</v>
      </c>
      <c r="E174" s="4">
        <f>SUMIFS('Opportunities'!$H$2:$H$1775,'Opportunities'!$C$2:$C$1775,"=r05",'Opportunities'!$N$2:$N$1775,"=jun25",'Opportunities'!$R$2:$R$1775,"=1")</f>
        <v>0</v>
      </c>
      <c r="F174" s="4">
        <f>SUMIFS('Opportunities'!$H$2:$H$1775,'Opportunities'!$C$2:$C$1775,"=r05",'Opportunities'!$N$2:$N$1775,"=jul25",'Opportunities'!$R$2:$R$1775,"=1")</f>
        <v>0</v>
      </c>
      <c r="G174" s="4">
        <f>SUMIFS('Opportunities'!$H$2:$H$1775,'Opportunities'!$C$2:$C$1775,"=r05",'Opportunities'!$N$2:$N$1775,"=aug25",'Opportunities'!$R$2:$R$1775,"=1")</f>
        <v>0</v>
      </c>
      <c r="H174" s="4">
        <f>SUMIFS('Opportunities'!$H$2:$H$1775,'Opportunities'!$C$2:$C$1775,"=r05",'Opportunities'!$N$2:$N$1775,"=sep25",'Opportunities'!$R$2:$R$1775,"=1")</f>
        <v>0</v>
      </c>
      <c r="I174" s="4">
        <f>SUMIFS('Opportunities'!$H$2:$H$1775,'Opportunities'!$C$2:$C$1775,"=r05",'Opportunities'!$N$2:$N$1775,"=oct25",'Opportunities'!$R$2:$R$1775,"=1")</f>
        <v>0</v>
      </c>
      <c r="J174" s="4">
        <f>SUMIFS('Opportunities'!$H$2:$H$1775,'Opportunities'!$C$2:$C$1775,"=r05",'Opportunities'!$N$2:$N$1775,"=nov25",'Opportunities'!$R$2:$R$1775,"=1")</f>
        <v>0</v>
      </c>
      <c r="K174" s="4">
        <f>SUMIFS('Opportunities'!$H$2:$H$1775,'Opportunities'!$C$2:$C$1775,"=r05",'Opportunities'!$N$2:$N$1775,"=dec25",'Opportunities'!$R$2:$R$1775,"=1")</f>
        <v>0</v>
      </c>
      <c r="L174" s="4">
        <f>SUMIFS('Opportunities'!$H$2:$H$1775,'Opportunities'!$C$2:$C$1775,"=r05",'Opportunities'!$N$2:$N$1775,"=jan26",'Opportunities'!$R$2:$R$1775,"=1")</f>
        <v>0</v>
      </c>
      <c r="M174" s="4">
        <f>SUMIFS('Opportunities'!$H$2:$H$1775,'Opportunities'!$C$2:$C$1775,"=r05",'Opportunities'!$N$2:$N$1775,"=feb26",'Opportunities'!$R$2:$R$1775,"=1")</f>
        <v>0</v>
      </c>
      <c r="N174" s="4">
        <f>SUMIFS('Opportunities'!$H$2:$H$1775,'Opportunities'!$C$2:$C$1775,"=r05",'Opportunities'!$N$2:$N$1775,"=mar26",'Opportunities'!$R$2:$R$1775,"=1")</f>
        <v>0</v>
      </c>
      <c r="O174" s="4">
        <f>SUMIFS('Opportunities'!$H$2:$H$1775,'Opportunities'!$C$2:$C$1775,"=r05",'Opportunities'!$N$2:$N$1775,"=apr26",'Opportunities'!$R$2:$R$1775,"=1")</f>
        <v>0</v>
      </c>
      <c r="P174" s="4">
        <f>SUMIFS('Opportunities'!$H$2:$H$1775,'Opportunities'!$C$2:$C$1775,"=r05",'Opportunities'!$N$2:$N$1775,"=may26",'Opportunities'!$R$2:$R$1775,"=1")</f>
        <v>0</v>
      </c>
      <c r="Q174" s="4">
        <f>SUMIFS('Opportunities'!$H$2:$H$1775,'Opportunities'!$C$2:$C$1775,"=r05",'Opportunities'!$N$2:$N$1775,"=jun26",'Opportunities'!$R$2:$R$1775,"=1")</f>
        <v>0</v>
      </c>
      <c r="R174" s="4">
        <f>SUMIFS('Opportunities'!$H$2:$H$1775,'Opportunities'!$C$2:$C$1775,"=r05",'Opportunities'!$N$2:$N$1775,"=jul26",'Opportunities'!$R$2:$R$1775,"=1")</f>
        <v>0</v>
      </c>
      <c r="S174" s="4">
        <f>SUMIFS('Opportunities'!$H$2:$H$1775,'Opportunities'!$C$2:$C$1775,"=r05",'Opportunities'!$N$2:$N$1775,"=aug26",'Opportunities'!$R$2:$R$1775,"=1")</f>
        <v>0</v>
      </c>
      <c r="T174" s="4">
        <f>SUMIFS('Opportunities'!$H$2:$H$1775,'Opportunities'!$C$2:$C$1775,"=r05",'Opportunities'!$N$2:$N$1775,"=sep26",'Opportunities'!$R$2:$R$1775,"=1")</f>
        <v>67300</v>
      </c>
      <c r="U174" s="4">
        <f>SUMIFS('Opportunities'!$H$2:$H$1775,'Opportunities'!$C$2:$C$1775,"=r05",'Opportunities'!$N$2:$N$1775,"=oct26",'Opportunities'!$R$2:$R$1775,"=1")</f>
        <v>46400</v>
      </c>
      <c r="V174" s="4">
        <f>SUMIFS('Opportunities'!$H$2:$H$1775,'Opportunities'!$C$2:$C$1775,"=r05",'Opportunities'!$N$2:$N$1775,"=nov26",'Opportunities'!$R$2:$R$1775,"=1")</f>
        <v>10200</v>
      </c>
      <c r="W174" s="4">
        <f>SUMIFS('Opportunities'!$H$2:$H$1775,'Opportunities'!$C$2:$C$1775,"=r05",'Opportunities'!$N$2:$N$1775,"=dec26",'Opportunities'!$R$2:$R$1775,"=1")</f>
        <v>28700</v>
      </c>
    </row>
    <row r="175">
      <c r="A175" s="0" t="inlineStr">
        <is>
          <t xml:space="preserve">Open pipeline closing this month</t>
        </is>
      </c>
      <c r="B175" s="0" t="inlineStr">
        <is>
          <t xml:space="preserve">Ana Ortiz</t>
        </is>
      </c>
      <c r="C175" s="4">
        <f>SUMIFS('Opportunities'!$H$2:$H$1775,'Opportunities'!$C$2:$C$1775,"=r06",'Opportunities'!$N$2:$N$1775,"=apr25",'Opportunities'!$R$2:$R$1775,"=1")</f>
        <v>0</v>
      </c>
      <c r="D175" s="4">
        <f>SUMIFS('Opportunities'!$H$2:$H$1775,'Opportunities'!$C$2:$C$1775,"=r06",'Opportunities'!$N$2:$N$1775,"=may25",'Opportunities'!$R$2:$R$1775,"=1")</f>
        <v>0</v>
      </c>
      <c r="E175" s="4">
        <f>SUMIFS('Opportunities'!$H$2:$H$1775,'Opportunities'!$C$2:$C$1775,"=r06",'Opportunities'!$N$2:$N$1775,"=jun25",'Opportunities'!$R$2:$R$1775,"=1")</f>
        <v>0</v>
      </c>
      <c r="F175" s="4">
        <f>SUMIFS('Opportunities'!$H$2:$H$1775,'Opportunities'!$C$2:$C$1775,"=r06",'Opportunities'!$N$2:$N$1775,"=jul25",'Opportunities'!$R$2:$R$1775,"=1")</f>
        <v>0</v>
      </c>
      <c r="G175" s="4">
        <f>SUMIFS('Opportunities'!$H$2:$H$1775,'Opportunities'!$C$2:$C$1775,"=r06",'Opportunities'!$N$2:$N$1775,"=aug25",'Opportunities'!$R$2:$R$1775,"=1")</f>
        <v>0</v>
      </c>
      <c r="H175" s="4">
        <f>SUMIFS('Opportunities'!$H$2:$H$1775,'Opportunities'!$C$2:$C$1775,"=r06",'Opportunities'!$N$2:$N$1775,"=sep25",'Opportunities'!$R$2:$R$1775,"=1")</f>
        <v>0</v>
      </c>
      <c r="I175" s="4">
        <f>SUMIFS('Opportunities'!$H$2:$H$1775,'Opportunities'!$C$2:$C$1775,"=r06",'Opportunities'!$N$2:$N$1775,"=oct25",'Opportunities'!$R$2:$R$1775,"=1")</f>
        <v>0</v>
      </c>
      <c r="J175" s="4">
        <f>SUMIFS('Opportunities'!$H$2:$H$1775,'Opportunities'!$C$2:$C$1775,"=r06",'Opportunities'!$N$2:$N$1775,"=nov25",'Opportunities'!$R$2:$R$1775,"=1")</f>
        <v>0</v>
      </c>
      <c r="K175" s="4">
        <f>SUMIFS('Opportunities'!$H$2:$H$1775,'Opportunities'!$C$2:$C$1775,"=r06",'Opportunities'!$N$2:$N$1775,"=dec25",'Opportunities'!$R$2:$R$1775,"=1")</f>
        <v>0</v>
      </c>
      <c r="L175" s="4">
        <f>SUMIFS('Opportunities'!$H$2:$H$1775,'Opportunities'!$C$2:$C$1775,"=r06",'Opportunities'!$N$2:$N$1775,"=jan26",'Opportunities'!$R$2:$R$1775,"=1")</f>
        <v>0</v>
      </c>
      <c r="M175" s="4">
        <f>SUMIFS('Opportunities'!$H$2:$H$1775,'Opportunities'!$C$2:$C$1775,"=r06",'Opportunities'!$N$2:$N$1775,"=feb26",'Opportunities'!$R$2:$R$1775,"=1")</f>
        <v>0</v>
      </c>
      <c r="N175" s="4">
        <f>SUMIFS('Opportunities'!$H$2:$H$1775,'Opportunities'!$C$2:$C$1775,"=r06",'Opportunities'!$N$2:$N$1775,"=mar26",'Opportunities'!$R$2:$R$1775,"=1")</f>
        <v>0</v>
      </c>
      <c r="O175" s="4">
        <f>SUMIFS('Opportunities'!$H$2:$H$1775,'Opportunities'!$C$2:$C$1775,"=r06",'Opportunities'!$N$2:$N$1775,"=apr26",'Opportunities'!$R$2:$R$1775,"=1")</f>
        <v>0</v>
      </c>
      <c r="P175" s="4">
        <f>SUMIFS('Opportunities'!$H$2:$H$1775,'Opportunities'!$C$2:$C$1775,"=r06",'Opportunities'!$N$2:$N$1775,"=may26",'Opportunities'!$R$2:$R$1775,"=1")</f>
        <v>0</v>
      </c>
      <c r="Q175" s="4">
        <f>SUMIFS('Opportunities'!$H$2:$H$1775,'Opportunities'!$C$2:$C$1775,"=r06",'Opportunities'!$N$2:$N$1775,"=jun26",'Opportunities'!$R$2:$R$1775,"=1")</f>
        <v>0</v>
      </c>
      <c r="R175" s="4">
        <f>SUMIFS('Opportunities'!$H$2:$H$1775,'Opportunities'!$C$2:$C$1775,"=r06",'Opportunities'!$N$2:$N$1775,"=jul26",'Opportunities'!$R$2:$R$1775,"=1")</f>
        <v>0</v>
      </c>
      <c r="S175" s="4">
        <f>SUMIFS('Opportunities'!$H$2:$H$1775,'Opportunities'!$C$2:$C$1775,"=r06",'Opportunities'!$N$2:$N$1775,"=aug26",'Opportunities'!$R$2:$R$1775,"=1")</f>
        <v>0</v>
      </c>
      <c r="T175" s="4">
        <f>SUMIFS('Opportunities'!$H$2:$H$1775,'Opportunities'!$C$2:$C$1775,"=r06",'Opportunities'!$N$2:$N$1775,"=sep26",'Opportunities'!$R$2:$R$1775,"=1")</f>
        <v>34500</v>
      </c>
      <c r="U175" s="4">
        <f>SUMIFS('Opportunities'!$H$2:$H$1775,'Opportunities'!$C$2:$C$1775,"=r06",'Opportunities'!$N$2:$N$1775,"=oct26",'Opportunities'!$R$2:$R$1775,"=1")</f>
        <v>77400</v>
      </c>
      <c r="V175" s="4">
        <f>SUMIFS('Opportunities'!$H$2:$H$1775,'Opportunities'!$C$2:$C$1775,"=r06",'Opportunities'!$N$2:$N$1775,"=nov26",'Opportunities'!$R$2:$R$1775,"=1")</f>
        <v>9900</v>
      </c>
      <c r="W175" s="4">
        <f>SUMIFS('Opportunities'!$H$2:$H$1775,'Opportunities'!$C$2:$C$1775,"=r06",'Opportunities'!$N$2:$N$1775,"=dec26",'Opportunities'!$R$2:$R$1775,"=1")</f>
        <v>22400</v>
      </c>
    </row>
    <row r="176">
      <c r="A176" s="0" t="inlineStr">
        <is>
          <t xml:space="preserve">Open pipeline closing this month</t>
        </is>
      </c>
      <c r="B176" s="0" t="inlineStr">
        <is>
          <t xml:space="preserve">Tobias Silva</t>
        </is>
      </c>
      <c r="C176" s="4">
        <f>SUMIFS('Opportunities'!$H$2:$H$1775,'Opportunities'!$C$2:$C$1775,"=r07",'Opportunities'!$N$2:$N$1775,"=apr25",'Opportunities'!$R$2:$R$1775,"=1")</f>
        <v>0</v>
      </c>
      <c r="D176" s="4">
        <f>SUMIFS('Opportunities'!$H$2:$H$1775,'Opportunities'!$C$2:$C$1775,"=r07",'Opportunities'!$N$2:$N$1775,"=may25",'Opportunities'!$R$2:$R$1775,"=1")</f>
        <v>0</v>
      </c>
      <c r="E176" s="4">
        <f>SUMIFS('Opportunities'!$H$2:$H$1775,'Opportunities'!$C$2:$C$1775,"=r07",'Opportunities'!$N$2:$N$1775,"=jun25",'Opportunities'!$R$2:$R$1775,"=1")</f>
        <v>0</v>
      </c>
      <c r="F176" s="4">
        <f>SUMIFS('Opportunities'!$H$2:$H$1775,'Opportunities'!$C$2:$C$1775,"=r07",'Opportunities'!$N$2:$N$1775,"=jul25",'Opportunities'!$R$2:$R$1775,"=1")</f>
        <v>0</v>
      </c>
      <c r="G176" s="4">
        <f>SUMIFS('Opportunities'!$H$2:$H$1775,'Opportunities'!$C$2:$C$1775,"=r07",'Opportunities'!$N$2:$N$1775,"=aug25",'Opportunities'!$R$2:$R$1775,"=1")</f>
        <v>0</v>
      </c>
      <c r="H176" s="4">
        <f>SUMIFS('Opportunities'!$H$2:$H$1775,'Opportunities'!$C$2:$C$1775,"=r07",'Opportunities'!$N$2:$N$1775,"=sep25",'Opportunities'!$R$2:$R$1775,"=1")</f>
        <v>0</v>
      </c>
      <c r="I176" s="4">
        <f>SUMIFS('Opportunities'!$H$2:$H$1775,'Opportunities'!$C$2:$C$1775,"=r07",'Opportunities'!$N$2:$N$1775,"=oct25",'Opportunities'!$R$2:$R$1775,"=1")</f>
        <v>0</v>
      </c>
      <c r="J176" s="4">
        <f>SUMIFS('Opportunities'!$H$2:$H$1775,'Opportunities'!$C$2:$C$1775,"=r07",'Opportunities'!$N$2:$N$1775,"=nov25",'Opportunities'!$R$2:$R$1775,"=1")</f>
        <v>0</v>
      </c>
      <c r="K176" s="4">
        <f>SUMIFS('Opportunities'!$H$2:$H$1775,'Opportunities'!$C$2:$C$1775,"=r07",'Opportunities'!$N$2:$N$1775,"=dec25",'Opportunities'!$R$2:$R$1775,"=1")</f>
        <v>0</v>
      </c>
      <c r="L176" s="4">
        <f>SUMIFS('Opportunities'!$H$2:$H$1775,'Opportunities'!$C$2:$C$1775,"=r07",'Opportunities'!$N$2:$N$1775,"=jan26",'Opportunities'!$R$2:$R$1775,"=1")</f>
        <v>0</v>
      </c>
      <c r="M176" s="4">
        <f>SUMIFS('Opportunities'!$H$2:$H$1775,'Opportunities'!$C$2:$C$1775,"=r07",'Opportunities'!$N$2:$N$1775,"=feb26",'Opportunities'!$R$2:$R$1775,"=1")</f>
        <v>0</v>
      </c>
      <c r="N176" s="4">
        <f>SUMIFS('Opportunities'!$H$2:$H$1775,'Opportunities'!$C$2:$C$1775,"=r07",'Opportunities'!$N$2:$N$1775,"=mar26",'Opportunities'!$R$2:$R$1775,"=1")</f>
        <v>0</v>
      </c>
      <c r="O176" s="4">
        <f>SUMIFS('Opportunities'!$H$2:$H$1775,'Opportunities'!$C$2:$C$1775,"=r07",'Opportunities'!$N$2:$N$1775,"=apr26",'Opportunities'!$R$2:$R$1775,"=1")</f>
        <v>0</v>
      </c>
      <c r="P176" s="4">
        <f>SUMIFS('Opportunities'!$H$2:$H$1775,'Opportunities'!$C$2:$C$1775,"=r07",'Opportunities'!$N$2:$N$1775,"=may26",'Opportunities'!$R$2:$R$1775,"=1")</f>
        <v>0</v>
      </c>
      <c r="Q176" s="4">
        <f>SUMIFS('Opportunities'!$H$2:$H$1775,'Opportunities'!$C$2:$C$1775,"=r07",'Opportunities'!$N$2:$N$1775,"=jun26",'Opportunities'!$R$2:$R$1775,"=1")</f>
        <v>0</v>
      </c>
      <c r="R176" s="4">
        <f>SUMIFS('Opportunities'!$H$2:$H$1775,'Opportunities'!$C$2:$C$1775,"=r07",'Opportunities'!$N$2:$N$1775,"=jul26",'Opportunities'!$R$2:$R$1775,"=1")</f>
        <v>0</v>
      </c>
      <c r="S176" s="4">
        <f>SUMIFS('Opportunities'!$H$2:$H$1775,'Opportunities'!$C$2:$C$1775,"=r07",'Opportunities'!$N$2:$N$1775,"=aug26",'Opportunities'!$R$2:$R$1775,"=1")</f>
        <v>0</v>
      </c>
      <c r="T176" s="4">
        <f>SUMIFS('Opportunities'!$H$2:$H$1775,'Opportunities'!$C$2:$C$1775,"=r07",'Opportunities'!$N$2:$N$1775,"=sep26",'Opportunities'!$R$2:$R$1775,"=1")</f>
        <v>496100</v>
      </c>
      <c r="U176" s="4">
        <f>SUMIFS('Opportunities'!$H$2:$H$1775,'Opportunities'!$C$2:$C$1775,"=r07",'Opportunities'!$N$2:$N$1775,"=oct26",'Opportunities'!$R$2:$R$1775,"=1")</f>
        <v>215700</v>
      </c>
      <c r="V176" s="4">
        <f>SUMIFS('Opportunities'!$H$2:$H$1775,'Opportunities'!$C$2:$C$1775,"=r07",'Opportunities'!$N$2:$N$1775,"=nov26",'Opportunities'!$R$2:$R$1775,"=1")</f>
        <v>196300</v>
      </c>
      <c r="W176" s="4">
        <f>SUMIFS('Opportunities'!$H$2:$H$1775,'Opportunities'!$C$2:$C$1775,"=r07",'Opportunities'!$N$2:$N$1775,"=dec26",'Opportunities'!$R$2:$R$1775,"=1")</f>
        <v>225900</v>
      </c>
    </row>
    <row r="177">
      <c r="A177" s="0" t="inlineStr">
        <is>
          <t xml:space="preserve">Open pipeline closing this month</t>
        </is>
      </c>
      <c r="B177" s="0" t="inlineStr">
        <is>
          <t xml:space="preserve">Leila Osei</t>
        </is>
      </c>
      <c r="C177" s="4">
        <f>SUMIFS('Opportunities'!$H$2:$H$1775,'Opportunities'!$C$2:$C$1775,"=r08",'Opportunities'!$N$2:$N$1775,"=apr25",'Opportunities'!$R$2:$R$1775,"=1")</f>
        <v>0</v>
      </c>
      <c r="D177" s="4">
        <f>SUMIFS('Opportunities'!$H$2:$H$1775,'Opportunities'!$C$2:$C$1775,"=r08",'Opportunities'!$N$2:$N$1775,"=may25",'Opportunities'!$R$2:$R$1775,"=1")</f>
        <v>0</v>
      </c>
      <c r="E177" s="4">
        <f>SUMIFS('Opportunities'!$H$2:$H$1775,'Opportunities'!$C$2:$C$1775,"=r08",'Opportunities'!$N$2:$N$1775,"=jun25",'Opportunities'!$R$2:$R$1775,"=1")</f>
        <v>0</v>
      </c>
      <c r="F177" s="4">
        <f>SUMIFS('Opportunities'!$H$2:$H$1775,'Opportunities'!$C$2:$C$1775,"=r08",'Opportunities'!$N$2:$N$1775,"=jul25",'Opportunities'!$R$2:$R$1775,"=1")</f>
        <v>0</v>
      </c>
      <c r="G177" s="4">
        <f>SUMIFS('Opportunities'!$H$2:$H$1775,'Opportunities'!$C$2:$C$1775,"=r08",'Opportunities'!$N$2:$N$1775,"=aug25",'Opportunities'!$R$2:$R$1775,"=1")</f>
        <v>0</v>
      </c>
      <c r="H177" s="4">
        <f>SUMIFS('Opportunities'!$H$2:$H$1775,'Opportunities'!$C$2:$C$1775,"=r08",'Opportunities'!$N$2:$N$1775,"=sep25",'Opportunities'!$R$2:$R$1775,"=1")</f>
        <v>0</v>
      </c>
      <c r="I177" s="4">
        <f>SUMIFS('Opportunities'!$H$2:$H$1775,'Opportunities'!$C$2:$C$1775,"=r08",'Opportunities'!$N$2:$N$1775,"=oct25",'Opportunities'!$R$2:$R$1775,"=1")</f>
        <v>0</v>
      </c>
      <c r="J177" s="4">
        <f>SUMIFS('Opportunities'!$H$2:$H$1775,'Opportunities'!$C$2:$C$1775,"=r08",'Opportunities'!$N$2:$N$1775,"=nov25",'Opportunities'!$R$2:$R$1775,"=1")</f>
        <v>0</v>
      </c>
      <c r="K177" s="4">
        <f>SUMIFS('Opportunities'!$H$2:$H$1775,'Opportunities'!$C$2:$C$1775,"=r08",'Opportunities'!$N$2:$N$1775,"=dec25",'Opportunities'!$R$2:$R$1775,"=1")</f>
        <v>0</v>
      </c>
      <c r="L177" s="4">
        <f>SUMIFS('Opportunities'!$H$2:$H$1775,'Opportunities'!$C$2:$C$1775,"=r08",'Opportunities'!$N$2:$N$1775,"=jan26",'Opportunities'!$R$2:$R$1775,"=1")</f>
        <v>0</v>
      </c>
      <c r="M177" s="4">
        <f>SUMIFS('Opportunities'!$H$2:$H$1775,'Opportunities'!$C$2:$C$1775,"=r08",'Opportunities'!$N$2:$N$1775,"=feb26",'Opportunities'!$R$2:$R$1775,"=1")</f>
        <v>0</v>
      </c>
      <c r="N177" s="4">
        <f>SUMIFS('Opportunities'!$H$2:$H$1775,'Opportunities'!$C$2:$C$1775,"=r08",'Opportunities'!$N$2:$N$1775,"=mar26",'Opportunities'!$R$2:$R$1775,"=1")</f>
        <v>0</v>
      </c>
      <c r="O177" s="4">
        <f>SUMIFS('Opportunities'!$H$2:$H$1775,'Opportunities'!$C$2:$C$1775,"=r08",'Opportunities'!$N$2:$N$1775,"=apr26",'Opportunities'!$R$2:$R$1775,"=1")</f>
        <v>0</v>
      </c>
      <c r="P177" s="4">
        <f>SUMIFS('Opportunities'!$H$2:$H$1775,'Opportunities'!$C$2:$C$1775,"=r08",'Opportunities'!$N$2:$N$1775,"=may26",'Opportunities'!$R$2:$R$1775,"=1")</f>
        <v>0</v>
      </c>
      <c r="Q177" s="4">
        <f>SUMIFS('Opportunities'!$H$2:$H$1775,'Opportunities'!$C$2:$C$1775,"=r08",'Opportunities'!$N$2:$N$1775,"=jun26",'Opportunities'!$R$2:$R$1775,"=1")</f>
        <v>0</v>
      </c>
      <c r="R177" s="4">
        <f>SUMIFS('Opportunities'!$H$2:$H$1775,'Opportunities'!$C$2:$C$1775,"=r08",'Opportunities'!$N$2:$N$1775,"=jul26",'Opportunities'!$R$2:$R$1775,"=1")</f>
        <v>0</v>
      </c>
      <c r="S177" s="4">
        <f>SUMIFS('Opportunities'!$H$2:$H$1775,'Opportunities'!$C$2:$C$1775,"=r08",'Opportunities'!$N$2:$N$1775,"=aug26",'Opportunities'!$R$2:$R$1775,"=1")</f>
        <v>0</v>
      </c>
      <c r="T177" s="4">
        <f>SUMIFS('Opportunities'!$H$2:$H$1775,'Opportunities'!$C$2:$C$1775,"=r08",'Opportunities'!$N$2:$N$1775,"=sep26",'Opportunities'!$R$2:$R$1775,"=1")</f>
        <v>253000</v>
      </c>
      <c r="U177" s="4">
        <f>SUMIFS('Opportunities'!$H$2:$H$1775,'Opportunities'!$C$2:$C$1775,"=r08",'Opportunities'!$N$2:$N$1775,"=oct26",'Opportunities'!$R$2:$R$1775,"=1")</f>
        <v>153100</v>
      </c>
      <c r="V177" s="4">
        <f>SUMIFS('Opportunities'!$H$2:$H$1775,'Opportunities'!$C$2:$C$1775,"=r08",'Opportunities'!$N$2:$N$1775,"=nov26",'Opportunities'!$R$2:$R$1775,"=1")</f>
        <v>94700</v>
      </c>
      <c r="W177" s="4">
        <f>SUMIFS('Opportunities'!$H$2:$H$1775,'Opportunities'!$C$2:$C$1775,"=r08",'Opportunities'!$N$2:$N$1775,"=dec26",'Opportunities'!$R$2:$R$1775,"=1")</f>
        <v>112600</v>
      </c>
    </row>
    <row r="178">
      <c r="A178" s="0" t="inlineStr">
        <is>
          <t xml:space="preserve">Open pipeline closing this month</t>
        </is>
      </c>
      <c r="B178" s="0" t="inlineStr">
        <is>
          <t xml:space="preserve">Grace Costa</t>
        </is>
      </c>
      <c r="C178" s="4">
        <f>SUMIFS('Opportunities'!$H$2:$H$1775,'Opportunities'!$C$2:$C$1775,"=r09",'Opportunities'!$N$2:$N$1775,"=apr25",'Opportunities'!$R$2:$R$1775,"=1")</f>
        <v>0</v>
      </c>
      <c r="D178" s="4">
        <f>SUMIFS('Opportunities'!$H$2:$H$1775,'Opportunities'!$C$2:$C$1775,"=r09",'Opportunities'!$N$2:$N$1775,"=may25",'Opportunities'!$R$2:$R$1775,"=1")</f>
        <v>0</v>
      </c>
      <c r="E178" s="4">
        <f>SUMIFS('Opportunities'!$H$2:$H$1775,'Opportunities'!$C$2:$C$1775,"=r09",'Opportunities'!$N$2:$N$1775,"=jun25",'Opportunities'!$R$2:$R$1775,"=1")</f>
        <v>0</v>
      </c>
      <c r="F178" s="4">
        <f>SUMIFS('Opportunities'!$H$2:$H$1775,'Opportunities'!$C$2:$C$1775,"=r09",'Opportunities'!$N$2:$N$1775,"=jul25",'Opportunities'!$R$2:$R$1775,"=1")</f>
        <v>0</v>
      </c>
      <c r="G178" s="4">
        <f>SUMIFS('Opportunities'!$H$2:$H$1775,'Opportunities'!$C$2:$C$1775,"=r09",'Opportunities'!$N$2:$N$1775,"=aug25",'Opportunities'!$R$2:$R$1775,"=1")</f>
        <v>0</v>
      </c>
      <c r="H178" s="4">
        <f>SUMIFS('Opportunities'!$H$2:$H$1775,'Opportunities'!$C$2:$C$1775,"=r09",'Opportunities'!$N$2:$N$1775,"=sep25",'Opportunities'!$R$2:$R$1775,"=1")</f>
        <v>0</v>
      </c>
      <c r="I178" s="4">
        <f>SUMIFS('Opportunities'!$H$2:$H$1775,'Opportunities'!$C$2:$C$1775,"=r09",'Opportunities'!$N$2:$N$1775,"=oct25",'Opportunities'!$R$2:$R$1775,"=1")</f>
        <v>0</v>
      </c>
      <c r="J178" s="4">
        <f>SUMIFS('Opportunities'!$H$2:$H$1775,'Opportunities'!$C$2:$C$1775,"=r09",'Opportunities'!$N$2:$N$1775,"=nov25",'Opportunities'!$R$2:$R$1775,"=1")</f>
        <v>0</v>
      </c>
      <c r="K178" s="4">
        <f>SUMIFS('Opportunities'!$H$2:$H$1775,'Opportunities'!$C$2:$C$1775,"=r09",'Opportunities'!$N$2:$N$1775,"=dec25",'Opportunities'!$R$2:$R$1775,"=1")</f>
        <v>0</v>
      </c>
      <c r="L178" s="4">
        <f>SUMIFS('Opportunities'!$H$2:$H$1775,'Opportunities'!$C$2:$C$1775,"=r09",'Opportunities'!$N$2:$N$1775,"=jan26",'Opportunities'!$R$2:$R$1775,"=1")</f>
        <v>0</v>
      </c>
      <c r="M178" s="4">
        <f>SUMIFS('Opportunities'!$H$2:$H$1775,'Opportunities'!$C$2:$C$1775,"=r09",'Opportunities'!$N$2:$N$1775,"=feb26",'Opportunities'!$R$2:$R$1775,"=1")</f>
        <v>0</v>
      </c>
      <c r="N178" s="4">
        <f>SUMIFS('Opportunities'!$H$2:$H$1775,'Opportunities'!$C$2:$C$1775,"=r09",'Opportunities'!$N$2:$N$1775,"=mar26",'Opportunities'!$R$2:$R$1775,"=1")</f>
        <v>0</v>
      </c>
      <c r="O178" s="4">
        <f>SUMIFS('Opportunities'!$H$2:$H$1775,'Opportunities'!$C$2:$C$1775,"=r09",'Opportunities'!$N$2:$N$1775,"=apr26",'Opportunities'!$R$2:$R$1775,"=1")</f>
        <v>0</v>
      </c>
      <c r="P178" s="4">
        <f>SUMIFS('Opportunities'!$H$2:$H$1775,'Opportunities'!$C$2:$C$1775,"=r09",'Opportunities'!$N$2:$N$1775,"=may26",'Opportunities'!$R$2:$R$1775,"=1")</f>
        <v>0</v>
      </c>
      <c r="Q178" s="4">
        <f>SUMIFS('Opportunities'!$H$2:$H$1775,'Opportunities'!$C$2:$C$1775,"=r09",'Opportunities'!$N$2:$N$1775,"=jun26",'Opportunities'!$R$2:$R$1775,"=1")</f>
        <v>0</v>
      </c>
      <c r="R178" s="4">
        <f>SUMIFS('Opportunities'!$H$2:$H$1775,'Opportunities'!$C$2:$C$1775,"=r09",'Opportunities'!$N$2:$N$1775,"=jul26",'Opportunities'!$R$2:$R$1775,"=1")</f>
        <v>0</v>
      </c>
      <c r="S178" s="4">
        <f>SUMIFS('Opportunities'!$H$2:$H$1775,'Opportunities'!$C$2:$C$1775,"=r09",'Opportunities'!$N$2:$N$1775,"=aug26",'Opportunities'!$R$2:$R$1775,"=1")</f>
        <v>0</v>
      </c>
      <c r="T178" s="4">
        <f>SUMIFS('Opportunities'!$H$2:$H$1775,'Opportunities'!$C$2:$C$1775,"=r09",'Opportunities'!$N$2:$N$1775,"=sep26",'Opportunities'!$R$2:$R$1775,"=1")</f>
        <v>141800</v>
      </c>
      <c r="U178" s="4">
        <f>SUMIFS('Opportunities'!$H$2:$H$1775,'Opportunities'!$C$2:$C$1775,"=r09",'Opportunities'!$N$2:$N$1775,"=oct26",'Opportunities'!$R$2:$R$1775,"=1")</f>
        <v>235100</v>
      </c>
      <c r="V178" s="4">
        <f>SUMIFS('Opportunities'!$H$2:$H$1775,'Opportunities'!$C$2:$C$1775,"=r09",'Opportunities'!$N$2:$N$1775,"=nov26",'Opportunities'!$R$2:$R$1775,"=1")</f>
        <v>19500</v>
      </c>
      <c r="W178" s="4">
        <f>SUMIFS('Opportunities'!$H$2:$H$1775,'Opportunities'!$C$2:$C$1775,"=r09",'Opportunities'!$N$2:$N$1775,"=dec26",'Opportunities'!$R$2:$R$1775,"=1")</f>
        <v>36400</v>
      </c>
    </row>
    <row r="179">
      <c r="A179" s="0" t="inlineStr">
        <is>
          <t xml:space="preserve">Open pipeline closing this month</t>
        </is>
      </c>
      <c r="B179" s="0" t="inlineStr">
        <is>
          <t xml:space="preserve">Ingrid Müller</t>
        </is>
      </c>
      <c r="C179" s="4">
        <f>SUMIFS('Opportunities'!$H$2:$H$1775,'Opportunities'!$C$2:$C$1775,"=r10",'Opportunities'!$N$2:$N$1775,"=apr25",'Opportunities'!$R$2:$R$1775,"=1")</f>
        <v>0</v>
      </c>
      <c r="D179" s="4">
        <f>SUMIFS('Opportunities'!$H$2:$H$1775,'Opportunities'!$C$2:$C$1775,"=r10",'Opportunities'!$N$2:$N$1775,"=may25",'Opportunities'!$R$2:$R$1775,"=1")</f>
        <v>0</v>
      </c>
      <c r="E179" s="4">
        <f>SUMIFS('Opportunities'!$H$2:$H$1775,'Opportunities'!$C$2:$C$1775,"=r10",'Opportunities'!$N$2:$N$1775,"=jun25",'Opportunities'!$R$2:$R$1775,"=1")</f>
        <v>0</v>
      </c>
      <c r="F179" s="4">
        <f>SUMIFS('Opportunities'!$H$2:$H$1775,'Opportunities'!$C$2:$C$1775,"=r10",'Opportunities'!$N$2:$N$1775,"=jul25",'Opportunities'!$R$2:$R$1775,"=1")</f>
        <v>0</v>
      </c>
      <c r="G179" s="4">
        <f>SUMIFS('Opportunities'!$H$2:$H$1775,'Opportunities'!$C$2:$C$1775,"=r10",'Opportunities'!$N$2:$N$1775,"=aug25",'Opportunities'!$R$2:$R$1775,"=1")</f>
        <v>0</v>
      </c>
      <c r="H179" s="4">
        <f>SUMIFS('Opportunities'!$H$2:$H$1775,'Opportunities'!$C$2:$C$1775,"=r10",'Opportunities'!$N$2:$N$1775,"=sep25",'Opportunities'!$R$2:$R$1775,"=1")</f>
        <v>0</v>
      </c>
      <c r="I179" s="4">
        <f>SUMIFS('Opportunities'!$H$2:$H$1775,'Opportunities'!$C$2:$C$1775,"=r10",'Opportunities'!$N$2:$N$1775,"=oct25",'Opportunities'!$R$2:$R$1775,"=1")</f>
        <v>0</v>
      </c>
      <c r="J179" s="4">
        <f>SUMIFS('Opportunities'!$H$2:$H$1775,'Opportunities'!$C$2:$C$1775,"=r10",'Opportunities'!$N$2:$N$1775,"=nov25",'Opportunities'!$R$2:$R$1775,"=1")</f>
        <v>0</v>
      </c>
      <c r="K179" s="4">
        <f>SUMIFS('Opportunities'!$H$2:$H$1775,'Opportunities'!$C$2:$C$1775,"=r10",'Opportunities'!$N$2:$N$1775,"=dec25",'Opportunities'!$R$2:$R$1775,"=1")</f>
        <v>0</v>
      </c>
      <c r="L179" s="4">
        <f>SUMIFS('Opportunities'!$H$2:$H$1775,'Opportunities'!$C$2:$C$1775,"=r10",'Opportunities'!$N$2:$N$1775,"=jan26",'Opportunities'!$R$2:$R$1775,"=1")</f>
        <v>0</v>
      </c>
      <c r="M179" s="4">
        <f>SUMIFS('Opportunities'!$H$2:$H$1775,'Opportunities'!$C$2:$C$1775,"=r10",'Opportunities'!$N$2:$N$1775,"=feb26",'Opportunities'!$R$2:$R$1775,"=1")</f>
        <v>0</v>
      </c>
      <c r="N179" s="4">
        <f>SUMIFS('Opportunities'!$H$2:$H$1775,'Opportunities'!$C$2:$C$1775,"=r10",'Opportunities'!$N$2:$N$1775,"=mar26",'Opportunities'!$R$2:$R$1775,"=1")</f>
        <v>0</v>
      </c>
      <c r="O179" s="4">
        <f>SUMIFS('Opportunities'!$H$2:$H$1775,'Opportunities'!$C$2:$C$1775,"=r10",'Opportunities'!$N$2:$N$1775,"=apr26",'Opportunities'!$R$2:$R$1775,"=1")</f>
        <v>0</v>
      </c>
      <c r="P179" s="4">
        <f>SUMIFS('Opportunities'!$H$2:$H$1775,'Opportunities'!$C$2:$C$1775,"=r10",'Opportunities'!$N$2:$N$1775,"=may26",'Opportunities'!$R$2:$R$1775,"=1")</f>
        <v>0</v>
      </c>
      <c r="Q179" s="4">
        <f>SUMIFS('Opportunities'!$H$2:$H$1775,'Opportunities'!$C$2:$C$1775,"=r10",'Opportunities'!$N$2:$N$1775,"=jun26",'Opportunities'!$R$2:$R$1775,"=1")</f>
        <v>0</v>
      </c>
      <c r="R179" s="4">
        <f>SUMIFS('Opportunities'!$H$2:$H$1775,'Opportunities'!$C$2:$C$1775,"=r10",'Opportunities'!$N$2:$N$1775,"=jul26",'Opportunities'!$R$2:$R$1775,"=1")</f>
        <v>0</v>
      </c>
      <c r="S179" s="4">
        <f>SUMIFS('Opportunities'!$H$2:$H$1775,'Opportunities'!$C$2:$C$1775,"=r10",'Opportunities'!$N$2:$N$1775,"=aug26",'Opportunities'!$R$2:$R$1775,"=1")</f>
        <v>0</v>
      </c>
      <c r="T179" s="4">
        <f>SUMIFS('Opportunities'!$H$2:$H$1775,'Opportunities'!$C$2:$C$1775,"=r10",'Opportunities'!$N$2:$N$1775,"=sep26",'Opportunities'!$R$2:$R$1775,"=1")</f>
        <v>29700</v>
      </c>
      <c r="U179" s="4">
        <f>SUMIFS('Opportunities'!$H$2:$H$1775,'Opportunities'!$C$2:$C$1775,"=r10",'Opportunities'!$N$2:$N$1775,"=oct26",'Opportunities'!$R$2:$R$1775,"=1")</f>
        <v>19400</v>
      </c>
      <c r="V179" s="4">
        <f>SUMIFS('Opportunities'!$H$2:$H$1775,'Opportunities'!$C$2:$C$1775,"=r10",'Opportunities'!$N$2:$N$1775,"=nov26",'Opportunities'!$R$2:$R$1775,"=1")</f>
        <v>96600</v>
      </c>
      <c r="W179" s="4">
        <f>SUMIFS('Opportunities'!$H$2:$H$1775,'Opportunities'!$C$2:$C$1775,"=r10",'Opportunities'!$N$2:$N$1775,"=dec26",'Opportunities'!$R$2:$R$1775,"=1")</f>
        <v>214800</v>
      </c>
    </row>
    <row r="180">
      <c r="A180" s="0" t="inlineStr">
        <is>
          <t xml:space="preserve">Open pipeline closing this month</t>
        </is>
      </c>
      <c r="B180" s="0" t="inlineStr">
        <is>
          <t xml:space="preserve">Ingrid Kim</t>
        </is>
      </c>
      <c r="C180" s="4">
        <f>SUMIFS('Opportunities'!$H$2:$H$1775,'Opportunities'!$C$2:$C$1775,"=r11",'Opportunities'!$N$2:$N$1775,"=apr25",'Opportunities'!$R$2:$R$1775,"=1")</f>
        <v>0</v>
      </c>
      <c r="D180" s="4">
        <f>SUMIFS('Opportunities'!$H$2:$H$1775,'Opportunities'!$C$2:$C$1775,"=r11",'Opportunities'!$N$2:$N$1775,"=may25",'Opportunities'!$R$2:$R$1775,"=1")</f>
        <v>0</v>
      </c>
      <c r="E180" s="4">
        <f>SUMIFS('Opportunities'!$H$2:$H$1775,'Opportunities'!$C$2:$C$1775,"=r11",'Opportunities'!$N$2:$N$1775,"=jun25",'Opportunities'!$R$2:$R$1775,"=1")</f>
        <v>0</v>
      </c>
      <c r="F180" s="4">
        <f>SUMIFS('Opportunities'!$H$2:$H$1775,'Opportunities'!$C$2:$C$1775,"=r11",'Opportunities'!$N$2:$N$1775,"=jul25",'Opportunities'!$R$2:$R$1775,"=1")</f>
        <v>0</v>
      </c>
      <c r="G180" s="4">
        <f>SUMIFS('Opportunities'!$H$2:$H$1775,'Opportunities'!$C$2:$C$1775,"=r11",'Opportunities'!$N$2:$N$1775,"=aug25",'Opportunities'!$R$2:$R$1775,"=1")</f>
        <v>0</v>
      </c>
      <c r="H180" s="4">
        <f>SUMIFS('Opportunities'!$H$2:$H$1775,'Opportunities'!$C$2:$C$1775,"=r11",'Opportunities'!$N$2:$N$1775,"=sep25",'Opportunities'!$R$2:$R$1775,"=1")</f>
        <v>0</v>
      </c>
      <c r="I180" s="4">
        <f>SUMIFS('Opportunities'!$H$2:$H$1775,'Opportunities'!$C$2:$C$1775,"=r11",'Opportunities'!$N$2:$N$1775,"=oct25",'Opportunities'!$R$2:$R$1775,"=1")</f>
        <v>0</v>
      </c>
      <c r="J180" s="4">
        <f>SUMIFS('Opportunities'!$H$2:$H$1775,'Opportunities'!$C$2:$C$1775,"=r11",'Opportunities'!$N$2:$N$1775,"=nov25",'Opportunities'!$R$2:$R$1775,"=1")</f>
        <v>0</v>
      </c>
      <c r="K180" s="4">
        <f>SUMIFS('Opportunities'!$H$2:$H$1775,'Opportunities'!$C$2:$C$1775,"=r11",'Opportunities'!$N$2:$N$1775,"=dec25",'Opportunities'!$R$2:$R$1775,"=1")</f>
        <v>0</v>
      </c>
      <c r="L180" s="4">
        <f>SUMIFS('Opportunities'!$H$2:$H$1775,'Opportunities'!$C$2:$C$1775,"=r11",'Opportunities'!$N$2:$N$1775,"=jan26",'Opportunities'!$R$2:$R$1775,"=1")</f>
        <v>0</v>
      </c>
      <c r="M180" s="4">
        <f>SUMIFS('Opportunities'!$H$2:$H$1775,'Opportunities'!$C$2:$C$1775,"=r11",'Opportunities'!$N$2:$N$1775,"=feb26",'Opportunities'!$R$2:$R$1775,"=1")</f>
        <v>0</v>
      </c>
      <c r="N180" s="4">
        <f>SUMIFS('Opportunities'!$H$2:$H$1775,'Opportunities'!$C$2:$C$1775,"=r11",'Opportunities'!$N$2:$N$1775,"=mar26",'Opportunities'!$R$2:$R$1775,"=1")</f>
        <v>0</v>
      </c>
      <c r="O180" s="4">
        <f>SUMIFS('Opportunities'!$H$2:$H$1775,'Opportunities'!$C$2:$C$1775,"=r11",'Opportunities'!$N$2:$N$1775,"=apr26",'Opportunities'!$R$2:$R$1775,"=1")</f>
        <v>0</v>
      </c>
      <c r="P180" s="4">
        <f>SUMIFS('Opportunities'!$H$2:$H$1775,'Opportunities'!$C$2:$C$1775,"=r11",'Opportunities'!$N$2:$N$1775,"=may26",'Opportunities'!$R$2:$R$1775,"=1")</f>
        <v>0</v>
      </c>
      <c r="Q180" s="4">
        <f>SUMIFS('Opportunities'!$H$2:$H$1775,'Opportunities'!$C$2:$C$1775,"=r11",'Opportunities'!$N$2:$N$1775,"=jun26",'Opportunities'!$R$2:$R$1775,"=1")</f>
        <v>0</v>
      </c>
      <c r="R180" s="4">
        <f>SUMIFS('Opportunities'!$H$2:$H$1775,'Opportunities'!$C$2:$C$1775,"=r11",'Opportunities'!$N$2:$N$1775,"=jul26",'Opportunities'!$R$2:$R$1775,"=1")</f>
        <v>0</v>
      </c>
      <c r="S180" s="4">
        <f>SUMIFS('Opportunities'!$H$2:$H$1775,'Opportunities'!$C$2:$C$1775,"=r11",'Opportunities'!$N$2:$N$1775,"=aug26",'Opportunities'!$R$2:$R$1775,"=1")</f>
        <v>0</v>
      </c>
      <c r="T180" s="4">
        <f>SUMIFS('Opportunities'!$H$2:$H$1775,'Opportunities'!$C$2:$C$1775,"=r11",'Opportunities'!$N$2:$N$1775,"=sep26",'Opportunities'!$R$2:$R$1775,"=1")</f>
        <v>0</v>
      </c>
      <c r="U180" s="4">
        <f>SUMIFS('Opportunities'!$H$2:$H$1775,'Opportunities'!$C$2:$C$1775,"=r11",'Opportunities'!$N$2:$N$1775,"=oct26",'Opportunities'!$R$2:$R$1775,"=1")</f>
        <v>41000</v>
      </c>
      <c r="V180" s="4">
        <f>SUMIFS('Opportunities'!$H$2:$H$1775,'Opportunities'!$C$2:$C$1775,"=r11",'Opportunities'!$N$2:$N$1775,"=nov26",'Opportunities'!$R$2:$R$1775,"=1")</f>
        <v>0</v>
      </c>
      <c r="W180" s="4">
        <f>SUMIFS('Opportunities'!$H$2:$H$1775,'Opportunities'!$C$2:$C$1775,"=r11",'Opportunities'!$N$2:$N$1775,"=dec26",'Opportunities'!$R$2:$R$1775,"=1")</f>
        <v>59000</v>
      </c>
    </row>
    <row r="181">
      <c r="A181" s="0" t="inlineStr">
        <is>
          <t xml:space="preserve">Open pipeline closing this month</t>
        </is>
      </c>
      <c r="B181" s="0" t="inlineStr">
        <is>
          <t xml:space="preserve">Priya Nair</t>
        </is>
      </c>
      <c r="C181" s="4">
        <f>SUMIFS('Opportunities'!$H$2:$H$1775,'Opportunities'!$C$2:$C$1775,"=r12",'Opportunities'!$N$2:$N$1775,"=apr25",'Opportunities'!$R$2:$R$1775,"=1")</f>
        <v>0</v>
      </c>
      <c r="D181" s="4">
        <f>SUMIFS('Opportunities'!$H$2:$H$1775,'Opportunities'!$C$2:$C$1775,"=r12",'Opportunities'!$N$2:$N$1775,"=may25",'Opportunities'!$R$2:$R$1775,"=1")</f>
        <v>0</v>
      </c>
      <c r="E181" s="4">
        <f>SUMIFS('Opportunities'!$H$2:$H$1775,'Opportunities'!$C$2:$C$1775,"=r12",'Opportunities'!$N$2:$N$1775,"=jun25",'Opportunities'!$R$2:$R$1775,"=1")</f>
        <v>0</v>
      </c>
      <c r="F181" s="4">
        <f>SUMIFS('Opportunities'!$H$2:$H$1775,'Opportunities'!$C$2:$C$1775,"=r12",'Opportunities'!$N$2:$N$1775,"=jul25",'Opportunities'!$R$2:$R$1775,"=1")</f>
        <v>0</v>
      </c>
      <c r="G181" s="4">
        <f>SUMIFS('Opportunities'!$H$2:$H$1775,'Opportunities'!$C$2:$C$1775,"=r12",'Opportunities'!$N$2:$N$1775,"=aug25",'Opportunities'!$R$2:$R$1775,"=1")</f>
        <v>0</v>
      </c>
      <c r="H181" s="4">
        <f>SUMIFS('Opportunities'!$H$2:$H$1775,'Opportunities'!$C$2:$C$1775,"=r12",'Opportunities'!$N$2:$N$1775,"=sep25",'Opportunities'!$R$2:$R$1775,"=1")</f>
        <v>0</v>
      </c>
      <c r="I181" s="4">
        <f>SUMIFS('Opportunities'!$H$2:$H$1775,'Opportunities'!$C$2:$C$1775,"=r12",'Opportunities'!$N$2:$N$1775,"=oct25",'Opportunities'!$R$2:$R$1775,"=1")</f>
        <v>0</v>
      </c>
      <c r="J181" s="4">
        <f>SUMIFS('Opportunities'!$H$2:$H$1775,'Opportunities'!$C$2:$C$1775,"=r12",'Opportunities'!$N$2:$N$1775,"=nov25",'Opportunities'!$R$2:$R$1775,"=1")</f>
        <v>0</v>
      </c>
      <c r="K181" s="4">
        <f>SUMIFS('Opportunities'!$H$2:$H$1775,'Opportunities'!$C$2:$C$1775,"=r12",'Opportunities'!$N$2:$N$1775,"=dec25",'Opportunities'!$R$2:$R$1775,"=1")</f>
        <v>0</v>
      </c>
      <c r="L181" s="4">
        <f>SUMIFS('Opportunities'!$H$2:$H$1775,'Opportunities'!$C$2:$C$1775,"=r12",'Opportunities'!$N$2:$N$1775,"=jan26",'Opportunities'!$R$2:$R$1775,"=1")</f>
        <v>0</v>
      </c>
      <c r="M181" s="4">
        <f>SUMIFS('Opportunities'!$H$2:$H$1775,'Opportunities'!$C$2:$C$1775,"=r12",'Opportunities'!$N$2:$N$1775,"=feb26",'Opportunities'!$R$2:$R$1775,"=1")</f>
        <v>0</v>
      </c>
      <c r="N181" s="4">
        <f>SUMIFS('Opportunities'!$H$2:$H$1775,'Opportunities'!$C$2:$C$1775,"=r12",'Opportunities'!$N$2:$N$1775,"=mar26",'Opportunities'!$R$2:$R$1775,"=1")</f>
        <v>0</v>
      </c>
      <c r="O181" s="4">
        <f>SUMIFS('Opportunities'!$H$2:$H$1775,'Opportunities'!$C$2:$C$1775,"=r12",'Opportunities'!$N$2:$N$1775,"=apr26",'Opportunities'!$R$2:$R$1775,"=1")</f>
        <v>0</v>
      </c>
      <c r="P181" s="4">
        <f>SUMIFS('Opportunities'!$H$2:$H$1775,'Opportunities'!$C$2:$C$1775,"=r12",'Opportunities'!$N$2:$N$1775,"=may26",'Opportunities'!$R$2:$R$1775,"=1")</f>
        <v>0</v>
      </c>
      <c r="Q181" s="4">
        <f>SUMIFS('Opportunities'!$H$2:$H$1775,'Opportunities'!$C$2:$C$1775,"=r12",'Opportunities'!$N$2:$N$1775,"=jun26",'Opportunities'!$R$2:$R$1775,"=1")</f>
        <v>0</v>
      </c>
      <c r="R181" s="4">
        <f>SUMIFS('Opportunities'!$H$2:$H$1775,'Opportunities'!$C$2:$C$1775,"=r12",'Opportunities'!$N$2:$N$1775,"=jul26",'Opportunities'!$R$2:$R$1775,"=1")</f>
        <v>0</v>
      </c>
      <c r="S181" s="4">
        <f>SUMIFS('Opportunities'!$H$2:$H$1775,'Opportunities'!$C$2:$C$1775,"=r12",'Opportunities'!$N$2:$N$1775,"=aug26",'Opportunities'!$R$2:$R$1775,"=1")</f>
        <v>0</v>
      </c>
      <c r="T181" s="4">
        <f>SUMIFS('Opportunities'!$H$2:$H$1775,'Opportunities'!$C$2:$C$1775,"=r12",'Opportunities'!$N$2:$N$1775,"=sep26",'Opportunities'!$R$2:$R$1775,"=1")</f>
        <v>59900</v>
      </c>
      <c r="U181" s="4">
        <f>SUMIFS('Opportunities'!$H$2:$H$1775,'Opportunities'!$C$2:$C$1775,"=r12",'Opportunities'!$N$2:$N$1775,"=oct26",'Opportunities'!$R$2:$R$1775,"=1")</f>
        <v>65700</v>
      </c>
      <c r="V181" s="4">
        <f>SUMIFS('Opportunities'!$H$2:$H$1775,'Opportunities'!$C$2:$C$1775,"=r12",'Opportunities'!$N$2:$N$1775,"=nov26",'Opportunities'!$R$2:$R$1775,"=1")</f>
        <v>0</v>
      </c>
      <c r="W181" s="4">
        <f>SUMIFS('Opportunities'!$H$2:$H$1775,'Opportunities'!$C$2:$C$1775,"=r12",'Opportunities'!$N$2:$N$1775,"=dec26",'Opportunities'!$R$2:$R$1775,"=1")</f>
        <v>59300</v>
      </c>
    </row>
    <row r="182">
      <c r="A182" s="0" t="inlineStr">
        <is>
          <t xml:space="preserve">Open pipeline closing this month</t>
        </is>
      </c>
      <c r="B182" s="0" t="inlineStr">
        <is>
          <t xml:space="preserve">Hugo Lindqvist</t>
        </is>
      </c>
      <c r="C182" s="4">
        <f>SUMIFS('Opportunities'!$H$2:$H$1775,'Opportunities'!$C$2:$C$1775,"=r13",'Opportunities'!$N$2:$N$1775,"=apr25",'Opportunities'!$R$2:$R$1775,"=1")</f>
        <v>0</v>
      </c>
      <c r="D182" s="4">
        <f>SUMIFS('Opportunities'!$H$2:$H$1775,'Opportunities'!$C$2:$C$1775,"=r13",'Opportunities'!$N$2:$N$1775,"=may25",'Opportunities'!$R$2:$R$1775,"=1")</f>
        <v>0</v>
      </c>
      <c r="E182" s="4">
        <f>SUMIFS('Opportunities'!$H$2:$H$1775,'Opportunities'!$C$2:$C$1775,"=r13",'Opportunities'!$N$2:$N$1775,"=jun25",'Opportunities'!$R$2:$R$1775,"=1")</f>
        <v>0</v>
      </c>
      <c r="F182" s="4">
        <f>SUMIFS('Opportunities'!$H$2:$H$1775,'Opportunities'!$C$2:$C$1775,"=r13",'Opportunities'!$N$2:$N$1775,"=jul25",'Opportunities'!$R$2:$R$1775,"=1")</f>
        <v>0</v>
      </c>
      <c r="G182" s="4">
        <f>SUMIFS('Opportunities'!$H$2:$H$1775,'Opportunities'!$C$2:$C$1775,"=r13",'Opportunities'!$N$2:$N$1775,"=aug25",'Opportunities'!$R$2:$R$1775,"=1")</f>
        <v>0</v>
      </c>
      <c r="H182" s="4">
        <f>SUMIFS('Opportunities'!$H$2:$H$1775,'Opportunities'!$C$2:$C$1775,"=r13",'Opportunities'!$N$2:$N$1775,"=sep25",'Opportunities'!$R$2:$R$1775,"=1")</f>
        <v>0</v>
      </c>
      <c r="I182" s="4">
        <f>SUMIFS('Opportunities'!$H$2:$H$1775,'Opportunities'!$C$2:$C$1775,"=r13",'Opportunities'!$N$2:$N$1775,"=oct25",'Opportunities'!$R$2:$R$1775,"=1")</f>
        <v>0</v>
      </c>
      <c r="J182" s="4">
        <f>SUMIFS('Opportunities'!$H$2:$H$1775,'Opportunities'!$C$2:$C$1775,"=r13",'Opportunities'!$N$2:$N$1775,"=nov25",'Opportunities'!$R$2:$R$1775,"=1")</f>
        <v>0</v>
      </c>
      <c r="K182" s="4">
        <f>SUMIFS('Opportunities'!$H$2:$H$1775,'Opportunities'!$C$2:$C$1775,"=r13",'Opportunities'!$N$2:$N$1775,"=dec25",'Opportunities'!$R$2:$R$1775,"=1")</f>
        <v>0</v>
      </c>
      <c r="L182" s="4">
        <f>SUMIFS('Opportunities'!$H$2:$H$1775,'Opportunities'!$C$2:$C$1775,"=r13",'Opportunities'!$N$2:$N$1775,"=jan26",'Opportunities'!$R$2:$R$1775,"=1")</f>
        <v>0</v>
      </c>
      <c r="M182" s="4">
        <f>SUMIFS('Opportunities'!$H$2:$H$1775,'Opportunities'!$C$2:$C$1775,"=r13",'Opportunities'!$N$2:$N$1775,"=feb26",'Opportunities'!$R$2:$R$1775,"=1")</f>
        <v>0</v>
      </c>
      <c r="N182" s="4">
        <f>SUMIFS('Opportunities'!$H$2:$H$1775,'Opportunities'!$C$2:$C$1775,"=r13",'Opportunities'!$N$2:$N$1775,"=mar26",'Opportunities'!$R$2:$R$1775,"=1")</f>
        <v>0</v>
      </c>
      <c r="O182" s="4">
        <f>SUMIFS('Opportunities'!$H$2:$H$1775,'Opportunities'!$C$2:$C$1775,"=r13",'Opportunities'!$N$2:$N$1775,"=apr26",'Opportunities'!$R$2:$R$1775,"=1")</f>
        <v>0</v>
      </c>
      <c r="P182" s="4">
        <f>SUMIFS('Opportunities'!$H$2:$H$1775,'Opportunities'!$C$2:$C$1775,"=r13",'Opportunities'!$N$2:$N$1775,"=may26",'Opportunities'!$R$2:$R$1775,"=1")</f>
        <v>0</v>
      </c>
      <c r="Q182" s="4">
        <f>SUMIFS('Opportunities'!$H$2:$H$1775,'Opportunities'!$C$2:$C$1775,"=r13",'Opportunities'!$N$2:$N$1775,"=jun26",'Opportunities'!$R$2:$R$1775,"=1")</f>
        <v>0</v>
      </c>
      <c r="R182" s="4">
        <f>SUMIFS('Opportunities'!$H$2:$H$1775,'Opportunities'!$C$2:$C$1775,"=r13",'Opportunities'!$N$2:$N$1775,"=jul26",'Opportunities'!$R$2:$R$1775,"=1")</f>
        <v>0</v>
      </c>
      <c r="S182" s="4">
        <f>SUMIFS('Opportunities'!$H$2:$H$1775,'Opportunities'!$C$2:$C$1775,"=r13",'Opportunities'!$N$2:$N$1775,"=aug26",'Opportunities'!$R$2:$R$1775,"=1")</f>
        <v>0</v>
      </c>
      <c r="T182" s="4">
        <f>SUMIFS('Opportunities'!$H$2:$H$1775,'Opportunities'!$C$2:$C$1775,"=r13",'Opportunities'!$N$2:$N$1775,"=sep26",'Opportunities'!$R$2:$R$1775,"=1")</f>
        <v>292100</v>
      </c>
      <c r="U182" s="4">
        <f>SUMIFS('Opportunities'!$H$2:$H$1775,'Opportunities'!$C$2:$C$1775,"=r13",'Opportunities'!$N$2:$N$1775,"=oct26",'Opportunities'!$R$2:$R$1775,"=1")</f>
        <v>309900</v>
      </c>
      <c r="V182" s="4">
        <f>SUMIFS('Opportunities'!$H$2:$H$1775,'Opportunities'!$C$2:$C$1775,"=r13",'Opportunities'!$N$2:$N$1775,"=nov26",'Opportunities'!$R$2:$R$1775,"=1")</f>
        <v>96600</v>
      </c>
      <c r="W182" s="4">
        <f>SUMIFS('Opportunities'!$H$2:$H$1775,'Opportunities'!$C$2:$C$1775,"=r13",'Opportunities'!$N$2:$N$1775,"=dec26",'Opportunities'!$R$2:$R$1775,"=1")</f>
        <v>223800</v>
      </c>
    </row>
    <row r="183">
      <c r="A183" s="0" t="inlineStr">
        <is>
          <t xml:space="preserve">Open pipeline closing this month</t>
        </is>
      </c>
      <c r="B183" s="0" t="inlineStr">
        <is>
          <t xml:space="preserve">Wei Novak</t>
        </is>
      </c>
      <c r="C183" s="4">
        <f>SUMIFS('Opportunities'!$H$2:$H$1775,'Opportunities'!$C$2:$C$1775,"=r14",'Opportunities'!$N$2:$N$1775,"=apr25",'Opportunities'!$R$2:$R$1775,"=1")</f>
        <v>0</v>
      </c>
      <c r="D183" s="4">
        <f>SUMIFS('Opportunities'!$H$2:$H$1775,'Opportunities'!$C$2:$C$1775,"=r14",'Opportunities'!$N$2:$N$1775,"=may25",'Opportunities'!$R$2:$R$1775,"=1")</f>
        <v>0</v>
      </c>
      <c r="E183" s="4">
        <f>SUMIFS('Opportunities'!$H$2:$H$1775,'Opportunities'!$C$2:$C$1775,"=r14",'Opportunities'!$N$2:$N$1775,"=jun25",'Opportunities'!$R$2:$R$1775,"=1")</f>
        <v>0</v>
      </c>
      <c r="F183" s="4">
        <f>SUMIFS('Opportunities'!$H$2:$H$1775,'Opportunities'!$C$2:$C$1775,"=r14",'Opportunities'!$N$2:$N$1775,"=jul25",'Opportunities'!$R$2:$R$1775,"=1")</f>
        <v>0</v>
      </c>
      <c r="G183" s="4">
        <f>SUMIFS('Opportunities'!$H$2:$H$1775,'Opportunities'!$C$2:$C$1775,"=r14",'Opportunities'!$N$2:$N$1775,"=aug25",'Opportunities'!$R$2:$R$1775,"=1")</f>
        <v>0</v>
      </c>
      <c r="H183" s="4">
        <f>SUMIFS('Opportunities'!$H$2:$H$1775,'Opportunities'!$C$2:$C$1775,"=r14",'Opportunities'!$N$2:$N$1775,"=sep25",'Opportunities'!$R$2:$R$1775,"=1")</f>
        <v>0</v>
      </c>
      <c r="I183" s="4">
        <f>SUMIFS('Opportunities'!$H$2:$H$1775,'Opportunities'!$C$2:$C$1775,"=r14",'Opportunities'!$N$2:$N$1775,"=oct25",'Opportunities'!$R$2:$R$1775,"=1")</f>
        <v>0</v>
      </c>
      <c r="J183" s="4">
        <f>SUMIFS('Opportunities'!$H$2:$H$1775,'Opportunities'!$C$2:$C$1775,"=r14",'Opportunities'!$N$2:$N$1775,"=nov25",'Opportunities'!$R$2:$R$1775,"=1")</f>
        <v>0</v>
      </c>
      <c r="K183" s="4">
        <f>SUMIFS('Opportunities'!$H$2:$H$1775,'Opportunities'!$C$2:$C$1775,"=r14",'Opportunities'!$N$2:$N$1775,"=dec25",'Opportunities'!$R$2:$R$1775,"=1")</f>
        <v>0</v>
      </c>
      <c r="L183" s="4">
        <f>SUMIFS('Opportunities'!$H$2:$H$1775,'Opportunities'!$C$2:$C$1775,"=r14",'Opportunities'!$N$2:$N$1775,"=jan26",'Opportunities'!$R$2:$R$1775,"=1")</f>
        <v>0</v>
      </c>
      <c r="M183" s="4">
        <f>SUMIFS('Opportunities'!$H$2:$H$1775,'Opportunities'!$C$2:$C$1775,"=r14",'Opportunities'!$N$2:$N$1775,"=feb26",'Opportunities'!$R$2:$R$1775,"=1")</f>
        <v>0</v>
      </c>
      <c r="N183" s="4">
        <f>SUMIFS('Opportunities'!$H$2:$H$1775,'Opportunities'!$C$2:$C$1775,"=r14",'Opportunities'!$N$2:$N$1775,"=mar26",'Opportunities'!$R$2:$R$1775,"=1")</f>
        <v>0</v>
      </c>
      <c r="O183" s="4">
        <f>SUMIFS('Opportunities'!$H$2:$H$1775,'Opportunities'!$C$2:$C$1775,"=r14",'Opportunities'!$N$2:$N$1775,"=apr26",'Opportunities'!$R$2:$R$1775,"=1")</f>
        <v>0</v>
      </c>
      <c r="P183" s="4">
        <f>SUMIFS('Opportunities'!$H$2:$H$1775,'Opportunities'!$C$2:$C$1775,"=r14",'Opportunities'!$N$2:$N$1775,"=may26",'Opportunities'!$R$2:$R$1775,"=1")</f>
        <v>0</v>
      </c>
      <c r="Q183" s="4">
        <f>SUMIFS('Opportunities'!$H$2:$H$1775,'Opportunities'!$C$2:$C$1775,"=r14",'Opportunities'!$N$2:$N$1775,"=jun26",'Opportunities'!$R$2:$R$1775,"=1")</f>
        <v>0</v>
      </c>
      <c r="R183" s="4">
        <f>SUMIFS('Opportunities'!$H$2:$H$1775,'Opportunities'!$C$2:$C$1775,"=r14",'Opportunities'!$N$2:$N$1775,"=jul26",'Opportunities'!$R$2:$R$1775,"=1")</f>
        <v>0</v>
      </c>
      <c r="S183" s="4">
        <f>SUMIFS('Opportunities'!$H$2:$H$1775,'Opportunities'!$C$2:$C$1775,"=r14",'Opportunities'!$N$2:$N$1775,"=aug26",'Opportunities'!$R$2:$R$1775,"=1")</f>
        <v>0</v>
      </c>
      <c r="T183" s="4">
        <f>SUMIFS('Opportunities'!$H$2:$H$1775,'Opportunities'!$C$2:$C$1775,"=r14",'Opportunities'!$N$2:$N$1775,"=sep26",'Opportunities'!$R$2:$R$1775,"=1")</f>
        <v>0</v>
      </c>
      <c r="U183" s="4">
        <f>SUMIFS('Opportunities'!$H$2:$H$1775,'Opportunities'!$C$2:$C$1775,"=r14",'Opportunities'!$N$2:$N$1775,"=oct26",'Opportunities'!$R$2:$R$1775,"=1")</f>
        <v>812300</v>
      </c>
      <c r="V183" s="4">
        <f>SUMIFS('Opportunities'!$H$2:$H$1775,'Opportunities'!$C$2:$C$1775,"=r14",'Opportunities'!$N$2:$N$1775,"=nov26",'Opportunities'!$R$2:$R$1775,"=1")</f>
        <v>121400</v>
      </c>
      <c r="W183" s="4">
        <f>SUMIFS('Opportunities'!$H$2:$H$1775,'Opportunities'!$C$2:$C$1775,"=r14",'Opportunities'!$N$2:$N$1775,"=dec26",'Opportunities'!$R$2:$R$1775,"=1")</f>
        <v>0</v>
      </c>
    </row>
    <row r="184">
      <c r="A184" s="0" t="inlineStr">
        <is>
          <t xml:space="preserve">Open pipeline closing this month</t>
        </is>
      </c>
      <c r="B184" s="0" t="inlineStr">
        <is>
          <t xml:space="preserve">Nikolai Kim</t>
        </is>
      </c>
      <c r="C184" s="4">
        <f>SUMIFS('Opportunities'!$H$2:$H$1775,'Opportunities'!$C$2:$C$1775,"=r15",'Opportunities'!$N$2:$N$1775,"=apr25",'Opportunities'!$R$2:$R$1775,"=1")</f>
        <v>0</v>
      </c>
      <c r="D184" s="4">
        <f>SUMIFS('Opportunities'!$H$2:$H$1775,'Opportunities'!$C$2:$C$1775,"=r15",'Opportunities'!$N$2:$N$1775,"=may25",'Opportunities'!$R$2:$R$1775,"=1")</f>
        <v>0</v>
      </c>
      <c r="E184" s="4">
        <f>SUMIFS('Opportunities'!$H$2:$H$1775,'Opportunities'!$C$2:$C$1775,"=r15",'Opportunities'!$N$2:$N$1775,"=jun25",'Opportunities'!$R$2:$R$1775,"=1")</f>
        <v>0</v>
      </c>
      <c r="F184" s="4">
        <f>SUMIFS('Opportunities'!$H$2:$H$1775,'Opportunities'!$C$2:$C$1775,"=r15",'Opportunities'!$N$2:$N$1775,"=jul25",'Opportunities'!$R$2:$R$1775,"=1")</f>
        <v>0</v>
      </c>
      <c r="G184" s="4">
        <f>SUMIFS('Opportunities'!$H$2:$H$1775,'Opportunities'!$C$2:$C$1775,"=r15",'Opportunities'!$N$2:$N$1775,"=aug25",'Opportunities'!$R$2:$R$1775,"=1")</f>
        <v>0</v>
      </c>
      <c r="H184" s="4">
        <f>SUMIFS('Opportunities'!$H$2:$H$1775,'Opportunities'!$C$2:$C$1775,"=r15",'Opportunities'!$N$2:$N$1775,"=sep25",'Opportunities'!$R$2:$R$1775,"=1")</f>
        <v>0</v>
      </c>
      <c r="I184" s="4">
        <f>SUMIFS('Opportunities'!$H$2:$H$1775,'Opportunities'!$C$2:$C$1775,"=r15",'Opportunities'!$N$2:$N$1775,"=oct25",'Opportunities'!$R$2:$R$1775,"=1")</f>
        <v>0</v>
      </c>
      <c r="J184" s="4">
        <f>SUMIFS('Opportunities'!$H$2:$H$1775,'Opportunities'!$C$2:$C$1775,"=r15",'Opportunities'!$N$2:$N$1775,"=nov25",'Opportunities'!$R$2:$R$1775,"=1")</f>
        <v>0</v>
      </c>
      <c r="K184" s="4">
        <f>SUMIFS('Opportunities'!$H$2:$H$1775,'Opportunities'!$C$2:$C$1775,"=r15",'Opportunities'!$N$2:$N$1775,"=dec25",'Opportunities'!$R$2:$R$1775,"=1")</f>
        <v>0</v>
      </c>
      <c r="L184" s="4">
        <f>SUMIFS('Opportunities'!$H$2:$H$1775,'Opportunities'!$C$2:$C$1775,"=r15",'Opportunities'!$N$2:$N$1775,"=jan26",'Opportunities'!$R$2:$R$1775,"=1")</f>
        <v>0</v>
      </c>
      <c r="M184" s="4">
        <f>SUMIFS('Opportunities'!$H$2:$H$1775,'Opportunities'!$C$2:$C$1775,"=r15",'Opportunities'!$N$2:$N$1775,"=feb26",'Opportunities'!$R$2:$R$1775,"=1")</f>
        <v>0</v>
      </c>
      <c r="N184" s="4">
        <f>SUMIFS('Opportunities'!$H$2:$H$1775,'Opportunities'!$C$2:$C$1775,"=r15",'Opportunities'!$N$2:$N$1775,"=mar26",'Opportunities'!$R$2:$R$1775,"=1")</f>
        <v>0</v>
      </c>
      <c r="O184" s="4">
        <f>SUMIFS('Opportunities'!$H$2:$H$1775,'Opportunities'!$C$2:$C$1775,"=r15",'Opportunities'!$N$2:$N$1775,"=apr26",'Opportunities'!$R$2:$R$1775,"=1")</f>
        <v>0</v>
      </c>
      <c r="P184" s="4">
        <f>SUMIFS('Opportunities'!$H$2:$H$1775,'Opportunities'!$C$2:$C$1775,"=r15",'Opportunities'!$N$2:$N$1775,"=may26",'Opportunities'!$R$2:$R$1775,"=1")</f>
        <v>0</v>
      </c>
      <c r="Q184" s="4">
        <f>SUMIFS('Opportunities'!$H$2:$H$1775,'Opportunities'!$C$2:$C$1775,"=r15",'Opportunities'!$N$2:$N$1775,"=jun26",'Opportunities'!$R$2:$R$1775,"=1")</f>
        <v>0</v>
      </c>
      <c r="R184" s="4">
        <f>SUMIFS('Opportunities'!$H$2:$H$1775,'Opportunities'!$C$2:$C$1775,"=r15",'Opportunities'!$N$2:$N$1775,"=jul26",'Opportunities'!$R$2:$R$1775,"=1")</f>
        <v>0</v>
      </c>
      <c r="S184" s="4">
        <f>SUMIFS('Opportunities'!$H$2:$H$1775,'Opportunities'!$C$2:$C$1775,"=r15",'Opportunities'!$N$2:$N$1775,"=aug26",'Opportunities'!$R$2:$R$1775,"=1")</f>
        <v>0</v>
      </c>
      <c r="T184" s="4">
        <f>SUMIFS('Opportunities'!$H$2:$H$1775,'Opportunities'!$C$2:$C$1775,"=r15",'Opportunities'!$N$2:$N$1775,"=sep26",'Opportunities'!$R$2:$R$1775,"=1")</f>
        <v>123400</v>
      </c>
      <c r="U184" s="4">
        <f>SUMIFS('Opportunities'!$H$2:$H$1775,'Opportunities'!$C$2:$C$1775,"=r15",'Opportunities'!$N$2:$N$1775,"=oct26",'Opportunities'!$R$2:$R$1775,"=1")</f>
        <v>78000</v>
      </c>
      <c r="V184" s="4">
        <f>SUMIFS('Opportunities'!$H$2:$H$1775,'Opportunities'!$C$2:$C$1775,"=r15",'Opportunities'!$N$2:$N$1775,"=nov26",'Opportunities'!$R$2:$R$1775,"=1")</f>
        <v>0</v>
      </c>
      <c r="W184" s="4">
        <f>SUMIFS('Opportunities'!$H$2:$H$1775,'Opportunities'!$C$2:$C$1775,"=r15",'Opportunities'!$N$2:$N$1775,"=dec26",'Opportunities'!$R$2:$R$1775,"=1")</f>
        <v>41000</v>
      </c>
    </row>
    <row r="185">
      <c r="A185" s="0" t="inlineStr">
        <is>
          <t xml:space="preserve">Open pipeline closing this month</t>
        </is>
      </c>
      <c r="B185" s="0" t="inlineStr">
        <is>
          <t xml:space="preserve">Wei Nair</t>
        </is>
      </c>
      <c r="C185" s="4">
        <f>SUMIFS('Opportunities'!$H$2:$H$1775,'Opportunities'!$C$2:$C$1775,"=r16",'Opportunities'!$N$2:$N$1775,"=apr25",'Opportunities'!$R$2:$R$1775,"=1")</f>
        <v>0</v>
      </c>
      <c r="D185" s="4">
        <f>SUMIFS('Opportunities'!$H$2:$H$1775,'Opportunities'!$C$2:$C$1775,"=r16",'Opportunities'!$N$2:$N$1775,"=may25",'Opportunities'!$R$2:$R$1775,"=1")</f>
        <v>0</v>
      </c>
      <c r="E185" s="4">
        <f>SUMIFS('Opportunities'!$H$2:$H$1775,'Opportunities'!$C$2:$C$1775,"=r16",'Opportunities'!$N$2:$N$1775,"=jun25",'Opportunities'!$R$2:$R$1775,"=1")</f>
        <v>0</v>
      </c>
      <c r="F185" s="4">
        <f>SUMIFS('Opportunities'!$H$2:$H$1775,'Opportunities'!$C$2:$C$1775,"=r16",'Opportunities'!$N$2:$N$1775,"=jul25",'Opportunities'!$R$2:$R$1775,"=1")</f>
        <v>0</v>
      </c>
      <c r="G185" s="4">
        <f>SUMIFS('Opportunities'!$H$2:$H$1775,'Opportunities'!$C$2:$C$1775,"=r16",'Opportunities'!$N$2:$N$1775,"=aug25",'Opportunities'!$R$2:$R$1775,"=1")</f>
        <v>0</v>
      </c>
      <c r="H185" s="4">
        <f>SUMIFS('Opportunities'!$H$2:$H$1775,'Opportunities'!$C$2:$C$1775,"=r16",'Opportunities'!$N$2:$N$1775,"=sep25",'Opportunities'!$R$2:$R$1775,"=1")</f>
        <v>0</v>
      </c>
      <c r="I185" s="4">
        <f>SUMIFS('Opportunities'!$H$2:$H$1775,'Opportunities'!$C$2:$C$1775,"=r16",'Opportunities'!$N$2:$N$1775,"=oct25",'Opportunities'!$R$2:$R$1775,"=1")</f>
        <v>0</v>
      </c>
      <c r="J185" s="4">
        <f>SUMIFS('Opportunities'!$H$2:$H$1775,'Opportunities'!$C$2:$C$1775,"=r16",'Opportunities'!$N$2:$N$1775,"=nov25",'Opportunities'!$R$2:$R$1775,"=1")</f>
        <v>0</v>
      </c>
      <c r="K185" s="4">
        <f>SUMIFS('Opportunities'!$H$2:$H$1775,'Opportunities'!$C$2:$C$1775,"=r16",'Opportunities'!$N$2:$N$1775,"=dec25",'Opportunities'!$R$2:$R$1775,"=1")</f>
        <v>0</v>
      </c>
      <c r="L185" s="4">
        <f>SUMIFS('Opportunities'!$H$2:$H$1775,'Opportunities'!$C$2:$C$1775,"=r16",'Opportunities'!$N$2:$N$1775,"=jan26",'Opportunities'!$R$2:$R$1775,"=1")</f>
        <v>0</v>
      </c>
      <c r="M185" s="4">
        <f>SUMIFS('Opportunities'!$H$2:$H$1775,'Opportunities'!$C$2:$C$1775,"=r16",'Opportunities'!$N$2:$N$1775,"=feb26",'Opportunities'!$R$2:$R$1775,"=1")</f>
        <v>0</v>
      </c>
      <c r="N185" s="4">
        <f>SUMIFS('Opportunities'!$H$2:$H$1775,'Opportunities'!$C$2:$C$1775,"=r16",'Opportunities'!$N$2:$N$1775,"=mar26",'Opportunities'!$R$2:$R$1775,"=1")</f>
        <v>0</v>
      </c>
      <c r="O185" s="4">
        <f>SUMIFS('Opportunities'!$H$2:$H$1775,'Opportunities'!$C$2:$C$1775,"=r16",'Opportunities'!$N$2:$N$1775,"=apr26",'Opportunities'!$R$2:$R$1775,"=1")</f>
        <v>0</v>
      </c>
      <c r="P185" s="4">
        <f>SUMIFS('Opportunities'!$H$2:$H$1775,'Opportunities'!$C$2:$C$1775,"=r16",'Opportunities'!$N$2:$N$1775,"=may26",'Opportunities'!$R$2:$R$1775,"=1")</f>
        <v>0</v>
      </c>
      <c r="Q185" s="4">
        <f>SUMIFS('Opportunities'!$H$2:$H$1775,'Opportunities'!$C$2:$C$1775,"=r16",'Opportunities'!$N$2:$N$1775,"=jun26",'Opportunities'!$R$2:$R$1775,"=1")</f>
        <v>0</v>
      </c>
      <c r="R185" s="4">
        <f>SUMIFS('Opportunities'!$H$2:$H$1775,'Opportunities'!$C$2:$C$1775,"=r16",'Opportunities'!$N$2:$N$1775,"=jul26",'Opportunities'!$R$2:$R$1775,"=1")</f>
        <v>0</v>
      </c>
      <c r="S185" s="4">
        <f>SUMIFS('Opportunities'!$H$2:$H$1775,'Opportunities'!$C$2:$C$1775,"=r16",'Opportunities'!$N$2:$N$1775,"=aug26",'Opportunities'!$R$2:$R$1775,"=1")</f>
        <v>0</v>
      </c>
      <c r="T185" s="4">
        <f>SUMIFS('Opportunities'!$H$2:$H$1775,'Opportunities'!$C$2:$C$1775,"=r16",'Opportunities'!$N$2:$N$1775,"=sep26",'Opportunities'!$R$2:$R$1775,"=1")</f>
        <v>46900</v>
      </c>
      <c r="U185" s="4">
        <f>SUMIFS('Opportunities'!$H$2:$H$1775,'Opportunities'!$C$2:$C$1775,"=r16",'Opportunities'!$N$2:$N$1775,"=oct26",'Opportunities'!$R$2:$R$1775,"=1")</f>
        <v>44100</v>
      </c>
      <c r="V185" s="4">
        <f>SUMIFS('Opportunities'!$H$2:$H$1775,'Opportunities'!$C$2:$C$1775,"=r16",'Opportunities'!$N$2:$N$1775,"=nov26",'Opportunities'!$R$2:$R$1775,"=1")</f>
        <v>0</v>
      </c>
      <c r="W185" s="4">
        <f>SUMIFS('Opportunities'!$H$2:$H$1775,'Opportunities'!$C$2:$C$1775,"=r16",'Opportunities'!$N$2:$N$1775,"=dec26",'Opportunities'!$R$2:$R$1775,"=1")</f>
        <v>0</v>
      </c>
    </row>
    <row r="186">
      <c r="A186" s="0" t="inlineStr">
        <is>
          <t xml:space="preserve">Open pipeline closing this month</t>
        </is>
      </c>
      <c r="B186" s="0" t="inlineStr">
        <is>
          <t xml:space="preserve">Liam Silva</t>
        </is>
      </c>
      <c r="C186" s="4">
        <f>SUMIFS('Opportunities'!$H$2:$H$1775,'Opportunities'!$C$2:$C$1775,"=r17",'Opportunities'!$N$2:$N$1775,"=apr25",'Opportunities'!$R$2:$R$1775,"=1")</f>
        <v>0</v>
      </c>
      <c r="D186" s="4">
        <f>SUMIFS('Opportunities'!$H$2:$H$1775,'Opportunities'!$C$2:$C$1775,"=r17",'Opportunities'!$N$2:$N$1775,"=may25",'Opportunities'!$R$2:$R$1775,"=1")</f>
        <v>0</v>
      </c>
      <c r="E186" s="4">
        <f>SUMIFS('Opportunities'!$H$2:$H$1775,'Opportunities'!$C$2:$C$1775,"=r17",'Opportunities'!$N$2:$N$1775,"=jun25",'Opportunities'!$R$2:$R$1775,"=1")</f>
        <v>0</v>
      </c>
      <c r="F186" s="4">
        <f>SUMIFS('Opportunities'!$H$2:$H$1775,'Opportunities'!$C$2:$C$1775,"=r17",'Opportunities'!$N$2:$N$1775,"=jul25",'Opportunities'!$R$2:$R$1775,"=1")</f>
        <v>0</v>
      </c>
      <c r="G186" s="4">
        <f>SUMIFS('Opportunities'!$H$2:$H$1775,'Opportunities'!$C$2:$C$1775,"=r17",'Opportunities'!$N$2:$N$1775,"=aug25",'Opportunities'!$R$2:$R$1775,"=1")</f>
        <v>0</v>
      </c>
      <c r="H186" s="4">
        <f>SUMIFS('Opportunities'!$H$2:$H$1775,'Opportunities'!$C$2:$C$1775,"=r17",'Opportunities'!$N$2:$N$1775,"=sep25",'Opportunities'!$R$2:$R$1775,"=1")</f>
        <v>0</v>
      </c>
      <c r="I186" s="4">
        <f>SUMIFS('Opportunities'!$H$2:$H$1775,'Opportunities'!$C$2:$C$1775,"=r17",'Opportunities'!$N$2:$N$1775,"=oct25",'Opportunities'!$R$2:$R$1775,"=1")</f>
        <v>0</v>
      </c>
      <c r="J186" s="4">
        <f>SUMIFS('Opportunities'!$H$2:$H$1775,'Opportunities'!$C$2:$C$1775,"=r17",'Opportunities'!$N$2:$N$1775,"=nov25",'Opportunities'!$R$2:$R$1775,"=1")</f>
        <v>0</v>
      </c>
      <c r="K186" s="4">
        <f>SUMIFS('Opportunities'!$H$2:$H$1775,'Opportunities'!$C$2:$C$1775,"=r17",'Opportunities'!$N$2:$N$1775,"=dec25",'Opportunities'!$R$2:$R$1775,"=1")</f>
        <v>0</v>
      </c>
      <c r="L186" s="4">
        <f>SUMIFS('Opportunities'!$H$2:$H$1775,'Opportunities'!$C$2:$C$1775,"=r17",'Opportunities'!$N$2:$N$1775,"=jan26",'Opportunities'!$R$2:$R$1775,"=1")</f>
        <v>0</v>
      </c>
      <c r="M186" s="4">
        <f>SUMIFS('Opportunities'!$H$2:$H$1775,'Opportunities'!$C$2:$C$1775,"=r17",'Opportunities'!$N$2:$N$1775,"=feb26",'Opportunities'!$R$2:$R$1775,"=1")</f>
        <v>0</v>
      </c>
      <c r="N186" s="4">
        <f>SUMIFS('Opportunities'!$H$2:$H$1775,'Opportunities'!$C$2:$C$1775,"=r17",'Opportunities'!$N$2:$N$1775,"=mar26",'Opportunities'!$R$2:$R$1775,"=1")</f>
        <v>0</v>
      </c>
      <c r="O186" s="4">
        <f>SUMIFS('Opportunities'!$H$2:$H$1775,'Opportunities'!$C$2:$C$1775,"=r17",'Opportunities'!$N$2:$N$1775,"=apr26",'Opportunities'!$R$2:$R$1775,"=1")</f>
        <v>0</v>
      </c>
      <c r="P186" s="4">
        <f>SUMIFS('Opportunities'!$H$2:$H$1775,'Opportunities'!$C$2:$C$1775,"=r17",'Opportunities'!$N$2:$N$1775,"=may26",'Opportunities'!$R$2:$R$1775,"=1")</f>
        <v>0</v>
      </c>
      <c r="Q186" s="4">
        <f>SUMIFS('Opportunities'!$H$2:$H$1775,'Opportunities'!$C$2:$C$1775,"=r17",'Opportunities'!$N$2:$N$1775,"=jun26",'Opportunities'!$R$2:$R$1775,"=1")</f>
        <v>0</v>
      </c>
      <c r="R186" s="4">
        <f>SUMIFS('Opportunities'!$H$2:$H$1775,'Opportunities'!$C$2:$C$1775,"=r17",'Opportunities'!$N$2:$N$1775,"=jul26",'Opportunities'!$R$2:$R$1775,"=1")</f>
        <v>0</v>
      </c>
      <c r="S186" s="4">
        <f>SUMIFS('Opportunities'!$H$2:$H$1775,'Opportunities'!$C$2:$C$1775,"=r17",'Opportunities'!$N$2:$N$1775,"=aug26",'Opportunities'!$R$2:$R$1775,"=1")</f>
        <v>0</v>
      </c>
      <c r="T186" s="4">
        <f>SUMIFS('Opportunities'!$H$2:$H$1775,'Opportunities'!$C$2:$C$1775,"=r17",'Opportunities'!$N$2:$N$1775,"=sep26",'Opportunities'!$R$2:$R$1775,"=1")</f>
        <v>57700</v>
      </c>
      <c r="U186" s="4">
        <f>SUMIFS('Opportunities'!$H$2:$H$1775,'Opportunities'!$C$2:$C$1775,"=r17",'Opportunities'!$N$2:$N$1775,"=oct26",'Opportunities'!$R$2:$R$1775,"=1")</f>
        <v>55500</v>
      </c>
      <c r="V186" s="4">
        <f>SUMIFS('Opportunities'!$H$2:$H$1775,'Opportunities'!$C$2:$C$1775,"=r17",'Opportunities'!$N$2:$N$1775,"=nov26",'Opportunities'!$R$2:$R$1775,"=1")</f>
        <v>12500</v>
      </c>
      <c r="W186" s="4">
        <f>SUMIFS('Opportunities'!$H$2:$H$1775,'Opportunities'!$C$2:$C$1775,"=r17",'Opportunities'!$N$2:$N$1775,"=dec26",'Opportunities'!$R$2:$R$1775,"=1")</f>
        <v>46700</v>
      </c>
    </row>
    <row r="187">
      <c r="A187" s="0" t="inlineStr">
        <is>
          <t xml:space="preserve">Open pipeline closing this month</t>
        </is>
      </c>
      <c r="B187" s="0" t="inlineStr">
        <is>
          <t xml:space="preserve">Samuel Silva</t>
        </is>
      </c>
      <c r="C187" s="4">
        <f>SUMIFS('Opportunities'!$H$2:$H$1775,'Opportunities'!$C$2:$C$1775,"=r18",'Opportunities'!$N$2:$N$1775,"=apr25",'Opportunities'!$R$2:$R$1775,"=1")</f>
        <v>0</v>
      </c>
      <c r="D187" s="4">
        <f>SUMIFS('Opportunities'!$H$2:$H$1775,'Opportunities'!$C$2:$C$1775,"=r18",'Opportunities'!$N$2:$N$1775,"=may25",'Opportunities'!$R$2:$R$1775,"=1")</f>
        <v>0</v>
      </c>
      <c r="E187" s="4">
        <f>SUMIFS('Opportunities'!$H$2:$H$1775,'Opportunities'!$C$2:$C$1775,"=r18",'Opportunities'!$N$2:$N$1775,"=jun25",'Opportunities'!$R$2:$R$1775,"=1")</f>
        <v>0</v>
      </c>
      <c r="F187" s="4">
        <f>SUMIFS('Opportunities'!$H$2:$H$1775,'Opportunities'!$C$2:$C$1775,"=r18",'Opportunities'!$N$2:$N$1775,"=jul25",'Opportunities'!$R$2:$R$1775,"=1")</f>
        <v>0</v>
      </c>
      <c r="G187" s="4">
        <f>SUMIFS('Opportunities'!$H$2:$H$1775,'Opportunities'!$C$2:$C$1775,"=r18",'Opportunities'!$N$2:$N$1775,"=aug25",'Opportunities'!$R$2:$R$1775,"=1")</f>
        <v>0</v>
      </c>
      <c r="H187" s="4">
        <f>SUMIFS('Opportunities'!$H$2:$H$1775,'Opportunities'!$C$2:$C$1775,"=r18",'Opportunities'!$N$2:$N$1775,"=sep25",'Opportunities'!$R$2:$R$1775,"=1")</f>
        <v>0</v>
      </c>
      <c r="I187" s="4">
        <f>SUMIFS('Opportunities'!$H$2:$H$1775,'Opportunities'!$C$2:$C$1775,"=r18",'Opportunities'!$N$2:$N$1775,"=oct25",'Opportunities'!$R$2:$R$1775,"=1")</f>
        <v>0</v>
      </c>
      <c r="J187" s="4">
        <f>SUMIFS('Opportunities'!$H$2:$H$1775,'Opportunities'!$C$2:$C$1775,"=r18",'Opportunities'!$N$2:$N$1775,"=nov25",'Opportunities'!$R$2:$R$1775,"=1")</f>
        <v>0</v>
      </c>
      <c r="K187" s="4">
        <f>SUMIFS('Opportunities'!$H$2:$H$1775,'Opportunities'!$C$2:$C$1775,"=r18",'Opportunities'!$N$2:$N$1775,"=dec25",'Opportunities'!$R$2:$R$1775,"=1")</f>
        <v>0</v>
      </c>
      <c r="L187" s="4">
        <f>SUMIFS('Opportunities'!$H$2:$H$1775,'Opportunities'!$C$2:$C$1775,"=r18",'Opportunities'!$N$2:$N$1775,"=jan26",'Opportunities'!$R$2:$R$1775,"=1")</f>
        <v>0</v>
      </c>
      <c r="M187" s="4">
        <f>SUMIFS('Opportunities'!$H$2:$H$1775,'Opportunities'!$C$2:$C$1775,"=r18",'Opportunities'!$N$2:$N$1775,"=feb26",'Opportunities'!$R$2:$R$1775,"=1")</f>
        <v>0</v>
      </c>
      <c r="N187" s="4">
        <f>SUMIFS('Opportunities'!$H$2:$H$1775,'Opportunities'!$C$2:$C$1775,"=r18",'Opportunities'!$N$2:$N$1775,"=mar26",'Opportunities'!$R$2:$R$1775,"=1")</f>
        <v>0</v>
      </c>
      <c r="O187" s="4">
        <f>SUMIFS('Opportunities'!$H$2:$H$1775,'Opportunities'!$C$2:$C$1775,"=r18",'Opportunities'!$N$2:$N$1775,"=apr26",'Opportunities'!$R$2:$R$1775,"=1")</f>
        <v>0</v>
      </c>
      <c r="P187" s="4">
        <f>SUMIFS('Opportunities'!$H$2:$H$1775,'Opportunities'!$C$2:$C$1775,"=r18",'Opportunities'!$N$2:$N$1775,"=may26",'Opportunities'!$R$2:$R$1775,"=1")</f>
        <v>0</v>
      </c>
      <c r="Q187" s="4">
        <f>SUMIFS('Opportunities'!$H$2:$H$1775,'Opportunities'!$C$2:$C$1775,"=r18",'Opportunities'!$N$2:$N$1775,"=jun26",'Opportunities'!$R$2:$R$1775,"=1")</f>
        <v>0</v>
      </c>
      <c r="R187" s="4">
        <f>SUMIFS('Opportunities'!$H$2:$H$1775,'Opportunities'!$C$2:$C$1775,"=r18",'Opportunities'!$N$2:$N$1775,"=jul26",'Opportunities'!$R$2:$R$1775,"=1")</f>
        <v>0</v>
      </c>
      <c r="S187" s="4">
        <f>SUMIFS('Opportunities'!$H$2:$H$1775,'Opportunities'!$C$2:$C$1775,"=r18",'Opportunities'!$N$2:$N$1775,"=aug26",'Opportunities'!$R$2:$R$1775,"=1")</f>
        <v>0</v>
      </c>
      <c r="T187" s="4">
        <f>SUMIFS('Opportunities'!$H$2:$H$1775,'Opportunities'!$C$2:$C$1775,"=r18",'Opportunities'!$N$2:$N$1775,"=sep26",'Opportunities'!$R$2:$R$1775,"=1")</f>
        <v>11600</v>
      </c>
      <c r="U187" s="4">
        <f>SUMIFS('Opportunities'!$H$2:$H$1775,'Opportunities'!$C$2:$C$1775,"=r18",'Opportunities'!$N$2:$N$1775,"=oct26",'Opportunities'!$R$2:$R$1775,"=1")</f>
        <v>38200</v>
      </c>
      <c r="V187" s="4">
        <f>SUMIFS('Opportunities'!$H$2:$H$1775,'Opportunities'!$C$2:$C$1775,"=r18",'Opportunities'!$N$2:$N$1775,"=nov26",'Opportunities'!$R$2:$R$1775,"=1")</f>
        <v>0</v>
      </c>
      <c r="W187" s="4">
        <f>SUMIFS('Opportunities'!$H$2:$H$1775,'Opportunities'!$C$2:$C$1775,"=r18",'Opportunities'!$N$2:$N$1775,"=dec26",'Opportunities'!$R$2:$R$1775,"=1")</f>
        <v>9200</v>
      </c>
    </row>
    <row r="188">
      <c r="A188" s="0" t="inlineStr">
        <is>
          <t xml:space="preserve">Open pipeline closing this month</t>
        </is>
      </c>
      <c r="B188" s="0" t="inlineStr">
        <is>
          <t xml:space="preserve">Yuki Larsen</t>
        </is>
      </c>
      <c r="C188" s="4">
        <f>SUMIFS('Opportunities'!$H$2:$H$1775,'Opportunities'!$C$2:$C$1775,"=r19",'Opportunities'!$N$2:$N$1775,"=apr25",'Opportunities'!$R$2:$R$1775,"=1")</f>
        <v>0</v>
      </c>
      <c r="D188" s="4">
        <f>SUMIFS('Opportunities'!$H$2:$H$1775,'Opportunities'!$C$2:$C$1775,"=r19",'Opportunities'!$N$2:$N$1775,"=may25",'Opportunities'!$R$2:$R$1775,"=1")</f>
        <v>0</v>
      </c>
      <c r="E188" s="4">
        <f>SUMIFS('Opportunities'!$H$2:$H$1775,'Opportunities'!$C$2:$C$1775,"=r19",'Opportunities'!$N$2:$N$1775,"=jun25",'Opportunities'!$R$2:$R$1775,"=1")</f>
        <v>0</v>
      </c>
      <c r="F188" s="4">
        <f>SUMIFS('Opportunities'!$H$2:$H$1775,'Opportunities'!$C$2:$C$1775,"=r19",'Opportunities'!$N$2:$N$1775,"=jul25",'Opportunities'!$R$2:$R$1775,"=1")</f>
        <v>0</v>
      </c>
      <c r="G188" s="4">
        <f>SUMIFS('Opportunities'!$H$2:$H$1775,'Opportunities'!$C$2:$C$1775,"=r19",'Opportunities'!$N$2:$N$1775,"=aug25",'Opportunities'!$R$2:$R$1775,"=1")</f>
        <v>0</v>
      </c>
      <c r="H188" s="4">
        <f>SUMIFS('Opportunities'!$H$2:$H$1775,'Opportunities'!$C$2:$C$1775,"=r19",'Opportunities'!$N$2:$N$1775,"=sep25",'Opportunities'!$R$2:$R$1775,"=1")</f>
        <v>0</v>
      </c>
      <c r="I188" s="4">
        <f>SUMIFS('Opportunities'!$H$2:$H$1775,'Opportunities'!$C$2:$C$1775,"=r19",'Opportunities'!$N$2:$N$1775,"=oct25",'Opportunities'!$R$2:$R$1775,"=1")</f>
        <v>0</v>
      </c>
      <c r="J188" s="4">
        <f>SUMIFS('Opportunities'!$H$2:$H$1775,'Opportunities'!$C$2:$C$1775,"=r19",'Opportunities'!$N$2:$N$1775,"=nov25",'Opportunities'!$R$2:$R$1775,"=1")</f>
        <v>0</v>
      </c>
      <c r="K188" s="4">
        <f>SUMIFS('Opportunities'!$H$2:$H$1775,'Opportunities'!$C$2:$C$1775,"=r19",'Opportunities'!$N$2:$N$1775,"=dec25",'Opportunities'!$R$2:$R$1775,"=1")</f>
        <v>0</v>
      </c>
      <c r="L188" s="4">
        <f>SUMIFS('Opportunities'!$H$2:$H$1775,'Opportunities'!$C$2:$C$1775,"=r19",'Opportunities'!$N$2:$N$1775,"=jan26",'Opportunities'!$R$2:$R$1775,"=1")</f>
        <v>0</v>
      </c>
      <c r="M188" s="4">
        <f>SUMIFS('Opportunities'!$H$2:$H$1775,'Opportunities'!$C$2:$C$1775,"=r19",'Opportunities'!$N$2:$N$1775,"=feb26",'Opportunities'!$R$2:$R$1775,"=1")</f>
        <v>0</v>
      </c>
      <c r="N188" s="4">
        <f>SUMIFS('Opportunities'!$H$2:$H$1775,'Opportunities'!$C$2:$C$1775,"=r19",'Opportunities'!$N$2:$N$1775,"=mar26",'Opportunities'!$R$2:$R$1775,"=1")</f>
        <v>0</v>
      </c>
      <c r="O188" s="4">
        <f>SUMIFS('Opportunities'!$H$2:$H$1775,'Opportunities'!$C$2:$C$1775,"=r19",'Opportunities'!$N$2:$N$1775,"=apr26",'Opportunities'!$R$2:$R$1775,"=1")</f>
        <v>0</v>
      </c>
      <c r="P188" s="4">
        <f>SUMIFS('Opportunities'!$H$2:$H$1775,'Opportunities'!$C$2:$C$1775,"=r19",'Opportunities'!$N$2:$N$1775,"=may26",'Opportunities'!$R$2:$R$1775,"=1")</f>
        <v>0</v>
      </c>
      <c r="Q188" s="4">
        <f>SUMIFS('Opportunities'!$H$2:$H$1775,'Opportunities'!$C$2:$C$1775,"=r19",'Opportunities'!$N$2:$N$1775,"=jun26",'Opportunities'!$R$2:$R$1775,"=1")</f>
        <v>0</v>
      </c>
      <c r="R188" s="4">
        <f>SUMIFS('Opportunities'!$H$2:$H$1775,'Opportunities'!$C$2:$C$1775,"=r19",'Opportunities'!$N$2:$N$1775,"=jul26",'Opportunities'!$R$2:$R$1775,"=1")</f>
        <v>0</v>
      </c>
      <c r="S188" s="4">
        <f>SUMIFS('Opportunities'!$H$2:$H$1775,'Opportunities'!$C$2:$C$1775,"=r19",'Opportunities'!$N$2:$N$1775,"=aug26",'Opportunities'!$R$2:$R$1775,"=1")</f>
        <v>0</v>
      </c>
      <c r="T188" s="4">
        <f>SUMIFS('Opportunities'!$H$2:$H$1775,'Opportunities'!$C$2:$C$1775,"=r19",'Opportunities'!$N$2:$N$1775,"=sep26",'Opportunities'!$R$2:$R$1775,"=1")</f>
        <v>0</v>
      </c>
      <c r="U188" s="4">
        <f>SUMIFS('Opportunities'!$H$2:$H$1775,'Opportunities'!$C$2:$C$1775,"=r19",'Opportunities'!$N$2:$N$1775,"=oct26",'Opportunities'!$R$2:$R$1775,"=1")</f>
        <v>426000</v>
      </c>
      <c r="V188" s="4">
        <f>SUMIFS('Opportunities'!$H$2:$H$1775,'Opportunities'!$C$2:$C$1775,"=r19",'Opportunities'!$N$2:$N$1775,"=nov26",'Opportunities'!$R$2:$R$1775,"=1")</f>
        <v>460100</v>
      </c>
      <c r="W188" s="4">
        <f>SUMIFS('Opportunities'!$H$2:$H$1775,'Opportunities'!$C$2:$C$1775,"=r19",'Opportunities'!$N$2:$N$1775,"=dec26",'Opportunities'!$R$2:$R$1775,"=1")</f>
        <v>560200</v>
      </c>
    </row>
    <row r="189">
      <c r="A189" s="0" t="inlineStr">
        <is>
          <t xml:space="preserve">Open pipeline closing this month</t>
        </is>
      </c>
      <c r="B189" s="0" t="inlineStr">
        <is>
          <t xml:space="preserve">Nikolai Sato</t>
        </is>
      </c>
      <c r="C189" s="4">
        <f>SUMIFS('Opportunities'!$H$2:$H$1775,'Opportunities'!$C$2:$C$1775,"=r20",'Opportunities'!$N$2:$N$1775,"=apr25",'Opportunities'!$R$2:$R$1775,"=1")</f>
        <v>0</v>
      </c>
      <c r="D189" s="4">
        <f>SUMIFS('Opportunities'!$H$2:$H$1775,'Opportunities'!$C$2:$C$1775,"=r20",'Opportunities'!$N$2:$N$1775,"=may25",'Opportunities'!$R$2:$R$1775,"=1")</f>
        <v>0</v>
      </c>
      <c r="E189" s="4">
        <f>SUMIFS('Opportunities'!$H$2:$H$1775,'Opportunities'!$C$2:$C$1775,"=r20",'Opportunities'!$N$2:$N$1775,"=jun25",'Opportunities'!$R$2:$R$1775,"=1")</f>
        <v>0</v>
      </c>
      <c r="F189" s="4">
        <f>SUMIFS('Opportunities'!$H$2:$H$1775,'Opportunities'!$C$2:$C$1775,"=r20",'Opportunities'!$N$2:$N$1775,"=jul25",'Opportunities'!$R$2:$R$1775,"=1")</f>
        <v>0</v>
      </c>
      <c r="G189" s="4">
        <f>SUMIFS('Opportunities'!$H$2:$H$1775,'Opportunities'!$C$2:$C$1775,"=r20",'Opportunities'!$N$2:$N$1775,"=aug25",'Opportunities'!$R$2:$R$1775,"=1")</f>
        <v>0</v>
      </c>
      <c r="H189" s="4">
        <f>SUMIFS('Opportunities'!$H$2:$H$1775,'Opportunities'!$C$2:$C$1775,"=r20",'Opportunities'!$N$2:$N$1775,"=sep25",'Opportunities'!$R$2:$R$1775,"=1")</f>
        <v>0</v>
      </c>
      <c r="I189" s="4">
        <f>SUMIFS('Opportunities'!$H$2:$H$1775,'Opportunities'!$C$2:$C$1775,"=r20",'Opportunities'!$N$2:$N$1775,"=oct25",'Opportunities'!$R$2:$R$1775,"=1")</f>
        <v>0</v>
      </c>
      <c r="J189" s="4">
        <f>SUMIFS('Opportunities'!$H$2:$H$1775,'Opportunities'!$C$2:$C$1775,"=r20",'Opportunities'!$N$2:$N$1775,"=nov25",'Opportunities'!$R$2:$R$1775,"=1")</f>
        <v>0</v>
      </c>
      <c r="K189" s="4">
        <f>SUMIFS('Opportunities'!$H$2:$H$1775,'Opportunities'!$C$2:$C$1775,"=r20",'Opportunities'!$N$2:$N$1775,"=dec25",'Opportunities'!$R$2:$R$1775,"=1")</f>
        <v>0</v>
      </c>
      <c r="L189" s="4">
        <f>SUMIFS('Opportunities'!$H$2:$H$1775,'Opportunities'!$C$2:$C$1775,"=r20",'Opportunities'!$N$2:$N$1775,"=jan26",'Opportunities'!$R$2:$R$1775,"=1")</f>
        <v>0</v>
      </c>
      <c r="M189" s="4">
        <f>SUMIFS('Opportunities'!$H$2:$H$1775,'Opportunities'!$C$2:$C$1775,"=r20",'Opportunities'!$N$2:$N$1775,"=feb26",'Opportunities'!$R$2:$R$1775,"=1")</f>
        <v>0</v>
      </c>
      <c r="N189" s="4">
        <f>SUMIFS('Opportunities'!$H$2:$H$1775,'Opportunities'!$C$2:$C$1775,"=r20",'Opportunities'!$N$2:$N$1775,"=mar26",'Opportunities'!$R$2:$R$1775,"=1")</f>
        <v>0</v>
      </c>
      <c r="O189" s="4">
        <f>SUMIFS('Opportunities'!$H$2:$H$1775,'Opportunities'!$C$2:$C$1775,"=r20",'Opportunities'!$N$2:$N$1775,"=apr26",'Opportunities'!$R$2:$R$1775,"=1")</f>
        <v>0</v>
      </c>
      <c r="P189" s="4">
        <f>SUMIFS('Opportunities'!$H$2:$H$1775,'Opportunities'!$C$2:$C$1775,"=r20",'Opportunities'!$N$2:$N$1775,"=may26",'Opportunities'!$R$2:$R$1775,"=1")</f>
        <v>0</v>
      </c>
      <c r="Q189" s="4">
        <f>SUMIFS('Opportunities'!$H$2:$H$1775,'Opportunities'!$C$2:$C$1775,"=r20",'Opportunities'!$N$2:$N$1775,"=jun26",'Opportunities'!$R$2:$R$1775,"=1")</f>
        <v>0</v>
      </c>
      <c r="R189" s="4">
        <f>SUMIFS('Opportunities'!$H$2:$H$1775,'Opportunities'!$C$2:$C$1775,"=r20",'Opportunities'!$N$2:$N$1775,"=jul26",'Opportunities'!$R$2:$R$1775,"=1")</f>
        <v>0</v>
      </c>
      <c r="S189" s="4">
        <f>SUMIFS('Opportunities'!$H$2:$H$1775,'Opportunities'!$C$2:$C$1775,"=r20",'Opportunities'!$N$2:$N$1775,"=aug26",'Opportunities'!$R$2:$R$1775,"=1")</f>
        <v>0</v>
      </c>
      <c r="T189" s="4">
        <f>SUMIFS('Opportunities'!$H$2:$H$1775,'Opportunities'!$C$2:$C$1775,"=r20",'Opportunities'!$N$2:$N$1775,"=sep26",'Opportunities'!$R$2:$R$1775,"=1")</f>
        <v>236900</v>
      </c>
      <c r="U189" s="4">
        <f>SUMIFS('Opportunities'!$H$2:$H$1775,'Opportunities'!$C$2:$C$1775,"=r20",'Opportunities'!$N$2:$N$1775,"=oct26",'Opportunities'!$R$2:$R$1775,"=1")</f>
        <v>101300</v>
      </c>
      <c r="V189" s="4">
        <f>SUMIFS('Opportunities'!$H$2:$H$1775,'Opportunities'!$C$2:$C$1775,"=r20",'Opportunities'!$N$2:$N$1775,"=nov26",'Opportunities'!$R$2:$R$1775,"=1")</f>
        <v>0</v>
      </c>
      <c r="W189" s="4">
        <f>SUMIFS('Opportunities'!$H$2:$H$1775,'Opportunities'!$C$2:$C$1775,"=r20",'Opportunities'!$N$2:$N$1775,"=dec26",'Opportunities'!$R$2:$R$1775,"=1")</f>
        <v>1075300</v>
      </c>
    </row>
    <row r="190">
      <c r="A190" s="0" t="inlineStr">
        <is>
          <t xml:space="preserve">Open pipeline closing this month</t>
        </is>
      </c>
      <c r="B190" s="0" t="inlineStr">
        <is>
          <t xml:space="preserve">Elena Silva</t>
        </is>
      </c>
      <c r="C190" s="4">
        <f>SUMIFS('Opportunities'!$H$2:$H$1775,'Opportunities'!$C$2:$C$1775,"=r21",'Opportunities'!$N$2:$N$1775,"=apr25",'Opportunities'!$R$2:$R$1775,"=1")</f>
        <v>0</v>
      </c>
      <c r="D190" s="4">
        <f>SUMIFS('Opportunities'!$H$2:$H$1775,'Opportunities'!$C$2:$C$1775,"=r21",'Opportunities'!$N$2:$N$1775,"=may25",'Opportunities'!$R$2:$R$1775,"=1")</f>
        <v>0</v>
      </c>
      <c r="E190" s="4">
        <f>SUMIFS('Opportunities'!$H$2:$H$1775,'Opportunities'!$C$2:$C$1775,"=r21",'Opportunities'!$N$2:$N$1775,"=jun25",'Opportunities'!$R$2:$R$1775,"=1")</f>
        <v>0</v>
      </c>
      <c r="F190" s="4">
        <f>SUMIFS('Opportunities'!$H$2:$H$1775,'Opportunities'!$C$2:$C$1775,"=r21",'Opportunities'!$N$2:$N$1775,"=jul25",'Opportunities'!$R$2:$R$1775,"=1")</f>
        <v>0</v>
      </c>
      <c r="G190" s="4">
        <f>SUMIFS('Opportunities'!$H$2:$H$1775,'Opportunities'!$C$2:$C$1775,"=r21",'Opportunities'!$N$2:$N$1775,"=aug25",'Opportunities'!$R$2:$R$1775,"=1")</f>
        <v>0</v>
      </c>
      <c r="H190" s="4">
        <f>SUMIFS('Opportunities'!$H$2:$H$1775,'Opportunities'!$C$2:$C$1775,"=r21",'Opportunities'!$N$2:$N$1775,"=sep25",'Opportunities'!$R$2:$R$1775,"=1")</f>
        <v>0</v>
      </c>
      <c r="I190" s="4">
        <f>SUMIFS('Opportunities'!$H$2:$H$1775,'Opportunities'!$C$2:$C$1775,"=r21",'Opportunities'!$N$2:$N$1775,"=oct25",'Opportunities'!$R$2:$R$1775,"=1")</f>
        <v>0</v>
      </c>
      <c r="J190" s="4">
        <f>SUMIFS('Opportunities'!$H$2:$H$1775,'Opportunities'!$C$2:$C$1775,"=r21",'Opportunities'!$N$2:$N$1775,"=nov25",'Opportunities'!$R$2:$R$1775,"=1")</f>
        <v>0</v>
      </c>
      <c r="K190" s="4">
        <f>SUMIFS('Opportunities'!$H$2:$H$1775,'Opportunities'!$C$2:$C$1775,"=r21",'Opportunities'!$N$2:$N$1775,"=dec25",'Opportunities'!$R$2:$R$1775,"=1")</f>
        <v>0</v>
      </c>
      <c r="L190" s="4">
        <f>SUMIFS('Opportunities'!$H$2:$H$1775,'Opportunities'!$C$2:$C$1775,"=r21",'Opportunities'!$N$2:$N$1775,"=jan26",'Opportunities'!$R$2:$R$1775,"=1")</f>
        <v>0</v>
      </c>
      <c r="M190" s="4">
        <f>SUMIFS('Opportunities'!$H$2:$H$1775,'Opportunities'!$C$2:$C$1775,"=r21",'Opportunities'!$N$2:$N$1775,"=feb26",'Opportunities'!$R$2:$R$1775,"=1")</f>
        <v>0</v>
      </c>
      <c r="N190" s="4">
        <f>SUMIFS('Opportunities'!$H$2:$H$1775,'Opportunities'!$C$2:$C$1775,"=r21",'Opportunities'!$N$2:$N$1775,"=mar26",'Opportunities'!$R$2:$R$1775,"=1")</f>
        <v>0</v>
      </c>
      <c r="O190" s="4">
        <f>SUMIFS('Opportunities'!$H$2:$H$1775,'Opportunities'!$C$2:$C$1775,"=r21",'Opportunities'!$N$2:$N$1775,"=apr26",'Opportunities'!$R$2:$R$1775,"=1")</f>
        <v>0</v>
      </c>
      <c r="P190" s="4">
        <f>SUMIFS('Opportunities'!$H$2:$H$1775,'Opportunities'!$C$2:$C$1775,"=r21",'Opportunities'!$N$2:$N$1775,"=may26",'Opportunities'!$R$2:$R$1775,"=1")</f>
        <v>0</v>
      </c>
      <c r="Q190" s="4">
        <f>SUMIFS('Opportunities'!$H$2:$H$1775,'Opportunities'!$C$2:$C$1775,"=r21",'Opportunities'!$N$2:$N$1775,"=jun26",'Opportunities'!$R$2:$R$1775,"=1")</f>
        <v>0</v>
      </c>
      <c r="R190" s="4">
        <f>SUMIFS('Opportunities'!$H$2:$H$1775,'Opportunities'!$C$2:$C$1775,"=r21",'Opportunities'!$N$2:$N$1775,"=jul26",'Opportunities'!$R$2:$R$1775,"=1")</f>
        <v>0</v>
      </c>
      <c r="S190" s="4">
        <f>SUMIFS('Opportunities'!$H$2:$H$1775,'Opportunities'!$C$2:$C$1775,"=r21",'Opportunities'!$N$2:$N$1775,"=aug26",'Opportunities'!$R$2:$R$1775,"=1")</f>
        <v>0</v>
      </c>
      <c r="T190" s="4">
        <f>SUMIFS('Opportunities'!$H$2:$H$1775,'Opportunities'!$C$2:$C$1775,"=r21",'Opportunities'!$N$2:$N$1775,"=sep26",'Opportunities'!$R$2:$R$1775,"=1")</f>
        <v>185600</v>
      </c>
      <c r="U190" s="4">
        <f>SUMIFS('Opportunities'!$H$2:$H$1775,'Opportunities'!$C$2:$C$1775,"=r21",'Opportunities'!$N$2:$N$1775,"=oct26",'Opportunities'!$R$2:$R$1775,"=1")</f>
        <v>198700</v>
      </c>
      <c r="V190" s="4">
        <f>SUMIFS('Opportunities'!$H$2:$H$1775,'Opportunities'!$C$2:$C$1775,"=r21",'Opportunities'!$N$2:$N$1775,"=nov26",'Opportunities'!$R$2:$R$1775,"=1")</f>
        <v>76800</v>
      </c>
      <c r="W190" s="4">
        <f>SUMIFS('Opportunities'!$H$2:$H$1775,'Opportunities'!$C$2:$C$1775,"=r21",'Opportunities'!$N$2:$N$1775,"=dec26",'Opportunities'!$R$2:$R$1775,"=1")</f>
        <v>163700</v>
      </c>
    </row>
    <row r="191">
      <c r="A191" s="0" t="inlineStr">
        <is>
          <t xml:space="preserve">Open pipeline closing this month</t>
        </is>
      </c>
      <c r="B191" s="0" t="inlineStr">
        <is>
          <t xml:space="preserve">Arjun Müller</t>
        </is>
      </c>
      <c r="C191" s="4">
        <f>SUMIFS('Opportunities'!$H$2:$H$1775,'Opportunities'!$C$2:$C$1775,"=r22",'Opportunities'!$N$2:$N$1775,"=apr25",'Opportunities'!$R$2:$R$1775,"=1")</f>
        <v>0</v>
      </c>
      <c r="D191" s="4">
        <f>SUMIFS('Opportunities'!$H$2:$H$1775,'Opportunities'!$C$2:$C$1775,"=r22",'Opportunities'!$N$2:$N$1775,"=may25",'Opportunities'!$R$2:$R$1775,"=1")</f>
        <v>0</v>
      </c>
      <c r="E191" s="4">
        <f>SUMIFS('Opportunities'!$H$2:$H$1775,'Opportunities'!$C$2:$C$1775,"=r22",'Opportunities'!$N$2:$N$1775,"=jun25",'Opportunities'!$R$2:$R$1775,"=1")</f>
        <v>0</v>
      </c>
      <c r="F191" s="4">
        <f>SUMIFS('Opportunities'!$H$2:$H$1775,'Opportunities'!$C$2:$C$1775,"=r22",'Opportunities'!$N$2:$N$1775,"=jul25",'Opportunities'!$R$2:$R$1775,"=1")</f>
        <v>0</v>
      </c>
      <c r="G191" s="4">
        <f>SUMIFS('Opportunities'!$H$2:$H$1775,'Opportunities'!$C$2:$C$1775,"=r22",'Opportunities'!$N$2:$N$1775,"=aug25",'Opportunities'!$R$2:$R$1775,"=1")</f>
        <v>0</v>
      </c>
      <c r="H191" s="4">
        <f>SUMIFS('Opportunities'!$H$2:$H$1775,'Opportunities'!$C$2:$C$1775,"=r22",'Opportunities'!$N$2:$N$1775,"=sep25",'Opportunities'!$R$2:$R$1775,"=1")</f>
        <v>0</v>
      </c>
      <c r="I191" s="4">
        <f>SUMIFS('Opportunities'!$H$2:$H$1775,'Opportunities'!$C$2:$C$1775,"=r22",'Opportunities'!$N$2:$N$1775,"=oct25",'Opportunities'!$R$2:$R$1775,"=1")</f>
        <v>0</v>
      </c>
      <c r="J191" s="4">
        <f>SUMIFS('Opportunities'!$H$2:$H$1775,'Opportunities'!$C$2:$C$1775,"=r22",'Opportunities'!$N$2:$N$1775,"=nov25",'Opportunities'!$R$2:$R$1775,"=1")</f>
        <v>0</v>
      </c>
      <c r="K191" s="4">
        <f>SUMIFS('Opportunities'!$H$2:$H$1775,'Opportunities'!$C$2:$C$1775,"=r22",'Opportunities'!$N$2:$N$1775,"=dec25",'Opportunities'!$R$2:$R$1775,"=1")</f>
        <v>0</v>
      </c>
      <c r="L191" s="4">
        <f>SUMIFS('Opportunities'!$H$2:$H$1775,'Opportunities'!$C$2:$C$1775,"=r22",'Opportunities'!$N$2:$N$1775,"=jan26",'Opportunities'!$R$2:$R$1775,"=1")</f>
        <v>0</v>
      </c>
      <c r="M191" s="4">
        <f>SUMIFS('Opportunities'!$H$2:$H$1775,'Opportunities'!$C$2:$C$1775,"=r22",'Opportunities'!$N$2:$N$1775,"=feb26",'Opportunities'!$R$2:$R$1775,"=1")</f>
        <v>0</v>
      </c>
      <c r="N191" s="4">
        <f>SUMIFS('Opportunities'!$H$2:$H$1775,'Opportunities'!$C$2:$C$1775,"=r22",'Opportunities'!$N$2:$N$1775,"=mar26",'Opportunities'!$R$2:$R$1775,"=1")</f>
        <v>0</v>
      </c>
      <c r="O191" s="4">
        <f>SUMIFS('Opportunities'!$H$2:$H$1775,'Opportunities'!$C$2:$C$1775,"=r22",'Opportunities'!$N$2:$N$1775,"=apr26",'Opportunities'!$R$2:$R$1775,"=1")</f>
        <v>0</v>
      </c>
      <c r="P191" s="4">
        <f>SUMIFS('Opportunities'!$H$2:$H$1775,'Opportunities'!$C$2:$C$1775,"=r22",'Opportunities'!$N$2:$N$1775,"=may26",'Opportunities'!$R$2:$R$1775,"=1")</f>
        <v>0</v>
      </c>
      <c r="Q191" s="4">
        <f>SUMIFS('Opportunities'!$H$2:$H$1775,'Opportunities'!$C$2:$C$1775,"=r22",'Opportunities'!$N$2:$N$1775,"=jun26",'Opportunities'!$R$2:$R$1775,"=1")</f>
        <v>0</v>
      </c>
      <c r="R191" s="4">
        <f>SUMIFS('Opportunities'!$H$2:$H$1775,'Opportunities'!$C$2:$C$1775,"=r22",'Opportunities'!$N$2:$N$1775,"=jul26",'Opportunities'!$R$2:$R$1775,"=1")</f>
        <v>0</v>
      </c>
      <c r="S191" s="4">
        <f>SUMIFS('Opportunities'!$H$2:$H$1775,'Opportunities'!$C$2:$C$1775,"=r22",'Opportunities'!$N$2:$N$1775,"=aug26",'Opportunities'!$R$2:$R$1775,"=1")</f>
        <v>0</v>
      </c>
      <c r="T191" s="4">
        <f>SUMIFS('Opportunities'!$H$2:$H$1775,'Opportunities'!$C$2:$C$1775,"=r22",'Opportunities'!$N$2:$N$1775,"=sep26",'Opportunities'!$R$2:$R$1775,"=1")</f>
        <v>21700</v>
      </c>
      <c r="U191" s="4">
        <f>SUMIFS('Opportunities'!$H$2:$H$1775,'Opportunities'!$C$2:$C$1775,"=r22",'Opportunities'!$N$2:$N$1775,"=oct26",'Opportunities'!$R$2:$R$1775,"=1")</f>
        <v>94400</v>
      </c>
      <c r="V191" s="4">
        <f>SUMIFS('Opportunities'!$H$2:$H$1775,'Opportunities'!$C$2:$C$1775,"=r22",'Opportunities'!$N$2:$N$1775,"=nov26",'Opportunities'!$R$2:$R$1775,"=1")</f>
        <v>0</v>
      </c>
      <c r="W191" s="4">
        <f>SUMIFS('Opportunities'!$H$2:$H$1775,'Opportunities'!$C$2:$C$1775,"=r22",'Opportunities'!$N$2:$N$1775,"=dec26",'Opportunities'!$R$2:$R$1775,"=1")</f>
        <v>53900</v>
      </c>
    </row>
    <row r="192">
      <c r="A192" s="0" t="inlineStr">
        <is>
          <t xml:space="preserve">Open pipeline closing this month</t>
        </is>
      </c>
      <c r="B192" s="0" t="inlineStr">
        <is>
          <t xml:space="preserve">Nikolai Park</t>
        </is>
      </c>
      <c r="C192" s="4">
        <f>SUMIFS('Opportunities'!$H$2:$H$1775,'Opportunities'!$C$2:$C$1775,"=r23",'Opportunities'!$N$2:$N$1775,"=apr25",'Opportunities'!$R$2:$R$1775,"=1")</f>
        <v>0</v>
      </c>
      <c r="D192" s="4">
        <f>SUMIFS('Opportunities'!$H$2:$H$1775,'Opportunities'!$C$2:$C$1775,"=r23",'Opportunities'!$N$2:$N$1775,"=may25",'Opportunities'!$R$2:$R$1775,"=1")</f>
        <v>0</v>
      </c>
      <c r="E192" s="4">
        <f>SUMIFS('Opportunities'!$H$2:$H$1775,'Opportunities'!$C$2:$C$1775,"=r23",'Opportunities'!$N$2:$N$1775,"=jun25",'Opportunities'!$R$2:$R$1775,"=1")</f>
        <v>0</v>
      </c>
      <c r="F192" s="4">
        <f>SUMIFS('Opportunities'!$H$2:$H$1775,'Opportunities'!$C$2:$C$1775,"=r23",'Opportunities'!$N$2:$N$1775,"=jul25",'Opportunities'!$R$2:$R$1775,"=1")</f>
        <v>0</v>
      </c>
      <c r="G192" s="4">
        <f>SUMIFS('Opportunities'!$H$2:$H$1775,'Opportunities'!$C$2:$C$1775,"=r23",'Opportunities'!$N$2:$N$1775,"=aug25",'Opportunities'!$R$2:$R$1775,"=1")</f>
        <v>0</v>
      </c>
      <c r="H192" s="4">
        <f>SUMIFS('Opportunities'!$H$2:$H$1775,'Opportunities'!$C$2:$C$1775,"=r23",'Opportunities'!$N$2:$N$1775,"=sep25",'Opportunities'!$R$2:$R$1775,"=1")</f>
        <v>0</v>
      </c>
      <c r="I192" s="4">
        <f>SUMIFS('Opportunities'!$H$2:$H$1775,'Opportunities'!$C$2:$C$1775,"=r23",'Opportunities'!$N$2:$N$1775,"=oct25",'Opportunities'!$R$2:$R$1775,"=1")</f>
        <v>0</v>
      </c>
      <c r="J192" s="4">
        <f>SUMIFS('Opportunities'!$H$2:$H$1775,'Opportunities'!$C$2:$C$1775,"=r23",'Opportunities'!$N$2:$N$1775,"=nov25",'Opportunities'!$R$2:$R$1775,"=1")</f>
        <v>0</v>
      </c>
      <c r="K192" s="4">
        <f>SUMIFS('Opportunities'!$H$2:$H$1775,'Opportunities'!$C$2:$C$1775,"=r23",'Opportunities'!$N$2:$N$1775,"=dec25",'Opportunities'!$R$2:$R$1775,"=1")</f>
        <v>0</v>
      </c>
      <c r="L192" s="4">
        <f>SUMIFS('Opportunities'!$H$2:$H$1775,'Opportunities'!$C$2:$C$1775,"=r23",'Opportunities'!$N$2:$N$1775,"=jan26",'Opportunities'!$R$2:$R$1775,"=1")</f>
        <v>0</v>
      </c>
      <c r="M192" s="4">
        <f>SUMIFS('Opportunities'!$H$2:$H$1775,'Opportunities'!$C$2:$C$1775,"=r23",'Opportunities'!$N$2:$N$1775,"=feb26",'Opportunities'!$R$2:$R$1775,"=1")</f>
        <v>0</v>
      </c>
      <c r="N192" s="4">
        <f>SUMIFS('Opportunities'!$H$2:$H$1775,'Opportunities'!$C$2:$C$1775,"=r23",'Opportunities'!$N$2:$N$1775,"=mar26",'Opportunities'!$R$2:$R$1775,"=1")</f>
        <v>0</v>
      </c>
      <c r="O192" s="4">
        <f>SUMIFS('Opportunities'!$H$2:$H$1775,'Opportunities'!$C$2:$C$1775,"=r23",'Opportunities'!$N$2:$N$1775,"=apr26",'Opportunities'!$R$2:$R$1775,"=1")</f>
        <v>0</v>
      </c>
      <c r="P192" s="4">
        <f>SUMIFS('Opportunities'!$H$2:$H$1775,'Opportunities'!$C$2:$C$1775,"=r23",'Opportunities'!$N$2:$N$1775,"=may26",'Opportunities'!$R$2:$R$1775,"=1")</f>
        <v>0</v>
      </c>
      <c r="Q192" s="4">
        <f>SUMIFS('Opportunities'!$H$2:$H$1775,'Opportunities'!$C$2:$C$1775,"=r23",'Opportunities'!$N$2:$N$1775,"=jun26",'Opportunities'!$R$2:$R$1775,"=1")</f>
        <v>0</v>
      </c>
      <c r="R192" s="4">
        <f>SUMIFS('Opportunities'!$H$2:$H$1775,'Opportunities'!$C$2:$C$1775,"=r23",'Opportunities'!$N$2:$N$1775,"=jul26",'Opportunities'!$R$2:$R$1775,"=1")</f>
        <v>0</v>
      </c>
      <c r="S192" s="4">
        <f>SUMIFS('Opportunities'!$H$2:$H$1775,'Opportunities'!$C$2:$C$1775,"=r23",'Opportunities'!$N$2:$N$1775,"=aug26",'Opportunities'!$R$2:$R$1775,"=1")</f>
        <v>0</v>
      </c>
      <c r="T192" s="4">
        <f>SUMIFS('Opportunities'!$H$2:$H$1775,'Opportunities'!$C$2:$C$1775,"=r23",'Opportunities'!$N$2:$N$1775,"=sep26",'Opportunities'!$R$2:$R$1775,"=1")</f>
        <v>8200</v>
      </c>
      <c r="U192" s="4">
        <f>SUMIFS('Opportunities'!$H$2:$H$1775,'Opportunities'!$C$2:$C$1775,"=r23",'Opportunities'!$N$2:$N$1775,"=oct26",'Opportunities'!$R$2:$R$1775,"=1")</f>
        <v>32800</v>
      </c>
      <c r="V192" s="4">
        <f>SUMIFS('Opportunities'!$H$2:$H$1775,'Opportunities'!$C$2:$C$1775,"=r23",'Opportunities'!$N$2:$N$1775,"=nov26",'Opportunities'!$R$2:$R$1775,"=1")</f>
        <v>0</v>
      </c>
      <c r="W192" s="4">
        <f>SUMIFS('Opportunities'!$H$2:$H$1775,'Opportunities'!$C$2:$C$1775,"=r23",'Opportunities'!$N$2:$N$1775,"=dec26",'Opportunities'!$R$2:$R$1775,"=1")</f>
        <v>17200</v>
      </c>
    </row>
    <row r="193">
      <c r="A193" s="0" t="inlineStr">
        <is>
          <t xml:space="preserve">Open pipeline closing this month</t>
        </is>
      </c>
      <c r="B193" s="0" t="inlineStr">
        <is>
          <t xml:space="preserve">Ingrid Dubois</t>
        </is>
      </c>
      <c r="C193" s="4">
        <f>SUMIFS('Opportunities'!$H$2:$H$1775,'Opportunities'!$C$2:$C$1775,"=r24",'Opportunities'!$N$2:$N$1775,"=apr25",'Opportunities'!$R$2:$R$1775,"=1")</f>
        <v>0</v>
      </c>
      <c r="D193" s="4">
        <f>SUMIFS('Opportunities'!$H$2:$H$1775,'Opportunities'!$C$2:$C$1775,"=r24",'Opportunities'!$N$2:$N$1775,"=may25",'Opportunities'!$R$2:$R$1775,"=1")</f>
        <v>0</v>
      </c>
      <c r="E193" s="4">
        <f>SUMIFS('Opportunities'!$H$2:$H$1775,'Opportunities'!$C$2:$C$1775,"=r24",'Opportunities'!$N$2:$N$1775,"=jun25",'Opportunities'!$R$2:$R$1775,"=1")</f>
        <v>0</v>
      </c>
      <c r="F193" s="4">
        <f>SUMIFS('Opportunities'!$H$2:$H$1775,'Opportunities'!$C$2:$C$1775,"=r24",'Opportunities'!$N$2:$N$1775,"=jul25",'Opportunities'!$R$2:$R$1775,"=1")</f>
        <v>0</v>
      </c>
      <c r="G193" s="4">
        <f>SUMIFS('Opportunities'!$H$2:$H$1775,'Opportunities'!$C$2:$C$1775,"=r24",'Opportunities'!$N$2:$N$1775,"=aug25",'Opportunities'!$R$2:$R$1775,"=1")</f>
        <v>0</v>
      </c>
      <c r="H193" s="4">
        <f>SUMIFS('Opportunities'!$H$2:$H$1775,'Opportunities'!$C$2:$C$1775,"=r24",'Opportunities'!$N$2:$N$1775,"=sep25",'Opportunities'!$R$2:$R$1775,"=1")</f>
        <v>0</v>
      </c>
      <c r="I193" s="4">
        <f>SUMIFS('Opportunities'!$H$2:$H$1775,'Opportunities'!$C$2:$C$1775,"=r24",'Opportunities'!$N$2:$N$1775,"=oct25",'Opportunities'!$R$2:$R$1775,"=1")</f>
        <v>0</v>
      </c>
      <c r="J193" s="4">
        <f>SUMIFS('Opportunities'!$H$2:$H$1775,'Opportunities'!$C$2:$C$1775,"=r24",'Opportunities'!$N$2:$N$1775,"=nov25",'Opportunities'!$R$2:$R$1775,"=1")</f>
        <v>0</v>
      </c>
      <c r="K193" s="4">
        <f>SUMIFS('Opportunities'!$H$2:$H$1775,'Opportunities'!$C$2:$C$1775,"=r24",'Opportunities'!$N$2:$N$1775,"=dec25",'Opportunities'!$R$2:$R$1775,"=1")</f>
        <v>0</v>
      </c>
      <c r="L193" s="4">
        <f>SUMIFS('Opportunities'!$H$2:$H$1775,'Opportunities'!$C$2:$C$1775,"=r24",'Opportunities'!$N$2:$N$1775,"=jan26",'Opportunities'!$R$2:$R$1775,"=1")</f>
        <v>0</v>
      </c>
      <c r="M193" s="4">
        <f>SUMIFS('Opportunities'!$H$2:$H$1775,'Opportunities'!$C$2:$C$1775,"=r24",'Opportunities'!$N$2:$N$1775,"=feb26",'Opportunities'!$R$2:$R$1775,"=1")</f>
        <v>0</v>
      </c>
      <c r="N193" s="4">
        <f>SUMIFS('Opportunities'!$H$2:$H$1775,'Opportunities'!$C$2:$C$1775,"=r24",'Opportunities'!$N$2:$N$1775,"=mar26",'Opportunities'!$R$2:$R$1775,"=1")</f>
        <v>0</v>
      </c>
      <c r="O193" s="4">
        <f>SUMIFS('Opportunities'!$H$2:$H$1775,'Opportunities'!$C$2:$C$1775,"=r24",'Opportunities'!$N$2:$N$1775,"=apr26",'Opportunities'!$R$2:$R$1775,"=1")</f>
        <v>0</v>
      </c>
      <c r="P193" s="4">
        <f>SUMIFS('Opportunities'!$H$2:$H$1775,'Opportunities'!$C$2:$C$1775,"=r24",'Opportunities'!$N$2:$N$1775,"=may26",'Opportunities'!$R$2:$R$1775,"=1")</f>
        <v>0</v>
      </c>
      <c r="Q193" s="4">
        <f>SUMIFS('Opportunities'!$H$2:$H$1775,'Opportunities'!$C$2:$C$1775,"=r24",'Opportunities'!$N$2:$N$1775,"=jun26",'Opportunities'!$R$2:$R$1775,"=1")</f>
        <v>0</v>
      </c>
      <c r="R193" s="4">
        <f>SUMIFS('Opportunities'!$H$2:$H$1775,'Opportunities'!$C$2:$C$1775,"=r24",'Opportunities'!$N$2:$N$1775,"=jul26",'Opportunities'!$R$2:$R$1775,"=1")</f>
        <v>0</v>
      </c>
      <c r="S193" s="4">
        <f>SUMIFS('Opportunities'!$H$2:$H$1775,'Opportunities'!$C$2:$C$1775,"=r24",'Opportunities'!$N$2:$N$1775,"=aug26",'Opportunities'!$R$2:$R$1775,"=1")</f>
        <v>0</v>
      </c>
      <c r="T193" s="4">
        <f>SUMIFS('Opportunities'!$H$2:$H$1775,'Opportunities'!$C$2:$C$1775,"=r24",'Opportunities'!$N$2:$N$1775,"=sep26",'Opportunities'!$R$2:$R$1775,"=1")</f>
        <v>17500</v>
      </c>
      <c r="U193" s="4">
        <f>SUMIFS('Opportunities'!$H$2:$H$1775,'Opportunities'!$C$2:$C$1775,"=r24",'Opportunities'!$N$2:$N$1775,"=oct26",'Opportunities'!$R$2:$R$1775,"=1")</f>
        <v>38900</v>
      </c>
      <c r="V193" s="4">
        <f>SUMIFS('Opportunities'!$H$2:$H$1775,'Opportunities'!$C$2:$C$1775,"=r24",'Opportunities'!$N$2:$N$1775,"=nov26",'Opportunities'!$R$2:$R$1775,"=1")</f>
        <v>0</v>
      </c>
      <c r="W193" s="4">
        <f>SUMIFS('Opportunities'!$H$2:$H$1775,'Opportunities'!$C$2:$C$1775,"=r24",'Opportunities'!$N$2:$N$1775,"=dec26",'Opportunities'!$R$2:$R$1775,"=1")</f>
        <v>59000</v>
      </c>
    </row>
    <row r="194">
      <c r="A194" s="0" t="inlineStr">
        <is>
          <t xml:space="preserve">Commit (negotiation)</t>
        </is>
      </c>
      <c r="B194" s="0" t="inlineStr">
        <is>
          <t xml:space="preserve">Noor Ortiz</t>
        </is>
      </c>
      <c r="C194" s="4">
        <f>SUMIFS('Opportunities'!$H$2:$H$1775,'Opportunities'!$C$2:$C$1775,"=r01",'Opportunities'!$N$2:$N$1775,"=apr25",'Opportunities'!$R$2:$R$1775,"=1",'Opportunities'!$F$2:$F$1775,"=negotiation")</f>
        <v>0</v>
      </c>
      <c r="D194" s="4">
        <f>SUMIFS('Opportunities'!$H$2:$H$1775,'Opportunities'!$C$2:$C$1775,"=r01",'Opportunities'!$N$2:$N$1775,"=may25",'Opportunities'!$R$2:$R$1775,"=1",'Opportunities'!$F$2:$F$1775,"=negotiation")</f>
        <v>0</v>
      </c>
      <c r="E194" s="4">
        <f>SUMIFS('Opportunities'!$H$2:$H$1775,'Opportunities'!$C$2:$C$1775,"=r01",'Opportunities'!$N$2:$N$1775,"=jun25",'Opportunities'!$R$2:$R$1775,"=1",'Opportunities'!$F$2:$F$1775,"=negotiation")</f>
        <v>0</v>
      </c>
      <c r="F194" s="4">
        <f>SUMIFS('Opportunities'!$H$2:$H$1775,'Opportunities'!$C$2:$C$1775,"=r01",'Opportunities'!$N$2:$N$1775,"=jul25",'Opportunities'!$R$2:$R$1775,"=1",'Opportunities'!$F$2:$F$1775,"=negotiation")</f>
        <v>0</v>
      </c>
      <c r="G194" s="4">
        <f>SUMIFS('Opportunities'!$H$2:$H$1775,'Opportunities'!$C$2:$C$1775,"=r01",'Opportunities'!$N$2:$N$1775,"=aug25",'Opportunities'!$R$2:$R$1775,"=1",'Opportunities'!$F$2:$F$1775,"=negotiation")</f>
        <v>0</v>
      </c>
      <c r="H194" s="4">
        <f>SUMIFS('Opportunities'!$H$2:$H$1775,'Opportunities'!$C$2:$C$1775,"=r01",'Opportunities'!$N$2:$N$1775,"=sep25",'Opportunities'!$R$2:$R$1775,"=1",'Opportunities'!$F$2:$F$1775,"=negotiation")</f>
        <v>0</v>
      </c>
      <c r="I194" s="4">
        <f>SUMIFS('Opportunities'!$H$2:$H$1775,'Opportunities'!$C$2:$C$1775,"=r01",'Opportunities'!$N$2:$N$1775,"=oct25",'Opportunities'!$R$2:$R$1775,"=1",'Opportunities'!$F$2:$F$1775,"=negotiation")</f>
        <v>0</v>
      </c>
      <c r="J194" s="4">
        <f>SUMIFS('Opportunities'!$H$2:$H$1775,'Opportunities'!$C$2:$C$1775,"=r01",'Opportunities'!$N$2:$N$1775,"=nov25",'Opportunities'!$R$2:$R$1775,"=1",'Opportunities'!$F$2:$F$1775,"=negotiation")</f>
        <v>0</v>
      </c>
      <c r="K194" s="4">
        <f>SUMIFS('Opportunities'!$H$2:$H$1775,'Opportunities'!$C$2:$C$1775,"=r01",'Opportunities'!$N$2:$N$1775,"=dec25",'Opportunities'!$R$2:$R$1775,"=1",'Opportunities'!$F$2:$F$1775,"=negotiation")</f>
        <v>0</v>
      </c>
      <c r="L194" s="4">
        <f>SUMIFS('Opportunities'!$H$2:$H$1775,'Opportunities'!$C$2:$C$1775,"=r01",'Opportunities'!$N$2:$N$1775,"=jan26",'Opportunities'!$R$2:$R$1775,"=1",'Opportunities'!$F$2:$F$1775,"=negotiation")</f>
        <v>0</v>
      </c>
      <c r="M194" s="4">
        <f>SUMIFS('Opportunities'!$H$2:$H$1775,'Opportunities'!$C$2:$C$1775,"=r01",'Opportunities'!$N$2:$N$1775,"=feb26",'Opportunities'!$R$2:$R$1775,"=1",'Opportunities'!$F$2:$F$1775,"=negotiation")</f>
        <v>0</v>
      </c>
      <c r="N194" s="4">
        <f>SUMIFS('Opportunities'!$H$2:$H$1775,'Opportunities'!$C$2:$C$1775,"=r01",'Opportunities'!$N$2:$N$1775,"=mar26",'Opportunities'!$R$2:$R$1775,"=1",'Opportunities'!$F$2:$F$1775,"=negotiation")</f>
        <v>0</v>
      </c>
      <c r="O194" s="4">
        <f>SUMIFS('Opportunities'!$H$2:$H$1775,'Opportunities'!$C$2:$C$1775,"=r01",'Opportunities'!$N$2:$N$1775,"=apr26",'Opportunities'!$R$2:$R$1775,"=1",'Opportunities'!$F$2:$F$1775,"=negotiation")</f>
        <v>0</v>
      </c>
      <c r="P194" s="4">
        <f>SUMIFS('Opportunities'!$H$2:$H$1775,'Opportunities'!$C$2:$C$1775,"=r01",'Opportunities'!$N$2:$N$1775,"=may26",'Opportunities'!$R$2:$R$1775,"=1",'Opportunities'!$F$2:$F$1775,"=negotiation")</f>
        <v>0</v>
      </c>
      <c r="Q194" s="4">
        <f>SUMIFS('Opportunities'!$H$2:$H$1775,'Opportunities'!$C$2:$C$1775,"=r01",'Opportunities'!$N$2:$N$1775,"=jun26",'Opportunities'!$R$2:$R$1775,"=1",'Opportunities'!$F$2:$F$1775,"=negotiation")</f>
        <v>0</v>
      </c>
      <c r="R194" s="4">
        <f>SUMIFS('Opportunities'!$H$2:$H$1775,'Opportunities'!$C$2:$C$1775,"=r01",'Opportunities'!$N$2:$N$1775,"=jul26",'Opportunities'!$R$2:$R$1775,"=1",'Opportunities'!$F$2:$F$1775,"=negotiation")</f>
        <v>0</v>
      </c>
      <c r="S194" s="4">
        <f>SUMIFS('Opportunities'!$H$2:$H$1775,'Opportunities'!$C$2:$C$1775,"=r01",'Opportunities'!$N$2:$N$1775,"=aug26",'Opportunities'!$R$2:$R$1775,"=1",'Opportunities'!$F$2:$F$1775,"=negotiation")</f>
        <v>0</v>
      </c>
      <c r="T194" s="4">
        <f>SUMIFS('Opportunities'!$H$2:$H$1775,'Opportunities'!$C$2:$C$1775,"=r01",'Opportunities'!$N$2:$N$1775,"=sep26",'Opportunities'!$R$2:$R$1775,"=1",'Opportunities'!$F$2:$F$1775,"=negotiation")</f>
        <v>0</v>
      </c>
      <c r="U194" s="4">
        <f>SUMIFS('Opportunities'!$H$2:$H$1775,'Opportunities'!$C$2:$C$1775,"=r01",'Opportunities'!$N$2:$N$1775,"=oct26",'Opportunities'!$R$2:$R$1775,"=1",'Opportunities'!$F$2:$F$1775,"=negotiation")</f>
        <v>486800</v>
      </c>
      <c r="V194" s="4">
        <f>SUMIFS('Opportunities'!$H$2:$H$1775,'Opportunities'!$C$2:$C$1775,"=r01",'Opportunities'!$N$2:$N$1775,"=nov26",'Opportunities'!$R$2:$R$1775,"=1",'Opportunities'!$F$2:$F$1775,"=negotiation")</f>
        <v>0</v>
      </c>
      <c r="W194" s="4">
        <f>SUMIFS('Opportunities'!$H$2:$H$1775,'Opportunities'!$C$2:$C$1775,"=r01",'Opportunities'!$N$2:$N$1775,"=dec26",'Opportunities'!$R$2:$R$1775,"=1",'Opportunities'!$F$2:$F$1775,"=negotiation")</f>
        <v>276600</v>
      </c>
    </row>
    <row r="195">
      <c r="A195" s="0" t="inlineStr">
        <is>
          <t xml:space="preserve">Commit (negotiation)</t>
        </is>
      </c>
      <c r="B195" s="0" t="inlineStr">
        <is>
          <t xml:space="preserve">Priya Yilmaz</t>
        </is>
      </c>
      <c r="C195" s="4">
        <f>SUMIFS('Opportunities'!$H$2:$H$1775,'Opportunities'!$C$2:$C$1775,"=r02",'Opportunities'!$N$2:$N$1775,"=apr25",'Opportunities'!$R$2:$R$1775,"=1",'Opportunities'!$F$2:$F$1775,"=negotiation")</f>
        <v>0</v>
      </c>
      <c r="D195" s="4">
        <f>SUMIFS('Opportunities'!$H$2:$H$1775,'Opportunities'!$C$2:$C$1775,"=r02",'Opportunities'!$N$2:$N$1775,"=may25",'Opportunities'!$R$2:$R$1775,"=1",'Opportunities'!$F$2:$F$1775,"=negotiation")</f>
        <v>0</v>
      </c>
      <c r="E195" s="4">
        <f>SUMIFS('Opportunities'!$H$2:$H$1775,'Opportunities'!$C$2:$C$1775,"=r02",'Opportunities'!$N$2:$N$1775,"=jun25",'Opportunities'!$R$2:$R$1775,"=1",'Opportunities'!$F$2:$F$1775,"=negotiation")</f>
        <v>0</v>
      </c>
      <c r="F195" s="4">
        <f>SUMIFS('Opportunities'!$H$2:$H$1775,'Opportunities'!$C$2:$C$1775,"=r02",'Opportunities'!$N$2:$N$1775,"=jul25",'Opportunities'!$R$2:$R$1775,"=1",'Opportunities'!$F$2:$F$1775,"=negotiation")</f>
        <v>0</v>
      </c>
      <c r="G195" s="4">
        <f>SUMIFS('Opportunities'!$H$2:$H$1775,'Opportunities'!$C$2:$C$1775,"=r02",'Opportunities'!$N$2:$N$1775,"=aug25",'Opportunities'!$R$2:$R$1775,"=1",'Opportunities'!$F$2:$F$1775,"=negotiation")</f>
        <v>0</v>
      </c>
      <c r="H195" s="4">
        <f>SUMIFS('Opportunities'!$H$2:$H$1775,'Opportunities'!$C$2:$C$1775,"=r02",'Opportunities'!$N$2:$N$1775,"=sep25",'Opportunities'!$R$2:$R$1775,"=1",'Opportunities'!$F$2:$F$1775,"=negotiation")</f>
        <v>0</v>
      </c>
      <c r="I195" s="4">
        <f>SUMIFS('Opportunities'!$H$2:$H$1775,'Opportunities'!$C$2:$C$1775,"=r02",'Opportunities'!$N$2:$N$1775,"=oct25",'Opportunities'!$R$2:$R$1775,"=1",'Opportunities'!$F$2:$F$1775,"=negotiation")</f>
        <v>0</v>
      </c>
      <c r="J195" s="4">
        <f>SUMIFS('Opportunities'!$H$2:$H$1775,'Opportunities'!$C$2:$C$1775,"=r02",'Opportunities'!$N$2:$N$1775,"=nov25",'Opportunities'!$R$2:$R$1775,"=1",'Opportunities'!$F$2:$F$1775,"=negotiation")</f>
        <v>0</v>
      </c>
      <c r="K195" s="4">
        <f>SUMIFS('Opportunities'!$H$2:$H$1775,'Opportunities'!$C$2:$C$1775,"=r02",'Opportunities'!$N$2:$N$1775,"=dec25",'Opportunities'!$R$2:$R$1775,"=1",'Opportunities'!$F$2:$F$1775,"=negotiation")</f>
        <v>0</v>
      </c>
      <c r="L195" s="4">
        <f>SUMIFS('Opportunities'!$H$2:$H$1775,'Opportunities'!$C$2:$C$1775,"=r02",'Opportunities'!$N$2:$N$1775,"=jan26",'Opportunities'!$R$2:$R$1775,"=1",'Opportunities'!$F$2:$F$1775,"=negotiation")</f>
        <v>0</v>
      </c>
      <c r="M195" s="4">
        <f>SUMIFS('Opportunities'!$H$2:$H$1775,'Opportunities'!$C$2:$C$1775,"=r02",'Opportunities'!$N$2:$N$1775,"=feb26",'Opportunities'!$R$2:$R$1775,"=1",'Opportunities'!$F$2:$F$1775,"=negotiation")</f>
        <v>0</v>
      </c>
      <c r="N195" s="4">
        <f>SUMIFS('Opportunities'!$H$2:$H$1775,'Opportunities'!$C$2:$C$1775,"=r02",'Opportunities'!$N$2:$N$1775,"=mar26",'Opportunities'!$R$2:$R$1775,"=1",'Opportunities'!$F$2:$F$1775,"=negotiation")</f>
        <v>0</v>
      </c>
      <c r="O195" s="4">
        <f>SUMIFS('Opportunities'!$H$2:$H$1775,'Opportunities'!$C$2:$C$1775,"=r02",'Opportunities'!$N$2:$N$1775,"=apr26",'Opportunities'!$R$2:$R$1775,"=1",'Opportunities'!$F$2:$F$1775,"=negotiation")</f>
        <v>0</v>
      </c>
      <c r="P195" s="4">
        <f>SUMIFS('Opportunities'!$H$2:$H$1775,'Opportunities'!$C$2:$C$1775,"=r02",'Opportunities'!$N$2:$N$1775,"=may26",'Opportunities'!$R$2:$R$1775,"=1",'Opportunities'!$F$2:$F$1775,"=negotiation")</f>
        <v>0</v>
      </c>
      <c r="Q195" s="4">
        <f>SUMIFS('Opportunities'!$H$2:$H$1775,'Opportunities'!$C$2:$C$1775,"=r02",'Opportunities'!$N$2:$N$1775,"=jun26",'Opportunities'!$R$2:$R$1775,"=1",'Opportunities'!$F$2:$F$1775,"=negotiation")</f>
        <v>0</v>
      </c>
      <c r="R195" s="4">
        <f>SUMIFS('Opportunities'!$H$2:$H$1775,'Opportunities'!$C$2:$C$1775,"=r02",'Opportunities'!$N$2:$N$1775,"=jul26",'Opportunities'!$R$2:$R$1775,"=1",'Opportunities'!$F$2:$F$1775,"=negotiation")</f>
        <v>0</v>
      </c>
      <c r="S195" s="4">
        <f>SUMIFS('Opportunities'!$H$2:$H$1775,'Opportunities'!$C$2:$C$1775,"=r02",'Opportunities'!$N$2:$N$1775,"=aug26",'Opportunities'!$R$2:$R$1775,"=1",'Opportunities'!$F$2:$F$1775,"=negotiation")</f>
        <v>0</v>
      </c>
      <c r="T195" s="4">
        <f>SUMIFS('Opportunities'!$H$2:$H$1775,'Opportunities'!$C$2:$C$1775,"=r02",'Opportunities'!$N$2:$N$1775,"=sep26",'Opportunities'!$R$2:$R$1775,"=1",'Opportunities'!$F$2:$F$1775,"=negotiation")</f>
        <v>0</v>
      </c>
      <c r="U195" s="4">
        <f>SUMIFS('Opportunities'!$H$2:$H$1775,'Opportunities'!$C$2:$C$1775,"=r02",'Opportunities'!$N$2:$N$1775,"=oct26",'Opportunities'!$R$2:$R$1775,"=1",'Opportunities'!$F$2:$F$1775,"=negotiation")</f>
        <v>0</v>
      </c>
      <c r="V195" s="4">
        <f>SUMIFS('Opportunities'!$H$2:$H$1775,'Opportunities'!$C$2:$C$1775,"=r02",'Opportunities'!$N$2:$N$1775,"=nov26",'Opportunities'!$R$2:$R$1775,"=1",'Opportunities'!$F$2:$F$1775,"=negotiation")</f>
        <v>0</v>
      </c>
      <c r="W195" s="4">
        <f>SUMIFS('Opportunities'!$H$2:$H$1775,'Opportunities'!$C$2:$C$1775,"=r02",'Opportunities'!$N$2:$N$1775,"=dec26",'Opportunities'!$R$2:$R$1775,"=1",'Opportunities'!$F$2:$F$1775,"=negotiation")</f>
        <v>0</v>
      </c>
    </row>
    <row r="196">
      <c r="A196" s="0" t="inlineStr">
        <is>
          <t xml:space="preserve">Commit (negotiation)</t>
        </is>
      </c>
      <c r="B196" s="0" t="inlineStr">
        <is>
          <t xml:space="preserve">Marcus Schmidt</t>
        </is>
      </c>
      <c r="C196" s="4">
        <f>SUMIFS('Opportunities'!$H$2:$H$1775,'Opportunities'!$C$2:$C$1775,"=r03",'Opportunities'!$N$2:$N$1775,"=apr25",'Opportunities'!$R$2:$R$1775,"=1",'Opportunities'!$F$2:$F$1775,"=negotiation")</f>
        <v>0</v>
      </c>
      <c r="D196" s="4">
        <f>SUMIFS('Opportunities'!$H$2:$H$1775,'Opportunities'!$C$2:$C$1775,"=r03",'Opportunities'!$N$2:$N$1775,"=may25",'Opportunities'!$R$2:$R$1775,"=1",'Opportunities'!$F$2:$F$1775,"=negotiation")</f>
        <v>0</v>
      </c>
      <c r="E196" s="4">
        <f>SUMIFS('Opportunities'!$H$2:$H$1775,'Opportunities'!$C$2:$C$1775,"=r03",'Opportunities'!$N$2:$N$1775,"=jun25",'Opportunities'!$R$2:$R$1775,"=1",'Opportunities'!$F$2:$F$1775,"=negotiation")</f>
        <v>0</v>
      </c>
      <c r="F196" s="4">
        <f>SUMIFS('Opportunities'!$H$2:$H$1775,'Opportunities'!$C$2:$C$1775,"=r03",'Opportunities'!$N$2:$N$1775,"=jul25",'Opportunities'!$R$2:$R$1775,"=1",'Opportunities'!$F$2:$F$1775,"=negotiation")</f>
        <v>0</v>
      </c>
      <c r="G196" s="4">
        <f>SUMIFS('Opportunities'!$H$2:$H$1775,'Opportunities'!$C$2:$C$1775,"=r03",'Opportunities'!$N$2:$N$1775,"=aug25",'Opportunities'!$R$2:$R$1775,"=1",'Opportunities'!$F$2:$F$1775,"=negotiation")</f>
        <v>0</v>
      </c>
      <c r="H196" s="4">
        <f>SUMIFS('Opportunities'!$H$2:$H$1775,'Opportunities'!$C$2:$C$1775,"=r03",'Opportunities'!$N$2:$N$1775,"=sep25",'Opportunities'!$R$2:$R$1775,"=1",'Opportunities'!$F$2:$F$1775,"=negotiation")</f>
        <v>0</v>
      </c>
      <c r="I196" s="4">
        <f>SUMIFS('Opportunities'!$H$2:$H$1775,'Opportunities'!$C$2:$C$1775,"=r03",'Opportunities'!$N$2:$N$1775,"=oct25",'Opportunities'!$R$2:$R$1775,"=1",'Opportunities'!$F$2:$F$1775,"=negotiation")</f>
        <v>0</v>
      </c>
      <c r="J196" s="4">
        <f>SUMIFS('Opportunities'!$H$2:$H$1775,'Opportunities'!$C$2:$C$1775,"=r03",'Opportunities'!$N$2:$N$1775,"=nov25",'Opportunities'!$R$2:$R$1775,"=1",'Opportunities'!$F$2:$F$1775,"=negotiation")</f>
        <v>0</v>
      </c>
      <c r="K196" s="4">
        <f>SUMIFS('Opportunities'!$H$2:$H$1775,'Opportunities'!$C$2:$C$1775,"=r03",'Opportunities'!$N$2:$N$1775,"=dec25",'Opportunities'!$R$2:$R$1775,"=1",'Opportunities'!$F$2:$F$1775,"=negotiation")</f>
        <v>0</v>
      </c>
      <c r="L196" s="4">
        <f>SUMIFS('Opportunities'!$H$2:$H$1775,'Opportunities'!$C$2:$C$1775,"=r03",'Opportunities'!$N$2:$N$1775,"=jan26",'Opportunities'!$R$2:$R$1775,"=1",'Opportunities'!$F$2:$F$1775,"=negotiation")</f>
        <v>0</v>
      </c>
      <c r="M196" s="4">
        <f>SUMIFS('Opportunities'!$H$2:$H$1775,'Opportunities'!$C$2:$C$1775,"=r03",'Opportunities'!$N$2:$N$1775,"=feb26",'Opportunities'!$R$2:$R$1775,"=1",'Opportunities'!$F$2:$F$1775,"=negotiation")</f>
        <v>0</v>
      </c>
      <c r="N196" s="4">
        <f>SUMIFS('Opportunities'!$H$2:$H$1775,'Opportunities'!$C$2:$C$1775,"=r03",'Opportunities'!$N$2:$N$1775,"=mar26",'Opportunities'!$R$2:$R$1775,"=1",'Opportunities'!$F$2:$F$1775,"=negotiation")</f>
        <v>0</v>
      </c>
      <c r="O196" s="4">
        <f>SUMIFS('Opportunities'!$H$2:$H$1775,'Opportunities'!$C$2:$C$1775,"=r03",'Opportunities'!$N$2:$N$1775,"=apr26",'Opportunities'!$R$2:$R$1775,"=1",'Opportunities'!$F$2:$F$1775,"=negotiation")</f>
        <v>0</v>
      </c>
      <c r="P196" s="4">
        <f>SUMIFS('Opportunities'!$H$2:$H$1775,'Opportunities'!$C$2:$C$1775,"=r03",'Opportunities'!$N$2:$N$1775,"=may26",'Opportunities'!$R$2:$R$1775,"=1",'Opportunities'!$F$2:$F$1775,"=negotiation")</f>
        <v>0</v>
      </c>
      <c r="Q196" s="4">
        <f>SUMIFS('Opportunities'!$H$2:$H$1775,'Opportunities'!$C$2:$C$1775,"=r03",'Opportunities'!$N$2:$N$1775,"=jun26",'Opportunities'!$R$2:$R$1775,"=1",'Opportunities'!$F$2:$F$1775,"=negotiation")</f>
        <v>0</v>
      </c>
      <c r="R196" s="4">
        <f>SUMIFS('Opportunities'!$H$2:$H$1775,'Opportunities'!$C$2:$C$1775,"=r03",'Opportunities'!$N$2:$N$1775,"=jul26",'Opportunities'!$R$2:$R$1775,"=1",'Opportunities'!$F$2:$F$1775,"=negotiation")</f>
        <v>0</v>
      </c>
      <c r="S196" s="4">
        <f>SUMIFS('Opportunities'!$H$2:$H$1775,'Opportunities'!$C$2:$C$1775,"=r03",'Opportunities'!$N$2:$N$1775,"=aug26",'Opportunities'!$R$2:$R$1775,"=1",'Opportunities'!$F$2:$F$1775,"=negotiation")</f>
        <v>0</v>
      </c>
      <c r="T196" s="4">
        <f>SUMIFS('Opportunities'!$H$2:$H$1775,'Opportunities'!$C$2:$C$1775,"=r03",'Opportunities'!$N$2:$N$1775,"=sep26",'Opportunities'!$R$2:$R$1775,"=1",'Opportunities'!$F$2:$F$1775,"=negotiation")</f>
        <v>0</v>
      </c>
      <c r="U196" s="4">
        <f>SUMIFS('Opportunities'!$H$2:$H$1775,'Opportunities'!$C$2:$C$1775,"=r03",'Opportunities'!$N$2:$N$1775,"=oct26",'Opportunities'!$R$2:$R$1775,"=1",'Opportunities'!$F$2:$F$1775,"=negotiation")</f>
        <v>0</v>
      </c>
      <c r="V196" s="4">
        <f>SUMIFS('Opportunities'!$H$2:$H$1775,'Opportunities'!$C$2:$C$1775,"=r03",'Opportunities'!$N$2:$N$1775,"=nov26",'Opportunities'!$R$2:$R$1775,"=1",'Opportunities'!$F$2:$F$1775,"=negotiation")</f>
        <v>0</v>
      </c>
      <c r="W196" s="4">
        <f>SUMIFS('Opportunities'!$H$2:$H$1775,'Opportunities'!$C$2:$C$1775,"=r03",'Opportunities'!$N$2:$N$1775,"=dec26",'Opportunities'!$R$2:$R$1775,"=1",'Opportunities'!$F$2:$F$1775,"=negotiation")</f>
        <v>0</v>
      </c>
    </row>
    <row r="197">
      <c r="A197" s="0" t="inlineStr">
        <is>
          <t xml:space="preserve">Commit (negotiation)</t>
        </is>
      </c>
      <c r="B197" s="0" t="inlineStr">
        <is>
          <t xml:space="preserve">Amara Haddad</t>
        </is>
      </c>
      <c r="C197" s="4">
        <f>SUMIFS('Opportunities'!$H$2:$H$1775,'Opportunities'!$C$2:$C$1775,"=r04",'Opportunities'!$N$2:$N$1775,"=apr25",'Opportunities'!$R$2:$R$1775,"=1",'Opportunities'!$F$2:$F$1775,"=negotiation")</f>
        <v>0</v>
      </c>
      <c r="D197" s="4">
        <f>SUMIFS('Opportunities'!$H$2:$H$1775,'Opportunities'!$C$2:$C$1775,"=r04",'Opportunities'!$N$2:$N$1775,"=may25",'Opportunities'!$R$2:$R$1775,"=1",'Opportunities'!$F$2:$F$1775,"=negotiation")</f>
        <v>0</v>
      </c>
      <c r="E197" s="4">
        <f>SUMIFS('Opportunities'!$H$2:$H$1775,'Opportunities'!$C$2:$C$1775,"=r04",'Opportunities'!$N$2:$N$1775,"=jun25",'Opportunities'!$R$2:$R$1775,"=1",'Opportunities'!$F$2:$F$1775,"=negotiation")</f>
        <v>0</v>
      </c>
      <c r="F197" s="4">
        <f>SUMIFS('Opportunities'!$H$2:$H$1775,'Opportunities'!$C$2:$C$1775,"=r04",'Opportunities'!$N$2:$N$1775,"=jul25",'Opportunities'!$R$2:$R$1775,"=1",'Opportunities'!$F$2:$F$1775,"=negotiation")</f>
        <v>0</v>
      </c>
      <c r="G197" s="4">
        <f>SUMIFS('Opportunities'!$H$2:$H$1775,'Opportunities'!$C$2:$C$1775,"=r04",'Opportunities'!$N$2:$N$1775,"=aug25",'Opportunities'!$R$2:$R$1775,"=1",'Opportunities'!$F$2:$F$1775,"=negotiation")</f>
        <v>0</v>
      </c>
      <c r="H197" s="4">
        <f>SUMIFS('Opportunities'!$H$2:$H$1775,'Opportunities'!$C$2:$C$1775,"=r04",'Opportunities'!$N$2:$N$1775,"=sep25",'Opportunities'!$R$2:$R$1775,"=1",'Opportunities'!$F$2:$F$1775,"=negotiation")</f>
        <v>0</v>
      </c>
      <c r="I197" s="4">
        <f>SUMIFS('Opportunities'!$H$2:$H$1775,'Opportunities'!$C$2:$C$1775,"=r04",'Opportunities'!$N$2:$N$1775,"=oct25",'Opportunities'!$R$2:$R$1775,"=1",'Opportunities'!$F$2:$F$1775,"=negotiation")</f>
        <v>0</v>
      </c>
      <c r="J197" s="4">
        <f>SUMIFS('Opportunities'!$H$2:$H$1775,'Opportunities'!$C$2:$C$1775,"=r04",'Opportunities'!$N$2:$N$1775,"=nov25",'Opportunities'!$R$2:$R$1775,"=1",'Opportunities'!$F$2:$F$1775,"=negotiation")</f>
        <v>0</v>
      </c>
      <c r="K197" s="4">
        <f>SUMIFS('Opportunities'!$H$2:$H$1775,'Opportunities'!$C$2:$C$1775,"=r04",'Opportunities'!$N$2:$N$1775,"=dec25",'Opportunities'!$R$2:$R$1775,"=1",'Opportunities'!$F$2:$F$1775,"=negotiation")</f>
        <v>0</v>
      </c>
      <c r="L197" s="4">
        <f>SUMIFS('Opportunities'!$H$2:$H$1775,'Opportunities'!$C$2:$C$1775,"=r04",'Opportunities'!$N$2:$N$1775,"=jan26",'Opportunities'!$R$2:$R$1775,"=1",'Opportunities'!$F$2:$F$1775,"=negotiation")</f>
        <v>0</v>
      </c>
      <c r="M197" s="4">
        <f>SUMIFS('Opportunities'!$H$2:$H$1775,'Opportunities'!$C$2:$C$1775,"=r04",'Opportunities'!$N$2:$N$1775,"=feb26",'Opportunities'!$R$2:$R$1775,"=1",'Opportunities'!$F$2:$F$1775,"=negotiation")</f>
        <v>0</v>
      </c>
      <c r="N197" s="4">
        <f>SUMIFS('Opportunities'!$H$2:$H$1775,'Opportunities'!$C$2:$C$1775,"=r04",'Opportunities'!$N$2:$N$1775,"=mar26",'Opportunities'!$R$2:$R$1775,"=1",'Opportunities'!$F$2:$F$1775,"=negotiation")</f>
        <v>0</v>
      </c>
      <c r="O197" s="4">
        <f>SUMIFS('Opportunities'!$H$2:$H$1775,'Opportunities'!$C$2:$C$1775,"=r04",'Opportunities'!$N$2:$N$1775,"=apr26",'Opportunities'!$R$2:$R$1775,"=1",'Opportunities'!$F$2:$F$1775,"=negotiation")</f>
        <v>0</v>
      </c>
      <c r="P197" s="4">
        <f>SUMIFS('Opportunities'!$H$2:$H$1775,'Opportunities'!$C$2:$C$1775,"=r04",'Opportunities'!$N$2:$N$1775,"=may26",'Opportunities'!$R$2:$R$1775,"=1",'Opportunities'!$F$2:$F$1775,"=negotiation")</f>
        <v>0</v>
      </c>
      <c r="Q197" s="4">
        <f>SUMIFS('Opportunities'!$H$2:$H$1775,'Opportunities'!$C$2:$C$1775,"=r04",'Opportunities'!$N$2:$N$1775,"=jun26",'Opportunities'!$R$2:$R$1775,"=1",'Opportunities'!$F$2:$F$1775,"=negotiation")</f>
        <v>0</v>
      </c>
      <c r="R197" s="4">
        <f>SUMIFS('Opportunities'!$H$2:$H$1775,'Opportunities'!$C$2:$C$1775,"=r04",'Opportunities'!$N$2:$N$1775,"=jul26",'Opportunities'!$R$2:$R$1775,"=1",'Opportunities'!$F$2:$F$1775,"=negotiation")</f>
        <v>0</v>
      </c>
      <c r="S197" s="4">
        <f>SUMIFS('Opportunities'!$H$2:$H$1775,'Opportunities'!$C$2:$C$1775,"=r04",'Opportunities'!$N$2:$N$1775,"=aug26",'Opportunities'!$R$2:$R$1775,"=1",'Opportunities'!$F$2:$F$1775,"=negotiation")</f>
        <v>0</v>
      </c>
      <c r="T197" s="4">
        <f>SUMIFS('Opportunities'!$H$2:$H$1775,'Opportunities'!$C$2:$C$1775,"=r04",'Opportunities'!$N$2:$N$1775,"=sep26",'Opportunities'!$R$2:$R$1775,"=1",'Opportunities'!$F$2:$F$1775,"=negotiation")</f>
        <v>57000</v>
      </c>
      <c r="U197" s="4">
        <f>SUMIFS('Opportunities'!$H$2:$H$1775,'Opportunities'!$C$2:$C$1775,"=r04",'Opportunities'!$N$2:$N$1775,"=oct26",'Opportunities'!$R$2:$R$1775,"=1",'Opportunities'!$F$2:$F$1775,"=negotiation")</f>
        <v>46000</v>
      </c>
      <c r="V197" s="4">
        <f>SUMIFS('Opportunities'!$H$2:$H$1775,'Opportunities'!$C$2:$C$1775,"=r04",'Opportunities'!$N$2:$N$1775,"=nov26",'Opportunities'!$R$2:$R$1775,"=1",'Opportunities'!$F$2:$F$1775,"=negotiation")</f>
        <v>0</v>
      </c>
      <c r="W197" s="4">
        <f>SUMIFS('Opportunities'!$H$2:$H$1775,'Opportunities'!$C$2:$C$1775,"=r04",'Opportunities'!$N$2:$N$1775,"=dec26",'Opportunities'!$R$2:$R$1775,"=1",'Opportunities'!$F$2:$F$1775,"=negotiation")</f>
        <v>0</v>
      </c>
    </row>
    <row r="198">
      <c r="A198" s="0" t="inlineStr">
        <is>
          <t xml:space="preserve">Commit (negotiation)</t>
        </is>
      </c>
      <c r="B198" s="0" t="inlineStr">
        <is>
          <t xml:space="preserve">Fatima Silva</t>
        </is>
      </c>
      <c r="C198" s="4">
        <f>SUMIFS('Opportunities'!$H$2:$H$1775,'Opportunities'!$C$2:$C$1775,"=r05",'Opportunities'!$N$2:$N$1775,"=apr25",'Opportunities'!$R$2:$R$1775,"=1",'Opportunities'!$F$2:$F$1775,"=negotiation")</f>
        <v>0</v>
      </c>
      <c r="D198" s="4">
        <f>SUMIFS('Opportunities'!$H$2:$H$1775,'Opportunities'!$C$2:$C$1775,"=r05",'Opportunities'!$N$2:$N$1775,"=may25",'Opportunities'!$R$2:$R$1775,"=1",'Opportunities'!$F$2:$F$1775,"=negotiation")</f>
        <v>0</v>
      </c>
      <c r="E198" s="4">
        <f>SUMIFS('Opportunities'!$H$2:$H$1775,'Opportunities'!$C$2:$C$1775,"=r05",'Opportunities'!$N$2:$N$1775,"=jun25",'Opportunities'!$R$2:$R$1775,"=1",'Opportunities'!$F$2:$F$1775,"=negotiation")</f>
        <v>0</v>
      </c>
      <c r="F198" s="4">
        <f>SUMIFS('Opportunities'!$H$2:$H$1775,'Opportunities'!$C$2:$C$1775,"=r05",'Opportunities'!$N$2:$N$1775,"=jul25",'Opportunities'!$R$2:$R$1775,"=1",'Opportunities'!$F$2:$F$1775,"=negotiation")</f>
        <v>0</v>
      </c>
      <c r="G198" s="4">
        <f>SUMIFS('Opportunities'!$H$2:$H$1775,'Opportunities'!$C$2:$C$1775,"=r05",'Opportunities'!$N$2:$N$1775,"=aug25",'Opportunities'!$R$2:$R$1775,"=1",'Opportunities'!$F$2:$F$1775,"=negotiation")</f>
        <v>0</v>
      </c>
      <c r="H198" s="4">
        <f>SUMIFS('Opportunities'!$H$2:$H$1775,'Opportunities'!$C$2:$C$1775,"=r05",'Opportunities'!$N$2:$N$1775,"=sep25",'Opportunities'!$R$2:$R$1775,"=1",'Opportunities'!$F$2:$F$1775,"=negotiation")</f>
        <v>0</v>
      </c>
      <c r="I198" s="4">
        <f>SUMIFS('Opportunities'!$H$2:$H$1775,'Opportunities'!$C$2:$C$1775,"=r05",'Opportunities'!$N$2:$N$1775,"=oct25",'Opportunities'!$R$2:$R$1775,"=1",'Opportunities'!$F$2:$F$1775,"=negotiation")</f>
        <v>0</v>
      </c>
      <c r="J198" s="4">
        <f>SUMIFS('Opportunities'!$H$2:$H$1775,'Opportunities'!$C$2:$C$1775,"=r05",'Opportunities'!$N$2:$N$1775,"=nov25",'Opportunities'!$R$2:$R$1775,"=1",'Opportunities'!$F$2:$F$1775,"=negotiation")</f>
        <v>0</v>
      </c>
      <c r="K198" s="4">
        <f>SUMIFS('Opportunities'!$H$2:$H$1775,'Opportunities'!$C$2:$C$1775,"=r05",'Opportunities'!$N$2:$N$1775,"=dec25",'Opportunities'!$R$2:$R$1775,"=1",'Opportunities'!$F$2:$F$1775,"=negotiation")</f>
        <v>0</v>
      </c>
      <c r="L198" s="4">
        <f>SUMIFS('Opportunities'!$H$2:$H$1775,'Opportunities'!$C$2:$C$1775,"=r05",'Opportunities'!$N$2:$N$1775,"=jan26",'Opportunities'!$R$2:$R$1775,"=1",'Opportunities'!$F$2:$F$1775,"=negotiation")</f>
        <v>0</v>
      </c>
      <c r="M198" s="4">
        <f>SUMIFS('Opportunities'!$H$2:$H$1775,'Opportunities'!$C$2:$C$1775,"=r05",'Opportunities'!$N$2:$N$1775,"=feb26",'Opportunities'!$R$2:$R$1775,"=1",'Opportunities'!$F$2:$F$1775,"=negotiation")</f>
        <v>0</v>
      </c>
      <c r="N198" s="4">
        <f>SUMIFS('Opportunities'!$H$2:$H$1775,'Opportunities'!$C$2:$C$1775,"=r05",'Opportunities'!$N$2:$N$1775,"=mar26",'Opportunities'!$R$2:$R$1775,"=1",'Opportunities'!$F$2:$F$1775,"=negotiation")</f>
        <v>0</v>
      </c>
      <c r="O198" s="4">
        <f>SUMIFS('Opportunities'!$H$2:$H$1775,'Opportunities'!$C$2:$C$1775,"=r05",'Opportunities'!$N$2:$N$1775,"=apr26",'Opportunities'!$R$2:$R$1775,"=1",'Opportunities'!$F$2:$F$1775,"=negotiation")</f>
        <v>0</v>
      </c>
      <c r="P198" s="4">
        <f>SUMIFS('Opportunities'!$H$2:$H$1775,'Opportunities'!$C$2:$C$1775,"=r05",'Opportunities'!$N$2:$N$1775,"=may26",'Opportunities'!$R$2:$R$1775,"=1",'Opportunities'!$F$2:$F$1775,"=negotiation")</f>
        <v>0</v>
      </c>
      <c r="Q198" s="4">
        <f>SUMIFS('Opportunities'!$H$2:$H$1775,'Opportunities'!$C$2:$C$1775,"=r05",'Opportunities'!$N$2:$N$1775,"=jun26",'Opportunities'!$R$2:$R$1775,"=1",'Opportunities'!$F$2:$F$1775,"=negotiation")</f>
        <v>0</v>
      </c>
      <c r="R198" s="4">
        <f>SUMIFS('Opportunities'!$H$2:$H$1775,'Opportunities'!$C$2:$C$1775,"=r05",'Opportunities'!$N$2:$N$1775,"=jul26",'Opportunities'!$R$2:$R$1775,"=1",'Opportunities'!$F$2:$F$1775,"=negotiation")</f>
        <v>0</v>
      </c>
      <c r="S198" s="4">
        <f>SUMIFS('Opportunities'!$H$2:$H$1775,'Opportunities'!$C$2:$C$1775,"=r05",'Opportunities'!$N$2:$N$1775,"=aug26",'Opportunities'!$R$2:$R$1775,"=1",'Opportunities'!$F$2:$F$1775,"=negotiation")</f>
        <v>0</v>
      </c>
      <c r="T198" s="4">
        <f>SUMIFS('Opportunities'!$H$2:$H$1775,'Opportunities'!$C$2:$C$1775,"=r05",'Opportunities'!$N$2:$N$1775,"=sep26",'Opportunities'!$R$2:$R$1775,"=1",'Opportunities'!$F$2:$F$1775,"=negotiation")</f>
        <v>0</v>
      </c>
      <c r="U198" s="4">
        <f>SUMIFS('Opportunities'!$H$2:$H$1775,'Opportunities'!$C$2:$C$1775,"=r05",'Opportunities'!$N$2:$N$1775,"=oct26",'Opportunities'!$R$2:$R$1775,"=1",'Opportunities'!$F$2:$F$1775,"=negotiation")</f>
        <v>30600</v>
      </c>
      <c r="V198" s="4">
        <f>SUMIFS('Opportunities'!$H$2:$H$1775,'Opportunities'!$C$2:$C$1775,"=r05",'Opportunities'!$N$2:$N$1775,"=nov26",'Opportunities'!$R$2:$R$1775,"=1",'Opportunities'!$F$2:$F$1775,"=negotiation")</f>
        <v>10200</v>
      </c>
      <c r="W198" s="4">
        <f>SUMIFS('Opportunities'!$H$2:$H$1775,'Opportunities'!$C$2:$C$1775,"=r05",'Opportunities'!$N$2:$N$1775,"=dec26",'Opportunities'!$R$2:$R$1775,"=1",'Opportunities'!$F$2:$F$1775,"=negotiation")</f>
        <v>0</v>
      </c>
    </row>
    <row r="199">
      <c r="A199" s="0" t="inlineStr">
        <is>
          <t xml:space="preserve">Commit (negotiation)</t>
        </is>
      </c>
      <c r="B199" s="0" t="inlineStr">
        <is>
          <t xml:space="preserve">Ana Ortiz</t>
        </is>
      </c>
      <c r="C199" s="4">
        <f>SUMIFS('Opportunities'!$H$2:$H$1775,'Opportunities'!$C$2:$C$1775,"=r06",'Opportunities'!$N$2:$N$1775,"=apr25",'Opportunities'!$R$2:$R$1775,"=1",'Opportunities'!$F$2:$F$1775,"=negotiation")</f>
        <v>0</v>
      </c>
      <c r="D199" s="4">
        <f>SUMIFS('Opportunities'!$H$2:$H$1775,'Opportunities'!$C$2:$C$1775,"=r06",'Opportunities'!$N$2:$N$1775,"=may25",'Opportunities'!$R$2:$R$1775,"=1",'Opportunities'!$F$2:$F$1775,"=negotiation")</f>
        <v>0</v>
      </c>
      <c r="E199" s="4">
        <f>SUMIFS('Opportunities'!$H$2:$H$1775,'Opportunities'!$C$2:$C$1775,"=r06",'Opportunities'!$N$2:$N$1775,"=jun25",'Opportunities'!$R$2:$R$1775,"=1",'Opportunities'!$F$2:$F$1775,"=negotiation")</f>
        <v>0</v>
      </c>
      <c r="F199" s="4">
        <f>SUMIFS('Opportunities'!$H$2:$H$1775,'Opportunities'!$C$2:$C$1775,"=r06",'Opportunities'!$N$2:$N$1775,"=jul25",'Opportunities'!$R$2:$R$1775,"=1",'Opportunities'!$F$2:$F$1775,"=negotiation")</f>
        <v>0</v>
      </c>
      <c r="G199" s="4">
        <f>SUMIFS('Opportunities'!$H$2:$H$1775,'Opportunities'!$C$2:$C$1775,"=r06",'Opportunities'!$N$2:$N$1775,"=aug25",'Opportunities'!$R$2:$R$1775,"=1",'Opportunities'!$F$2:$F$1775,"=negotiation")</f>
        <v>0</v>
      </c>
      <c r="H199" s="4">
        <f>SUMIFS('Opportunities'!$H$2:$H$1775,'Opportunities'!$C$2:$C$1775,"=r06",'Opportunities'!$N$2:$N$1775,"=sep25",'Opportunities'!$R$2:$R$1775,"=1",'Opportunities'!$F$2:$F$1775,"=negotiation")</f>
        <v>0</v>
      </c>
      <c r="I199" s="4">
        <f>SUMIFS('Opportunities'!$H$2:$H$1775,'Opportunities'!$C$2:$C$1775,"=r06",'Opportunities'!$N$2:$N$1775,"=oct25",'Opportunities'!$R$2:$R$1775,"=1",'Opportunities'!$F$2:$F$1775,"=negotiation")</f>
        <v>0</v>
      </c>
      <c r="J199" s="4">
        <f>SUMIFS('Opportunities'!$H$2:$H$1775,'Opportunities'!$C$2:$C$1775,"=r06",'Opportunities'!$N$2:$N$1775,"=nov25",'Opportunities'!$R$2:$R$1775,"=1",'Opportunities'!$F$2:$F$1775,"=negotiation")</f>
        <v>0</v>
      </c>
      <c r="K199" s="4">
        <f>SUMIFS('Opportunities'!$H$2:$H$1775,'Opportunities'!$C$2:$C$1775,"=r06",'Opportunities'!$N$2:$N$1775,"=dec25",'Opportunities'!$R$2:$R$1775,"=1",'Opportunities'!$F$2:$F$1775,"=negotiation")</f>
        <v>0</v>
      </c>
      <c r="L199" s="4">
        <f>SUMIFS('Opportunities'!$H$2:$H$1775,'Opportunities'!$C$2:$C$1775,"=r06",'Opportunities'!$N$2:$N$1775,"=jan26",'Opportunities'!$R$2:$R$1775,"=1",'Opportunities'!$F$2:$F$1775,"=negotiation")</f>
        <v>0</v>
      </c>
      <c r="M199" s="4">
        <f>SUMIFS('Opportunities'!$H$2:$H$1775,'Opportunities'!$C$2:$C$1775,"=r06",'Opportunities'!$N$2:$N$1775,"=feb26",'Opportunities'!$R$2:$R$1775,"=1",'Opportunities'!$F$2:$F$1775,"=negotiation")</f>
        <v>0</v>
      </c>
      <c r="N199" s="4">
        <f>SUMIFS('Opportunities'!$H$2:$H$1775,'Opportunities'!$C$2:$C$1775,"=r06",'Opportunities'!$N$2:$N$1775,"=mar26",'Opportunities'!$R$2:$R$1775,"=1",'Opportunities'!$F$2:$F$1775,"=negotiation")</f>
        <v>0</v>
      </c>
      <c r="O199" s="4">
        <f>SUMIFS('Opportunities'!$H$2:$H$1775,'Opportunities'!$C$2:$C$1775,"=r06",'Opportunities'!$N$2:$N$1775,"=apr26",'Opportunities'!$R$2:$R$1775,"=1",'Opportunities'!$F$2:$F$1775,"=negotiation")</f>
        <v>0</v>
      </c>
      <c r="P199" s="4">
        <f>SUMIFS('Opportunities'!$H$2:$H$1775,'Opportunities'!$C$2:$C$1775,"=r06",'Opportunities'!$N$2:$N$1775,"=may26",'Opportunities'!$R$2:$R$1775,"=1",'Opportunities'!$F$2:$F$1775,"=negotiation")</f>
        <v>0</v>
      </c>
      <c r="Q199" s="4">
        <f>SUMIFS('Opportunities'!$H$2:$H$1775,'Opportunities'!$C$2:$C$1775,"=r06",'Opportunities'!$N$2:$N$1775,"=jun26",'Opportunities'!$R$2:$R$1775,"=1",'Opportunities'!$F$2:$F$1775,"=negotiation")</f>
        <v>0</v>
      </c>
      <c r="R199" s="4">
        <f>SUMIFS('Opportunities'!$H$2:$H$1775,'Opportunities'!$C$2:$C$1775,"=r06",'Opportunities'!$N$2:$N$1775,"=jul26",'Opportunities'!$R$2:$R$1775,"=1",'Opportunities'!$F$2:$F$1775,"=negotiation")</f>
        <v>0</v>
      </c>
      <c r="S199" s="4">
        <f>SUMIFS('Opportunities'!$H$2:$H$1775,'Opportunities'!$C$2:$C$1775,"=r06",'Opportunities'!$N$2:$N$1775,"=aug26",'Opportunities'!$R$2:$R$1775,"=1",'Opportunities'!$F$2:$F$1775,"=negotiation")</f>
        <v>0</v>
      </c>
      <c r="T199" s="4">
        <f>SUMIFS('Opportunities'!$H$2:$H$1775,'Opportunities'!$C$2:$C$1775,"=r06",'Opportunities'!$N$2:$N$1775,"=sep26",'Opportunities'!$R$2:$R$1775,"=1",'Opportunities'!$F$2:$F$1775,"=negotiation")</f>
        <v>12400</v>
      </c>
      <c r="U199" s="4">
        <f>SUMIFS('Opportunities'!$H$2:$H$1775,'Opportunities'!$C$2:$C$1775,"=r06",'Opportunities'!$N$2:$N$1775,"=oct26",'Opportunities'!$R$2:$R$1775,"=1",'Opportunities'!$F$2:$F$1775,"=negotiation")</f>
        <v>0</v>
      </c>
      <c r="V199" s="4">
        <f>SUMIFS('Opportunities'!$H$2:$H$1775,'Opportunities'!$C$2:$C$1775,"=r06",'Opportunities'!$N$2:$N$1775,"=nov26",'Opportunities'!$R$2:$R$1775,"=1",'Opportunities'!$F$2:$F$1775,"=negotiation")</f>
        <v>0</v>
      </c>
      <c r="W199" s="4">
        <f>SUMIFS('Opportunities'!$H$2:$H$1775,'Opportunities'!$C$2:$C$1775,"=r06",'Opportunities'!$N$2:$N$1775,"=dec26",'Opportunities'!$R$2:$R$1775,"=1",'Opportunities'!$F$2:$F$1775,"=negotiation")</f>
        <v>0</v>
      </c>
    </row>
    <row r="200">
      <c r="A200" s="0" t="inlineStr">
        <is>
          <t xml:space="preserve">Commit (negotiation)</t>
        </is>
      </c>
      <c r="B200" s="0" t="inlineStr">
        <is>
          <t xml:space="preserve">Tobias Silva</t>
        </is>
      </c>
      <c r="C200" s="4">
        <f>SUMIFS('Opportunities'!$H$2:$H$1775,'Opportunities'!$C$2:$C$1775,"=r07",'Opportunities'!$N$2:$N$1775,"=apr25",'Opportunities'!$R$2:$R$1775,"=1",'Opportunities'!$F$2:$F$1775,"=negotiation")</f>
        <v>0</v>
      </c>
      <c r="D200" s="4">
        <f>SUMIFS('Opportunities'!$H$2:$H$1775,'Opportunities'!$C$2:$C$1775,"=r07",'Opportunities'!$N$2:$N$1775,"=may25",'Opportunities'!$R$2:$R$1775,"=1",'Opportunities'!$F$2:$F$1775,"=negotiation")</f>
        <v>0</v>
      </c>
      <c r="E200" s="4">
        <f>SUMIFS('Opportunities'!$H$2:$H$1775,'Opportunities'!$C$2:$C$1775,"=r07",'Opportunities'!$N$2:$N$1775,"=jun25",'Opportunities'!$R$2:$R$1775,"=1",'Opportunities'!$F$2:$F$1775,"=negotiation")</f>
        <v>0</v>
      </c>
      <c r="F200" s="4">
        <f>SUMIFS('Opportunities'!$H$2:$H$1775,'Opportunities'!$C$2:$C$1775,"=r07",'Opportunities'!$N$2:$N$1775,"=jul25",'Opportunities'!$R$2:$R$1775,"=1",'Opportunities'!$F$2:$F$1775,"=negotiation")</f>
        <v>0</v>
      </c>
      <c r="G200" s="4">
        <f>SUMIFS('Opportunities'!$H$2:$H$1775,'Opportunities'!$C$2:$C$1775,"=r07",'Opportunities'!$N$2:$N$1775,"=aug25",'Opportunities'!$R$2:$R$1775,"=1",'Opportunities'!$F$2:$F$1775,"=negotiation")</f>
        <v>0</v>
      </c>
      <c r="H200" s="4">
        <f>SUMIFS('Opportunities'!$H$2:$H$1775,'Opportunities'!$C$2:$C$1775,"=r07",'Opportunities'!$N$2:$N$1775,"=sep25",'Opportunities'!$R$2:$R$1775,"=1",'Opportunities'!$F$2:$F$1775,"=negotiation")</f>
        <v>0</v>
      </c>
      <c r="I200" s="4">
        <f>SUMIFS('Opportunities'!$H$2:$H$1775,'Opportunities'!$C$2:$C$1775,"=r07",'Opportunities'!$N$2:$N$1775,"=oct25",'Opportunities'!$R$2:$R$1775,"=1",'Opportunities'!$F$2:$F$1775,"=negotiation")</f>
        <v>0</v>
      </c>
      <c r="J200" s="4">
        <f>SUMIFS('Opportunities'!$H$2:$H$1775,'Opportunities'!$C$2:$C$1775,"=r07",'Opportunities'!$N$2:$N$1775,"=nov25",'Opportunities'!$R$2:$R$1775,"=1",'Opportunities'!$F$2:$F$1775,"=negotiation")</f>
        <v>0</v>
      </c>
      <c r="K200" s="4">
        <f>SUMIFS('Opportunities'!$H$2:$H$1775,'Opportunities'!$C$2:$C$1775,"=r07",'Opportunities'!$N$2:$N$1775,"=dec25",'Opportunities'!$R$2:$R$1775,"=1",'Opportunities'!$F$2:$F$1775,"=negotiation")</f>
        <v>0</v>
      </c>
      <c r="L200" s="4">
        <f>SUMIFS('Opportunities'!$H$2:$H$1775,'Opportunities'!$C$2:$C$1775,"=r07",'Opportunities'!$N$2:$N$1775,"=jan26",'Opportunities'!$R$2:$R$1775,"=1",'Opportunities'!$F$2:$F$1775,"=negotiation")</f>
        <v>0</v>
      </c>
      <c r="M200" s="4">
        <f>SUMIFS('Opportunities'!$H$2:$H$1775,'Opportunities'!$C$2:$C$1775,"=r07",'Opportunities'!$N$2:$N$1775,"=feb26",'Opportunities'!$R$2:$R$1775,"=1",'Opportunities'!$F$2:$F$1775,"=negotiation")</f>
        <v>0</v>
      </c>
      <c r="N200" s="4">
        <f>SUMIFS('Opportunities'!$H$2:$H$1775,'Opportunities'!$C$2:$C$1775,"=r07",'Opportunities'!$N$2:$N$1775,"=mar26",'Opportunities'!$R$2:$R$1775,"=1",'Opportunities'!$F$2:$F$1775,"=negotiation")</f>
        <v>0</v>
      </c>
      <c r="O200" s="4">
        <f>SUMIFS('Opportunities'!$H$2:$H$1775,'Opportunities'!$C$2:$C$1775,"=r07",'Opportunities'!$N$2:$N$1775,"=apr26",'Opportunities'!$R$2:$R$1775,"=1",'Opportunities'!$F$2:$F$1775,"=negotiation")</f>
        <v>0</v>
      </c>
      <c r="P200" s="4">
        <f>SUMIFS('Opportunities'!$H$2:$H$1775,'Opportunities'!$C$2:$C$1775,"=r07",'Opportunities'!$N$2:$N$1775,"=may26",'Opportunities'!$R$2:$R$1775,"=1",'Opportunities'!$F$2:$F$1775,"=negotiation")</f>
        <v>0</v>
      </c>
      <c r="Q200" s="4">
        <f>SUMIFS('Opportunities'!$H$2:$H$1775,'Opportunities'!$C$2:$C$1775,"=r07",'Opportunities'!$N$2:$N$1775,"=jun26",'Opportunities'!$R$2:$R$1775,"=1",'Opportunities'!$F$2:$F$1775,"=negotiation")</f>
        <v>0</v>
      </c>
      <c r="R200" s="4">
        <f>SUMIFS('Opportunities'!$H$2:$H$1775,'Opportunities'!$C$2:$C$1775,"=r07",'Opportunities'!$N$2:$N$1775,"=jul26",'Opportunities'!$R$2:$R$1775,"=1",'Opportunities'!$F$2:$F$1775,"=negotiation")</f>
        <v>0</v>
      </c>
      <c r="S200" s="4">
        <f>SUMIFS('Opportunities'!$H$2:$H$1775,'Opportunities'!$C$2:$C$1775,"=r07",'Opportunities'!$N$2:$N$1775,"=aug26",'Opportunities'!$R$2:$R$1775,"=1",'Opportunities'!$F$2:$F$1775,"=negotiation")</f>
        <v>0</v>
      </c>
      <c r="T200" s="4">
        <f>SUMIFS('Opportunities'!$H$2:$H$1775,'Opportunities'!$C$2:$C$1775,"=r07",'Opportunities'!$N$2:$N$1775,"=sep26",'Opportunities'!$R$2:$R$1775,"=1",'Opportunities'!$F$2:$F$1775,"=negotiation")</f>
        <v>265800</v>
      </c>
      <c r="U200" s="4">
        <f>SUMIFS('Opportunities'!$H$2:$H$1775,'Opportunities'!$C$2:$C$1775,"=r07",'Opportunities'!$N$2:$N$1775,"=oct26",'Opportunities'!$R$2:$R$1775,"=1",'Opportunities'!$F$2:$F$1775,"=negotiation")</f>
        <v>110000</v>
      </c>
      <c r="V200" s="4">
        <f>SUMIFS('Opportunities'!$H$2:$H$1775,'Opportunities'!$C$2:$C$1775,"=r07",'Opportunities'!$N$2:$N$1775,"=nov26",'Opportunities'!$R$2:$R$1775,"=1",'Opportunities'!$F$2:$F$1775,"=negotiation")</f>
        <v>0</v>
      </c>
      <c r="W200" s="4">
        <f>SUMIFS('Opportunities'!$H$2:$H$1775,'Opportunities'!$C$2:$C$1775,"=r07",'Opportunities'!$N$2:$N$1775,"=dec26",'Opportunities'!$R$2:$R$1775,"=1",'Opportunities'!$F$2:$F$1775,"=negotiation")</f>
        <v>0</v>
      </c>
    </row>
    <row r="201">
      <c r="A201" s="0" t="inlineStr">
        <is>
          <t xml:space="preserve">Commit (negotiation)</t>
        </is>
      </c>
      <c r="B201" s="0" t="inlineStr">
        <is>
          <t xml:space="preserve">Leila Osei</t>
        </is>
      </c>
      <c r="C201" s="4">
        <f>SUMIFS('Opportunities'!$H$2:$H$1775,'Opportunities'!$C$2:$C$1775,"=r08",'Opportunities'!$N$2:$N$1775,"=apr25",'Opportunities'!$R$2:$R$1775,"=1",'Opportunities'!$F$2:$F$1775,"=negotiation")</f>
        <v>0</v>
      </c>
      <c r="D201" s="4">
        <f>SUMIFS('Opportunities'!$H$2:$H$1775,'Opportunities'!$C$2:$C$1775,"=r08",'Opportunities'!$N$2:$N$1775,"=may25",'Opportunities'!$R$2:$R$1775,"=1",'Opportunities'!$F$2:$F$1775,"=negotiation")</f>
        <v>0</v>
      </c>
      <c r="E201" s="4">
        <f>SUMIFS('Opportunities'!$H$2:$H$1775,'Opportunities'!$C$2:$C$1775,"=r08",'Opportunities'!$N$2:$N$1775,"=jun25",'Opportunities'!$R$2:$R$1775,"=1",'Opportunities'!$F$2:$F$1775,"=negotiation")</f>
        <v>0</v>
      </c>
      <c r="F201" s="4">
        <f>SUMIFS('Opportunities'!$H$2:$H$1775,'Opportunities'!$C$2:$C$1775,"=r08",'Opportunities'!$N$2:$N$1775,"=jul25",'Opportunities'!$R$2:$R$1775,"=1",'Opportunities'!$F$2:$F$1775,"=negotiation")</f>
        <v>0</v>
      </c>
      <c r="G201" s="4">
        <f>SUMIFS('Opportunities'!$H$2:$H$1775,'Opportunities'!$C$2:$C$1775,"=r08",'Opportunities'!$N$2:$N$1775,"=aug25",'Opportunities'!$R$2:$R$1775,"=1",'Opportunities'!$F$2:$F$1775,"=negotiation")</f>
        <v>0</v>
      </c>
      <c r="H201" s="4">
        <f>SUMIFS('Opportunities'!$H$2:$H$1775,'Opportunities'!$C$2:$C$1775,"=r08",'Opportunities'!$N$2:$N$1775,"=sep25",'Opportunities'!$R$2:$R$1775,"=1",'Opportunities'!$F$2:$F$1775,"=negotiation")</f>
        <v>0</v>
      </c>
      <c r="I201" s="4">
        <f>SUMIFS('Opportunities'!$H$2:$H$1775,'Opportunities'!$C$2:$C$1775,"=r08",'Opportunities'!$N$2:$N$1775,"=oct25",'Opportunities'!$R$2:$R$1775,"=1",'Opportunities'!$F$2:$F$1775,"=negotiation")</f>
        <v>0</v>
      </c>
      <c r="J201" s="4">
        <f>SUMIFS('Opportunities'!$H$2:$H$1775,'Opportunities'!$C$2:$C$1775,"=r08",'Opportunities'!$N$2:$N$1775,"=nov25",'Opportunities'!$R$2:$R$1775,"=1",'Opportunities'!$F$2:$F$1775,"=negotiation")</f>
        <v>0</v>
      </c>
      <c r="K201" s="4">
        <f>SUMIFS('Opportunities'!$H$2:$H$1775,'Opportunities'!$C$2:$C$1775,"=r08",'Opportunities'!$N$2:$N$1775,"=dec25",'Opportunities'!$R$2:$R$1775,"=1",'Opportunities'!$F$2:$F$1775,"=negotiation")</f>
        <v>0</v>
      </c>
      <c r="L201" s="4">
        <f>SUMIFS('Opportunities'!$H$2:$H$1775,'Opportunities'!$C$2:$C$1775,"=r08",'Opportunities'!$N$2:$N$1775,"=jan26",'Opportunities'!$R$2:$R$1775,"=1",'Opportunities'!$F$2:$F$1775,"=negotiation")</f>
        <v>0</v>
      </c>
      <c r="M201" s="4">
        <f>SUMIFS('Opportunities'!$H$2:$H$1775,'Opportunities'!$C$2:$C$1775,"=r08",'Opportunities'!$N$2:$N$1775,"=feb26",'Opportunities'!$R$2:$R$1775,"=1",'Opportunities'!$F$2:$F$1775,"=negotiation")</f>
        <v>0</v>
      </c>
      <c r="N201" s="4">
        <f>SUMIFS('Opportunities'!$H$2:$H$1775,'Opportunities'!$C$2:$C$1775,"=r08",'Opportunities'!$N$2:$N$1775,"=mar26",'Opportunities'!$R$2:$R$1775,"=1",'Opportunities'!$F$2:$F$1775,"=negotiation")</f>
        <v>0</v>
      </c>
      <c r="O201" s="4">
        <f>SUMIFS('Opportunities'!$H$2:$H$1775,'Opportunities'!$C$2:$C$1775,"=r08",'Opportunities'!$N$2:$N$1775,"=apr26",'Opportunities'!$R$2:$R$1775,"=1",'Opportunities'!$F$2:$F$1775,"=negotiation")</f>
        <v>0</v>
      </c>
      <c r="P201" s="4">
        <f>SUMIFS('Opportunities'!$H$2:$H$1775,'Opportunities'!$C$2:$C$1775,"=r08",'Opportunities'!$N$2:$N$1775,"=may26",'Opportunities'!$R$2:$R$1775,"=1",'Opportunities'!$F$2:$F$1775,"=negotiation")</f>
        <v>0</v>
      </c>
      <c r="Q201" s="4">
        <f>SUMIFS('Opportunities'!$H$2:$H$1775,'Opportunities'!$C$2:$C$1775,"=r08",'Opportunities'!$N$2:$N$1775,"=jun26",'Opportunities'!$R$2:$R$1775,"=1",'Opportunities'!$F$2:$F$1775,"=negotiation")</f>
        <v>0</v>
      </c>
      <c r="R201" s="4">
        <f>SUMIFS('Opportunities'!$H$2:$H$1775,'Opportunities'!$C$2:$C$1775,"=r08",'Opportunities'!$N$2:$N$1775,"=jul26",'Opportunities'!$R$2:$R$1775,"=1",'Opportunities'!$F$2:$F$1775,"=negotiation")</f>
        <v>0</v>
      </c>
      <c r="S201" s="4">
        <f>SUMIFS('Opportunities'!$H$2:$H$1775,'Opportunities'!$C$2:$C$1775,"=r08",'Opportunities'!$N$2:$N$1775,"=aug26",'Opportunities'!$R$2:$R$1775,"=1",'Opportunities'!$F$2:$F$1775,"=negotiation")</f>
        <v>0</v>
      </c>
      <c r="T201" s="4">
        <f>SUMIFS('Opportunities'!$H$2:$H$1775,'Opportunities'!$C$2:$C$1775,"=r08",'Opportunities'!$N$2:$N$1775,"=sep26",'Opportunities'!$R$2:$R$1775,"=1",'Opportunities'!$F$2:$F$1775,"=negotiation")</f>
        <v>0</v>
      </c>
      <c r="U201" s="4">
        <f>SUMIFS('Opportunities'!$H$2:$H$1775,'Opportunities'!$C$2:$C$1775,"=r08",'Opportunities'!$N$2:$N$1775,"=oct26",'Opportunities'!$R$2:$R$1775,"=1",'Opportunities'!$F$2:$F$1775,"=negotiation")</f>
        <v>0</v>
      </c>
      <c r="V201" s="4">
        <f>SUMIFS('Opportunities'!$H$2:$H$1775,'Opportunities'!$C$2:$C$1775,"=r08",'Opportunities'!$N$2:$N$1775,"=nov26",'Opportunities'!$R$2:$R$1775,"=1",'Opportunities'!$F$2:$F$1775,"=negotiation")</f>
        <v>0</v>
      </c>
      <c r="W201" s="4">
        <f>SUMIFS('Opportunities'!$H$2:$H$1775,'Opportunities'!$C$2:$C$1775,"=r08",'Opportunities'!$N$2:$N$1775,"=dec26",'Opportunities'!$R$2:$R$1775,"=1",'Opportunities'!$F$2:$F$1775,"=negotiation")</f>
        <v>0</v>
      </c>
    </row>
    <row r="202">
      <c r="A202" s="0" t="inlineStr">
        <is>
          <t xml:space="preserve">Commit (negotiation)</t>
        </is>
      </c>
      <c r="B202" s="0" t="inlineStr">
        <is>
          <t xml:space="preserve">Grace Costa</t>
        </is>
      </c>
      <c r="C202" s="4">
        <f>SUMIFS('Opportunities'!$H$2:$H$1775,'Opportunities'!$C$2:$C$1775,"=r09",'Opportunities'!$N$2:$N$1775,"=apr25",'Opportunities'!$R$2:$R$1775,"=1",'Opportunities'!$F$2:$F$1775,"=negotiation")</f>
        <v>0</v>
      </c>
      <c r="D202" s="4">
        <f>SUMIFS('Opportunities'!$H$2:$H$1775,'Opportunities'!$C$2:$C$1775,"=r09",'Opportunities'!$N$2:$N$1775,"=may25",'Opportunities'!$R$2:$R$1775,"=1",'Opportunities'!$F$2:$F$1775,"=negotiation")</f>
        <v>0</v>
      </c>
      <c r="E202" s="4">
        <f>SUMIFS('Opportunities'!$H$2:$H$1775,'Opportunities'!$C$2:$C$1775,"=r09",'Opportunities'!$N$2:$N$1775,"=jun25",'Opportunities'!$R$2:$R$1775,"=1",'Opportunities'!$F$2:$F$1775,"=negotiation")</f>
        <v>0</v>
      </c>
      <c r="F202" s="4">
        <f>SUMIFS('Opportunities'!$H$2:$H$1775,'Opportunities'!$C$2:$C$1775,"=r09",'Opportunities'!$N$2:$N$1775,"=jul25",'Opportunities'!$R$2:$R$1775,"=1",'Opportunities'!$F$2:$F$1775,"=negotiation")</f>
        <v>0</v>
      </c>
      <c r="G202" s="4">
        <f>SUMIFS('Opportunities'!$H$2:$H$1775,'Opportunities'!$C$2:$C$1775,"=r09",'Opportunities'!$N$2:$N$1775,"=aug25",'Opportunities'!$R$2:$R$1775,"=1",'Opportunities'!$F$2:$F$1775,"=negotiation")</f>
        <v>0</v>
      </c>
      <c r="H202" s="4">
        <f>SUMIFS('Opportunities'!$H$2:$H$1775,'Opportunities'!$C$2:$C$1775,"=r09",'Opportunities'!$N$2:$N$1775,"=sep25",'Opportunities'!$R$2:$R$1775,"=1",'Opportunities'!$F$2:$F$1775,"=negotiation")</f>
        <v>0</v>
      </c>
      <c r="I202" s="4">
        <f>SUMIFS('Opportunities'!$H$2:$H$1775,'Opportunities'!$C$2:$C$1775,"=r09",'Opportunities'!$N$2:$N$1775,"=oct25",'Opportunities'!$R$2:$R$1775,"=1",'Opportunities'!$F$2:$F$1775,"=negotiation")</f>
        <v>0</v>
      </c>
      <c r="J202" s="4">
        <f>SUMIFS('Opportunities'!$H$2:$H$1775,'Opportunities'!$C$2:$C$1775,"=r09",'Opportunities'!$N$2:$N$1775,"=nov25",'Opportunities'!$R$2:$R$1775,"=1",'Opportunities'!$F$2:$F$1775,"=negotiation")</f>
        <v>0</v>
      </c>
      <c r="K202" s="4">
        <f>SUMIFS('Opportunities'!$H$2:$H$1775,'Opportunities'!$C$2:$C$1775,"=r09",'Opportunities'!$N$2:$N$1775,"=dec25",'Opportunities'!$R$2:$R$1775,"=1",'Opportunities'!$F$2:$F$1775,"=negotiation")</f>
        <v>0</v>
      </c>
      <c r="L202" s="4">
        <f>SUMIFS('Opportunities'!$H$2:$H$1775,'Opportunities'!$C$2:$C$1775,"=r09",'Opportunities'!$N$2:$N$1775,"=jan26",'Opportunities'!$R$2:$R$1775,"=1",'Opportunities'!$F$2:$F$1775,"=negotiation")</f>
        <v>0</v>
      </c>
      <c r="M202" s="4">
        <f>SUMIFS('Opportunities'!$H$2:$H$1775,'Opportunities'!$C$2:$C$1775,"=r09",'Opportunities'!$N$2:$N$1775,"=feb26",'Opportunities'!$R$2:$R$1775,"=1",'Opportunities'!$F$2:$F$1775,"=negotiation")</f>
        <v>0</v>
      </c>
      <c r="N202" s="4">
        <f>SUMIFS('Opportunities'!$H$2:$H$1775,'Opportunities'!$C$2:$C$1775,"=r09",'Opportunities'!$N$2:$N$1775,"=mar26",'Opportunities'!$R$2:$R$1775,"=1",'Opportunities'!$F$2:$F$1775,"=negotiation")</f>
        <v>0</v>
      </c>
      <c r="O202" s="4">
        <f>SUMIFS('Opportunities'!$H$2:$H$1775,'Opportunities'!$C$2:$C$1775,"=r09",'Opportunities'!$N$2:$N$1775,"=apr26",'Opportunities'!$R$2:$R$1775,"=1",'Opportunities'!$F$2:$F$1775,"=negotiation")</f>
        <v>0</v>
      </c>
      <c r="P202" s="4">
        <f>SUMIFS('Opportunities'!$H$2:$H$1775,'Opportunities'!$C$2:$C$1775,"=r09",'Opportunities'!$N$2:$N$1775,"=may26",'Opportunities'!$R$2:$R$1775,"=1",'Opportunities'!$F$2:$F$1775,"=negotiation")</f>
        <v>0</v>
      </c>
      <c r="Q202" s="4">
        <f>SUMIFS('Opportunities'!$H$2:$H$1775,'Opportunities'!$C$2:$C$1775,"=r09",'Opportunities'!$N$2:$N$1775,"=jun26",'Opportunities'!$R$2:$R$1775,"=1",'Opportunities'!$F$2:$F$1775,"=negotiation")</f>
        <v>0</v>
      </c>
      <c r="R202" s="4">
        <f>SUMIFS('Opportunities'!$H$2:$H$1775,'Opportunities'!$C$2:$C$1775,"=r09",'Opportunities'!$N$2:$N$1775,"=jul26",'Opportunities'!$R$2:$R$1775,"=1",'Opportunities'!$F$2:$F$1775,"=negotiation")</f>
        <v>0</v>
      </c>
      <c r="S202" s="4">
        <f>SUMIFS('Opportunities'!$H$2:$H$1775,'Opportunities'!$C$2:$C$1775,"=r09",'Opportunities'!$N$2:$N$1775,"=aug26",'Opportunities'!$R$2:$R$1775,"=1",'Opportunities'!$F$2:$F$1775,"=negotiation")</f>
        <v>0</v>
      </c>
      <c r="T202" s="4">
        <f>SUMIFS('Opportunities'!$H$2:$H$1775,'Opportunities'!$C$2:$C$1775,"=r09",'Opportunities'!$N$2:$N$1775,"=sep26",'Opportunities'!$R$2:$R$1775,"=1",'Opportunities'!$F$2:$F$1775,"=negotiation")</f>
        <v>97300</v>
      </c>
      <c r="U202" s="4">
        <f>SUMIFS('Opportunities'!$H$2:$H$1775,'Opportunities'!$C$2:$C$1775,"=r09",'Opportunities'!$N$2:$N$1775,"=oct26",'Opportunities'!$R$2:$R$1775,"=1",'Opportunities'!$F$2:$F$1775,"=negotiation")</f>
        <v>61200</v>
      </c>
      <c r="V202" s="4">
        <f>SUMIFS('Opportunities'!$H$2:$H$1775,'Opportunities'!$C$2:$C$1775,"=r09",'Opportunities'!$N$2:$N$1775,"=nov26",'Opportunities'!$R$2:$R$1775,"=1",'Opportunities'!$F$2:$F$1775,"=negotiation")</f>
        <v>0</v>
      </c>
      <c r="W202" s="4">
        <f>SUMIFS('Opportunities'!$H$2:$H$1775,'Opportunities'!$C$2:$C$1775,"=r09",'Opportunities'!$N$2:$N$1775,"=dec26",'Opportunities'!$R$2:$R$1775,"=1",'Opportunities'!$F$2:$F$1775,"=negotiation")</f>
        <v>0</v>
      </c>
    </row>
    <row r="203">
      <c r="A203" s="0" t="inlineStr">
        <is>
          <t xml:space="preserve">Commit (negotiation)</t>
        </is>
      </c>
      <c r="B203" s="0" t="inlineStr">
        <is>
          <t xml:space="preserve">Ingrid Müller</t>
        </is>
      </c>
      <c r="C203" s="4">
        <f>SUMIFS('Opportunities'!$H$2:$H$1775,'Opportunities'!$C$2:$C$1775,"=r10",'Opportunities'!$N$2:$N$1775,"=apr25",'Opportunities'!$R$2:$R$1775,"=1",'Opportunities'!$F$2:$F$1775,"=negotiation")</f>
        <v>0</v>
      </c>
      <c r="D203" s="4">
        <f>SUMIFS('Opportunities'!$H$2:$H$1775,'Opportunities'!$C$2:$C$1775,"=r10",'Opportunities'!$N$2:$N$1775,"=may25",'Opportunities'!$R$2:$R$1775,"=1",'Opportunities'!$F$2:$F$1775,"=negotiation")</f>
        <v>0</v>
      </c>
      <c r="E203" s="4">
        <f>SUMIFS('Opportunities'!$H$2:$H$1775,'Opportunities'!$C$2:$C$1775,"=r10",'Opportunities'!$N$2:$N$1775,"=jun25",'Opportunities'!$R$2:$R$1775,"=1",'Opportunities'!$F$2:$F$1775,"=negotiation")</f>
        <v>0</v>
      </c>
      <c r="F203" s="4">
        <f>SUMIFS('Opportunities'!$H$2:$H$1775,'Opportunities'!$C$2:$C$1775,"=r10",'Opportunities'!$N$2:$N$1775,"=jul25",'Opportunities'!$R$2:$R$1775,"=1",'Opportunities'!$F$2:$F$1775,"=negotiation")</f>
        <v>0</v>
      </c>
      <c r="G203" s="4">
        <f>SUMIFS('Opportunities'!$H$2:$H$1775,'Opportunities'!$C$2:$C$1775,"=r10",'Opportunities'!$N$2:$N$1775,"=aug25",'Opportunities'!$R$2:$R$1775,"=1",'Opportunities'!$F$2:$F$1775,"=negotiation")</f>
        <v>0</v>
      </c>
      <c r="H203" s="4">
        <f>SUMIFS('Opportunities'!$H$2:$H$1775,'Opportunities'!$C$2:$C$1775,"=r10",'Opportunities'!$N$2:$N$1775,"=sep25",'Opportunities'!$R$2:$R$1775,"=1",'Opportunities'!$F$2:$F$1775,"=negotiation")</f>
        <v>0</v>
      </c>
      <c r="I203" s="4">
        <f>SUMIFS('Opportunities'!$H$2:$H$1775,'Opportunities'!$C$2:$C$1775,"=r10",'Opportunities'!$N$2:$N$1775,"=oct25",'Opportunities'!$R$2:$R$1775,"=1",'Opportunities'!$F$2:$F$1775,"=negotiation")</f>
        <v>0</v>
      </c>
      <c r="J203" s="4">
        <f>SUMIFS('Opportunities'!$H$2:$H$1775,'Opportunities'!$C$2:$C$1775,"=r10",'Opportunities'!$N$2:$N$1775,"=nov25",'Opportunities'!$R$2:$R$1775,"=1",'Opportunities'!$F$2:$F$1775,"=negotiation")</f>
        <v>0</v>
      </c>
      <c r="K203" s="4">
        <f>SUMIFS('Opportunities'!$H$2:$H$1775,'Opportunities'!$C$2:$C$1775,"=r10",'Opportunities'!$N$2:$N$1775,"=dec25",'Opportunities'!$R$2:$R$1775,"=1",'Opportunities'!$F$2:$F$1775,"=negotiation")</f>
        <v>0</v>
      </c>
      <c r="L203" s="4">
        <f>SUMIFS('Opportunities'!$H$2:$H$1775,'Opportunities'!$C$2:$C$1775,"=r10",'Opportunities'!$N$2:$N$1775,"=jan26",'Opportunities'!$R$2:$R$1775,"=1",'Opportunities'!$F$2:$F$1775,"=negotiation")</f>
        <v>0</v>
      </c>
      <c r="M203" s="4">
        <f>SUMIFS('Opportunities'!$H$2:$H$1775,'Opportunities'!$C$2:$C$1775,"=r10",'Opportunities'!$N$2:$N$1775,"=feb26",'Opportunities'!$R$2:$R$1775,"=1",'Opportunities'!$F$2:$F$1775,"=negotiation")</f>
        <v>0</v>
      </c>
      <c r="N203" s="4">
        <f>SUMIFS('Opportunities'!$H$2:$H$1775,'Opportunities'!$C$2:$C$1775,"=r10",'Opportunities'!$N$2:$N$1775,"=mar26",'Opportunities'!$R$2:$R$1775,"=1",'Opportunities'!$F$2:$F$1775,"=negotiation")</f>
        <v>0</v>
      </c>
      <c r="O203" s="4">
        <f>SUMIFS('Opportunities'!$H$2:$H$1775,'Opportunities'!$C$2:$C$1775,"=r10",'Opportunities'!$N$2:$N$1775,"=apr26",'Opportunities'!$R$2:$R$1775,"=1",'Opportunities'!$F$2:$F$1775,"=negotiation")</f>
        <v>0</v>
      </c>
      <c r="P203" s="4">
        <f>SUMIFS('Opportunities'!$H$2:$H$1775,'Opportunities'!$C$2:$C$1775,"=r10",'Opportunities'!$N$2:$N$1775,"=may26",'Opportunities'!$R$2:$R$1775,"=1",'Opportunities'!$F$2:$F$1775,"=negotiation")</f>
        <v>0</v>
      </c>
      <c r="Q203" s="4">
        <f>SUMIFS('Opportunities'!$H$2:$H$1775,'Opportunities'!$C$2:$C$1775,"=r10",'Opportunities'!$N$2:$N$1775,"=jun26",'Opportunities'!$R$2:$R$1775,"=1",'Opportunities'!$F$2:$F$1775,"=negotiation")</f>
        <v>0</v>
      </c>
      <c r="R203" s="4">
        <f>SUMIFS('Opportunities'!$H$2:$H$1775,'Opportunities'!$C$2:$C$1775,"=r10",'Opportunities'!$N$2:$N$1775,"=jul26",'Opportunities'!$R$2:$R$1775,"=1",'Opportunities'!$F$2:$F$1775,"=negotiation")</f>
        <v>0</v>
      </c>
      <c r="S203" s="4">
        <f>SUMIFS('Opportunities'!$H$2:$H$1775,'Opportunities'!$C$2:$C$1775,"=r10",'Opportunities'!$N$2:$N$1775,"=aug26",'Opportunities'!$R$2:$R$1775,"=1",'Opportunities'!$F$2:$F$1775,"=negotiation")</f>
        <v>0</v>
      </c>
      <c r="T203" s="4">
        <f>SUMIFS('Opportunities'!$H$2:$H$1775,'Opportunities'!$C$2:$C$1775,"=r10",'Opportunities'!$N$2:$N$1775,"=sep26",'Opportunities'!$R$2:$R$1775,"=1",'Opportunities'!$F$2:$F$1775,"=negotiation")</f>
        <v>29700</v>
      </c>
      <c r="U203" s="4">
        <f>SUMIFS('Opportunities'!$H$2:$H$1775,'Opportunities'!$C$2:$C$1775,"=r10",'Opportunities'!$N$2:$N$1775,"=oct26",'Opportunities'!$R$2:$R$1775,"=1",'Opportunities'!$F$2:$F$1775,"=negotiation")</f>
        <v>0</v>
      </c>
      <c r="V203" s="4">
        <f>SUMIFS('Opportunities'!$H$2:$H$1775,'Opportunities'!$C$2:$C$1775,"=r10",'Opportunities'!$N$2:$N$1775,"=nov26",'Opportunities'!$R$2:$R$1775,"=1",'Opportunities'!$F$2:$F$1775,"=negotiation")</f>
        <v>0</v>
      </c>
      <c r="W203" s="4">
        <f>SUMIFS('Opportunities'!$H$2:$H$1775,'Opportunities'!$C$2:$C$1775,"=r10",'Opportunities'!$N$2:$N$1775,"=dec26",'Opportunities'!$R$2:$R$1775,"=1",'Opportunities'!$F$2:$F$1775,"=negotiation")</f>
        <v>108300</v>
      </c>
    </row>
    <row r="204">
      <c r="A204" s="0" t="inlineStr">
        <is>
          <t xml:space="preserve">Commit (negotiation)</t>
        </is>
      </c>
      <c r="B204" s="0" t="inlineStr">
        <is>
          <t xml:space="preserve">Ingrid Kim</t>
        </is>
      </c>
      <c r="C204" s="4">
        <f>SUMIFS('Opportunities'!$H$2:$H$1775,'Opportunities'!$C$2:$C$1775,"=r11",'Opportunities'!$N$2:$N$1775,"=apr25",'Opportunities'!$R$2:$R$1775,"=1",'Opportunities'!$F$2:$F$1775,"=negotiation")</f>
        <v>0</v>
      </c>
      <c r="D204" s="4">
        <f>SUMIFS('Opportunities'!$H$2:$H$1775,'Opportunities'!$C$2:$C$1775,"=r11",'Opportunities'!$N$2:$N$1775,"=may25",'Opportunities'!$R$2:$R$1775,"=1",'Opportunities'!$F$2:$F$1775,"=negotiation")</f>
        <v>0</v>
      </c>
      <c r="E204" s="4">
        <f>SUMIFS('Opportunities'!$H$2:$H$1775,'Opportunities'!$C$2:$C$1775,"=r11",'Opportunities'!$N$2:$N$1775,"=jun25",'Opportunities'!$R$2:$R$1775,"=1",'Opportunities'!$F$2:$F$1775,"=negotiation")</f>
        <v>0</v>
      </c>
      <c r="F204" s="4">
        <f>SUMIFS('Opportunities'!$H$2:$H$1775,'Opportunities'!$C$2:$C$1775,"=r11",'Opportunities'!$N$2:$N$1775,"=jul25",'Opportunities'!$R$2:$R$1775,"=1",'Opportunities'!$F$2:$F$1775,"=negotiation")</f>
        <v>0</v>
      </c>
      <c r="G204" s="4">
        <f>SUMIFS('Opportunities'!$H$2:$H$1775,'Opportunities'!$C$2:$C$1775,"=r11",'Opportunities'!$N$2:$N$1775,"=aug25",'Opportunities'!$R$2:$R$1775,"=1",'Opportunities'!$F$2:$F$1775,"=negotiation")</f>
        <v>0</v>
      </c>
      <c r="H204" s="4">
        <f>SUMIFS('Opportunities'!$H$2:$H$1775,'Opportunities'!$C$2:$C$1775,"=r11",'Opportunities'!$N$2:$N$1775,"=sep25",'Opportunities'!$R$2:$R$1775,"=1",'Opportunities'!$F$2:$F$1775,"=negotiation")</f>
        <v>0</v>
      </c>
      <c r="I204" s="4">
        <f>SUMIFS('Opportunities'!$H$2:$H$1775,'Opportunities'!$C$2:$C$1775,"=r11",'Opportunities'!$N$2:$N$1775,"=oct25",'Opportunities'!$R$2:$R$1775,"=1",'Opportunities'!$F$2:$F$1775,"=negotiation")</f>
        <v>0</v>
      </c>
      <c r="J204" s="4">
        <f>SUMIFS('Opportunities'!$H$2:$H$1775,'Opportunities'!$C$2:$C$1775,"=r11",'Opportunities'!$N$2:$N$1775,"=nov25",'Opportunities'!$R$2:$R$1775,"=1",'Opportunities'!$F$2:$F$1775,"=negotiation")</f>
        <v>0</v>
      </c>
      <c r="K204" s="4">
        <f>SUMIFS('Opportunities'!$H$2:$H$1775,'Opportunities'!$C$2:$C$1775,"=r11",'Opportunities'!$N$2:$N$1775,"=dec25",'Opportunities'!$R$2:$R$1775,"=1",'Opportunities'!$F$2:$F$1775,"=negotiation")</f>
        <v>0</v>
      </c>
      <c r="L204" s="4">
        <f>SUMIFS('Opportunities'!$H$2:$H$1775,'Opportunities'!$C$2:$C$1775,"=r11",'Opportunities'!$N$2:$N$1775,"=jan26",'Opportunities'!$R$2:$R$1775,"=1",'Opportunities'!$F$2:$F$1775,"=negotiation")</f>
        <v>0</v>
      </c>
      <c r="M204" s="4">
        <f>SUMIFS('Opportunities'!$H$2:$H$1775,'Opportunities'!$C$2:$C$1775,"=r11",'Opportunities'!$N$2:$N$1775,"=feb26",'Opportunities'!$R$2:$R$1775,"=1",'Opportunities'!$F$2:$F$1775,"=negotiation")</f>
        <v>0</v>
      </c>
      <c r="N204" s="4">
        <f>SUMIFS('Opportunities'!$H$2:$H$1775,'Opportunities'!$C$2:$C$1775,"=r11",'Opportunities'!$N$2:$N$1775,"=mar26",'Opportunities'!$R$2:$R$1775,"=1",'Opportunities'!$F$2:$F$1775,"=negotiation")</f>
        <v>0</v>
      </c>
      <c r="O204" s="4">
        <f>SUMIFS('Opportunities'!$H$2:$H$1775,'Opportunities'!$C$2:$C$1775,"=r11",'Opportunities'!$N$2:$N$1775,"=apr26",'Opportunities'!$R$2:$R$1775,"=1",'Opportunities'!$F$2:$F$1775,"=negotiation")</f>
        <v>0</v>
      </c>
      <c r="P204" s="4">
        <f>SUMIFS('Opportunities'!$H$2:$H$1775,'Opportunities'!$C$2:$C$1775,"=r11",'Opportunities'!$N$2:$N$1775,"=may26",'Opportunities'!$R$2:$R$1775,"=1",'Opportunities'!$F$2:$F$1775,"=negotiation")</f>
        <v>0</v>
      </c>
      <c r="Q204" s="4">
        <f>SUMIFS('Opportunities'!$H$2:$H$1775,'Opportunities'!$C$2:$C$1775,"=r11",'Opportunities'!$N$2:$N$1775,"=jun26",'Opportunities'!$R$2:$R$1775,"=1",'Opportunities'!$F$2:$F$1775,"=negotiation")</f>
        <v>0</v>
      </c>
      <c r="R204" s="4">
        <f>SUMIFS('Opportunities'!$H$2:$H$1775,'Opportunities'!$C$2:$C$1775,"=r11",'Opportunities'!$N$2:$N$1775,"=jul26",'Opportunities'!$R$2:$R$1775,"=1",'Opportunities'!$F$2:$F$1775,"=negotiation")</f>
        <v>0</v>
      </c>
      <c r="S204" s="4">
        <f>SUMIFS('Opportunities'!$H$2:$H$1775,'Opportunities'!$C$2:$C$1775,"=r11",'Opportunities'!$N$2:$N$1775,"=aug26",'Opportunities'!$R$2:$R$1775,"=1",'Opportunities'!$F$2:$F$1775,"=negotiation")</f>
        <v>0</v>
      </c>
      <c r="T204" s="4">
        <f>SUMIFS('Opportunities'!$H$2:$H$1775,'Opportunities'!$C$2:$C$1775,"=r11",'Opportunities'!$N$2:$N$1775,"=sep26",'Opportunities'!$R$2:$R$1775,"=1",'Opportunities'!$F$2:$F$1775,"=negotiation")</f>
        <v>0</v>
      </c>
      <c r="U204" s="4">
        <f>SUMIFS('Opportunities'!$H$2:$H$1775,'Opportunities'!$C$2:$C$1775,"=r11",'Opportunities'!$N$2:$N$1775,"=oct26",'Opportunities'!$R$2:$R$1775,"=1",'Opportunities'!$F$2:$F$1775,"=negotiation")</f>
        <v>0</v>
      </c>
      <c r="V204" s="4">
        <f>SUMIFS('Opportunities'!$H$2:$H$1775,'Opportunities'!$C$2:$C$1775,"=r11",'Opportunities'!$N$2:$N$1775,"=nov26",'Opportunities'!$R$2:$R$1775,"=1",'Opportunities'!$F$2:$F$1775,"=negotiation")</f>
        <v>0</v>
      </c>
      <c r="W204" s="4">
        <f>SUMIFS('Opportunities'!$H$2:$H$1775,'Opportunities'!$C$2:$C$1775,"=r11",'Opportunities'!$N$2:$N$1775,"=dec26",'Opportunities'!$R$2:$R$1775,"=1",'Opportunities'!$F$2:$F$1775,"=negotiation")</f>
        <v>48700</v>
      </c>
    </row>
    <row r="205">
      <c r="A205" s="0" t="inlineStr">
        <is>
          <t xml:space="preserve">Commit (negotiation)</t>
        </is>
      </c>
      <c r="B205" s="0" t="inlineStr">
        <is>
          <t xml:space="preserve">Priya Nair</t>
        </is>
      </c>
      <c r="C205" s="4">
        <f>SUMIFS('Opportunities'!$H$2:$H$1775,'Opportunities'!$C$2:$C$1775,"=r12",'Opportunities'!$N$2:$N$1775,"=apr25",'Opportunities'!$R$2:$R$1775,"=1",'Opportunities'!$F$2:$F$1775,"=negotiation")</f>
        <v>0</v>
      </c>
      <c r="D205" s="4">
        <f>SUMIFS('Opportunities'!$H$2:$H$1775,'Opportunities'!$C$2:$C$1775,"=r12",'Opportunities'!$N$2:$N$1775,"=may25",'Opportunities'!$R$2:$R$1775,"=1",'Opportunities'!$F$2:$F$1775,"=negotiation")</f>
        <v>0</v>
      </c>
      <c r="E205" s="4">
        <f>SUMIFS('Opportunities'!$H$2:$H$1775,'Opportunities'!$C$2:$C$1775,"=r12",'Opportunities'!$N$2:$N$1775,"=jun25",'Opportunities'!$R$2:$R$1775,"=1",'Opportunities'!$F$2:$F$1775,"=negotiation")</f>
        <v>0</v>
      </c>
      <c r="F205" s="4">
        <f>SUMIFS('Opportunities'!$H$2:$H$1775,'Opportunities'!$C$2:$C$1775,"=r12",'Opportunities'!$N$2:$N$1775,"=jul25",'Opportunities'!$R$2:$R$1775,"=1",'Opportunities'!$F$2:$F$1775,"=negotiation")</f>
        <v>0</v>
      </c>
      <c r="G205" s="4">
        <f>SUMIFS('Opportunities'!$H$2:$H$1775,'Opportunities'!$C$2:$C$1775,"=r12",'Opportunities'!$N$2:$N$1775,"=aug25",'Opportunities'!$R$2:$R$1775,"=1",'Opportunities'!$F$2:$F$1775,"=negotiation")</f>
        <v>0</v>
      </c>
      <c r="H205" s="4">
        <f>SUMIFS('Opportunities'!$H$2:$H$1775,'Opportunities'!$C$2:$C$1775,"=r12",'Opportunities'!$N$2:$N$1775,"=sep25",'Opportunities'!$R$2:$R$1775,"=1",'Opportunities'!$F$2:$F$1775,"=negotiation")</f>
        <v>0</v>
      </c>
      <c r="I205" s="4">
        <f>SUMIFS('Opportunities'!$H$2:$H$1775,'Opportunities'!$C$2:$C$1775,"=r12",'Opportunities'!$N$2:$N$1775,"=oct25",'Opportunities'!$R$2:$R$1775,"=1",'Opportunities'!$F$2:$F$1775,"=negotiation")</f>
        <v>0</v>
      </c>
      <c r="J205" s="4">
        <f>SUMIFS('Opportunities'!$H$2:$H$1775,'Opportunities'!$C$2:$C$1775,"=r12",'Opportunities'!$N$2:$N$1775,"=nov25",'Opportunities'!$R$2:$R$1775,"=1",'Opportunities'!$F$2:$F$1775,"=negotiation")</f>
        <v>0</v>
      </c>
      <c r="K205" s="4">
        <f>SUMIFS('Opportunities'!$H$2:$H$1775,'Opportunities'!$C$2:$C$1775,"=r12",'Opportunities'!$N$2:$N$1775,"=dec25",'Opportunities'!$R$2:$R$1775,"=1",'Opportunities'!$F$2:$F$1775,"=negotiation")</f>
        <v>0</v>
      </c>
      <c r="L205" s="4">
        <f>SUMIFS('Opportunities'!$H$2:$H$1775,'Opportunities'!$C$2:$C$1775,"=r12",'Opportunities'!$N$2:$N$1775,"=jan26",'Opportunities'!$R$2:$R$1775,"=1",'Opportunities'!$F$2:$F$1775,"=negotiation")</f>
        <v>0</v>
      </c>
      <c r="M205" s="4">
        <f>SUMIFS('Opportunities'!$H$2:$H$1775,'Opportunities'!$C$2:$C$1775,"=r12",'Opportunities'!$N$2:$N$1775,"=feb26",'Opportunities'!$R$2:$R$1775,"=1",'Opportunities'!$F$2:$F$1775,"=negotiation")</f>
        <v>0</v>
      </c>
      <c r="N205" s="4">
        <f>SUMIFS('Opportunities'!$H$2:$H$1775,'Opportunities'!$C$2:$C$1775,"=r12",'Opportunities'!$N$2:$N$1775,"=mar26",'Opportunities'!$R$2:$R$1775,"=1",'Opportunities'!$F$2:$F$1775,"=negotiation")</f>
        <v>0</v>
      </c>
      <c r="O205" s="4">
        <f>SUMIFS('Opportunities'!$H$2:$H$1775,'Opportunities'!$C$2:$C$1775,"=r12",'Opportunities'!$N$2:$N$1775,"=apr26",'Opportunities'!$R$2:$R$1775,"=1",'Opportunities'!$F$2:$F$1775,"=negotiation")</f>
        <v>0</v>
      </c>
      <c r="P205" s="4">
        <f>SUMIFS('Opportunities'!$H$2:$H$1775,'Opportunities'!$C$2:$C$1775,"=r12",'Opportunities'!$N$2:$N$1775,"=may26",'Opportunities'!$R$2:$R$1775,"=1",'Opportunities'!$F$2:$F$1775,"=negotiation")</f>
        <v>0</v>
      </c>
      <c r="Q205" s="4">
        <f>SUMIFS('Opportunities'!$H$2:$H$1775,'Opportunities'!$C$2:$C$1775,"=r12",'Opportunities'!$N$2:$N$1775,"=jun26",'Opportunities'!$R$2:$R$1775,"=1",'Opportunities'!$F$2:$F$1775,"=negotiation")</f>
        <v>0</v>
      </c>
      <c r="R205" s="4">
        <f>SUMIFS('Opportunities'!$H$2:$H$1775,'Opportunities'!$C$2:$C$1775,"=r12",'Opportunities'!$N$2:$N$1775,"=jul26",'Opportunities'!$R$2:$R$1775,"=1",'Opportunities'!$F$2:$F$1775,"=negotiation")</f>
        <v>0</v>
      </c>
      <c r="S205" s="4">
        <f>SUMIFS('Opportunities'!$H$2:$H$1775,'Opportunities'!$C$2:$C$1775,"=r12",'Opportunities'!$N$2:$N$1775,"=aug26",'Opportunities'!$R$2:$R$1775,"=1",'Opportunities'!$F$2:$F$1775,"=negotiation")</f>
        <v>0</v>
      </c>
      <c r="T205" s="4">
        <f>SUMIFS('Opportunities'!$H$2:$H$1775,'Opportunities'!$C$2:$C$1775,"=r12",'Opportunities'!$N$2:$N$1775,"=sep26",'Opportunities'!$R$2:$R$1775,"=1",'Opportunities'!$F$2:$F$1775,"=negotiation")</f>
        <v>19700</v>
      </c>
      <c r="U205" s="4">
        <f>SUMIFS('Opportunities'!$H$2:$H$1775,'Opportunities'!$C$2:$C$1775,"=r12",'Opportunities'!$N$2:$N$1775,"=oct26",'Opportunities'!$R$2:$R$1775,"=1",'Opportunities'!$F$2:$F$1775,"=negotiation")</f>
        <v>0</v>
      </c>
      <c r="V205" s="4">
        <f>SUMIFS('Opportunities'!$H$2:$H$1775,'Opportunities'!$C$2:$C$1775,"=r12",'Opportunities'!$N$2:$N$1775,"=nov26",'Opportunities'!$R$2:$R$1775,"=1",'Opportunities'!$F$2:$F$1775,"=negotiation")</f>
        <v>0</v>
      </c>
      <c r="W205" s="4">
        <f>SUMIFS('Opportunities'!$H$2:$H$1775,'Opportunities'!$C$2:$C$1775,"=r12",'Opportunities'!$N$2:$N$1775,"=dec26",'Opportunities'!$R$2:$R$1775,"=1",'Opportunities'!$F$2:$F$1775,"=negotiation")</f>
        <v>0</v>
      </c>
    </row>
    <row r="206">
      <c r="A206" s="0" t="inlineStr">
        <is>
          <t xml:space="preserve">Commit (negotiation)</t>
        </is>
      </c>
      <c r="B206" s="0" t="inlineStr">
        <is>
          <t xml:space="preserve">Hugo Lindqvist</t>
        </is>
      </c>
      <c r="C206" s="4">
        <f>SUMIFS('Opportunities'!$H$2:$H$1775,'Opportunities'!$C$2:$C$1775,"=r13",'Opportunities'!$N$2:$N$1775,"=apr25",'Opportunities'!$R$2:$R$1775,"=1",'Opportunities'!$F$2:$F$1775,"=negotiation")</f>
        <v>0</v>
      </c>
      <c r="D206" s="4">
        <f>SUMIFS('Opportunities'!$H$2:$H$1775,'Opportunities'!$C$2:$C$1775,"=r13",'Opportunities'!$N$2:$N$1775,"=may25",'Opportunities'!$R$2:$R$1775,"=1",'Opportunities'!$F$2:$F$1775,"=negotiation")</f>
        <v>0</v>
      </c>
      <c r="E206" s="4">
        <f>SUMIFS('Opportunities'!$H$2:$H$1775,'Opportunities'!$C$2:$C$1775,"=r13",'Opportunities'!$N$2:$N$1775,"=jun25",'Opportunities'!$R$2:$R$1775,"=1",'Opportunities'!$F$2:$F$1775,"=negotiation")</f>
        <v>0</v>
      </c>
      <c r="F206" s="4">
        <f>SUMIFS('Opportunities'!$H$2:$H$1775,'Opportunities'!$C$2:$C$1775,"=r13",'Opportunities'!$N$2:$N$1775,"=jul25",'Opportunities'!$R$2:$R$1775,"=1",'Opportunities'!$F$2:$F$1775,"=negotiation")</f>
        <v>0</v>
      </c>
      <c r="G206" s="4">
        <f>SUMIFS('Opportunities'!$H$2:$H$1775,'Opportunities'!$C$2:$C$1775,"=r13",'Opportunities'!$N$2:$N$1775,"=aug25",'Opportunities'!$R$2:$R$1775,"=1",'Opportunities'!$F$2:$F$1775,"=negotiation")</f>
        <v>0</v>
      </c>
      <c r="H206" s="4">
        <f>SUMIFS('Opportunities'!$H$2:$H$1775,'Opportunities'!$C$2:$C$1775,"=r13",'Opportunities'!$N$2:$N$1775,"=sep25",'Opportunities'!$R$2:$R$1775,"=1",'Opportunities'!$F$2:$F$1775,"=negotiation")</f>
        <v>0</v>
      </c>
      <c r="I206" s="4">
        <f>SUMIFS('Opportunities'!$H$2:$H$1775,'Opportunities'!$C$2:$C$1775,"=r13",'Opportunities'!$N$2:$N$1775,"=oct25",'Opportunities'!$R$2:$R$1775,"=1",'Opportunities'!$F$2:$F$1775,"=negotiation")</f>
        <v>0</v>
      </c>
      <c r="J206" s="4">
        <f>SUMIFS('Opportunities'!$H$2:$H$1775,'Opportunities'!$C$2:$C$1775,"=r13",'Opportunities'!$N$2:$N$1775,"=nov25",'Opportunities'!$R$2:$R$1775,"=1",'Opportunities'!$F$2:$F$1775,"=negotiation")</f>
        <v>0</v>
      </c>
      <c r="K206" s="4">
        <f>SUMIFS('Opportunities'!$H$2:$H$1775,'Opportunities'!$C$2:$C$1775,"=r13",'Opportunities'!$N$2:$N$1775,"=dec25",'Opportunities'!$R$2:$R$1775,"=1",'Opportunities'!$F$2:$F$1775,"=negotiation")</f>
        <v>0</v>
      </c>
      <c r="L206" s="4">
        <f>SUMIFS('Opportunities'!$H$2:$H$1775,'Opportunities'!$C$2:$C$1775,"=r13",'Opportunities'!$N$2:$N$1775,"=jan26",'Opportunities'!$R$2:$R$1775,"=1",'Opportunities'!$F$2:$F$1775,"=negotiation")</f>
        <v>0</v>
      </c>
      <c r="M206" s="4">
        <f>SUMIFS('Opportunities'!$H$2:$H$1775,'Opportunities'!$C$2:$C$1775,"=r13",'Opportunities'!$N$2:$N$1775,"=feb26",'Opportunities'!$R$2:$R$1775,"=1",'Opportunities'!$F$2:$F$1775,"=negotiation")</f>
        <v>0</v>
      </c>
      <c r="N206" s="4">
        <f>SUMIFS('Opportunities'!$H$2:$H$1775,'Opportunities'!$C$2:$C$1775,"=r13",'Opportunities'!$N$2:$N$1775,"=mar26",'Opportunities'!$R$2:$R$1775,"=1",'Opportunities'!$F$2:$F$1775,"=negotiation")</f>
        <v>0</v>
      </c>
      <c r="O206" s="4">
        <f>SUMIFS('Opportunities'!$H$2:$H$1775,'Opportunities'!$C$2:$C$1775,"=r13",'Opportunities'!$N$2:$N$1775,"=apr26",'Opportunities'!$R$2:$R$1775,"=1",'Opportunities'!$F$2:$F$1775,"=negotiation")</f>
        <v>0</v>
      </c>
      <c r="P206" s="4">
        <f>SUMIFS('Opportunities'!$H$2:$H$1775,'Opportunities'!$C$2:$C$1775,"=r13",'Opportunities'!$N$2:$N$1775,"=may26",'Opportunities'!$R$2:$R$1775,"=1",'Opportunities'!$F$2:$F$1775,"=negotiation")</f>
        <v>0</v>
      </c>
      <c r="Q206" s="4">
        <f>SUMIFS('Opportunities'!$H$2:$H$1775,'Opportunities'!$C$2:$C$1775,"=r13",'Opportunities'!$N$2:$N$1775,"=jun26",'Opportunities'!$R$2:$R$1775,"=1",'Opportunities'!$F$2:$F$1775,"=negotiation")</f>
        <v>0</v>
      </c>
      <c r="R206" s="4">
        <f>SUMIFS('Opportunities'!$H$2:$H$1775,'Opportunities'!$C$2:$C$1775,"=r13",'Opportunities'!$N$2:$N$1775,"=jul26",'Opportunities'!$R$2:$R$1775,"=1",'Opportunities'!$F$2:$F$1775,"=negotiation")</f>
        <v>0</v>
      </c>
      <c r="S206" s="4">
        <f>SUMIFS('Opportunities'!$H$2:$H$1775,'Opportunities'!$C$2:$C$1775,"=r13",'Opportunities'!$N$2:$N$1775,"=aug26",'Opportunities'!$R$2:$R$1775,"=1",'Opportunities'!$F$2:$F$1775,"=negotiation")</f>
        <v>0</v>
      </c>
      <c r="T206" s="4">
        <f>SUMIFS('Opportunities'!$H$2:$H$1775,'Opportunities'!$C$2:$C$1775,"=r13",'Opportunities'!$N$2:$N$1775,"=sep26",'Opportunities'!$R$2:$R$1775,"=1",'Opportunities'!$F$2:$F$1775,"=negotiation")</f>
        <v>112600</v>
      </c>
      <c r="U206" s="4">
        <f>SUMIFS('Opportunities'!$H$2:$H$1775,'Opportunities'!$C$2:$C$1775,"=r13",'Opportunities'!$N$2:$N$1775,"=oct26",'Opportunities'!$R$2:$R$1775,"=1",'Opportunities'!$F$2:$F$1775,"=negotiation")</f>
        <v>0</v>
      </c>
      <c r="V206" s="4">
        <f>SUMIFS('Opportunities'!$H$2:$H$1775,'Opportunities'!$C$2:$C$1775,"=r13",'Opportunities'!$N$2:$N$1775,"=nov26",'Opportunities'!$R$2:$R$1775,"=1",'Opportunities'!$F$2:$F$1775,"=negotiation")</f>
        <v>0</v>
      </c>
      <c r="W206" s="4">
        <f>SUMIFS('Opportunities'!$H$2:$H$1775,'Opportunities'!$C$2:$C$1775,"=r13",'Opportunities'!$N$2:$N$1775,"=dec26",'Opportunities'!$R$2:$R$1775,"=1",'Opportunities'!$F$2:$F$1775,"=negotiation")</f>
        <v>32900</v>
      </c>
    </row>
    <row r="207">
      <c r="A207" s="0" t="inlineStr">
        <is>
          <t xml:space="preserve">Commit (negotiation)</t>
        </is>
      </c>
      <c r="B207" s="0" t="inlineStr">
        <is>
          <t xml:space="preserve">Wei Novak</t>
        </is>
      </c>
      <c r="C207" s="4">
        <f>SUMIFS('Opportunities'!$H$2:$H$1775,'Opportunities'!$C$2:$C$1775,"=r14",'Opportunities'!$N$2:$N$1775,"=apr25",'Opportunities'!$R$2:$R$1775,"=1",'Opportunities'!$F$2:$F$1775,"=negotiation")</f>
        <v>0</v>
      </c>
      <c r="D207" s="4">
        <f>SUMIFS('Opportunities'!$H$2:$H$1775,'Opportunities'!$C$2:$C$1775,"=r14",'Opportunities'!$N$2:$N$1775,"=may25",'Opportunities'!$R$2:$R$1775,"=1",'Opportunities'!$F$2:$F$1775,"=negotiation")</f>
        <v>0</v>
      </c>
      <c r="E207" s="4">
        <f>SUMIFS('Opportunities'!$H$2:$H$1775,'Opportunities'!$C$2:$C$1775,"=r14",'Opportunities'!$N$2:$N$1775,"=jun25",'Opportunities'!$R$2:$R$1775,"=1",'Opportunities'!$F$2:$F$1775,"=negotiation")</f>
        <v>0</v>
      </c>
      <c r="F207" s="4">
        <f>SUMIFS('Opportunities'!$H$2:$H$1775,'Opportunities'!$C$2:$C$1775,"=r14",'Opportunities'!$N$2:$N$1775,"=jul25",'Opportunities'!$R$2:$R$1775,"=1",'Opportunities'!$F$2:$F$1775,"=negotiation")</f>
        <v>0</v>
      </c>
      <c r="G207" s="4">
        <f>SUMIFS('Opportunities'!$H$2:$H$1775,'Opportunities'!$C$2:$C$1775,"=r14",'Opportunities'!$N$2:$N$1775,"=aug25",'Opportunities'!$R$2:$R$1775,"=1",'Opportunities'!$F$2:$F$1775,"=negotiation")</f>
        <v>0</v>
      </c>
      <c r="H207" s="4">
        <f>SUMIFS('Opportunities'!$H$2:$H$1775,'Opportunities'!$C$2:$C$1775,"=r14",'Opportunities'!$N$2:$N$1775,"=sep25",'Opportunities'!$R$2:$R$1775,"=1",'Opportunities'!$F$2:$F$1775,"=negotiation")</f>
        <v>0</v>
      </c>
      <c r="I207" s="4">
        <f>SUMIFS('Opportunities'!$H$2:$H$1775,'Opportunities'!$C$2:$C$1775,"=r14",'Opportunities'!$N$2:$N$1775,"=oct25",'Opportunities'!$R$2:$R$1775,"=1",'Opportunities'!$F$2:$F$1775,"=negotiation")</f>
        <v>0</v>
      </c>
      <c r="J207" s="4">
        <f>SUMIFS('Opportunities'!$H$2:$H$1775,'Opportunities'!$C$2:$C$1775,"=r14",'Opportunities'!$N$2:$N$1775,"=nov25",'Opportunities'!$R$2:$R$1775,"=1",'Opportunities'!$F$2:$F$1775,"=negotiation")</f>
        <v>0</v>
      </c>
      <c r="K207" s="4">
        <f>SUMIFS('Opportunities'!$H$2:$H$1775,'Opportunities'!$C$2:$C$1775,"=r14",'Opportunities'!$N$2:$N$1775,"=dec25",'Opportunities'!$R$2:$R$1775,"=1",'Opportunities'!$F$2:$F$1775,"=negotiation")</f>
        <v>0</v>
      </c>
      <c r="L207" s="4">
        <f>SUMIFS('Opportunities'!$H$2:$H$1775,'Opportunities'!$C$2:$C$1775,"=r14",'Opportunities'!$N$2:$N$1775,"=jan26",'Opportunities'!$R$2:$R$1775,"=1",'Opportunities'!$F$2:$F$1775,"=negotiation")</f>
        <v>0</v>
      </c>
      <c r="M207" s="4">
        <f>SUMIFS('Opportunities'!$H$2:$H$1775,'Opportunities'!$C$2:$C$1775,"=r14",'Opportunities'!$N$2:$N$1775,"=feb26",'Opportunities'!$R$2:$R$1775,"=1",'Opportunities'!$F$2:$F$1775,"=negotiation")</f>
        <v>0</v>
      </c>
      <c r="N207" s="4">
        <f>SUMIFS('Opportunities'!$H$2:$H$1775,'Opportunities'!$C$2:$C$1775,"=r14",'Opportunities'!$N$2:$N$1775,"=mar26",'Opportunities'!$R$2:$R$1775,"=1",'Opportunities'!$F$2:$F$1775,"=negotiation")</f>
        <v>0</v>
      </c>
      <c r="O207" s="4">
        <f>SUMIFS('Opportunities'!$H$2:$H$1775,'Opportunities'!$C$2:$C$1775,"=r14",'Opportunities'!$N$2:$N$1775,"=apr26",'Opportunities'!$R$2:$R$1775,"=1",'Opportunities'!$F$2:$F$1775,"=negotiation")</f>
        <v>0</v>
      </c>
      <c r="P207" s="4">
        <f>SUMIFS('Opportunities'!$H$2:$H$1775,'Opportunities'!$C$2:$C$1775,"=r14",'Opportunities'!$N$2:$N$1775,"=may26",'Opportunities'!$R$2:$R$1775,"=1",'Opportunities'!$F$2:$F$1775,"=negotiation")</f>
        <v>0</v>
      </c>
      <c r="Q207" s="4">
        <f>SUMIFS('Opportunities'!$H$2:$H$1775,'Opportunities'!$C$2:$C$1775,"=r14",'Opportunities'!$N$2:$N$1775,"=jun26",'Opportunities'!$R$2:$R$1775,"=1",'Opportunities'!$F$2:$F$1775,"=negotiation")</f>
        <v>0</v>
      </c>
      <c r="R207" s="4">
        <f>SUMIFS('Opportunities'!$H$2:$H$1775,'Opportunities'!$C$2:$C$1775,"=r14",'Opportunities'!$N$2:$N$1775,"=jul26",'Opportunities'!$R$2:$R$1775,"=1",'Opportunities'!$F$2:$F$1775,"=negotiation")</f>
        <v>0</v>
      </c>
      <c r="S207" s="4">
        <f>SUMIFS('Opportunities'!$H$2:$H$1775,'Opportunities'!$C$2:$C$1775,"=r14",'Opportunities'!$N$2:$N$1775,"=aug26",'Opportunities'!$R$2:$R$1775,"=1",'Opportunities'!$F$2:$F$1775,"=negotiation")</f>
        <v>0</v>
      </c>
      <c r="T207" s="4">
        <f>SUMIFS('Opportunities'!$H$2:$H$1775,'Opportunities'!$C$2:$C$1775,"=r14",'Opportunities'!$N$2:$N$1775,"=sep26",'Opportunities'!$R$2:$R$1775,"=1",'Opportunities'!$F$2:$F$1775,"=negotiation")</f>
        <v>0</v>
      </c>
      <c r="U207" s="4">
        <f>SUMIFS('Opportunities'!$H$2:$H$1775,'Opportunities'!$C$2:$C$1775,"=r14",'Opportunities'!$N$2:$N$1775,"=oct26",'Opportunities'!$R$2:$R$1775,"=1",'Opportunities'!$F$2:$F$1775,"=negotiation")</f>
        <v>0</v>
      </c>
      <c r="V207" s="4">
        <f>SUMIFS('Opportunities'!$H$2:$H$1775,'Opportunities'!$C$2:$C$1775,"=r14",'Opportunities'!$N$2:$N$1775,"=nov26",'Opportunities'!$R$2:$R$1775,"=1",'Opportunities'!$F$2:$F$1775,"=negotiation")</f>
        <v>0</v>
      </c>
      <c r="W207" s="4">
        <f>SUMIFS('Opportunities'!$H$2:$H$1775,'Opportunities'!$C$2:$C$1775,"=r14",'Opportunities'!$N$2:$N$1775,"=dec26",'Opportunities'!$R$2:$R$1775,"=1",'Opportunities'!$F$2:$F$1775,"=negotiation")</f>
        <v>0</v>
      </c>
    </row>
    <row r="208">
      <c r="A208" s="0" t="inlineStr">
        <is>
          <t xml:space="preserve">Commit (negotiation)</t>
        </is>
      </c>
      <c r="B208" s="0" t="inlineStr">
        <is>
          <t xml:space="preserve">Nikolai Kim</t>
        </is>
      </c>
      <c r="C208" s="4">
        <f>SUMIFS('Opportunities'!$H$2:$H$1775,'Opportunities'!$C$2:$C$1775,"=r15",'Opportunities'!$N$2:$N$1775,"=apr25",'Opportunities'!$R$2:$R$1775,"=1",'Opportunities'!$F$2:$F$1775,"=negotiation")</f>
        <v>0</v>
      </c>
      <c r="D208" s="4">
        <f>SUMIFS('Opportunities'!$H$2:$H$1775,'Opportunities'!$C$2:$C$1775,"=r15",'Opportunities'!$N$2:$N$1775,"=may25",'Opportunities'!$R$2:$R$1775,"=1",'Opportunities'!$F$2:$F$1775,"=negotiation")</f>
        <v>0</v>
      </c>
      <c r="E208" s="4">
        <f>SUMIFS('Opportunities'!$H$2:$H$1775,'Opportunities'!$C$2:$C$1775,"=r15",'Opportunities'!$N$2:$N$1775,"=jun25",'Opportunities'!$R$2:$R$1775,"=1",'Opportunities'!$F$2:$F$1775,"=negotiation")</f>
        <v>0</v>
      </c>
      <c r="F208" s="4">
        <f>SUMIFS('Opportunities'!$H$2:$H$1775,'Opportunities'!$C$2:$C$1775,"=r15",'Opportunities'!$N$2:$N$1775,"=jul25",'Opportunities'!$R$2:$R$1775,"=1",'Opportunities'!$F$2:$F$1775,"=negotiation")</f>
        <v>0</v>
      </c>
      <c r="G208" s="4">
        <f>SUMIFS('Opportunities'!$H$2:$H$1775,'Opportunities'!$C$2:$C$1775,"=r15",'Opportunities'!$N$2:$N$1775,"=aug25",'Opportunities'!$R$2:$R$1775,"=1",'Opportunities'!$F$2:$F$1775,"=negotiation")</f>
        <v>0</v>
      </c>
      <c r="H208" s="4">
        <f>SUMIFS('Opportunities'!$H$2:$H$1775,'Opportunities'!$C$2:$C$1775,"=r15",'Opportunities'!$N$2:$N$1775,"=sep25",'Opportunities'!$R$2:$R$1775,"=1",'Opportunities'!$F$2:$F$1775,"=negotiation")</f>
        <v>0</v>
      </c>
      <c r="I208" s="4">
        <f>SUMIFS('Opportunities'!$H$2:$H$1775,'Opportunities'!$C$2:$C$1775,"=r15",'Opportunities'!$N$2:$N$1775,"=oct25",'Opportunities'!$R$2:$R$1775,"=1",'Opportunities'!$F$2:$F$1775,"=negotiation")</f>
        <v>0</v>
      </c>
      <c r="J208" s="4">
        <f>SUMIFS('Opportunities'!$H$2:$H$1775,'Opportunities'!$C$2:$C$1775,"=r15",'Opportunities'!$N$2:$N$1775,"=nov25",'Opportunities'!$R$2:$R$1775,"=1",'Opportunities'!$F$2:$F$1775,"=negotiation")</f>
        <v>0</v>
      </c>
      <c r="K208" s="4">
        <f>SUMIFS('Opportunities'!$H$2:$H$1775,'Opportunities'!$C$2:$C$1775,"=r15",'Opportunities'!$N$2:$N$1775,"=dec25",'Opportunities'!$R$2:$R$1775,"=1",'Opportunities'!$F$2:$F$1775,"=negotiation")</f>
        <v>0</v>
      </c>
      <c r="L208" s="4">
        <f>SUMIFS('Opportunities'!$H$2:$H$1775,'Opportunities'!$C$2:$C$1775,"=r15",'Opportunities'!$N$2:$N$1775,"=jan26",'Opportunities'!$R$2:$R$1775,"=1",'Opportunities'!$F$2:$F$1775,"=negotiation")</f>
        <v>0</v>
      </c>
      <c r="M208" s="4">
        <f>SUMIFS('Opportunities'!$H$2:$H$1775,'Opportunities'!$C$2:$C$1775,"=r15",'Opportunities'!$N$2:$N$1775,"=feb26",'Opportunities'!$R$2:$R$1775,"=1",'Opportunities'!$F$2:$F$1775,"=negotiation")</f>
        <v>0</v>
      </c>
      <c r="N208" s="4">
        <f>SUMIFS('Opportunities'!$H$2:$H$1775,'Opportunities'!$C$2:$C$1775,"=r15",'Opportunities'!$N$2:$N$1775,"=mar26",'Opportunities'!$R$2:$R$1775,"=1",'Opportunities'!$F$2:$F$1775,"=negotiation")</f>
        <v>0</v>
      </c>
      <c r="O208" s="4">
        <f>SUMIFS('Opportunities'!$H$2:$H$1775,'Opportunities'!$C$2:$C$1775,"=r15",'Opportunities'!$N$2:$N$1775,"=apr26",'Opportunities'!$R$2:$R$1775,"=1",'Opportunities'!$F$2:$F$1775,"=negotiation")</f>
        <v>0</v>
      </c>
      <c r="P208" s="4">
        <f>SUMIFS('Opportunities'!$H$2:$H$1775,'Opportunities'!$C$2:$C$1775,"=r15",'Opportunities'!$N$2:$N$1775,"=may26",'Opportunities'!$R$2:$R$1775,"=1",'Opportunities'!$F$2:$F$1775,"=negotiation")</f>
        <v>0</v>
      </c>
      <c r="Q208" s="4">
        <f>SUMIFS('Opportunities'!$H$2:$H$1775,'Opportunities'!$C$2:$C$1775,"=r15",'Opportunities'!$N$2:$N$1775,"=jun26",'Opportunities'!$R$2:$R$1775,"=1",'Opportunities'!$F$2:$F$1775,"=negotiation")</f>
        <v>0</v>
      </c>
      <c r="R208" s="4">
        <f>SUMIFS('Opportunities'!$H$2:$H$1775,'Opportunities'!$C$2:$C$1775,"=r15",'Opportunities'!$N$2:$N$1775,"=jul26",'Opportunities'!$R$2:$R$1775,"=1",'Opportunities'!$F$2:$F$1775,"=negotiation")</f>
        <v>0</v>
      </c>
      <c r="S208" s="4">
        <f>SUMIFS('Opportunities'!$H$2:$H$1775,'Opportunities'!$C$2:$C$1775,"=r15",'Opportunities'!$N$2:$N$1775,"=aug26",'Opportunities'!$R$2:$R$1775,"=1",'Opportunities'!$F$2:$F$1775,"=negotiation")</f>
        <v>0</v>
      </c>
      <c r="T208" s="4">
        <f>SUMIFS('Opportunities'!$H$2:$H$1775,'Opportunities'!$C$2:$C$1775,"=r15",'Opportunities'!$N$2:$N$1775,"=sep26",'Opportunities'!$R$2:$R$1775,"=1",'Opportunities'!$F$2:$F$1775,"=negotiation")</f>
        <v>0</v>
      </c>
      <c r="U208" s="4">
        <f>SUMIFS('Opportunities'!$H$2:$H$1775,'Opportunities'!$C$2:$C$1775,"=r15",'Opportunities'!$N$2:$N$1775,"=oct26",'Opportunities'!$R$2:$R$1775,"=1",'Opportunities'!$F$2:$F$1775,"=negotiation")</f>
        <v>0</v>
      </c>
      <c r="V208" s="4">
        <f>SUMIFS('Opportunities'!$H$2:$H$1775,'Opportunities'!$C$2:$C$1775,"=r15",'Opportunities'!$N$2:$N$1775,"=nov26",'Opportunities'!$R$2:$R$1775,"=1",'Opportunities'!$F$2:$F$1775,"=negotiation")</f>
        <v>0</v>
      </c>
      <c r="W208" s="4">
        <f>SUMIFS('Opportunities'!$H$2:$H$1775,'Opportunities'!$C$2:$C$1775,"=r15",'Opportunities'!$N$2:$N$1775,"=dec26",'Opportunities'!$R$2:$R$1775,"=1",'Opportunities'!$F$2:$F$1775,"=negotiation")</f>
        <v>0</v>
      </c>
    </row>
    <row r="209">
      <c r="A209" s="0" t="inlineStr">
        <is>
          <t xml:space="preserve">Commit (negotiation)</t>
        </is>
      </c>
      <c r="B209" s="0" t="inlineStr">
        <is>
          <t xml:space="preserve">Wei Nair</t>
        </is>
      </c>
      <c r="C209" s="4">
        <f>SUMIFS('Opportunities'!$H$2:$H$1775,'Opportunities'!$C$2:$C$1775,"=r16",'Opportunities'!$N$2:$N$1775,"=apr25",'Opportunities'!$R$2:$R$1775,"=1",'Opportunities'!$F$2:$F$1775,"=negotiation")</f>
        <v>0</v>
      </c>
      <c r="D209" s="4">
        <f>SUMIFS('Opportunities'!$H$2:$H$1775,'Opportunities'!$C$2:$C$1775,"=r16",'Opportunities'!$N$2:$N$1775,"=may25",'Opportunities'!$R$2:$R$1775,"=1",'Opportunities'!$F$2:$F$1775,"=negotiation")</f>
        <v>0</v>
      </c>
      <c r="E209" s="4">
        <f>SUMIFS('Opportunities'!$H$2:$H$1775,'Opportunities'!$C$2:$C$1775,"=r16",'Opportunities'!$N$2:$N$1775,"=jun25",'Opportunities'!$R$2:$R$1775,"=1",'Opportunities'!$F$2:$F$1775,"=negotiation")</f>
        <v>0</v>
      </c>
      <c r="F209" s="4">
        <f>SUMIFS('Opportunities'!$H$2:$H$1775,'Opportunities'!$C$2:$C$1775,"=r16",'Opportunities'!$N$2:$N$1775,"=jul25",'Opportunities'!$R$2:$R$1775,"=1",'Opportunities'!$F$2:$F$1775,"=negotiation")</f>
        <v>0</v>
      </c>
      <c r="G209" s="4">
        <f>SUMIFS('Opportunities'!$H$2:$H$1775,'Opportunities'!$C$2:$C$1775,"=r16",'Opportunities'!$N$2:$N$1775,"=aug25",'Opportunities'!$R$2:$R$1775,"=1",'Opportunities'!$F$2:$F$1775,"=negotiation")</f>
        <v>0</v>
      </c>
      <c r="H209" s="4">
        <f>SUMIFS('Opportunities'!$H$2:$H$1775,'Opportunities'!$C$2:$C$1775,"=r16",'Opportunities'!$N$2:$N$1775,"=sep25",'Opportunities'!$R$2:$R$1775,"=1",'Opportunities'!$F$2:$F$1775,"=negotiation")</f>
        <v>0</v>
      </c>
      <c r="I209" s="4">
        <f>SUMIFS('Opportunities'!$H$2:$H$1775,'Opportunities'!$C$2:$C$1775,"=r16",'Opportunities'!$N$2:$N$1775,"=oct25",'Opportunities'!$R$2:$R$1775,"=1",'Opportunities'!$F$2:$F$1775,"=negotiation")</f>
        <v>0</v>
      </c>
      <c r="J209" s="4">
        <f>SUMIFS('Opportunities'!$H$2:$H$1775,'Opportunities'!$C$2:$C$1775,"=r16",'Opportunities'!$N$2:$N$1775,"=nov25",'Opportunities'!$R$2:$R$1775,"=1",'Opportunities'!$F$2:$F$1775,"=negotiation")</f>
        <v>0</v>
      </c>
      <c r="K209" s="4">
        <f>SUMIFS('Opportunities'!$H$2:$H$1775,'Opportunities'!$C$2:$C$1775,"=r16",'Opportunities'!$N$2:$N$1775,"=dec25",'Opportunities'!$R$2:$R$1775,"=1",'Opportunities'!$F$2:$F$1775,"=negotiation")</f>
        <v>0</v>
      </c>
      <c r="L209" s="4">
        <f>SUMIFS('Opportunities'!$H$2:$H$1775,'Opportunities'!$C$2:$C$1775,"=r16",'Opportunities'!$N$2:$N$1775,"=jan26",'Opportunities'!$R$2:$R$1775,"=1",'Opportunities'!$F$2:$F$1775,"=negotiation")</f>
        <v>0</v>
      </c>
      <c r="M209" s="4">
        <f>SUMIFS('Opportunities'!$H$2:$H$1775,'Opportunities'!$C$2:$C$1775,"=r16",'Opportunities'!$N$2:$N$1775,"=feb26",'Opportunities'!$R$2:$R$1775,"=1",'Opportunities'!$F$2:$F$1775,"=negotiation")</f>
        <v>0</v>
      </c>
      <c r="N209" s="4">
        <f>SUMIFS('Opportunities'!$H$2:$H$1775,'Opportunities'!$C$2:$C$1775,"=r16",'Opportunities'!$N$2:$N$1775,"=mar26",'Opportunities'!$R$2:$R$1775,"=1",'Opportunities'!$F$2:$F$1775,"=negotiation")</f>
        <v>0</v>
      </c>
      <c r="O209" s="4">
        <f>SUMIFS('Opportunities'!$H$2:$H$1775,'Opportunities'!$C$2:$C$1775,"=r16",'Opportunities'!$N$2:$N$1775,"=apr26",'Opportunities'!$R$2:$R$1775,"=1",'Opportunities'!$F$2:$F$1775,"=negotiation")</f>
        <v>0</v>
      </c>
      <c r="P209" s="4">
        <f>SUMIFS('Opportunities'!$H$2:$H$1775,'Opportunities'!$C$2:$C$1775,"=r16",'Opportunities'!$N$2:$N$1775,"=may26",'Opportunities'!$R$2:$R$1775,"=1",'Opportunities'!$F$2:$F$1775,"=negotiation")</f>
        <v>0</v>
      </c>
      <c r="Q209" s="4">
        <f>SUMIFS('Opportunities'!$H$2:$H$1775,'Opportunities'!$C$2:$C$1775,"=r16",'Opportunities'!$N$2:$N$1775,"=jun26",'Opportunities'!$R$2:$R$1775,"=1",'Opportunities'!$F$2:$F$1775,"=negotiation")</f>
        <v>0</v>
      </c>
      <c r="R209" s="4">
        <f>SUMIFS('Opportunities'!$H$2:$H$1775,'Opportunities'!$C$2:$C$1775,"=r16",'Opportunities'!$N$2:$N$1775,"=jul26",'Opportunities'!$R$2:$R$1775,"=1",'Opportunities'!$F$2:$F$1775,"=negotiation")</f>
        <v>0</v>
      </c>
      <c r="S209" s="4">
        <f>SUMIFS('Opportunities'!$H$2:$H$1775,'Opportunities'!$C$2:$C$1775,"=r16",'Opportunities'!$N$2:$N$1775,"=aug26",'Opportunities'!$R$2:$R$1775,"=1",'Opportunities'!$F$2:$F$1775,"=negotiation")</f>
        <v>0</v>
      </c>
      <c r="T209" s="4">
        <f>SUMIFS('Opportunities'!$H$2:$H$1775,'Opportunities'!$C$2:$C$1775,"=r16",'Opportunities'!$N$2:$N$1775,"=sep26",'Opportunities'!$R$2:$R$1775,"=1",'Opportunities'!$F$2:$F$1775,"=negotiation")</f>
        <v>0</v>
      </c>
      <c r="U209" s="4">
        <f>SUMIFS('Opportunities'!$H$2:$H$1775,'Opportunities'!$C$2:$C$1775,"=r16",'Opportunities'!$N$2:$N$1775,"=oct26",'Opportunities'!$R$2:$R$1775,"=1",'Opportunities'!$F$2:$F$1775,"=negotiation")</f>
        <v>0</v>
      </c>
      <c r="V209" s="4">
        <f>SUMIFS('Opportunities'!$H$2:$H$1775,'Opportunities'!$C$2:$C$1775,"=r16",'Opportunities'!$N$2:$N$1775,"=nov26",'Opportunities'!$R$2:$R$1775,"=1",'Opportunities'!$F$2:$F$1775,"=negotiation")</f>
        <v>0</v>
      </c>
      <c r="W209" s="4">
        <f>SUMIFS('Opportunities'!$H$2:$H$1775,'Opportunities'!$C$2:$C$1775,"=r16",'Opportunities'!$N$2:$N$1775,"=dec26",'Opportunities'!$R$2:$R$1775,"=1",'Opportunities'!$F$2:$F$1775,"=negotiation")</f>
        <v>0</v>
      </c>
    </row>
    <row r="210">
      <c r="A210" s="0" t="inlineStr">
        <is>
          <t xml:space="preserve">Commit (negotiation)</t>
        </is>
      </c>
      <c r="B210" s="0" t="inlineStr">
        <is>
          <t xml:space="preserve">Liam Silva</t>
        </is>
      </c>
      <c r="C210" s="4">
        <f>SUMIFS('Opportunities'!$H$2:$H$1775,'Opportunities'!$C$2:$C$1775,"=r17",'Opportunities'!$N$2:$N$1775,"=apr25",'Opportunities'!$R$2:$R$1775,"=1",'Opportunities'!$F$2:$F$1775,"=negotiation")</f>
        <v>0</v>
      </c>
      <c r="D210" s="4">
        <f>SUMIFS('Opportunities'!$H$2:$H$1775,'Opportunities'!$C$2:$C$1775,"=r17",'Opportunities'!$N$2:$N$1775,"=may25",'Opportunities'!$R$2:$R$1775,"=1",'Opportunities'!$F$2:$F$1775,"=negotiation")</f>
        <v>0</v>
      </c>
      <c r="E210" s="4">
        <f>SUMIFS('Opportunities'!$H$2:$H$1775,'Opportunities'!$C$2:$C$1775,"=r17",'Opportunities'!$N$2:$N$1775,"=jun25",'Opportunities'!$R$2:$R$1775,"=1",'Opportunities'!$F$2:$F$1775,"=negotiation")</f>
        <v>0</v>
      </c>
      <c r="F210" s="4">
        <f>SUMIFS('Opportunities'!$H$2:$H$1775,'Opportunities'!$C$2:$C$1775,"=r17",'Opportunities'!$N$2:$N$1775,"=jul25",'Opportunities'!$R$2:$R$1775,"=1",'Opportunities'!$F$2:$F$1775,"=negotiation")</f>
        <v>0</v>
      </c>
      <c r="G210" s="4">
        <f>SUMIFS('Opportunities'!$H$2:$H$1775,'Opportunities'!$C$2:$C$1775,"=r17",'Opportunities'!$N$2:$N$1775,"=aug25",'Opportunities'!$R$2:$R$1775,"=1",'Opportunities'!$F$2:$F$1775,"=negotiation")</f>
        <v>0</v>
      </c>
      <c r="H210" s="4">
        <f>SUMIFS('Opportunities'!$H$2:$H$1775,'Opportunities'!$C$2:$C$1775,"=r17",'Opportunities'!$N$2:$N$1775,"=sep25",'Opportunities'!$R$2:$R$1775,"=1",'Opportunities'!$F$2:$F$1775,"=negotiation")</f>
        <v>0</v>
      </c>
      <c r="I210" s="4">
        <f>SUMIFS('Opportunities'!$H$2:$H$1775,'Opportunities'!$C$2:$C$1775,"=r17",'Opportunities'!$N$2:$N$1775,"=oct25",'Opportunities'!$R$2:$R$1775,"=1",'Opportunities'!$F$2:$F$1775,"=negotiation")</f>
        <v>0</v>
      </c>
      <c r="J210" s="4">
        <f>SUMIFS('Opportunities'!$H$2:$H$1775,'Opportunities'!$C$2:$C$1775,"=r17",'Opportunities'!$N$2:$N$1775,"=nov25",'Opportunities'!$R$2:$R$1775,"=1",'Opportunities'!$F$2:$F$1775,"=negotiation")</f>
        <v>0</v>
      </c>
      <c r="K210" s="4">
        <f>SUMIFS('Opportunities'!$H$2:$H$1775,'Opportunities'!$C$2:$C$1775,"=r17",'Opportunities'!$N$2:$N$1775,"=dec25",'Opportunities'!$R$2:$R$1775,"=1",'Opportunities'!$F$2:$F$1775,"=negotiation")</f>
        <v>0</v>
      </c>
      <c r="L210" s="4">
        <f>SUMIFS('Opportunities'!$H$2:$H$1775,'Opportunities'!$C$2:$C$1775,"=r17",'Opportunities'!$N$2:$N$1775,"=jan26",'Opportunities'!$R$2:$R$1775,"=1",'Opportunities'!$F$2:$F$1775,"=negotiation")</f>
        <v>0</v>
      </c>
      <c r="M210" s="4">
        <f>SUMIFS('Opportunities'!$H$2:$H$1775,'Opportunities'!$C$2:$C$1775,"=r17",'Opportunities'!$N$2:$N$1775,"=feb26",'Opportunities'!$R$2:$R$1775,"=1",'Opportunities'!$F$2:$F$1775,"=negotiation")</f>
        <v>0</v>
      </c>
      <c r="N210" s="4">
        <f>SUMIFS('Opportunities'!$H$2:$H$1775,'Opportunities'!$C$2:$C$1775,"=r17",'Opportunities'!$N$2:$N$1775,"=mar26",'Opportunities'!$R$2:$R$1775,"=1",'Opportunities'!$F$2:$F$1775,"=negotiation")</f>
        <v>0</v>
      </c>
      <c r="O210" s="4">
        <f>SUMIFS('Opportunities'!$H$2:$H$1775,'Opportunities'!$C$2:$C$1775,"=r17",'Opportunities'!$N$2:$N$1775,"=apr26",'Opportunities'!$R$2:$R$1775,"=1",'Opportunities'!$F$2:$F$1775,"=negotiation")</f>
        <v>0</v>
      </c>
      <c r="P210" s="4">
        <f>SUMIFS('Opportunities'!$H$2:$H$1775,'Opportunities'!$C$2:$C$1775,"=r17",'Opportunities'!$N$2:$N$1775,"=may26",'Opportunities'!$R$2:$R$1775,"=1",'Opportunities'!$F$2:$F$1775,"=negotiation")</f>
        <v>0</v>
      </c>
      <c r="Q210" s="4">
        <f>SUMIFS('Opportunities'!$H$2:$H$1775,'Opportunities'!$C$2:$C$1775,"=r17",'Opportunities'!$N$2:$N$1775,"=jun26",'Opportunities'!$R$2:$R$1775,"=1",'Opportunities'!$F$2:$F$1775,"=negotiation")</f>
        <v>0</v>
      </c>
      <c r="R210" s="4">
        <f>SUMIFS('Opportunities'!$H$2:$H$1775,'Opportunities'!$C$2:$C$1775,"=r17",'Opportunities'!$N$2:$N$1775,"=jul26",'Opportunities'!$R$2:$R$1775,"=1",'Opportunities'!$F$2:$F$1775,"=negotiation")</f>
        <v>0</v>
      </c>
      <c r="S210" s="4">
        <f>SUMIFS('Opportunities'!$H$2:$H$1775,'Opportunities'!$C$2:$C$1775,"=r17",'Opportunities'!$N$2:$N$1775,"=aug26",'Opportunities'!$R$2:$R$1775,"=1",'Opportunities'!$F$2:$F$1775,"=negotiation")</f>
        <v>0</v>
      </c>
      <c r="T210" s="4">
        <f>SUMIFS('Opportunities'!$H$2:$H$1775,'Opportunities'!$C$2:$C$1775,"=r17",'Opportunities'!$N$2:$N$1775,"=sep26",'Opportunities'!$R$2:$R$1775,"=1",'Opportunities'!$F$2:$F$1775,"=negotiation")</f>
        <v>9100</v>
      </c>
      <c r="U210" s="4">
        <f>SUMIFS('Opportunities'!$H$2:$H$1775,'Opportunities'!$C$2:$C$1775,"=r17",'Opportunities'!$N$2:$N$1775,"=oct26",'Opportunities'!$R$2:$R$1775,"=1",'Opportunities'!$F$2:$F$1775,"=negotiation")</f>
        <v>11900</v>
      </c>
      <c r="V210" s="4">
        <f>SUMIFS('Opportunities'!$H$2:$H$1775,'Opportunities'!$C$2:$C$1775,"=r17",'Opportunities'!$N$2:$N$1775,"=nov26",'Opportunities'!$R$2:$R$1775,"=1",'Opportunities'!$F$2:$F$1775,"=negotiation")</f>
        <v>0</v>
      </c>
      <c r="W210" s="4">
        <f>SUMIFS('Opportunities'!$H$2:$H$1775,'Opportunities'!$C$2:$C$1775,"=r17",'Opportunities'!$N$2:$N$1775,"=dec26",'Opportunities'!$R$2:$R$1775,"=1",'Opportunities'!$F$2:$F$1775,"=negotiation")</f>
        <v>46700</v>
      </c>
    </row>
    <row r="211">
      <c r="A211" s="0" t="inlineStr">
        <is>
          <t xml:space="preserve">Commit (negotiation)</t>
        </is>
      </c>
      <c r="B211" s="0" t="inlineStr">
        <is>
          <t xml:space="preserve">Samuel Silva</t>
        </is>
      </c>
      <c r="C211" s="4">
        <f>SUMIFS('Opportunities'!$H$2:$H$1775,'Opportunities'!$C$2:$C$1775,"=r18",'Opportunities'!$N$2:$N$1775,"=apr25",'Opportunities'!$R$2:$R$1775,"=1",'Opportunities'!$F$2:$F$1775,"=negotiation")</f>
        <v>0</v>
      </c>
      <c r="D211" s="4">
        <f>SUMIFS('Opportunities'!$H$2:$H$1775,'Opportunities'!$C$2:$C$1775,"=r18",'Opportunities'!$N$2:$N$1775,"=may25",'Opportunities'!$R$2:$R$1775,"=1",'Opportunities'!$F$2:$F$1775,"=negotiation")</f>
        <v>0</v>
      </c>
      <c r="E211" s="4">
        <f>SUMIFS('Opportunities'!$H$2:$H$1775,'Opportunities'!$C$2:$C$1775,"=r18",'Opportunities'!$N$2:$N$1775,"=jun25",'Opportunities'!$R$2:$R$1775,"=1",'Opportunities'!$F$2:$F$1775,"=negotiation")</f>
        <v>0</v>
      </c>
      <c r="F211" s="4">
        <f>SUMIFS('Opportunities'!$H$2:$H$1775,'Opportunities'!$C$2:$C$1775,"=r18",'Opportunities'!$N$2:$N$1775,"=jul25",'Opportunities'!$R$2:$R$1775,"=1",'Opportunities'!$F$2:$F$1775,"=negotiation")</f>
        <v>0</v>
      </c>
      <c r="G211" s="4">
        <f>SUMIFS('Opportunities'!$H$2:$H$1775,'Opportunities'!$C$2:$C$1775,"=r18",'Opportunities'!$N$2:$N$1775,"=aug25",'Opportunities'!$R$2:$R$1775,"=1",'Opportunities'!$F$2:$F$1775,"=negotiation")</f>
        <v>0</v>
      </c>
      <c r="H211" s="4">
        <f>SUMIFS('Opportunities'!$H$2:$H$1775,'Opportunities'!$C$2:$C$1775,"=r18",'Opportunities'!$N$2:$N$1775,"=sep25",'Opportunities'!$R$2:$R$1775,"=1",'Opportunities'!$F$2:$F$1775,"=negotiation")</f>
        <v>0</v>
      </c>
      <c r="I211" s="4">
        <f>SUMIFS('Opportunities'!$H$2:$H$1775,'Opportunities'!$C$2:$C$1775,"=r18",'Opportunities'!$N$2:$N$1775,"=oct25",'Opportunities'!$R$2:$R$1775,"=1",'Opportunities'!$F$2:$F$1775,"=negotiation")</f>
        <v>0</v>
      </c>
      <c r="J211" s="4">
        <f>SUMIFS('Opportunities'!$H$2:$H$1775,'Opportunities'!$C$2:$C$1775,"=r18",'Opportunities'!$N$2:$N$1775,"=nov25",'Opportunities'!$R$2:$R$1775,"=1",'Opportunities'!$F$2:$F$1775,"=negotiation")</f>
        <v>0</v>
      </c>
      <c r="K211" s="4">
        <f>SUMIFS('Opportunities'!$H$2:$H$1775,'Opportunities'!$C$2:$C$1775,"=r18",'Opportunities'!$N$2:$N$1775,"=dec25",'Opportunities'!$R$2:$R$1775,"=1",'Opportunities'!$F$2:$F$1775,"=negotiation")</f>
        <v>0</v>
      </c>
      <c r="L211" s="4">
        <f>SUMIFS('Opportunities'!$H$2:$H$1775,'Opportunities'!$C$2:$C$1775,"=r18",'Opportunities'!$N$2:$N$1775,"=jan26",'Opportunities'!$R$2:$R$1775,"=1",'Opportunities'!$F$2:$F$1775,"=negotiation")</f>
        <v>0</v>
      </c>
      <c r="M211" s="4">
        <f>SUMIFS('Opportunities'!$H$2:$H$1775,'Opportunities'!$C$2:$C$1775,"=r18",'Opportunities'!$N$2:$N$1775,"=feb26",'Opportunities'!$R$2:$R$1775,"=1",'Opportunities'!$F$2:$F$1775,"=negotiation")</f>
        <v>0</v>
      </c>
      <c r="N211" s="4">
        <f>SUMIFS('Opportunities'!$H$2:$H$1775,'Opportunities'!$C$2:$C$1775,"=r18",'Opportunities'!$N$2:$N$1775,"=mar26",'Opportunities'!$R$2:$R$1775,"=1",'Opportunities'!$F$2:$F$1775,"=negotiation")</f>
        <v>0</v>
      </c>
      <c r="O211" s="4">
        <f>SUMIFS('Opportunities'!$H$2:$H$1775,'Opportunities'!$C$2:$C$1775,"=r18",'Opportunities'!$N$2:$N$1775,"=apr26",'Opportunities'!$R$2:$R$1775,"=1",'Opportunities'!$F$2:$F$1775,"=negotiation")</f>
        <v>0</v>
      </c>
      <c r="P211" s="4">
        <f>SUMIFS('Opportunities'!$H$2:$H$1775,'Opportunities'!$C$2:$C$1775,"=r18",'Opportunities'!$N$2:$N$1775,"=may26",'Opportunities'!$R$2:$R$1775,"=1",'Opportunities'!$F$2:$F$1775,"=negotiation")</f>
        <v>0</v>
      </c>
      <c r="Q211" s="4">
        <f>SUMIFS('Opportunities'!$H$2:$H$1775,'Opportunities'!$C$2:$C$1775,"=r18",'Opportunities'!$N$2:$N$1775,"=jun26",'Opportunities'!$R$2:$R$1775,"=1",'Opportunities'!$F$2:$F$1775,"=negotiation")</f>
        <v>0</v>
      </c>
      <c r="R211" s="4">
        <f>SUMIFS('Opportunities'!$H$2:$H$1775,'Opportunities'!$C$2:$C$1775,"=r18",'Opportunities'!$N$2:$N$1775,"=jul26",'Opportunities'!$R$2:$R$1775,"=1",'Opportunities'!$F$2:$F$1775,"=negotiation")</f>
        <v>0</v>
      </c>
      <c r="S211" s="4">
        <f>SUMIFS('Opportunities'!$H$2:$H$1775,'Opportunities'!$C$2:$C$1775,"=r18",'Opportunities'!$N$2:$N$1775,"=aug26",'Opportunities'!$R$2:$R$1775,"=1",'Opportunities'!$F$2:$F$1775,"=negotiation")</f>
        <v>0</v>
      </c>
      <c r="T211" s="4">
        <f>SUMIFS('Opportunities'!$H$2:$H$1775,'Opportunities'!$C$2:$C$1775,"=r18",'Opportunities'!$N$2:$N$1775,"=sep26",'Opportunities'!$R$2:$R$1775,"=1",'Opportunities'!$F$2:$F$1775,"=negotiation")</f>
        <v>5800</v>
      </c>
      <c r="U211" s="4">
        <f>SUMIFS('Opportunities'!$H$2:$H$1775,'Opportunities'!$C$2:$C$1775,"=r18",'Opportunities'!$N$2:$N$1775,"=oct26",'Opportunities'!$R$2:$R$1775,"=1",'Opportunities'!$F$2:$F$1775,"=negotiation")</f>
        <v>0</v>
      </c>
      <c r="V211" s="4">
        <f>SUMIFS('Opportunities'!$H$2:$H$1775,'Opportunities'!$C$2:$C$1775,"=r18",'Opportunities'!$N$2:$N$1775,"=nov26",'Opportunities'!$R$2:$R$1775,"=1",'Opportunities'!$F$2:$F$1775,"=negotiation")</f>
        <v>0</v>
      </c>
      <c r="W211" s="4">
        <f>SUMIFS('Opportunities'!$H$2:$H$1775,'Opportunities'!$C$2:$C$1775,"=r18",'Opportunities'!$N$2:$N$1775,"=dec26",'Opportunities'!$R$2:$R$1775,"=1",'Opportunities'!$F$2:$F$1775,"=negotiation")</f>
        <v>9200</v>
      </c>
    </row>
    <row r="212">
      <c r="A212" s="0" t="inlineStr">
        <is>
          <t xml:space="preserve">Commit (negotiation)</t>
        </is>
      </c>
      <c r="B212" s="0" t="inlineStr">
        <is>
          <t xml:space="preserve">Yuki Larsen</t>
        </is>
      </c>
      <c r="C212" s="4">
        <f>SUMIFS('Opportunities'!$H$2:$H$1775,'Opportunities'!$C$2:$C$1775,"=r19",'Opportunities'!$N$2:$N$1775,"=apr25",'Opportunities'!$R$2:$R$1775,"=1",'Opportunities'!$F$2:$F$1775,"=negotiation")</f>
        <v>0</v>
      </c>
      <c r="D212" s="4">
        <f>SUMIFS('Opportunities'!$H$2:$H$1775,'Opportunities'!$C$2:$C$1775,"=r19",'Opportunities'!$N$2:$N$1775,"=may25",'Opportunities'!$R$2:$R$1775,"=1",'Opportunities'!$F$2:$F$1775,"=negotiation")</f>
        <v>0</v>
      </c>
      <c r="E212" s="4">
        <f>SUMIFS('Opportunities'!$H$2:$H$1775,'Opportunities'!$C$2:$C$1775,"=r19",'Opportunities'!$N$2:$N$1775,"=jun25",'Opportunities'!$R$2:$R$1775,"=1",'Opportunities'!$F$2:$F$1775,"=negotiation")</f>
        <v>0</v>
      </c>
      <c r="F212" s="4">
        <f>SUMIFS('Opportunities'!$H$2:$H$1775,'Opportunities'!$C$2:$C$1775,"=r19",'Opportunities'!$N$2:$N$1775,"=jul25",'Opportunities'!$R$2:$R$1775,"=1",'Opportunities'!$F$2:$F$1775,"=negotiation")</f>
        <v>0</v>
      </c>
      <c r="G212" s="4">
        <f>SUMIFS('Opportunities'!$H$2:$H$1775,'Opportunities'!$C$2:$C$1775,"=r19",'Opportunities'!$N$2:$N$1775,"=aug25",'Opportunities'!$R$2:$R$1775,"=1",'Opportunities'!$F$2:$F$1775,"=negotiation")</f>
        <v>0</v>
      </c>
      <c r="H212" s="4">
        <f>SUMIFS('Opportunities'!$H$2:$H$1775,'Opportunities'!$C$2:$C$1775,"=r19",'Opportunities'!$N$2:$N$1775,"=sep25",'Opportunities'!$R$2:$R$1775,"=1",'Opportunities'!$F$2:$F$1775,"=negotiation")</f>
        <v>0</v>
      </c>
      <c r="I212" s="4">
        <f>SUMIFS('Opportunities'!$H$2:$H$1775,'Opportunities'!$C$2:$C$1775,"=r19",'Opportunities'!$N$2:$N$1775,"=oct25",'Opportunities'!$R$2:$R$1775,"=1",'Opportunities'!$F$2:$F$1775,"=negotiation")</f>
        <v>0</v>
      </c>
      <c r="J212" s="4">
        <f>SUMIFS('Opportunities'!$H$2:$H$1775,'Opportunities'!$C$2:$C$1775,"=r19",'Opportunities'!$N$2:$N$1775,"=nov25",'Opportunities'!$R$2:$R$1775,"=1",'Opportunities'!$F$2:$F$1775,"=negotiation")</f>
        <v>0</v>
      </c>
      <c r="K212" s="4">
        <f>SUMIFS('Opportunities'!$H$2:$H$1775,'Opportunities'!$C$2:$C$1775,"=r19",'Opportunities'!$N$2:$N$1775,"=dec25",'Opportunities'!$R$2:$R$1775,"=1",'Opportunities'!$F$2:$F$1775,"=negotiation")</f>
        <v>0</v>
      </c>
      <c r="L212" s="4">
        <f>SUMIFS('Opportunities'!$H$2:$H$1775,'Opportunities'!$C$2:$C$1775,"=r19",'Opportunities'!$N$2:$N$1775,"=jan26",'Opportunities'!$R$2:$R$1775,"=1",'Opportunities'!$F$2:$F$1775,"=negotiation")</f>
        <v>0</v>
      </c>
      <c r="M212" s="4">
        <f>SUMIFS('Opportunities'!$H$2:$H$1775,'Opportunities'!$C$2:$C$1775,"=r19",'Opportunities'!$N$2:$N$1775,"=feb26",'Opportunities'!$R$2:$R$1775,"=1",'Opportunities'!$F$2:$F$1775,"=negotiation")</f>
        <v>0</v>
      </c>
      <c r="N212" s="4">
        <f>SUMIFS('Opportunities'!$H$2:$H$1775,'Opportunities'!$C$2:$C$1775,"=r19",'Opportunities'!$N$2:$N$1775,"=mar26",'Opportunities'!$R$2:$R$1775,"=1",'Opportunities'!$F$2:$F$1775,"=negotiation")</f>
        <v>0</v>
      </c>
      <c r="O212" s="4">
        <f>SUMIFS('Opportunities'!$H$2:$H$1775,'Opportunities'!$C$2:$C$1775,"=r19",'Opportunities'!$N$2:$N$1775,"=apr26",'Opportunities'!$R$2:$R$1775,"=1",'Opportunities'!$F$2:$F$1775,"=negotiation")</f>
        <v>0</v>
      </c>
      <c r="P212" s="4">
        <f>SUMIFS('Opportunities'!$H$2:$H$1775,'Opportunities'!$C$2:$C$1775,"=r19",'Opportunities'!$N$2:$N$1775,"=may26",'Opportunities'!$R$2:$R$1775,"=1",'Opportunities'!$F$2:$F$1775,"=negotiation")</f>
        <v>0</v>
      </c>
      <c r="Q212" s="4">
        <f>SUMIFS('Opportunities'!$H$2:$H$1775,'Opportunities'!$C$2:$C$1775,"=r19",'Opportunities'!$N$2:$N$1775,"=jun26",'Opportunities'!$R$2:$R$1775,"=1",'Opportunities'!$F$2:$F$1775,"=negotiation")</f>
        <v>0</v>
      </c>
      <c r="R212" s="4">
        <f>SUMIFS('Opportunities'!$H$2:$H$1775,'Opportunities'!$C$2:$C$1775,"=r19",'Opportunities'!$N$2:$N$1775,"=jul26",'Opportunities'!$R$2:$R$1775,"=1",'Opportunities'!$F$2:$F$1775,"=negotiation")</f>
        <v>0</v>
      </c>
      <c r="S212" s="4">
        <f>SUMIFS('Opportunities'!$H$2:$H$1775,'Opportunities'!$C$2:$C$1775,"=r19",'Opportunities'!$N$2:$N$1775,"=aug26",'Opportunities'!$R$2:$R$1775,"=1",'Opportunities'!$F$2:$F$1775,"=negotiation")</f>
        <v>0</v>
      </c>
      <c r="T212" s="4">
        <f>SUMIFS('Opportunities'!$H$2:$H$1775,'Opportunities'!$C$2:$C$1775,"=r19",'Opportunities'!$N$2:$N$1775,"=sep26",'Opportunities'!$R$2:$R$1775,"=1",'Opportunities'!$F$2:$F$1775,"=negotiation")</f>
        <v>0</v>
      </c>
      <c r="U212" s="4">
        <f>SUMIFS('Opportunities'!$H$2:$H$1775,'Opportunities'!$C$2:$C$1775,"=r19",'Opportunities'!$N$2:$N$1775,"=oct26",'Opportunities'!$R$2:$R$1775,"=1",'Opportunities'!$F$2:$F$1775,"=negotiation")</f>
        <v>0</v>
      </c>
      <c r="V212" s="4">
        <f>SUMIFS('Opportunities'!$H$2:$H$1775,'Opportunities'!$C$2:$C$1775,"=r19",'Opportunities'!$N$2:$N$1775,"=nov26",'Opportunities'!$R$2:$R$1775,"=1",'Opportunities'!$F$2:$F$1775,"=negotiation")</f>
        <v>0</v>
      </c>
      <c r="W212" s="4">
        <f>SUMIFS('Opportunities'!$H$2:$H$1775,'Opportunities'!$C$2:$C$1775,"=r19",'Opportunities'!$N$2:$N$1775,"=dec26",'Opportunities'!$R$2:$R$1775,"=1",'Opportunities'!$F$2:$F$1775,"=negotiation")</f>
        <v>0</v>
      </c>
    </row>
    <row r="213">
      <c r="A213" s="0" t="inlineStr">
        <is>
          <t xml:space="preserve">Commit (negotiation)</t>
        </is>
      </c>
      <c r="B213" s="0" t="inlineStr">
        <is>
          <t xml:space="preserve">Nikolai Sato</t>
        </is>
      </c>
      <c r="C213" s="4">
        <f>SUMIFS('Opportunities'!$H$2:$H$1775,'Opportunities'!$C$2:$C$1775,"=r20",'Opportunities'!$N$2:$N$1775,"=apr25",'Opportunities'!$R$2:$R$1775,"=1",'Opportunities'!$F$2:$F$1775,"=negotiation")</f>
        <v>0</v>
      </c>
      <c r="D213" s="4">
        <f>SUMIFS('Opportunities'!$H$2:$H$1775,'Opportunities'!$C$2:$C$1775,"=r20",'Opportunities'!$N$2:$N$1775,"=may25",'Opportunities'!$R$2:$R$1775,"=1",'Opportunities'!$F$2:$F$1775,"=negotiation")</f>
        <v>0</v>
      </c>
      <c r="E213" s="4">
        <f>SUMIFS('Opportunities'!$H$2:$H$1775,'Opportunities'!$C$2:$C$1775,"=r20",'Opportunities'!$N$2:$N$1775,"=jun25",'Opportunities'!$R$2:$R$1775,"=1",'Opportunities'!$F$2:$F$1775,"=negotiation")</f>
        <v>0</v>
      </c>
      <c r="F213" s="4">
        <f>SUMIFS('Opportunities'!$H$2:$H$1775,'Opportunities'!$C$2:$C$1775,"=r20",'Opportunities'!$N$2:$N$1775,"=jul25",'Opportunities'!$R$2:$R$1775,"=1",'Opportunities'!$F$2:$F$1775,"=negotiation")</f>
        <v>0</v>
      </c>
      <c r="G213" s="4">
        <f>SUMIFS('Opportunities'!$H$2:$H$1775,'Opportunities'!$C$2:$C$1775,"=r20",'Opportunities'!$N$2:$N$1775,"=aug25",'Opportunities'!$R$2:$R$1775,"=1",'Opportunities'!$F$2:$F$1775,"=negotiation")</f>
        <v>0</v>
      </c>
      <c r="H213" s="4">
        <f>SUMIFS('Opportunities'!$H$2:$H$1775,'Opportunities'!$C$2:$C$1775,"=r20",'Opportunities'!$N$2:$N$1775,"=sep25",'Opportunities'!$R$2:$R$1775,"=1",'Opportunities'!$F$2:$F$1775,"=negotiation")</f>
        <v>0</v>
      </c>
      <c r="I213" s="4">
        <f>SUMIFS('Opportunities'!$H$2:$H$1775,'Opportunities'!$C$2:$C$1775,"=r20",'Opportunities'!$N$2:$N$1775,"=oct25",'Opportunities'!$R$2:$R$1775,"=1",'Opportunities'!$F$2:$F$1775,"=negotiation")</f>
        <v>0</v>
      </c>
      <c r="J213" s="4">
        <f>SUMIFS('Opportunities'!$H$2:$H$1775,'Opportunities'!$C$2:$C$1775,"=r20",'Opportunities'!$N$2:$N$1775,"=nov25",'Opportunities'!$R$2:$R$1775,"=1",'Opportunities'!$F$2:$F$1775,"=negotiation")</f>
        <v>0</v>
      </c>
      <c r="K213" s="4">
        <f>SUMIFS('Opportunities'!$H$2:$H$1775,'Opportunities'!$C$2:$C$1775,"=r20",'Opportunities'!$N$2:$N$1775,"=dec25",'Opportunities'!$R$2:$R$1775,"=1",'Opportunities'!$F$2:$F$1775,"=negotiation")</f>
        <v>0</v>
      </c>
      <c r="L213" s="4">
        <f>SUMIFS('Opportunities'!$H$2:$H$1775,'Opportunities'!$C$2:$C$1775,"=r20",'Opportunities'!$N$2:$N$1775,"=jan26",'Opportunities'!$R$2:$R$1775,"=1",'Opportunities'!$F$2:$F$1775,"=negotiation")</f>
        <v>0</v>
      </c>
      <c r="M213" s="4">
        <f>SUMIFS('Opportunities'!$H$2:$H$1775,'Opportunities'!$C$2:$C$1775,"=r20",'Opportunities'!$N$2:$N$1775,"=feb26",'Opportunities'!$R$2:$R$1775,"=1",'Opportunities'!$F$2:$F$1775,"=negotiation")</f>
        <v>0</v>
      </c>
      <c r="N213" s="4">
        <f>SUMIFS('Opportunities'!$H$2:$H$1775,'Opportunities'!$C$2:$C$1775,"=r20",'Opportunities'!$N$2:$N$1775,"=mar26",'Opportunities'!$R$2:$R$1775,"=1",'Opportunities'!$F$2:$F$1775,"=negotiation")</f>
        <v>0</v>
      </c>
      <c r="O213" s="4">
        <f>SUMIFS('Opportunities'!$H$2:$H$1775,'Opportunities'!$C$2:$C$1775,"=r20",'Opportunities'!$N$2:$N$1775,"=apr26",'Opportunities'!$R$2:$R$1775,"=1",'Opportunities'!$F$2:$F$1775,"=negotiation")</f>
        <v>0</v>
      </c>
      <c r="P213" s="4">
        <f>SUMIFS('Opportunities'!$H$2:$H$1775,'Opportunities'!$C$2:$C$1775,"=r20",'Opportunities'!$N$2:$N$1775,"=may26",'Opportunities'!$R$2:$R$1775,"=1",'Opportunities'!$F$2:$F$1775,"=negotiation")</f>
        <v>0</v>
      </c>
      <c r="Q213" s="4">
        <f>SUMIFS('Opportunities'!$H$2:$H$1775,'Opportunities'!$C$2:$C$1775,"=r20",'Opportunities'!$N$2:$N$1775,"=jun26",'Opportunities'!$R$2:$R$1775,"=1",'Opportunities'!$F$2:$F$1775,"=negotiation")</f>
        <v>0</v>
      </c>
      <c r="R213" s="4">
        <f>SUMIFS('Opportunities'!$H$2:$H$1775,'Opportunities'!$C$2:$C$1775,"=r20",'Opportunities'!$N$2:$N$1775,"=jul26",'Opportunities'!$R$2:$R$1775,"=1",'Opportunities'!$F$2:$F$1775,"=negotiation")</f>
        <v>0</v>
      </c>
      <c r="S213" s="4">
        <f>SUMIFS('Opportunities'!$H$2:$H$1775,'Opportunities'!$C$2:$C$1775,"=r20",'Opportunities'!$N$2:$N$1775,"=aug26",'Opportunities'!$R$2:$R$1775,"=1",'Opportunities'!$F$2:$F$1775,"=negotiation")</f>
        <v>0</v>
      </c>
      <c r="T213" s="4">
        <f>SUMIFS('Opportunities'!$H$2:$H$1775,'Opportunities'!$C$2:$C$1775,"=r20",'Opportunities'!$N$2:$N$1775,"=sep26",'Opportunities'!$R$2:$R$1775,"=1",'Opportunities'!$F$2:$F$1775,"=negotiation")</f>
        <v>0</v>
      </c>
      <c r="U213" s="4">
        <f>SUMIFS('Opportunities'!$H$2:$H$1775,'Opportunities'!$C$2:$C$1775,"=r20",'Opportunities'!$N$2:$N$1775,"=oct26",'Opportunities'!$R$2:$R$1775,"=1",'Opportunities'!$F$2:$F$1775,"=negotiation")</f>
        <v>101300</v>
      </c>
      <c r="V213" s="4">
        <f>SUMIFS('Opportunities'!$H$2:$H$1775,'Opportunities'!$C$2:$C$1775,"=r20",'Opportunities'!$N$2:$N$1775,"=nov26",'Opportunities'!$R$2:$R$1775,"=1",'Opportunities'!$F$2:$F$1775,"=negotiation")</f>
        <v>0</v>
      </c>
      <c r="W213" s="4">
        <f>SUMIFS('Opportunities'!$H$2:$H$1775,'Opportunities'!$C$2:$C$1775,"=r20",'Opportunities'!$N$2:$N$1775,"=dec26",'Opportunities'!$R$2:$R$1775,"=1",'Opportunities'!$F$2:$F$1775,"=negotiation")</f>
        <v>0</v>
      </c>
    </row>
    <row r="214">
      <c r="A214" s="0" t="inlineStr">
        <is>
          <t xml:space="preserve">Commit (negotiation)</t>
        </is>
      </c>
      <c r="B214" s="0" t="inlineStr">
        <is>
          <t xml:space="preserve">Elena Silva</t>
        </is>
      </c>
      <c r="C214" s="4">
        <f>SUMIFS('Opportunities'!$H$2:$H$1775,'Opportunities'!$C$2:$C$1775,"=r21",'Opportunities'!$N$2:$N$1775,"=apr25",'Opportunities'!$R$2:$R$1775,"=1",'Opportunities'!$F$2:$F$1775,"=negotiation")</f>
        <v>0</v>
      </c>
      <c r="D214" s="4">
        <f>SUMIFS('Opportunities'!$H$2:$H$1775,'Opportunities'!$C$2:$C$1775,"=r21",'Opportunities'!$N$2:$N$1775,"=may25",'Opportunities'!$R$2:$R$1775,"=1",'Opportunities'!$F$2:$F$1775,"=negotiation")</f>
        <v>0</v>
      </c>
      <c r="E214" s="4">
        <f>SUMIFS('Opportunities'!$H$2:$H$1775,'Opportunities'!$C$2:$C$1775,"=r21",'Opportunities'!$N$2:$N$1775,"=jun25",'Opportunities'!$R$2:$R$1775,"=1",'Opportunities'!$F$2:$F$1775,"=negotiation")</f>
        <v>0</v>
      </c>
      <c r="F214" s="4">
        <f>SUMIFS('Opportunities'!$H$2:$H$1775,'Opportunities'!$C$2:$C$1775,"=r21",'Opportunities'!$N$2:$N$1775,"=jul25",'Opportunities'!$R$2:$R$1775,"=1",'Opportunities'!$F$2:$F$1775,"=negotiation")</f>
        <v>0</v>
      </c>
      <c r="G214" s="4">
        <f>SUMIFS('Opportunities'!$H$2:$H$1775,'Opportunities'!$C$2:$C$1775,"=r21",'Opportunities'!$N$2:$N$1775,"=aug25",'Opportunities'!$R$2:$R$1775,"=1",'Opportunities'!$F$2:$F$1775,"=negotiation")</f>
        <v>0</v>
      </c>
      <c r="H214" s="4">
        <f>SUMIFS('Opportunities'!$H$2:$H$1775,'Opportunities'!$C$2:$C$1775,"=r21",'Opportunities'!$N$2:$N$1775,"=sep25",'Opportunities'!$R$2:$R$1775,"=1",'Opportunities'!$F$2:$F$1775,"=negotiation")</f>
        <v>0</v>
      </c>
      <c r="I214" s="4">
        <f>SUMIFS('Opportunities'!$H$2:$H$1775,'Opportunities'!$C$2:$C$1775,"=r21",'Opportunities'!$N$2:$N$1775,"=oct25",'Opportunities'!$R$2:$R$1775,"=1",'Opportunities'!$F$2:$F$1775,"=negotiation")</f>
        <v>0</v>
      </c>
      <c r="J214" s="4">
        <f>SUMIFS('Opportunities'!$H$2:$H$1775,'Opportunities'!$C$2:$C$1775,"=r21",'Opportunities'!$N$2:$N$1775,"=nov25",'Opportunities'!$R$2:$R$1775,"=1",'Opportunities'!$F$2:$F$1775,"=negotiation")</f>
        <v>0</v>
      </c>
      <c r="K214" s="4">
        <f>SUMIFS('Opportunities'!$H$2:$H$1775,'Opportunities'!$C$2:$C$1775,"=r21",'Opportunities'!$N$2:$N$1775,"=dec25",'Opportunities'!$R$2:$R$1775,"=1",'Opportunities'!$F$2:$F$1775,"=negotiation")</f>
        <v>0</v>
      </c>
      <c r="L214" s="4">
        <f>SUMIFS('Opportunities'!$H$2:$H$1775,'Opportunities'!$C$2:$C$1775,"=r21",'Opportunities'!$N$2:$N$1775,"=jan26",'Opportunities'!$R$2:$R$1775,"=1",'Opportunities'!$F$2:$F$1775,"=negotiation")</f>
        <v>0</v>
      </c>
      <c r="M214" s="4">
        <f>SUMIFS('Opportunities'!$H$2:$H$1775,'Opportunities'!$C$2:$C$1775,"=r21",'Opportunities'!$N$2:$N$1775,"=feb26",'Opportunities'!$R$2:$R$1775,"=1",'Opportunities'!$F$2:$F$1775,"=negotiation")</f>
        <v>0</v>
      </c>
      <c r="N214" s="4">
        <f>SUMIFS('Opportunities'!$H$2:$H$1775,'Opportunities'!$C$2:$C$1775,"=r21",'Opportunities'!$N$2:$N$1775,"=mar26",'Opportunities'!$R$2:$R$1775,"=1",'Opportunities'!$F$2:$F$1775,"=negotiation")</f>
        <v>0</v>
      </c>
      <c r="O214" s="4">
        <f>SUMIFS('Opportunities'!$H$2:$H$1775,'Opportunities'!$C$2:$C$1775,"=r21",'Opportunities'!$N$2:$N$1775,"=apr26",'Opportunities'!$R$2:$R$1775,"=1",'Opportunities'!$F$2:$F$1775,"=negotiation")</f>
        <v>0</v>
      </c>
      <c r="P214" s="4">
        <f>SUMIFS('Opportunities'!$H$2:$H$1775,'Opportunities'!$C$2:$C$1775,"=r21",'Opportunities'!$N$2:$N$1775,"=may26",'Opportunities'!$R$2:$R$1775,"=1",'Opportunities'!$F$2:$F$1775,"=negotiation")</f>
        <v>0</v>
      </c>
      <c r="Q214" s="4">
        <f>SUMIFS('Opportunities'!$H$2:$H$1775,'Opportunities'!$C$2:$C$1775,"=r21",'Opportunities'!$N$2:$N$1775,"=jun26",'Opportunities'!$R$2:$R$1775,"=1",'Opportunities'!$F$2:$F$1775,"=negotiation")</f>
        <v>0</v>
      </c>
      <c r="R214" s="4">
        <f>SUMIFS('Opportunities'!$H$2:$H$1775,'Opportunities'!$C$2:$C$1775,"=r21",'Opportunities'!$N$2:$N$1775,"=jul26",'Opportunities'!$R$2:$R$1775,"=1",'Opportunities'!$F$2:$F$1775,"=negotiation")</f>
        <v>0</v>
      </c>
      <c r="S214" s="4">
        <f>SUMIFS('Opportunities'!$H$2:$H$1775,'Opportunities'!$C$2:$C$1775,"=r21",'Opportunities'!$N$2:$N$1775,"=aug26",'Opportunities'!$R$2:$R$1775,"=1",'Opportunities'!$F$2:$F$1775,"=negotiation")</f>
        <v>0</v>
      </c>
      <c r="T214" s="4">
        <f>SUMIFS('Opportunities'!$H$2:$H$1775,'Opportunities'!$C$2:$C$1775,"=r21",'Opportunities'!$N$2:$N$1775,"=sep26",'Opportunities'!$R$2:$R$1775,"=1",'Opportunities'!$F$2:$F$1775,"=negotiation")</f>
        <v>29900</v>
      </c>
      <c r="U214" s="4">
        <f>SUMIFS('Opportunities'!$H$2:$H$1775,'Opportunities'!$C$2:$C$1775,"=r21",'Opportunities'!$N$2:$N$1775,"=oct26",'Opportunities'!$R$2:$R$1775,"=1",'Opportunities'!$F$2:$F$1775,"=negotiation")</f>
        <v>0</v>
      </c>
      <c r="V214" s="4">
        <f>SUMIFS('Opportunities'!$H$2:$H$1775,'Opportunities'!$C$2:$C$1775,"=r21",'Opportunities'!$N$2:$N$1775,"=nov26",'Opportunities'!$R$2:$R$1775,"=1",'Opportunities'!$F$2:$F$1775,"=negotiation")</f>
        <v>28200</v>
      </c>
      <c r="W214" s="4">
        <f>SUMIFS('Opportunities'!$H$2:$H$1775,'Opportunities'!$C$2:$C$1775,"=r21",'Opportunities'!$N$2:$N$1775,"=dec26",'Opportunities'!$R$2:$R$1775,"=1",'Opportunities'!$F$2:$F$1775,"=negotiation")</f>
        <v>64300</v>
      </c>
    </row>
    <row r="215">
      <c r="A215" s="0" t="inlineStr">
        <is>
          <t xml:space="preserve">Commit (negotiation)</t>
        </is>
      </c>
      <c r="B215" s="0" t="inlineStr">
        <is>
          <t xml:space="preserve">Arjun Müller</t>
        </is>
      </c>
      <c r="C215" s="4">
        <f>SUMIFS('Opportunities'!$H$2:$H$1775,'Opportunities'!$C$2:$C$1775,"=r22",'Opportunities'!$N$2:$N$1775,"=apr25",'Opportunities'!$R$2:$R$1775,"=1",'Opportunities'!$F$2:$F$1775,"=negotiation")</f>
        <v>0</v>
      </c>
      <c r="D215" s="4">
        <f>SUMIFS('Opportunities'!$H$2:$H$1775,'Opportunities'!$C$2:$C$1775,"=r22",'Opportunities'!$N$2:$N$1775,"=may25",'Opportunities'!$R$2:$R$1775,"=1",'Opportunities'!$F$2:$F$1775,"=negotiation")</f>
        <v>0</v>
      </c>
      <c r="E215" s="4">
        <f>SUMIFS('Opportunities'!$H$2:$H$1775,'Opportunities'!$C$2:$C$1775,"=r22",'Opportunities'!$N$2:$N$1775,"=jun25",'Opportunities'!$R$2:$R$1775,"=1",'Opportunities'!$F$2:$F$1775,"=negotiation")</f>
        <v>0</v>
      </c>
      <c r="F215" s="4">
        <f>SUMIFS('Opportunities'!$H$2:$H$1775,'Opportunities'!$C$2:$C$1775,"=r22",'Opportunities'!$N$2:$N$1775,"=jul25",'Opportunities'!$R$2:$R$1775,"=1",'Opportunities'!$F$2:$F$1775,"=negotiation")</f>
        <v>0</v>
      </c>
      <c r="G215" s="4">
        <f>SUMIFS('Opportunities'!$H$2:$H$1775,'Opportunities'!$C$2:$C$1775,"=r22",'Opportunities'!$N$2:$N$1775,"=aug25",'Opportunities'!$R$2:$R$1775,"=1",'Opportunities'!$F$2:$F$1775,"=negotiation")</f>
        <v>0</v>
      </c>
      <c r="H215" s="4">
        <f>SUMIFS('Opportunities'!$H$2:$H$1775,'Opportunities'!$C$2:$C$1775,"=r22",'Opportunities'!$N$2:$N$1775,"=sep25",'Opportunities'!$R$2:$R$1775,"=1",'Opportunities'!$F$2:$F$1775,"=negotiation")</f>
        <v>0</v>
      </c>
      <c r="I215" s="4">
        <f>SUMIFS('Opportunities'!$H$2:$H$1775,'Opportunities'!$C$2:$C$1775,"=r22",'Opportunities'!$N$2:$N$1775,"=oct25",'Opportunities'!$R$2:$R$1775,"=1",'Opportunities'!$F$2:$F$1775,"=negotiation")</f>
        <v>0</v>
      </c>
      <c r="J215" s="4">
        <f>SUMIFS('Opportunities'!$H$2:$H$1775,'Opportunities'!$C$2:$C$1775,"=r22",'Opportunities'!$N$2:$N$1775,"=nov25",'Opportunities'!$R$2:$R$1775,"=1",'Opportunities'!$F$2:$F$1775,"=negotiation")</f>
        <v>0</v>
      </c>
      <c r="K215" s="4">
        <f>SUMIFS('Opportunities'!$H$2:$H$1775,'Opportunities'!$C$2:$C$1775,"=r22",'Opportunities'!$N$2:$N$1775,"=dec25",'Opportunities'!$R$2:$R$1775,"=1",'Opportunities'!$F$2:$F$1775,"=negotiation")</f>
        <v>0</v>
      </c>
      <c r="L215" s="4">
        <f>SUMIFS('Opportunities'!$H$2:$H$1775,'Opportunities'!$C$2:$C$1775,"=r22",'Opportunities'!$N$2:$N$1775,"=jan26",'Opportunities'!$R$2:$R$1775,"=1",'Opportunities'!$F$2:$F$1775,"=negotiation")</f>
        <v>0</v>
      </c>
      <c r="M215" s="4">
        <f>SUMIFS('Opportunities'!$H$2:$H$1775,'Opportunities'!$C$2:$C$1775,"=r22",'Opportunities'!$N$2:$N$1775,"=feb26",'Opportunities'!$R$2:$R$1775,"=1",'Opportunities'!$F$2:$F$1775,"=negotiation")</f>
        <v>0</v>
      </c>
      <c r="N215" s="4">
        <f>SUMIFS('Opportunities'!$H$2:$H$1775,'Opportunities'!$C$2:$C$1775,"=r22",'Opportunities'!$N$2:$N$1775,"=mar26",'Opportunities'!$R$2:$R$1775,"=1",'Opportunities'!$F$2:$F$1775,"=negotiation")</f>
        <v>0</v>
      </c>
      <c r="O215" s="4">
        <f>SUMIFS('Opportunities'!$H$2:$H$1775,'Opportunities'!$C$2:$C$1775,"=r22",'Opportunities'!$N$2:$N$1775,"=apr26",'Opportunities'!$R$2:$R$1775,"=1",'Opportunities'!$F$2:$F$1775,"=negotiation")</f>
        <v>0</v>
      </c>
      <c r="P215" s="4">
        <f>SUMIFS('Opportunities'!$H$2:$H$1775,'Opportunities'!$C$2:$C$1775,"=r22",'Opportunities'!$N$2:$N$1775,"=may26",'Opportunities'!$R$2:$R$1775,"=1",'Opportunities'!$F$2:$F$1775,"=negotiation")</f>
        <v>0</v>
      </c>
      <c r="Q215" s="4">
        <f>SUMIFS('Opportunities'!$H$2:$H$1775,'Opportunities'!$C$2:$C$1775,"=r22",'Opportunities'!$N$2:$N$1775,"=jun26",'Opportunities'!$R$2:$R$1775,"=1",'Opportunities'!$F$2:$F$1775,"=negotiation")</f>
        <v>0</v>
      </c>
      <c r="R215" s="4">
        <f>SUMIFS('Opportunities'!$H$2:$H$1775,'Opportunities'!$C$2:$C$1775,"=r22",'Opportunities'!$N$2:$N$1775,"=jul26",'Opportunities'!$R$2:$R$1775,"=1",'Opportunities'!$F$2:$F$1775,"=negotiation")</f>
        <v>0</v>
      </c>
      <c r="S215" s="4">
        <f>SUMIFS('Opportunities'!$H$2:$H$1775,'Opportunities'!$C$2:$C$1775,"=r22",'Opportunities'!$N$2:$N$1775,"=aug26",'Opportunities'!$R$2:$R$1775,"=1",'Opportunities'!$F$2:$F$1775,"=negotiation")</f>
        <v>0</v>
      </c>
      <c r="T215" s="4">
        <f>SUMIFS('Opportunities'!$H$2:$H$1775,'Opportunities'!$C$2:$C$1775,"=r22",'Opportunities'!$N$2:$N$1775,"=sep26",'Opportunities'!$R$2:$R$1775,"=1",'Opportunities'!$F$2:$F$1775,"=negotiation")</f>
        <v>0</v>
      </c>
      <c r="U215" s="4">
        <f>SUMIFS('Opportunities'!$H$2:$H$1775,'Opportunities'!$C$2:$C$1775,"=r22",'Opportunities'!$N$2:$N$1775,"=oct26",'Opportunities'!$R$2:$R$1775,"=1",'Opportunities'!$F$2:$F$1775,"=negotiation")</f>
        <v>50400</v>
      </c>
      <c r="V215" s="4">
        <f>SUMIFS('Opportunities'!$H$2:$H$1775,'Opportunities'!$C$2:$C$1775,"=r22",'Opportunities'!$N$2:$N$1775,"=nov26",'Opportunities'!$R$2:$R$1775,"=1",'Opportunities'!$F$2:$F$1775,"=negotiation")</f>
        <v>0</v>
      </c>
      <c r="W215" s="4">
        <f>SUMIFS('Opportunities'!$H$2:$H$1775,'Opportunities'!$C$2:$C$1775,"=r22",'Opportunities'!$N$2:$N$1775,"=dec26",'Opportunities'!$R$2:$R$1775,"=1",'Opportunities'!$F$2:$F$1775,"=negotiation")</f>
        <v>34700</v>
      </c>
    </row>
    <row r="216">
      <c r="A216" s="0" t="inlineStr">
        <is>
          <t xml:space="preserve">Commit (negotiation)</t>
        </is>
      </c>
      <c r="B216" s="0" t="inlineStr">
        <is>
          <t xml:space="preserve">Nikolai Park</t>
        </is>
      </c>
      <c r="C216" s="4">
        <f>SUMIFS('Opportunities'!$H$2:$H$1775,'Opportunities'!$C$2:$C$1775,"=r23",'Opportunities'!$N$2:$N$1775,"=apr25",'Opportunities'!$R$2:$R$1775,"=1",'Opportunities'!$F$2:$F$1775,"=negotiation")</f>
        <v>0</v>
      </c>
      <c r="D216" s="4">
        <f>SUMIFS('Opportunities'!$H$2:$H$1775,'Opportunities'!$C$2:$C$1775,"=r23",'Opportunities'!$N$2:$N$1775,"=may25",'Opportunities'!$R$2:$R$1775,"=1",'Opportunities'!$F$2:$F$1775,"=negotiation")</f>
        <v>0</v>
      </c>
      <c r="E216" s="4">
        <f>SUMIFS('Opportunities'!$H$2:$H$1775,'Opportunities'!$C$2:$C$1775,"=r23",'Opportunities'!$N$2:$N$1775,"=jun25",'Opportunities'!$R$2:$R$1775,"=1",'Opportunities'!$F$2:$F$1775,"=negotiation")</f>
        <v>0</v>
      </c>
      <c r="F216" s="4">
        <f>SUMIFS('Opportunities'!$H$2:$H$1775,'Opportunities'!$C$2:$C$1775,"=r23",'Opportunities'!$N$2:$N$1775,"=jul25",'Opportunities'!$R$2:$R$1775,"=1",'Opportunities'!$F$2:$F$1775,"=negotiation")</f>
        <v>0</v>
      </c>
      <c r="G216" s="4">
        <f>SUMIFS('Opportunities'!$H$2:$H$1775,'Opportunities'!$C$2:$C$1775,"=r23",'Opportunities'!$N$2:$N$1775,"=aug25",'Opportunities'!$R$2:$R$1775,"=1",'Opportunities'!$F$2:$F$1775,"=negotiation")</f>
        <v>0</v>
      </c>
      <c r="H216" s="4">
        <f>SUMIFS('Opportunities'!$H$2:$H$1775,'Opportunities'!$C$2:$C$1775,"=r23",'Opportunities'!$N$2:$N$1775,"=sep25",'Opportunities'!$R$2:$R$1775,"=1",'Opportunities'!$F$2:$F$1775,"=negotiation")</f>
        <v>0</v>
      </c>
      <c r="I216" s="4">
        <f>SUMIFS('Opportunities'!$H$2:$H$1775,'Opportunities'!$C$2:$C$1775,"=r23",'Opportunities'!$N$2:$N$1775,"=oct25",'Opportunities'!$R$2:$R$1775,"=1",'Opportunities'!$F$2:$F$1775,"=negotiation")</f>
        <v>0</v>
      </c>
      <c r="J216" s="4">
        <f>SUMIFS('Opportunities'!$H$2:$H$1775,'Opportunities'!$C$2:$C$1775,"=r23",'Opportunities'!$N$2:$N$1775,"=nov25",'Opportunities'!$R$2:$R$1775,"=1",'Opportunities'!$F$2:$F$1775,"=negotiation")</f>
        <v>0</v>
      </c>
      <c r="K216" s="4">
        <f>SUMIFS('Opportunities'!$H$2:$H$1775,'Opportunities'!$C$2:$C$1775,"=r23",'Opportunities'!$N$2:$N$1775,"=dec25",'Opportunities'!$R$2:$R$1775,"=1",'Opportunities'!$F$2:$F$1775,"=negotiation")</f>
        <v>0</v>
      </c>
      <c r="L216" s="4">
        <f>SUMIFS('Opportunities'!$H$2:$H$1775,'Opportunities'!$C$2:$C$1775,"=r23",'Opportunities'!$N$2:$N$1775,"=jan26",'Opportunities'!$R$2:$R$1775,"=1",'Opportunities'!$F$2:$F$1775,"=negotiation")</f>
        <v>0</v>
      </c>
      <c r="M216" s="4">
        <f>SUMIFS('Opportunities'!$H$2:$H$1775,'Opportunities'!$C$2:$C$1775,"=r23",'Opportunities'!$N$2:$N$1775,"=feb26",'Opportunities'!$R$2:$R$1775,"=1",'Opportunities'!$F$2:$F$1775,"=negotiation")</f>
        <v>0</v>
      </c>
      <c r="N216" s="4">
        <f>SUMIFS('Opportunities'!$H$2:$H$1775,'Opportunities'!$C$2:$C$1775,"=r23",'Opportunities'!$N$2:$N$1775,"=mar26",'Opportunities'!$R$2:$R$1775,"=1",'Opportunities'!$F$2:$F$1775,"=negotiation")</f>
        <v>0</v>
      </c>
      <c r="O216" s="4">
        <f>SUMIFS('Opportunities'!$H$2:$H$1775,'Opportunities'!$C$2:$C$1775,"=r23",'Opportunities'!$N$2:$N$1775,"=apr26",'Opportunities'!$R$2:$R$1775,"=1",'Opportunities'!$F$2:$F$1775,"=negotiation")</f>
        <v>0</v>
      </c>
      <c r="P216" s="4">
        <f>SUMIFS('Opportunities'!$H$2:$H$1775,'Opportunities'!$C$2:$C$1775,"=r23",'Opportunities'!$N$2:$N$1775,"=may26",'Opportunities'!$R$2:$R$1775,"=1",'Opportunities'!$F$2:$F$1775,"=negotiation")</f>
        <v>0</v>
      </c>
      <c r="Q216" s="4">
        <f>SUMIFS('Opportunities'!$H$2:$H$1775,'Opportunities'!$C$2:$C$1775,"=r23",'Opportunities'!$N$2:$N$1775,"=jun26",'Opportunities'!$R$2:$R$1775,"=1",'Opportunities'!$F$2:$F$1775,"=negotiation")</f>
        <v>0</v>
      </c>
      <c r="R216" s="4">
        <f>SUMIFS('Opportunities'!$H$2:$H$1775,'Opportunities'!$C$2:$C$1775,"=r23",'Opportunities'!$N$2:$N$1775,"=jul26",'Opportunities'!$R$2:$R$1775,"=1",'Opportunities'!$F$2:$F$1775,"=negotiation")</f>
        <v>0</v>
      </c>
      <c r="S216" s="4">
        <f>SUMIFS('Opportunities'!$H$2:$H$1775,'Opportunities'!$C$2:$C$1775,"=r23",'Opportunities'!$N$2:$N$1775,"=aug26",'Opportunities'!$R$2:$R$1775,"=1",'Opportunities'!$F$2:$F$1775,"=negotiation")</f>
        <v>0</v>
      </c>
      <c r="T216" s="4">
        <f>SUMIFS('Opportunities'!$H$2:$H$1775,'Opportunities'!$C$2:$C$1775,"=r23",'Opportunities'!$N$2:$N$1775,"=sep26",'Opportunities'!$R$2:$R$1775,"=1",'Opportunities'!$F$2:$F$1775,"=negotiation")</f>
        <v>8200</v>
      </c>
      <c r="U216" s="4">
        <f>SUMIFS('Opportunities'!$H$2:$H$1775,'Opportunities'!$C$2:$C$1775,"=r23",'Opportunities'!$N$2:$N$1775,"=oct26",'Opportunities'!$R$2:$R$1775,"=1",'Opportunities'!$F$2:$F$1775,"=negotiation")</f>
        <v>6200</v>
      </c>
      <c r="V216" s="4">
        <f>SUMIFS('Opportunities'!$H$2:$H$1775,'Opportunities'!$C$2:$C$1775,"=r23",'Opportunities'!$N$2:$N$1775,"=nov26",'Opportunities'!$R$2:$R$1775,"=1",'Opportunities'!$F$2:$F$1775,"=negotiation")</f>
        <v>0</v>
      </c>
      <c r="W216" s="4">
        <f>SUMIFS('Opportunities'!$H$2:$H$1775,'Opportunities'!$C$2:$C$1775,"=r23",'Opportunities'!$N$2:$N$1775,"=dec26",'Opportunities'!$R$2:$R$1775,"=1",'Opportunities'!$F$2:$F$1775,"=negotiation")</f>
        <v>0</v>
      </c>
    </row>
    <row r="217">
      <c r="A217" s="0" t="inlineStr">
        <is>
          <t xml:space="preserve">Commit (negotiation)</t>
        </is>
      </c>
      <c r="B217" s="0" t="inlineStr">
        <is>
          <t xml:space="preserve">Ingrid Dubois</t>
        </is>
      </c>
      <c r="C217" s="4">
        <f>SUMIFS('Opportunities'!$H$2:$H$1775,'Opportunities'!$C$2:$C$1775,"=r24",'Opportunities'!$N$2:$N$1775,"=apr25",'Opportunities'!$R$2:$R$1775,"=1",'Opportunities'!$F$2:$F$1775,"=negotiation")</f>
        <v>0</v>
      </c>
      <c r="D217" s="4">
        <f>SUMIFS('Opportunities'!$H$2:$H$1775,'Opportunities'!$C$2:$C$1775,"=r24",'Opportunities'!$N$2:$N$1775,"=may25",'Opportunities'!$R$2:$R$1775,"=1",'Opportunities'!$F$2:$F$1775,"=negotiation")</f>
        <v>0</v>
      </c>
      <c r="E217" s="4">
        <f>SUMIFS('Opportunities'!$H$2:$H$1775,'Opportunities'!$C$2:$C$1775,"=r24",'Opportunities'!$N$2:$N$1775,"=jun25",'Opportunities'!$R$2:$R$1775,"=1",'Opportunities'!$F$2:$F$1775,"=negotiation")</f>
        <v>0</v>
      </c>
      <c r="F217" s="4">
        <f>SUMIFS('Opportunities'!$H$2:$H$1775,'Opportunities'!$C$2:$C$1775,"=r24",'Opportunities'!$N$2:$N$1775,"=jul25",'Opportunities'!$R$2:$R$1775,"=1",'Opportunities'!$F$2:$F$1775,"=negotiation")</f>
        <v>0</v>
      </c>
      <c r="G217" s="4">
        <f>SUMIFS('Opportunities'!$H$2:$H$1775,'Opportunities'!$C$2:$C$1775,"=r24",'Opportunities'!$N$2:$N$1775,"=aug25",'Opportunities'!$R$2:$R$1775,"=1",'Opportunities'!$F$2:$F$1775,"=negotiation")</f>
        <v>0</v>
      </c>
      <c r="H217" s="4">
        <f>SUMIFS('Opportunities'!$H$2:$H$1775,'Opportunities'!$C$2:$C$1775,"=r24",'Opportunities'!$N$2:$N$1775,"=sep25",'Opportunities'!$R$2:$R$1775,"=1",'Opportunities'!$F$2:$F$1775,"=negotiation")</f>
        <v>0</v>
      </c>
      <c r="I217" s="4">
        <f>SUMIFS('Opportunities'!$H$2:$H$1775,'Opportunities'!$C$2:$C$1775,"=r24",'Opportunities'!$N$2:$N$1775,"=oct25",'Opportunities'!$R$2:$R$1775,"=1",'Opportunities'!$F$2:$F$1775,"=negotiation")</f>
        <v>0</v>
      </c>
      <c r="J217" s="4">
        <f>SUMIFS('Opportunities'!$H$2:$H$1775,'Opportunities'!$C$2:$C$1775,"=r24",'Opportunities'!$N$2:$N$1775,"=nov25",'Opportunities'!$R$2:$R$1775,"=1",'Opportunities'!$F$2:$F$1775,"=negotiation")</f>
        <v>0</v>
      </c>
      <c r="K217" s="4">
        <f>SUMIFS('Opportunities'!$H$2:$H$1775,'Opportunities'!$C$2:$C$1775,"=r24",'Opportunities'!$N$2:$N$1775,"=dec25",'Opportunities'!$R$2:$R$1775,"=1",'Opportunities'!$F$2:$F$1775,"=negotiation")</f>
        <v>0</v>
      </c>
      <c r="L217" s="4">
        <f>SUMIFS('Opportunities'!$H$2:$H$1775,'Opportunities'!$C$2:$C$1775,"=r24",'Opportunities'!$N$2:$N$1775,"=jan26",'Opportunities'!$R$2:$R$1775,"=1",'Opportunities'!$F$2:$F$1775,"=negotiation")</f>
        <v>0</v>
      </c>
      <c r="M217" s="4">
        <f>SUMIFS('Opportunities'!$H$2:$H$1775,'Opportunities'!$C$2:$C$1775,"=r24",'Opportunities'!$N$2:$N$1775,"=feb26",'Opportunities'!$R$2:$R$1775,"=1",'Opportunities'!$F$2:$F$1775,"=negotiation")</f>
        <v>0</v>
      </c>
      <c r="N217" s="4">
        <f>SUMIFS('Opportunities'!$H$2:$H$1775,'Opportunities'!$C$2:$C$1775,"=r24",'Opportunities'!$N$2:$N$1775,"=mar26",'Opportunities'!$R$2:$R$1775,"=1",'Opportunities'!$F$2:$F$1775,"=negotiation")</f>
        <v>0</v>
      </c>
      <c r="O217" s="4">
        <f>SUMIFS('Opportunities'!$H$2:$H$1775,'Opportunities'!$C$2:$C$1775,"=r24",'Opportunities'!$N$2:$N$1775,"=apr26",'Opportunities'!$R$2:$R$1775,"=1",'Opportunities'!$F$2:$F$1775,"=negotiation")</f>
        <v>0</v>
      </c>
      <c r="P217" s="4">
        <f>SUMIFS('Opportunities'!$H$2:$H$1775,'Opportunities'!$C$2:$C$1775,"=r24",'Opportunities'!$N$2:$N$1775,"=may26",'Opportunities'!$R$2:$R$1775,"=1",'Opportunities'!$F$2:$F$1775,"=negotiation")</f>
        <v>0</v>
      </c>
      <c r="Q217" s="4">
        <f>SUMIFS('Opportunities'!$H$2:$H$1775,'Opportunities'!$C$2:$C$1775,"=r24",'Opportunities'!$N$2:$N$1775,"=jun26",'Opportunities'!$R$2:$R$1775,"=1",'Opportunities'!$F$2:$F$1775,"=negotiation")</f>
        <v>0</v>
      </c>
      <c r="R217" s="4">
        <f>SUMIFS('Opportunities'!$H$2:$H$1775,'Opportunities'!$C$2:$C$1775,"=r24",'Opportunities'!$N$2:$N$1775,"=jul26",'Opportunities'!$R$2:$R$1775,"=1",'Opportunities'!$F$2:$F$1775,"=negotiation")</f>
        <v>0</v>
      </c>
      <c r="S217" s="4">
        <f>SUMIFS('Opportunities'!$H$2:$H$1775,'Opportunities'!$C$2:$C$1775,"=r24",'Opportunities'!$N$2:$N$1775,"=aug26",'Opportunities'!$R$2:$R$1775,"=1",'Opportunities'!$F$2:$F$1775,"=negotiation")</f>
        <v>0</v>
      </c>
      <c r="T217" s="4">
        <f>SUMIFS('Opportunities'!$H$2:$H$1775,'Opportunities'!$C$2:$C$1775,"=r24",'Opportunities'!$N$2:$N$1775,"=sep26",'Opportunities'!$R$2:$R$1775,"=1",'Opportunities'!$F$2:$F$1775,"=negotiation")</f>
        <v>6800</v>
      </c>
      <c r="U217" s="4">
        <f>SUMIFS('Opportunities'!$H$2:$H$1775,'Opportunities'!$C$2:$C$1775,"=r24",'Opportunities'!$N$2:$N$1775,"=oct26",'Opportunities'!$R$2:$R$1775,"=1",'Opportunities'!$F$2:$F$1775,"=negotiation")</f>
        <v>0</v>
      </c>
      <c r="V217" s="4">
        <f>SUMIFS('Opportunities'!$H$2:$H$1775,'Opportunities'!$C$2:$C$1775,"=r24",'Opportunities'!$N$2:$N$1775,"=nov26",'Opportunities'!$R$2:$R$1775,"=1",'Opportunities'!$F$2:$F$1775,"=negotiation")</f>
        <v>0</v>
      </c>
      <c r="W217" s="4">
        <f>SUMIFS('Opportunities'!$H$2:$H$1775,'Opportunities'!$C$2:$C$1775,"=r24",'Opportunities'!$N$2:$N$1775,"=dec26",'Opportunities'!$R$2:$R$1775,"=1",'Opportunities'!$F$2:$F$1775,"=negotiation")</f>
        <v>0</v>
      </c>
    </row>
    <row r="218">
      <c r="A218" s="0" t="inlineStr">
        <is>
          <t xml:space="preserve">Best case (proposal)</t>
        </is>
      </c>
      <c r="B218" s="0" t="inlineStr">
        <is>
          <t xml:space="preserve">Noor Ortiz</t>
        </is>
      </c>
      <c r="C218" s="4">
        <f>SUMIFS('Opportunities'!$H$2:$H$1775,'Opportunities'!$C$2:$C$1775,"=r01",'Opportunities'!$N$2:$N$1775,"=apr25",'Opportunities'!$R$2:$R$1775,"=1",'Opportunities'!$F$2:$F$1775,"=proposal")</f>
        <v>0</v>
      </c>
      <c r="D218" s="4">
        <f>SUMIFS('Opportunities'!$H$2:$H$1775,'Opportunities'!$C$2:$C$1775,"=r01",'Opportunities'!$N$2:$N$1775,"=may25",'Opportunities'!$R$2:$R$1775,"=1",'Opportunities'!$F$2:$F$1775,"=proposal")</f>
        <v>0</v>
      </c>
      <c r="E218" s="4">
        <f>SUMIFS('Opportunities'!$H$2:$H$1775,'Opportunities'!$C$2:$C$1775,"=r01",'Opportunities'!$N$2:$N$1775,"=jun25",'Opportunities'!$R$2:$R$1775,"=1",'Opportunities'!$F$2:$F$1775,"=proposal")</f>
        <v>0</v>
      </c>
      <c r="F218" s="4">
        <f>SUMIFS('Opportunities'!$H$2:$H$1775,'Opportunities'!$C$2:$C$1775,"=r01",'Opportunities'!$N$2:$N$1775,"=jul25",'Opportunities'!$R$2:$R$1775,"=1",'Opportunities'!$F$2:$F$1775,"=proposal")</f>
        <v>0</v>
      </c>
      <c r="G218" s="4">
        <f>SUMIFS('Opportunities'!$H$2:$H$1775,'Opportunities'!$C$2:$C$1775,"=r01",'Opportunities'!$N$2:$N$1775,"=aug25",'Opportunities'!$R$2:$R$1775,"=1",'Opportunities'!$F$2:$F$1775,"=proposal")</f>
        <v>0</v>
      </c>
      <c r="H218" s="4">
        <f>SUMIFS('Opportunities'!$H$2:$H$1775,'Opportunities'!$C$2:$C$1775,"=r01",'Opportunities'!$N$2:$N$1775,"=sep25",'Opportunities'!$R$2:$R$1775,"=1",'Opportunities'!$F$2:$F$1775,"=proposal")</f>
        <v>0</v>
      </c>
      <c r="I218" s="4">
        <f>SUMIFS('Opportunities'!$H$2:$H$1775,'Opportunities'!$C$2:$C$1775,"=r01",'Opportunities'!$N$2:$N$1775,"=oct25",'Opportunities'!$R$2:$R$1775,"=1",'Opportunities'!$F$2:$F$1775,"=proposal")</f>
        <v>0</v>
      </c>
      <c r="J218" s="4">
        <f>SUMIFS('Opportunities'!$H$2:$H$1775,'Opportunities'!$C$2:$C$1775,"=r01",'Opportunities'!$N$2:$N$1775,"=nov25",'Opportunities'!$R$2:$R$1775,"=1",'Opportunities'!$F$2:$F$1775,"=proposal")</f>
        <v>0</v>
      </c>
      <c r="K218" s="4">
        <f>SUMIFS('Opportunities'!$H$2:$H$1775,'Opportunities'!$C$2:$C$1775,"=r01",'Opportunities'!$N$2:$N$1775,"=dec25",'Opportunities'!$R$2:$R$1775,"=1",'Opportunities'!$F$2:$F$1775,"=proposal")</f>
        <v>0</v>
      </c>
      <c r="L218" s="4">
        <f>SUMIFS('Opportunities'!$H$2:$H$1775,'Opportunities'!$C$2:$C$1775,"=r01",'Opportunities'!$N$2:$N$1775,"=jan26",'Opportunities'!$R$2:$R$1775,"=1",'Opportunities'!$F$2:$F$1775,"=proposal")</f>
        <v>0</v>
      </c>
      <c r="M218" s="4">
        <f>SUMIFS('Opportunities'!$H$2:$H$1775,'Opportunities'!$C$2:$C$1775,"=r01",'Opportunities'!$N$2:$N$1775,"=feb26",'Opportunities'!$R$2:$R$1775,"=1",'Opportunities'!$F$2:$F$1775,"=proposal")</f>
        <v>0</v>
      </c>
      <c r="N218" s="4">
        <f>SUMIFS('Opportunities'!$H$2:$H$1775,'Opportunities'!$C$2:$C$1775,"=r01",'Opportunities'!$N$2:$N$1775,"=mar26",'Opportunities'!$R$2:$R$1775,"=1",'Opportunities'!$F$2:$F$1775,"=proposal")</f>
        <v>0</v>
      </c>
      <c r="O218" s="4">
        <f>SUMIFS('Opportunities'!$H$2:$H$1775,'Opportunities'!$C$2:$C$1775,"=r01",'Opportunities'!$N$2:$N$1775,"=apr26",'Opportunities'!$R$2:$R$1775,"=1",'Opportunities'!$F$2:$F$1775,"=proposal")</f>
        <v>0</v>
      </c>
      <c r="P218" s="4">
        <f>SUMIFS('Opportunities'!$H$2:$H$1775,'Opportunities'!$C$2:$C$1775,"=r01",'Opportunities'!$N$2:$N$1775,"=may26",'Opportunities'!$R$2:$R$1775,"=1",'Opportunities'!$F$2:$F$1775,"=proposal")</f>
        <v>0</v>
      </c>
      <c r="Q218" s="4">
        <f>SUMIFS('Opportunities'!$H$2:$H$1775,'Opportunities'!$C$2:$C$1775,"=r01",'Opportunities'!$N$2:$N$1775,"=jun26",'Opportunities'!$R$2:$R$1775,"=1",'Opportunities'!$F$2:$F$1775,"=proposal")</f>
        <v>0</v>
      </c>
      <c r="R218" s="4">
        <f>SUMIFS('Opportunities'!$H$2:$H$1775,'Opportunities'!$C$2:$C$1775,"=r01",'Opportunities'!$N$2:$N$1775,"=jul26",'Opportunities'!$R$2:$R$1775,"=1",'Opportunities'!$F$2:$F$1775,"=proposal")</f>
        <v>0</v>
      </c>
      <c r="S218" s="4">
        <f>SUMIFS('Opportunities'!$H$2:$H$1775,'Opportunities'!$C$2:$C$1775,"=r01",'Opportunities'!$N$2:$N$1775,"=aug26",'Opportunities'!$R$2:$R$1775,"=1",'Opportunities'!$F$2:$F$1775,"=proposal")</f>
        <v>0</v>
      </c>
      <c r="T218" s="4">
        <f>SUMIFS('Opportunities'!$H$2:$H$1775,'Opportunities'!$C$2:$C$1775,"=r01",'Opportunities'!$N$2:$N$1775,"=sep26",'Opportunities'!$R$2:$R$1775,"=1",'Opportunities'!$F$2:$F$1775,"=proposal")</f>
        <v>0</v>
      </c>
      <c r="U218" s="4">
        <f>SUMIFS('Opportunities'!$H$2:$H$1775,'Opportunities'!$C$2:$C$1775,"=r01",'Opportunities'!$N$2:$N$1775,"=oct26",'Opportunities'!$R$2:$R$1775,"=1",'Opportunities'!$F$2:$F$1775,"=proposal")</f>
        <v>596900</v>
      </c>
      <c r="V218" s="4">
        <f>SUMIFS('Opportunities'!$H$2:$H$1775,'Opportunities'!$C$2:$C$1775,"=r01",'Opportunities'!$N$2:$N$1775,"=nov26",'Opportunities'!$R$2:$R$1775,"=1",'Opportunities'!$F$2:$F$1775,"=proposal")</f>
        <v>0</v>
      </c>
      <c r="W218" s="4">
        <f>SUMIFS('Opportunities'!$H$2:$H$1775,'Opportunities'!$C$2:$C$1775,"=r01",'Opportunities'!$N$2:$N$1775,"=dec26",'Opportunities'!$R$2:$R$1775,"=1",'Opportunities'!$F$2:$F$1775,"=proposal")</f>
        <v>0</v>
      </c>
    </row>
    <row r="219">
      <c r="A219" s="0" t="inlineStr">
        <is>
          <t xml:space="preserve">Best case (proposal)</t>
        </is>
      </c>
      <c r="B219" s="0" t="inlineStr">
        <is>
          <t xml:space="preserve">Priya Yilmaz</t>
        </is>
      </c>
      <c r="C219" s="4">
        <f>SUMIFS('Opportunities'!$H$2:$H$1775,'Opportunities'!$C$2:$C$1775,"=r02",'Opportunities'!$N$2:$N$1775,"=apr25",'Opportunities'!$R$2:$R$1775,"=1",'Opportunities'!$F$2:$F$1775,"=proposal")</f>
        <v>0</v>
      </c>
      <c r="D219" s="4">
        <f>SUMIFS('Opportunities'!$H$2:$H$1775,'Opportunities'!$C$2:$C$1775,"=r02",'Opportunities'!$N$2:$N$1775,"=may25",'Opportunities'!$R$2:$R$1775,"=1",'Opportunities'!$F$2:$F$1775,"=proposal")</f>
        <v>0</v>
      </c>
      <c r="E219" s="4">
        <f>SUMIFS('Opportunities'!$H$2:$H$1775,'Opportunities'!$C$2:$C$1775,"=r02",'Opportunities'!$N$2:$N$1775,"=jun25",'Opportunities'!$R$2:$R$1775,"=1",'Opportunities'!$F$2:$F$1775,"=proposal")</f>
        <v>0</v>
      </c>
      <c r="F219" s="4">
        <f>SUMIFS('Opportunities'!$H$2:$H$1775,'Opportunities'!$C$2:$C$1775,"=r02",'Opportunities'!$N$2:$N$1775,"=jul25",'Opportunities'!$R$2:$R$1775,"=1",'Opportunities'!$F$2:$F$1775,"=proposal")</f>
        <v>0</v>
      </c>
      <c r="G219" s="4">
        <f>SUMIFS('Opportunities'!$H$2:$H$1775,'Opportunities'!$C$2:$C$1775,"=r02",'Opportunities'!$N$2:$N$1775,"=aug25",'Opportunities'!$R$2:$R$1775,"=1",'Opportunities'!$F$2:$F$1775,"=proposal")</f>
        <v>0</v>
      </c>
      <c r="H219" s="4">
        <f>SUMIFS('Opportunities'!$H$2:$H$1775,'Opportunities'!$C$2:$C$1775,"=r02",'Opportunities'!$N$2:$N$1775,"=sep25",'Opportunities'!$R$2:$R$1775,"=1",'Opportunities'!$F$2:$F$1775,"=proposal")</f>
        <v>0</v>
      </c>
      <c r="I219" s="4">
        <f>SUMIFS('Opportunities'!$H$2:$H$1775,'Opportunities'!$C$2:$C$1775,"=r02",'Opportunities'!$N$2:$N$1775,"=oct25",'Opportunities'!$R$2:$R$1775,"=1",'Opportunities'!$F$2:$F$1775,"=proposal")</f>
        <v>0</v>
      </c>
      <c r="J219" s="4">
        <f>SUMIFS('Opportunities'!$H$2:$H$1775,'Opportunities'!$C$2:$C$1775,"=r02",'Opportunities'!$N$2:$N$1775,"=nov25",'Opportunities'!$R$2:$R$1775,"=1",'Opportunities'!$F$2:$F$1775,"=proposal")</f>
        <v>0</v>
      </c>
      <c r="K219" s="4">
        <f>SUMIFS('Opportunities'!$H$2:$H$1775,'Opportunities'!$C$2:$C$1775,"=r02",'Opportunities'!$N$2:$N$1775,"=dec25",'Opportunities'!$R$2:$R$1775,"=1",'Opportunities'!$F$2:$F$1775,"=proposal")</f>
        <v>0</v>
      </c>
      <c r="L219" s="4">
        <f>SUMIFS('Opportunities'!$H$2:$H$1775,'Opportunities'!$C$2:$C$1775,"=r02",'Opportunities'!$N$2:$N$1775,"=jan26",'Opportunities'!$R$2:$R$1775,"=1",'Opportunities'!$F$2:$F$1775,"=proposal")</f>
        <v>0</v>
      </c>
      <c r="M219" s="4">
        <f>SUMIFS('Opportunities'!$H$2:$H$1775,'Opportunities'!$C$2:$C$1775,"=r02",'Opportunities'!$N$2:$N$1775,"=feb26",'Opportunities'!$R$2:$R$1775,"=1",'Opportunities'!$F$2:$F$1775,"=proposal")</f>
        <v>0</v>
      </c>
      <c r="N219" s="4">
        <f>SUMIFS('Opportunities'!$H$2:$H$1775,'Opportunities'!$C$2:$C$1775,"=r02",'Opportunities'!$N$2:$N$1775,"=mar26",'Opportunities'!$R$2:$R$1775,"=1",'Opportunities'!$F$2:$F$1775,"=proposal")</f>
        <v>0</v>
      </c>
      <c r="O219" s="4">
        <f>SUMIFS('Opportunities'!$H$2:$H$1775,'Opportunities'!$C$2:$C$1775,"=r02",'Opportunities'!$N$2:$N$1775,"=apr26",'Opportunities'!$R$2:$R$1775,"=1",'Opportunities'!$F$2:$F$1775,"=proposal")</f>
        <v>0</v>
      </c>
      <c r="P219" s="4">
        <f>SUMIFS('Opportunities'!$H$2:$H$1775,'Opportunities'!$C$2:$C$1775,"=r02",'Opportunities'!$N$2:$N$1775,"=may26",'Opportunities'!$R$2:$R$1775,"=1",'Opportunities'!$F$2:$F$1775,"=proposal")</f>
        <v>0</v>
      </c>
      <c r="Q219" s="4">
        <f>SUMIFS('Opportunities'!$H$2:$H$1775,'Opportunities'!$C$2:$C$1775,"=r02",'Opportunities'!$N$2:$N$1775,"=jun26",'Opportunities'!$R$2:$R$1775,"=1",'Opportunities'!$F$2:$F$1775,"=proposal")</f>
        <v>0</v>
      </c>
      <c r="R219" s="4">
        <f>SUMIFS('Opportunities'!$H$2:$H$1775,'Opportunities'!$C$2:$C$1775,"=r02",'Opportunities'!$N$2:$N$1775,"=jul26",'Opportunities'!$R$2:$R$1775,"=1",'Opportunities'!$F$2:$F$1775,"=proposal")</f>
        <v>0</v>
      </c>
      <c r="S219" s="4">
        <f>SUMIFS('Opportunities'!$H$2:$H$1775,'Opportunities'!$C$2:$C$1775,"=r02",'Opportunities'!$N$2:$N$1775,"=aug26",'Opportunities'!$R$2:$R$1775,"=1",'Opportunities'!$F$2:$F$1775,"=proposal")</f>
        <v>0</v>
      </c>
      <c r="T219" s="4">
        <f>SUMIFS('Opportunities'!$H$2:$H$1775,'Opportunities'!$C$2:$C$1775,"=r02",'Opportunities'!$N$2:$N$1775,"=sep26",'Opportunities'!$R$2:$R$1775,"=1",'Opportunities'!$F$2:$F$1775,"=proposal")</f>
        <v>0</v>
      </c>
      <c r="U219" s="4">
        <f>SUMIFS('Opportunities'!$H$2:$H$1775,'Opportunities'!$C$2:$C$1775,"=r02",'Opportunities'!$N$2:$N$1775,"=oct26",'Opportunities'!$R$2:$R$1775,"=1",'Opportunities'!$F$2:$F$1775,"=proposal")</f>
        <v>0</v>
      </c>
      <c r="V219" s="4">
        <f>SUMIFS('Opportunities'!$H$2:$H$1775,'Opportunities'!$C$2:$C$1775,"=r02",'Opportunities'!$N$2:$N$1775,"=nov26",'Opportunities'!$R$2:$R$1775,"=1",'Opportunities'!$F$2:$F$1775,"=proposal")</f>
        <v>0</v>
      </c>
      <c r="W219" s="4">
        <f>SUMIFS('Opportunities'!$H$2:$H$1775,'Opportunities'!$C$2:$C$1775,"=r02",'Opportunities'!$N$2:$N$1775,"=dec26",'Opportunities'!$R$2:$R$1775,"=1",'Opportunities'!$F$2:$F$1775,"=proposal")</f>
        <v>0</v>
      </c>
    </row>
    <row r="220">
      <c r="A220" s="0" t="inlineStr">
        <is>
          <t xml:space="preserve">Best case (proposal)</t>
        </is>
      </c>
      <c r="B220" s="0" t="inlineStr">
        <is>
          <t xml:space="preserve">Marcus Schmidt</t>
        </is>
      </c>
      <c r="C220" s="4">
        <f>SUMIFS('Opportunities'!$H$2:$H$1775,'Opportunities'!$C$2:$C$1775,"=r03",'Opportunities'!$N$2:$N$1775,"=apr25",'Opportunities'!$R$2:$R$1775,"=1",'Opportunities'!$F$2:$F$1775,"=proposal")</f>
        <v>0</v>
      </c>
      <c r="D220" s="4">
        <f>SUMIFS('Opportunities'!$H$2:$H$1775,'Opportunities'!$C$2:$C$1775,"=r03",'Opportunities'!$N$2:$N$1775,"=may25",'Opportunities'!$R$2:$R$1775,"=1",'Opportunities'!$F$2:$F$1775,"=proposal")</f>
        <v>0</v>
      </c>
      <c r="E220" s="4">
        <f>SUMIFS('Opportunities'!$H$2:$H$1775,'Opportunities'!$C$2:$C$1775,"=r03",'Opportunities'!$N$2:$N$1775,"=jun25",'Opportunities'!$R$2:$R$1775,"=1",'Opportunities'!$F$2:$F$1775,"=proposal")</f>
        <v>0</v>
      </c>
      <c r="F220" s="4">
        <f>SUMIFS('Opportunities'!$H$2:$H$1775,'Opportunities'!$C$2:$C$1775,"=r03",'Opportunities'!$N$2:$N$1775,"=jul25",'Opportunities'!$R$2:$R$1775,"=1",'Opportunities'!$F$2:$F$1775,"=proposal")</f>
        <v>0</v>
      </c>
      <c r="G220" s="4">
        <f>SUMIFS('Opportunities'!$H$2:$H$1775,'Opportunities'!$C$2:$C$1775,"=r03",'Opportunities'!$N$2:$N$1775,"=aug25",'Opportunities'!$R$2:$R$1775,"=1",'Opportunities'!$F$2:$F$1775,"=proposal")</f>
        <v>0</v>
      </c>
      <c r="H220" s="4">
        <f>SUMIFS('Opportunities'!$H$2:$H$1775,'Opportunities'!$C$2:$C$1775,"=r03",'Opportunities'!$N$2:$N$1775,"=sep25",'Opportunities'!$R$2:$R$1775,"=1",'Opportunities'!$F$2:$F$1775,"=proposal")</f>
        <v>0</v>
      </c>
      <c r="I220" s="4">
        <f>SUMIFS('Opportunities'!$H$2:$H$1775,'Opportunities'!$C$2:$C$1775,"=r03",'Opportunities'!$N$2:$N$1775,"=oct25",'Opportunities'!$R$2:$R$1775,"=1",'Opportunities'!$F$2:$F$1775,"=proposal")</f>
        <v>0</v>
      </c>
      <c r="J220" s="4">
        <f>SUMIFS('Opportunities'!$H$2:$H$1775,'Opportunities'!$C$2:$C$1775,"=r03",'Opportunities'!$N$2:$N$1775,"=nov25",'Opportunities'!$R$2:$R$1775,"=1",'Opportunities'!$F$2:$F$1775,"=proposal")</f>
        <v>0</v>
      </c>
      <c r="K220" s="4">
        <f>SUMIFS('Opportunities'!$H$2:$H$1775,'Opportunities'!$C$2:$C$1775,"=r03",'Opportunities'!$N$2:$N$1775,"=dec25",'Opportunities'!$R$2:$R$1775,"=1",'Opportunities'!$F$2:$F$1775,"=proposal")</f>
        <v>0</v>
      </c>
      <c r="L220" s="4">
        <f>SUMIFS('Opportunities'!$H$2:$H$1775,'Opportunities'!$C$2:$C$1775,"=r03",'Opportunities'!$N$2:$N$1775,"=jan26",'Opportunities'!$R$2:$R$1775,"=1",'Opportunities'!$F$2:$F$1775,"=proposal")</f>
        <v>0</v>
      </c>
      <c r="M220" s="4">
        <f>SUMIFS('Opportunities'!$H$2:$H$1775,'Opportunities'!$C$2:$C$1775,"=r03",'Opportunities'!$N$2:$N$1775,"=feb26",'Opportunities'!$R$2:$R$1775,"=1",'Opportunities'!$F$2:$F$1775,"=proposal")</f>
        <v>0</v>
      </c>
      <c r="N220" s="4">
        <f>SUMIFS('Opportunities'!$H$2:$H$1775,'Opportunities'!$C$2:$C$1775,"=r03",'Opportunities'!$N$2:$N$1775,"=mar26",'Opportunities'!$R$2:$R$1775,"=1",'Opportunities'!$F$2:$F$1775,"=proposal")</f>
        <v>0</v>
      </c>
      <c r="O220" s="4">
        <f>SUMIFS('Opportunities'!$H$2:$H$1775,'Opportunities'!$C$2:$C$1775,"=r03",'Opportunities'!$N$2:$N$1775,"=apr26",'Opportunities'!$R$2:$R$1775,"=1",'Opportunities'!$F$2:$F$1775,"=proposal")</f>
        <v>0</v>
      </c>
      <c r="P220" s="4">
        <f>SUMIFS('Opportunities'!$H$2:$H$1775,'Opportunities'!$C$2:$C$1775,"=r03",'Opportunities'!$N$2:$N$1775,"=may26",'Opportunities'!$R$2:$R$1775,"=1",'Opportunities'!$F$2:$F$1775,"=proposal")</f>
        <v>0</v>
      </c>
      <c r="Q220" s="4">
        <f>SUMIFS('Opportunities'!$H$2:$H$1775,'Opportunities'!$C$2:$C$1775,"=r03",'Opportunities'!$N$2:$N$1775,"=jun26",'Opportunities'!$R$2:$R$1775,"=1",'Opportunities'!$F$2:$F$1775,"=proposal")</f>
        <v>0</v>
      </c>
      <c r="R220" s="4">
        <f>SUMIFS('Opportunities'!$H$2:$H$1775,'Opportunities'!$C$2:$C$1775,"=r03",'Opportunities'!$N$2:$N$1775,"=jul26",'Opportunities'!$R$2:$R$1775,"=1",'Opportunities'!$F$2:$F$1775,"=proposal")</f>
        <v>0</v>
      </c>
      <c r="S220" s="4">
        <f>SUMIFS('Opportunities'!$H$2:$H$1775,'Opportunities'!$C$2:$C$1775,"=r03",'Opportunities'!$N$2:$N$1775,"=aug26",'Opportunities'!$R$2:$R$1775,"=1",'Opportunities'!$F$2:$F$1775,"=proposal")</f>
        <v>0</v>
      </c>
      <c r="T220" s="4">
        <f>SUMIFS('Opportunities'!$H$2:$H$1775,'Opportunities'!$C$2:$C$1775,"=r03",'Opportunities'!$N$2:$N$1775,"=sep26",'Opportunities'!$R$2:$R$1775,"=1",'Opportunities'!$F$2:$F$1775,"=proposal")</f>
        <v>164000</v>
      </c>
      <c r="U220" s="4">
        <f>SUMIFS('Opportunities'!$H$2:$H$1775,'Opportunities'!$C$2:$C$1775,"=r03",'Opportunities'!$N$2:$N$1775,"=oct26",'Opportunities'!$R$2:$R$1775,"=1",'Opportunities'!$F$2:$F$1775,"=proposal")</f>
        <v>17300</v>
      </c>
      <c r="V220" s="4">
        <f>SUMIFS('Opportunities'!$H$2:$H$1775,'Opportunities'!$C$2:$C$1775,"=r03",'Opportunities'!$N$2:$N$1775,"=nov26",'Opportunities'!$R$2:$R$1775,"=1",'Opportunities'!$F$2:$F$1775,"=proposal")</f>
        <v>0</v>
      </c>
      <c r="W220" s="4">
        <f>SUMIFS('Opportunities'!$H$2:$H$1775,'Opportunities'!$C$2:$C$1775,"=r03",'Opportunities'!$N$2:$N$1775,"=dec26",'Opportunities'!$R$2:$R$1775,"=1",'Opportunities'!$F$2:$F$1775,"=proposal")</f>
        <v>67300</v>
      </c>
    </row>
    <row r="221">
      <c r="A221" s="0" t="inlineStr">
        <is>
          <t xml:space="preserve">Best case (proposal)</t>
        </is>
      </c>
      <c r="B221" s="0" t="inlineStr">
        <is>
          <t xml:space="preserve">Amara Haddad</t>
        </is>
      </c>
      <c r="C221" s="4">
        <f>SUMIFS('Opportunities'!$H$2:$H$1775,'Opportunities'!$C$2:$C$1775,"=r04",'Opportunities'!$N$2:$N$1775,"=apr25",'Opportunities'!$R$2:$R$1775,"=1",'Opportunities'!$F$2:$F$1775,"=proposal")</f>
        <v>0</v>
      </c>
      <c r="D221" s="4">
        <f>SUMIFS('Opportunities'!$H$2:$H$1775,'Opportunities'!$C$2:$C$1775,"=r04",'Opportunities'!$N$2:$N$1775,"=may25",'Opportunities'!$R$2:$R$1775,"=1",'Opportunities'!$F$2:$F$1775,"=proposal")</f>
        <v>0</v>
      </c>
      <c r="E221" s="4">
        <f>SUMIFS('Opportunities'!$H$2:$H$1775,'Opportunities'!$C$2:$C$1775,"=r04",'Opportunities'!$N$2:$N$1775,"=jun25",'Opportunities'!$R$2:$R$1775,"=1",'Opportunities'!$F$2:$F$1775,"=proposal")</f>
        <v>0</v>
      </c>
      <c r="F221" s="4">
        <f>SUMIFS('Opportunities'!$H$2:$H$1775,'Opportunities'!$C$2:$C$1775,"=r04",'Opportunities'!$N$2:$N$1775,"=jul25",'Opportunities'!$R$2:$R$1775,"=1",'Opportunities'!$F$2:$F$1775,"=proposal")</f>
        <v>0</v>
      </c>
      <c r="G221" s="4">
        <f>SUMIFS('Opportunities'!$H$2:$H$1775,'Opportunities'!$C$2:$C$1775,"=r04",'Opportunities'!$N$2:$N$1775,"=aug25",'Opportunities'!$R$2:$R$1775,"=1",'Opportunities'!$F$2:$F$1775,"=proposal")</f>
        <v>0</v>
      </c>
      <c r="H221" s="4">
        <f>SUMIFS('Opportunities'!$H$2:$H$1775,'Opportunities'!$C$2:$C$1775,"=r04",'Opportunities'!$N$2:$N$1775,"=sep25",'Opportunities'!$R$2:$R$1775,"=1",'Opportunities'!$F$2:$F$1775,"=proposal")</f>
        <v>0</v>
      </c>
      <c r="I221" s="4">
        <f>SUMIFS('Opportunities'!$H$2:$H$1775,'Opportunities'!$C$2:$C$1775,"=r04",'Opportunities'!$N$2:$N$1775,"=oct25",'Opportunities'!$R$2:$R$1775,"=1",'Opportunities'!$F$2:$F$1775,"=proposal")</f>
        <v>0</v>
      </c>
      <c r="J221" s="4">
        <f>SUMIFS('Opportunities'!$H$2:$H$1775,'Opportunities'!$C$2:$C$1775,"=r04",'Opportunities'!$N$2:$N$1775,"=nov25",'Opportunities'!$R$2:$R$1775,"=1",'Opportunities'!$F$2:$F$1775,"=proposal")</f>
        <v>0</v>
      </c>
      <c r="K221" s="4">
        <f>SUMIFS('Opportunities'!$H$2:$H$1775,'Opportunities'!$C$2:$C$1775,"=r04",'Opportunities'!$N$2:$N$1775,"=dec25",'Opportunities'!$R$2:$R$1775,"=1",'Opportunities'!$F$2:$F$1775,"=proposal")</f>
        <v>0</v>
      </c>
      <c r="L221" s="4">
        <f>SUMIFS('Opportunities'!$H$2:$H$1775,'Opportunities'!$C$2:$C$1775,"=r04",'Opportunities'!$N$2:$N$1775,"=jan26",'Opportunities'!$R$2:$R$1775,"=1",'Opportunities'!$F$2:$F$1775,"=proposal")</f>
        <v>0</v>
      </c>
      <c r="M221" s="4">
        <f>SUMIFS('Opportunities'!$H$2:$H$1775,'Opportunities'!$C$2:$C$1775,"=r04",'Opportunities'!$N$2:$N$1775,"=feb26",'Opportunities'!$R$2:$R$1775,"=1",'Opportunities'!$F$2:$F$1775,"=proposal")</f>
        <v>0</v>
      </c>
      <c r="N221" s="4">
        <f>SUMIFS('Opportunities'!$H$2:$H$1775,'Opportunities'!$C$2:$C$1775,"=r04",'Opportunities'!$N$2:$N$1775,"=mar26",'Opportunities'!$R$2:$R$1775,"=1",'Opportunities'!$F$2:$F$1775,"=proposal")</f>
        <v>0</v>
      </c>
      <c r="O221" s="4">
        <f>SUMIFS('Opportunities'!$H$2:$H$1775,'Opportunities'!$C$2:$C$1775,"=r04",'Opportunities'!$N$2:$N$1775,"=apr26",'Opportunities'!$R$2:$R$1775,"=1",'Opportunities'!$F$2:$F$1775,"=proposal")</f>
        <v>0</v>
      </c>
      <c r="P221" s="4">
        <f>SUMIFS('Opportunities'!$H$2:$H$1775,'Opportunities'!$C$2:$C$1775,"=r04",'Opportunities'!$N$2:$N$1775,"=may26",'Opportunities'!$R$2:$R$1775,"=1",'Opportunities'!$F$2:$F$1775,"=proposal")</f>
        <v>0</v>
      </c>
      <c r="Q221" s="4">
        <f>SUMIFS('Opportunities'!$H$2:$H$1775,'Opportunities'!$C$2:$C$1775,"=r04",'Opportunities'!$N$2:$N$1775,"=jun26",'Opportunities'!$R$2:$R$1775,"=1",'Opportunities'!$F$2:$F$1775,"=proposal")</f>
        <v>0</v>
      </c>
      <c r="R221" s="4">
        <f>SUMIFS('Opportunities'!$H$2:$H$1775,'Opportunities'!$C$2:$C$1775,"=r04",'Opportunities'!$N$2:$N$1775,"=jul26",'Opportunities'!$R$2:$R$1775,"=1",'Opportunities'!$F$2:$F$1775,"=proposal")</f>
        <v>0</v>
      </c>
      <c r="S221" s="4">
        <f>SUMIFS('Opportunities'!$H$2:$H$1775,'Opportunities'!$C$2:$C$1775,"=r04",'Opportunities'!$N$2:$N$1775,"=aug26",'Opportunities'!$R$2:$R$1775,"=1",'Opportunities'!$F$2:$F$1775,"=proposal")</f>
        <v>0</v>
      </c>
      <c r="T221" s="4">
        <f>SUMIFS('Opportunities'!$H$2:$H$1775,'Opportunities'!$C$2:$C$1775,"=r04",'Opportunities'!$N$2:$N$1775,"=sep26",'Opportunities'!$R$2:$R$1775,"=1",'Opportunities'!$F$2:$F$1775,"=proposal")</f>
        <v>37700</v>
      </c>
      <c r="U221" s="4">
        <f>SUMIFS('Opportunities'!$H$2:$H$1775,'Opportunities'!$C$2:$C$1775,"=r04",'Opportunities'!$N$2:$N$1775,"=oct26",'Opportunities'!$R$2:$R$1775,"=1",'Opportunities'!$F$2:$F$1775,"=proposal")</f>
        <v>27500</v>
      </c>
      <c r="V221" s="4">
        <f>SUMIFS('Opportunities'!$H$2:$H$1775,'Opportunities'!$C$2:$C$1775,"=r04",'Opportunities'!$N$2:$N$1775,"=nov26",'Opportunities'!$R$2:$R$1775,"=1",'Opportunities'!$F$2:$F$1775,"=proposal")</f>
        <v>0</v>
      </c>
      <c r="W221" s="4">
        <f>SUMIFS('Opportunities'!$H$2:$H$1775,'Opportunities'!$C$2:$C$1775,"=r04",'Opportunities'!$N$2:$N$1775,"=dec26",'Opportunities'!$R$2:$R$1775,"=1",'Opportunities'!$F$2:$F$1775,"=proposal")</f>
        <v>35400</v>
      </c>
    </row>
    <row r="222">
      <c r="A222" s="0" t="inlineStr">
        <is>
          <t xml:space="preserve">Best case (proposal)</t>
        </is>
      </c>
      <c r="B222" s="0" t="inlineStr">
        <is>
          <t xml:space="preserve">Fatima Silva</t>
        </is>
      </c>
      <c r="C222" s="4">
        <f>SUMIFS('Opportunities'!$H$2:$H$1775,'Opportunities'!$C$2:$C$1775,"=r05",'Opportunities'!$N$2:$N$1775,"=apr25",'Opportunities'!$R$2:$R$1775,"=1",'Opportunities'!$F$2:$F$1775,"=proposal")</f>
        <v>0</v>
      </c>
      <c r="D222" s="4">
        <f>SUMIFS('Opportunities'!$H$2:$H$1775,'Opportunities'!$C$2:$C$1775,"=r05",'Opportunities'!$N$2:$N$1775,"=may25",'Opportunities'!$R$2:$R$1775,"=1",'Opportunities'!$F$2:$F$1775,"=proposal")</f>
        <v>0</v>
      </c>
      <c r="E222" s="4">
        <f>SUMIFS('Opportunities'!$H$2:$H$1775,'Opportunities'!$C$2:$C$1775,"=r05",'Opportunities'!$N$2:$N$1775,"=jun25",'Opportunities'!$R$2:$R$1775,"=1",'Opportunities'!$F$2:$F$1775,"=proposal")</f>
        <v>0</v>
      </c>
      <c r="F222" s="4">
        <f>SUMIFS('Opportunities'!$H$2:$H$1775,'Opportunities'!$C$2:$C$1775,"=r05",'Opportunities'!$N$2:$N$1775,"=jul25",'Opportunities'!$R$2:$R$1775,"=1",'Opportunities'!$F$2:$F$1775,"=proposal")</f>
        <v>0</v>
      </c>
      <c r="G222" s="4">
        <f>SUMIFS('Opportunities'!$H$2:$H$1775,'Opportunities'!$C$2:$C$1775,"=r05",'Opportunities'!$N$2:$N$1775,"=aug25",'Opportunities'!$R$2:$R$1775,"=1",'Opportunities'!$F$2:$F$1775,"=proposal")</f>
        <v>0</v>
      </c>
      <c r="H222" s="4">
        <f>SUMIFS('Opportunities'!$H$2:$H$1775,'Opportunities'!$C$2:$C$1775,"=r05",'Opportunities'!$N$2:$N$1775,"=sep25",'Opportunities'!$R$2:$R$1775,"=1",'Opportunities'!$F$2:$F$1775,"=proposal")</f>
        <v>0</v>
      </c>
      <c r="I222" s="4">
        <f>SUMIFS('Opportunities'!$H$2:$H$1775,'Opportunities'!$C$2:$C$1775,"=r05",'Opportunities'!$N$2:$N$1775,"=oct25",'Opportunities'!$R$2:$R$1775,"=1",'Opportunities'!$F$2:$F$1775,"=proposal")</f>
        <v>0</v>
      </c>
      <c r="J222" s="4">
        <f>SUMIFS('Opportunities'!$H$2:$H$1775,'Opportunities'!$C$2:$C$1775,"=r05",'Opportunities'!$N$2:$N$1775,"=nov25",'Opportunities'!$R$2:$R$1775,"=1",'Opportunities'!$F$2:$F$1775,"=proposal")</f>
        <v>0</v>
      </c>
      <c r="K222" s="4">
        <f>SUMIFS('Opportunities'!$H$2:$H$1775,'Opportunities'!$C$2:$C$1775,"=r05",'Opportunities'!$N$2:$N$1775,"=dec25",'Opportunities'!$R$2:$R$1775,"=1",'Opportunities'!$F$2:$F$1775,"=proposal")</f>
        <v>0</v>
      </c>
      <c r="L222" s="4">
        <f>SUMIFS('Opportunities'!$H$2:$H$1775,'Opportunities'!$C$2:$C$1775,"=r05",'Opportunities'!$N$2:$N$1775,"=jan26",'Opportunities'!$R$2:$R$1775,"=1",'Opportunities'!$F$2:$F$1775,"=proposal")</f>
        <v>0</v>
      </c>
      <c r="M222" s="4">
        <f>SUMIFS('Opportunities'!$H$2:$H$1775,'Opportunities'!$C$2:$C$1775,"=r05",'Opportunities'!$N$2:$N$1775,"=feb26",'Opportunities'!$R$2:$R$1775,"=1",'Opportunities'!$F$2:$F$1775,"=proposal")</f>
        <v>0</v>
      </c>
      <c r="N222" s="4">
        <f>SUMIFS('Opportunities'!$H$2:$H$1775,'Opportunities'!$C$2:$C$1775,"=r05",'Opportunities'!$N$2:$N$1775,"=mar26",'Opportunities'!$R$2:$R$1775,"=1",'Opportunities'!$F$2:$F$1775,"=proposal")</f>
        <v>0</v>
      </c>
      <c r="O222" s="4">
        <f>SUMIFS('Opportunities'!$H$2:$H$1775,'Opportunities'!$C$2:$C$1775,"=r05",'Opportunities'!$N$2:$N$1775,"=apr26",'Opportunities'!$R$2:$R$1775,"=1",'Opportunities'!$F$2:$F$1775,"=proposal")</f>
        <v>0</v>
      </c>
      <c r="P222" s="4">
        <f>SUMIFS('Opportunities'!$H$2:$H$1775,'Opportunities'!$C$2:$C$1775,"=r05",'Opportunities'!$N$2:$N$1775,"=may26",'Opportunities'!$R$2:$R$1775,"=1",'Opportunities'!$F$2:$F$1775,"=proposal")</f>
        <v>0</v>
      </c>
      <c r="Q222" s="4">
        <f>SUMIFS('Opportunities'!$H$2:$H$1775,'Opportunities'!$C$2:$C$1775,"=r05",'Opportunities'!$N$2:$N$1775,"=jun26",'Opportunities'!$R$2:$R$1775,"=1",'Opportunities'!$F$2:$F$1775,"=proposal")</f>
        <v>0</v>
      </c>
      <c r="R222" s="4">
        <f>SUMIFS('Opportunities'!$H$2:$H$1775,'Opportunities'!$C$2:$C$1775,"=r05",'Opportunities'!$N$2:$N$1775,"=jul26",'Opportunities'!$R$2:$R$1775,"=1",'Opportunities'!$F$2:$F$1775,"=proposal")</f>
        <v>0</v>
      </c>
      <c r="S222" s="4">
        <f>SUMIFS('Opportunities'!$H$2:$H$1775,'Opportunities'!$C$2:$C$1775,"=r05",'Opportunities'!$N$2:$N$1775,"=aug26",'Opportunities'!$R$2:$R$1775,"=1",'Opportunities'!$F$2:$F$1775,"=proposal")</f>
        <v>0</v>
      </c>
      <c r="T222" s="4">
        <f>SUMIFS('Opportunities'!$H$2:$H$1775,'Opportunities'!$C$2:$C$1775,"=r05",'Opportunities'!$N$2:$N$1775,"=sep26",'Opportunities'!$R$2:$R$1775,"=1",'Opportunities'!$F$2:$F$1775,"=proposal")</f>
        <v>60200</v>
      </c>
      <c r="U222" s="4">
        <f>SUMIFS('Opportunities'!$H$2:$H$1775,'Opportunities'!$C$2:$C$1775,"=r05",'Opportunities'!$N$2:$N$1775,"=oct26",'Opportunities'!$R$2:$R$1775,"=1",'Opportunities'!$F$2:$F$1775,"=proposal")</f>
        <v>7500</v>
      </c>
      <c r="V222" s="4">
        <f>SUMIFS('Opportunities'!$H$2:$H$1775,'Opportunities'!$C$2:$C$1775,"=r05",'Opportunities'!$N$2:$N$1775,"=nov26",'Opportunities'!$R$2:$R$1775,"=1",'Opportunities'!$F$2:$F$1775,"=proposal")</f>
        <v>0</v>
      </c>
      <c r="W222" s="4">
        <f>SUMIFS('Opportunities'!$H$2:$H$1775,'Opportunities'!$C$2:$C$1775,"=r05",'Opportunities'!$N$2:$N$1775,"=dec26",'Opportunities'!$R$2:$R$1775,"=1",'Opportunities'!$F$2:$F$1775,"=proposal")</f>
        <v>5900</v>
      </c>
    </row>
    <row r="223">
      <c r="A223" s="0" t="inlineStr">
        <is>
          <t xml:space="preserve">Best case (proposal)</t>
        </is>
      </c>
      <c r="B223" s="0" t="inlineStr">
        <is>
          <t xml:space="preserve">Ana Ortiz</t>
        </is>
      </c>
      <c r="C223" s="4">
        <f>SUMIFS('Opportunities'!$H$2:$H$1775,'Opportunities'!$C$2:$C$1775,"=r06",'Opportunities'!$N$2:$N$1775,"=apr25",'Opportunities'!$R$2:$R$1775,"=1",'Opportunities'!$F$2:$F$1775,"=proposal")</f>
        <v>0</v>
      </c>
      <c r="D223" s="4">
        <f>SUMIFS('Opportunities'!$H$2:$H$1775,'Opportunities'!$C$2:$C$1775,"=r06",'Opportunities'!$N$2:$N$1775,"=may25",'Opportunities'!$R$2:$R$1775,"=1",'Opportunities'!$F$2:$F$1775,"=proposal")</f>
        <v>0</v>
      </c>
      <c r="E223" s="4">
        <f>SUMIFS('Opportunities'!$H$2:$H$1775,'Opportunities'!$C$2:$C$1775,"=r06",'Opportunities'!$N$2:$N$1775,"=jun25",'Opportunities'!$R$2:$R$1775,"=1",'Opportunities'!$F$2:$F$1775,"=proposal")</f>
        <v>0</v>
      </c>
      <c r="F223" s="4">
        <f>SUMIFS('Opportunities'!$H$2:$H$1775,'Opportunities'!$C$2:$C$1775,"=r06",'Opportunities'!$N$2:$N$1775,"=jul25",'Opportunities'!$R$2:$R$1775,"=1",'Opportunities'!$F$2:$F$1775,"=proposal")</f>
        <v>0</v>
      </c>
      <c r="G223" s="4">
        <f>SUMIFS('Opportunities'!$H$2:$H$1775,'Opportunities'!$C$2:$C$1775,"=r06",'Opportunities'!$N$2:$N$1775,"=aug25",'Opportunities'!$R$2:$R$1775,"=1",'Opportunities'!$F$2:$F$1775,"=proposal")</f>
        <v>0</v>
      </c>
      <c r="H223" s="4">
        <f>SUMIFS('Opportunities'!$H$2:$H$1775,'Opportunities'!$C$2:$C$1775,"=r06",'Opportunities'!$N$2:$N$1775,"=sep25",'Opportunities'!$R$2:$R$1775,"=1",'Opportunities'!$F$2:$F$1775,"=proposal")</f>
        <v>0</v>
      </c>
      <c r="I223" s="4">
        <f>SUMIFS('Opportunities'!$H$2:$H$1775,'Opportunities'!$C$2:$C$1775,"=r06",'Opportunities'!$N$2:$N$1775,"=oct25",'Opportunities'!$R$2:$R$1775,"=1",'Opportunities'!$F$2:$F$1775,"=proposal")</f>
        <v>0</v>
      </c>
      <c r="J223" s="4">
        <f>SUMIFS('Opportunities'!$H$2:$H$1775,'Opportunities'!$C$2:$C$1775,"=r06",'Opportunities'!$N$2:$N$1775,"=nov25",'Opportunities'!$R$2:$R$1775,"=1",'Opportunities'!$F$2:$F$1775,"=proposal")</f>
        <v>0</v>
      </c>
      <c r="K223" s="4">
        <f>SUMIFS('Opportunities'!$H$2:$H$1775,'Opportunities'!$C$2:$C$1775,"=r06",'Opportunities'!$N$2:$N$1775,"=dec25",'Opportunities'!$R$2:$R$1775,"=1",'Opportunities'!$F$2:$F$1775,"=proposal")</f>
        <v>0</v>
      </c>
      <c r="L223" s="4">
        <f>SUMIFS('Opportunities'!$H$2:$H$1775,'Opportunities'!$C$2:$C$1775,"=r06",'Opportunities'!$N$2:$N$1775,"=jan26",'Opportunities'!$R$2:$R$1775,"=1",'Opportunities'!$F$2:$F$1775,"=proposal")</f>
        <v>0</v>
      </c>
      <c r="M223" s="4">
        <f>SUMIFS('Opportunities'!$H$2:$H$1775,'Opportunities'!$C$2:$C$1775,"=r06",'Opportunities'!$N$2:$N$1775,"=feb26",'Opportunities'!$R$2:$R$1775,"=1",'Opportunities'!$F$2:$F$1775,"=proposal")</f>
        <v>0</v>
      </c>
      <c r="N223" s="4">
        <f>SUMIFS('Opportunities'!$H$2:$H$1775,'Opportunities'!$C$2:$C$1775,"=r06",'Opportunities'!$N$2:$N$1775,"=mar26",'Opportunities'!$R$2:$R$1775,"=1",'Opportunities'!$F$2:$F$1775,"=proposal")</f>
        <v>0</v>
      </c>
      <c r="O223" s="4">
        <f>SUMIFS('Opportunities'!$H$2:$H$1775,'Opportunities'!$C$2:$C$1775,"=r06",'Opportunities'!$N$2:$N$1775,"=apr26",'Opportunities'!$R$2:$R$1775,"=1",'Opportunities'!$F$2:$F$1775,"=proposal")</f>
        <v>0</v>
      </c>
      <c r="P223" s="4">
        <f>SUMIFS('Opportunities'!$H$2:$H$1775,'Opportunities'!$C$2:$C$1775,"=r06",'Opportunities'!$N$2:$N$1775,"=may26",'Opportunities'!$R$2:$R$1775,"=1",'Opportunities'!$F$2:$F$1775,"=proposal")</f>
        <v>0</v>
      </c>
      <c r="Q223" s="4">
        <f>SUMIFS('Opportunities'!$H$2:$H$1775,'Opportunities'!$C$2:$C$1775,"=r06",'Opportunities'!$N$2:$N$1775,"=jun26",'Opportunities'!$R$2:$R$1775,"=1",'Opportunities'!$F$2:$F$1775,"=proposal")</f>
        <v>0</v>
      </c>
      <c r="R223" s="4">
        <f>SUMIFS('Opportunities'!$H$2:$H$1775,'Opportunities'!$C$2:$C$1775,"=r06",'Opportunities'!$N$2:$N$1775,"=jul26",'Opportunities'!$R$2:$R$1775,"=1",'Opportunities'!$F$2:$F$1775,"=proposal")</f>
        <v>0</v>
      </c>
      <c r="S223" s="4">
        <f>SUMIFS('Opportunities'!$H$2:$H$1775,'Opportunities'!$C$2:$C$1775,"=r06",'Opportunities'!$N$2:$N$1775,"=aug26",'Opportunities'!$R$2:$R$1775,"=1",'Opportunities'!$F$2:$F$1775,"=proposal")</f>
        <v>0</v>
      </c>
      <c r="T223" s="4">
        <f>SUMIFS('Opportunities'!$H$2:$H$1775,'Opportunities'!$C$2:$C$1775,"=r06",'Opportunities'!$N$2:$N$1775,"=sep26",'Opportunities'!$R$2:$R$1775,"=1",'Opportunities'!$F$2:$F$1775,"=proposal")</f>
        <v>0</v>
      </c>
      <c r="U223" s="4">
        <f>SUMIFS('Opportunities'!$H$2:$H$1775,'Opportunities'!$C$2:$C$1775,"=r06",'Opportunities'!$N$2:$N$1775,"=oct26",'Opportunities'!$R$2:$R$1775,"=1",'Opportunities'!$F$2:$F$1775,"=proposal")</f>
        <v>19000</v>
      </c>
      <c r="V223" s="4">
        <f>SUMIFS('Opportunities'!$H$2:$H$1775,'Opportunities'!$C$2:$C$1775,"=r06",'Opportunities'!$N$2:$N$1775,"=nov26",'Opportunities'!$R$2:$R$1775,"=1",'Opportunities'!$F$2:$F$1775,"=proposal")</f>
        <v>9900</v>
      </c>
      <c r="W223" s="4">
        <f>SUMIFS('Opportunities'!$H$2:$H$1775,'Opportunities'!$C$2:$C$1775,"=r06",'Opportunities'!$N$2:$N$1775,"=dec26",'Opportunities'!$R$2:$R$1775,"=1",'Opportunities'!$F$2:$F$1775,"=proposal")</f>
        <v>0</v>
      </c>
    </row>
    <row r="224">
      <c r="A224" s="0" t="inlineStr">
        <is>
          <t xml:space="preserve">Best case (proposal)</t>
        </is>
      </c>
      <c r="B224" s="0" t="inlineStr">
        <is>
          <t xml:space="preserve">Tobias Silva</t>
        </is>
      </c>
      <c r="C224" s="4">
        <f>SUMIFS('Opportunities'!$H$2:$H$1775,'Opportunities'!$C$2:$C$1775,"=r07",'Opportunities'!$N$2:$N$1775,"=apr25",'Opportunities'!$R$2:$R$1775,"=1",'Opportunities'!$F$2:$F$1775,"=proposal")</f>
        <v>0</v>
      </c>
      <c r="D224" s="4">
        <f>SUMIFS('Opportunities'!$H$2:$H$1775,'Opportunities'!$C$2:$C$1775,"=r07",'Opportunities'!$N$2:$N$1775,"=may25",'Opportunities'!$R$2:$R$1775,"=1",'Opportunities'!$F$2:$F$1775,"=proposal")</f>
        <v>0</v>
      </c>
      <c r="E224" s="4">
        <f>SUMIFS('Opportunities'!$H$2:$H$1775,'Opportunities'!$C$2:$C$1775,"=r07",'Opportunities'!$N$2:$N$1775,"=jun25",'Opportunities'!$R$2:$R$1775,"=1",'Opportunities'!$F$2:$F$1775,"=proposal")</f>
        <v>0</v>
      </c>
      <c r="F224" s="4">
        <f>SUMIFS('Opportunities'!$H$2:$H$1775,'Opportunities'!$C$2:$C$1775,"=r07",'Opportunities'!$N$2:$N$1775,"=jul25",'Opportunities'!$R$2:$R$1775,"=1",'Opportunities'!$F$2:$F$1775,"=proposal")</f>
        <v>0</v>
      </c>
      <c r="G224" s="4">
        <f>SUMIFS('Opportunities'!$H$2:$H$1775,'Opportunities'!$C$2:$C$1775,"=r07",'Opportunities'!$N$2:$N$1775,"=aug25",'Opportunities'!$R$2:$R$1775,"=1",'Opportunities'!$F$2:$F$1775,"=proposal")</f>
        <v>0</v>
      </c>
      <c r="H224" s="4">
        <f>SUMIFS('Opportunities'!$H$2:$H$1775,'Opportunities'!$C$2:$C$1775,"=r07",'Opportunities'!$N$2:$N$1775,"=sep25",'Opportunities'!$R$2:$R$1775,"=1",'Opportunities'!$F$2:$F$1775,"=proposal")</f>
        <v>0</v>
      </c>
      <c r="I224" s="4">
        <f>SUMIFS('Opportunities'!$H$2:$H$1775,'Opportunities'!$C$2:$C$1775,"=r07",'Opportunities'!$N$2:$N$1775,"=oct25",'Opportunities'!$R$2:$R$1775,"=1",'Opportunities'!$F$2:$F$1775,"=proposal")</f>
        <v>0</v>
      </c>
      <c r="J224" s="4">
        <f>SUMIFS('Opportunities'!$H$2:$H$1775,'Opportunities'!$C$2:$C$1775,"=r07",'Opportunities'!$N$2:$N$1775,"=nov25",'Opportunities'!$R$2:$R$1775,"=1",'Opportunities'!$F$2:$F$1775,"=proposal")</f>
        <v>0</v>
      </c>
      <c r="K224" s="4">
        <f>SUMIFS('Opportunities'!$H$2:$H$1775,'Opportunities'!$C$2:$C$1775,"=r07",'Opportunities'!$N$2:$N$1775,"=dec25",'Opportunities'!$R$2:$R$1775,"=1",'Opportunities'!$F$2:$F$1775,"=proposal")</f>
        <v>0</v>
      </c>
      <c r="L224" s="4">
        <f>SUMIFS('Opportunities'!$H$2:$H$1775,'Opportunities'!$C$2:$C$1775,"=r07",'Opportunities'!$N$2:$N$1775,"=jan26",'Opportunities'!$R$2:$R$1775,"=1",'Opportunities'!$F$2:$F$1775,"=proposal")</f>
        <v>0</v>
      </c>
      <c r="M224" s="4">
        <f>SUMIFS('Opportunities'!$H$2:$H$1775,'Opportunities'!$C$2:$C$1775,"=r07",'Opportunities'!$N$2:$N$1775,"=feb26",'Opportunities'!$R$2:$R$1775,"=1",'Opportunities'!$F$2:$F$1775,"=proposal")</f>
        <v>0</v>
      </c>
      <c r="N224" s="4">
        <f>SUMIFS('Opportunities'!$H$2:$H$1775,'Opportunities'!$C$2:$C$1775,"=r07",'Opportunities'!$N$2:$N$1775,"=mar26",'Opportunities'!$R$2:$R$1775,"=1",'Opportunities'!$F$2:$F$1775,"=proposal")</f>
        <v>0</v>
      </c>
      <c r="O224" s="4">
        <f>SUMIFS('Opportunities'!$H$2:$H$1775,'Opportunities'!$C$2:$C$1775,"=r07",'Opportunities'!$N$2:$N$1775,"=apr26",'Opportunities'!$R$2:$R$1775,"=1",'Opportunities'!$F$2:$F$1775,"=proposal")</f>
        <v>0</v>
      </c>
      <c r="P224" s="4">
        <f>SUMIFS('Opportunities'!$H$2:$H$1775,'Opportunities'!$C$2:$C$1775,"=r07",'Opportunities'!$N$2:$N$1775,"=may26",'Opportunities'!$R$2:$R$1775,"=1",'Opportunities'!$F$2:$F$1775,"=proposal")</f>
        <v>0</v>
      </c>
      <c r="Q224" s="4">
        <f>SUMIFS('Opportunities'!$H$2:$H$1775,'Opportunities'!$C$2:$C$1775,"=r07",'Opportunities'!$N$2:$N$1775,"=jun26",'Opportunities'!$R$2:$R$1775,"=1",'Opportunities'!$F$2:$F$1775,"=proposal")</f>
        <v>0</v>
      </c>
      <c r="R224" s="4">
        <f>SUMIFS('Opportunities'!$H$2:$H$1775,'Opportunities'!$C$2:$C$1775,"=r07",'Opportunities'!$N$2:$N$1775,"=jul26",'Opportunities'!$R$2:$R$1775,"=1",'Opportunities'!$F$2:$F$1775,"=proposal")</f>
        <v>0</v>
      </c>
      <c r="S224" s="4">
        <f>SUMIFS('Opportunities'!$H$2:$H$1775,'Opportunities'!$C$2:$C$1775,"=r07",'Opportunities'!$N$2:$N$1775,"=aug26",'Opportunities'!$R$2:$R$1775,"=1",'Opportunities'!$F$2:$F$1775,"=proposal")</f>
        <v>0</v>
      </c>
      <c r="T224" s="4">
        <f>SUMIFS('Opportunities'!$H$2:$H$1775,'Opportunities'!$C$2:$C$1775,"=r07",'Opportunities'!$N$2:$N$1775,"=sep26",'Opportunities'!$R$2:$R$1775,"=1",'Opportunities'!$F$2:$F$1775,"=proposal")</f>
        <v>230300</v>
      </c>
      <c r="U224" s="4">
        <f>SUMIFS('Opportunities'!$H$2:$H$1775,'Opportunities'!$C$2:$C$1775,"=r07",'Opportunities'!$N$2:$N$1775,"=oct26",'Opportunities'!$R$2:$R$1775,"=1",'Opportunities'!$F$2:$F$1775,"=proposal")</f>
        <v>0</v>
      </c>
      <c r="V224" s="4">
        <f>SUMIFS('Opportunities'!$H$2:$H$1775,'Opportunities'!$C$2:$C$1775,"=r07",'Opportunities'!$N$2:$N$1775,"=nov26",'Opportunities'!$R$2:$R$1775,"=1",'Opportunities'!$F$2:$F$1775,"=proposal")</f>
        <v>0</v>
      </c>
      <c r="W224" s="4">
        <f>SUMIFS('Opportunities'!$H$2:$H$1775,'Opportunities'!$C$2:$C$1775,"=r07",'Opportunities'!$N$2:$N$1775,"=dec26",'Opportunities'!$R$2:$R$1775,"=1",'Opportunities'!$F$2:$F$1775,"=proposal")</f>
        <v>166100</v>
      </c>
    </row>
    <row r="225">
      <c r="A225" s="0" t="inlineStr">
        <is>
          <t xml:space="preserve">Best case (proposal)</t>
        </is>
      </c>
      <c r="B225" s="0" t="inlineStr">
        <is>
          <t xml:space="preserve">Leila Osei</t>
        </is>
      </c>
      <c r="C225" s="4">
        <f>SUMIFS('Opportunities'!$H$2:$H$1775,'Opportunities'!$C$2:$C$1775,"=r08",'Opportunities'!$N$2:$N$1775,"=apr25",'Opportunities'!$R$2:$R$1775,"=1",'Opportunities'!$F$2:$F$1775,"=proposal")</f>
        <v>0</v>
      </c>
      <c r="D225" s="4">
        <f>SUMIFS('Opportunities'!$H$2:$H$1775,'Opportunities'!$C$2:$C$1775,"=r08",'Opportunities'!$N$2:$N$1775,"=may25",'Opportunities'!$R$2:$R$1775,"=1",'Opportunities'!$F$2:$F$1775,"=proposal")</f>
        <v>0</v>
      </c>
      <c r="E225" s="4">
        <f>SUMIFS('Opportunities'!$H$2:$H$1775,'Opportunities'!$C$2:$C$1775,"=r08",'Opportunities'!$N$2:$N$1775,"=jun25",'Opportunities'!$R$2:$R$1775,"=1",'Opportunities'!$F$2:$F$1775,"=proposal")</f>
        <v>0</v>
      </c>
      <c r="F225" s="4">
        <f>SUMIFS('Opportunities'!$H$2:$H$1775,'Opportunities'!$C$2:$C$1775,"=r08",'Opportunities'!$N$2:$N$1775,"=jul25",'Opportunities'!$R$2:$R$1775,"=1",'Opportunities'!$F$2:$F$1775,"=proposal")</f>
        <v>0</v>
      </c>
      <c r="G225" s="4">
        <f>SUMIFS('Opportunities'!$H$2:$H$1775,'Opportunities'!$C$2:$C$1775,"=r08",'Opportunities'!$N$2:$N$1775,"=aug25",'Opportunities'!$R$2:$R$1775,"=1",'Opportunities'!$F$2:$F$1775,"=proposal")</f>
        <v>0</v>
      </c>
      <c r="H225" s="4">
        <f>SUMIFS('Opportunities'!$H$2:$H$1775,'Opportunities'!$C$2:$C$1775,"=r08",'Opportunities'!$N$2:$N$1775,"=sep25",'Opportunities'!$R$2:$R$1775,"=1",'Opportunities'!$F$2:$F$1775,"=proposal")</f>
        <v>0</v>
      </c>
      <c r="I225" s="4">
        <f>SUMIFS('Opportunities'!$H$2:$H$1775,'Opportunities'!$C$2:$C$1775,"=r08",'Opportunities'!$N$2:$N$1775,"=oct25",'Opportunities'!$R$2:$R$1775,"=1",'Opportunities'!$F$2:$F$1775,"=proposal")</f>
        <v>0</v>
      </c>
      <c r="J225" s="4">
        <f>SUMIFS('Opportunities'!$H$2:$H$1775,'Opportunities'!$C$2:$C$1775,"=r08",'Opportunities'!$N$2:$N$1775,"=nov25",'Opportunities'!$R$2:$R$1775,"=1",'Opportunities'!$F$2:$F$1775,"=proposal")</f>
        <v>0</v>
      </c>
      <c r="K225" s="4">
        <f>SUMIFS('Opportunities'!$H$2:$H$1775,'Opportunities'!$C$2:$C$1775,"=r08",'Opportunities'!$N$2:$N$1775,"=dec25",'Opportunities'!$R$2:$R$1775,"=1",'Opportunities'!$F$2:$F$1775,"=proposal")</f>
        <v>0</v>
      </c>
      <c r="L225" s="4">
        <f>SUMIFS('Opportunities'!$H$2:$H$1775,'Opportunities'!$C$2:$C$1775,"=r08",'Opportunities'!$N$2:$N$1775,"=jan26",'Opportunities'!$R$2:$R$1775,"=1",'Opportunities'!$F$2:$F$1775,"=proposal")</f>
        <v>0</v>
      </c>
      <c r="M225" s="4">
        <f>SUMIFS('Opportunities'!$H$2:$H$1775,'Opportunities'!$C$2:$C$1775,"=r08",'Opportunities'!$N$2:$N$1775,"=feb26",'Opportunities'!$R$2:$R$1775,"=1",'Opportunities'!$F$2:$F$1775,"=proposal")</f>
        <v>0</v>
      </c>
      <c r="N225" s="4">
        <f>SUMIFS('Opportunities'!$H$2:$H$1775,'Opportunities'!$C$2:$C$1775,"=r08",'Opportunities'!$N$2:$N$1775,"=mar26",'Opportunities'!$R$2:$R$1775,"=1",'Opportunities'!$F$2:$F$1775,"=proposal")</f>
        <v>0</v>
      </c>
      <c r="O225" s="4">
        <f>SUMIFS('Opportunities'!$H$2:$H$1775,'Opportunities'!$C$2:$C$1775,"=r08",'Opportunities'!$N$2:$N$1775,"=apr26",'Opportunities'!$R$2:$R$1775,"=1",'Opportunities'!$F$2:$F$1775,"=proposal")</f>
        <v>0</v>
      </c>
      <c r="P225" s="4">
        <f>SUMIFS('Opportunities'!$H$2:$H$1775,'Opportunities'!$C$2:$C$1775,"=r08",'Opportunities'!$N$2:$N$1775,"=may26",'Opportunities'!$R$2:$R$1775,"=1",'Opportunities'!$F$2:$F$1775,"=proposal")</f>
        <v>0</v>
      </c>
      <c r="Q225" s="4">
        <f>SUMIFS('Opportunities'!$H$2:$H$1775,'Opportunities'!$C$2:$C$1775,"=r08",'Opportunities'!$N$2:$N$1775,"=jun26",'Opportunities'!$R$2:$R$1775,"=1",'Opportunities'!$F$2:$F$1775,"=proposal")</f>
        <v>0</v>
      </c>
      <c r="R225" s="4">
        <f>SUMIFS('Opportunities'!$H$2:$H$1775,'Opportunities'!$C$2:$C$1775,"=r08",'Opportunities'!$N$2:$N$1775,"=jul26",'Opportunities'!$R$2:$R$1775,"=1",'Opportunities'!$F$2:$F$1775,"=proposal")</f>
        <v>0</v>
      </c>
      <c r="S225" s="4">
        <f>SUMIFS('Opportunities'!$H$2:$H$1775,'Opportunities'!$C$2:$C$1775,"=r08",'Opportunities'!$N$2:$N$1775,"=aug26",'Opportunities'!$R$2:$R$1775,"=1",'Opportunities'!$F$2:$F$1775,"=proposal")</f>
        <v>0</v>
      </c>
      <c r="T225" s="4">
        <f>SUMIFS('Opportunities'!$H$2:$H$1775,'Opportunities'!$C$2:$C$1775,"=r08",'Opportunities'!$N$2:$N$1775,"=sep26",'Opportunities'!$R$2:$R$1775,"=1",'Opportunities'!$F$2:$F$1775,"=proposal")</f>
        <v>136300</v>
      </c>
      <c r="U225" s="4">
        <f>SUMIFS('Opportunities'!$H$2:$H$1775,'Opportunities'!$C$2:$C$1775,"=r08",'Opportunities'!$N$2:$N$1775,"=oct26",'Opportunities'!$R$2:$R$1775,"=1",'Opportunities'!$F$2:$F$1775,"=proposal")</f>
        <v>153100</v>
      </c>
      <c r="V225" s="4">
        <f>SUMIFS('Opportunities'!$H$2:$H$1775,'Opportunities'!$C$2:$C$1775,"=r08",'Opportunities'!$N$2:$N$1775,"=nov26",'Opportunities'!$R$2:$R$1775,"=1",'Opportunities'!$F$2:$F$1775,"=proposal")</f>
        <v>0</v>
      </c>
      <c r="W225" s="4">
        <f>SUMIFS('Opportunities'!$H$2:$H$1775,'Opportunities'!$C$2:$C$1775,"=r08",'Opportunities'!$N$2:$N$1775,"=dec26",'Opportunities'!$R$2:$R$1775,"=1",'Opportunities'!$F$2:$F$1775,"=proposal")</f>
        <v>0</v>
      </c>
    </row>
    <row r="226">
      <c r="A226" s="0" t="inlineStr">
        <is>
          <t xml:space="preserve">Best case (proposal)</t>
        </is>
      </c>
      <c r="B226" s="0" t="inlineStr">
        <is>
          <t xml:space="preserve">Grace Costa</t>
        </is>
      </c>
      <c r="C226" s="4">
        <f>SUMIFS('Opportunities'!$H$2:$H$1775,'Opportunities'!$C$2:$C$1775,"=r09",'Opportunities'!$N$2:$N$1775,"=apr25",'Opportunities'!$R$2:$R$1775,"=1",'Opportunities'!$F$2:$F$1775,"=proposal")</f>
        <v>0</v>
      </c>
      <c r="D226" s="4">
        <f>SUMIFS('Opportunities'!$H$2:$H$1775,'Opportunities'!$C$2:$C$1775,"=r09",'Opportunities'!$N$2:$N$1775,"=may25",'Opportunities'!$R$2:$R$1775,"=1",'Opportunities'!$F$2:$F$1775,"=proposal")</f>
        <v>0</v>
      </c>
      <c r="E226" s="4">
        <f>SUMIFS('Opportunities'!$H$2:$H$1775,'Opportunities'!$C$2:$C$1775,"=r09",'Opportunities'!$N$2:$N$1775,"=jun25",'Opportunities'!$R$2:$R$1775,"=1",'Opportunities'!$F$2:$F$1775,"=proposal")</f>
        <v>0</v>
      </c>
      <c r="F226" s="4">
        <f>SUMIFS('Opportunities'!$H$2:$H$1775,'Opportunities'!$C$2:$C$1775,"=r09",'Opportunities'!$N$2:$N$1775,"=jul25",'Opportunities'!$R$2:$R$1775,"=1",'Opportunities'!$F$2:$F$1775,"=proposal")</f>
        <v>0</v>
      </c>
      <c r="G226" s="4">
        <f>SUMIFS('Opportunities'!$H$2:$H$1775,'Opportunities'!$C$2:$C$1775,"=r09",'Opportunities'!$N$2:$N$1775,"=aug25",'Opportunities'!$R$2:$R$1775,"=1",'Opportunities'!$F$2:$F$1775,"=proposal")</f>
        <v>0</v>
      </c>
      <c r="H226" s="4">
        <f>SUMIFS('Opportunities'!$H$2:$H$1775,'Opportunities'!$C$2:$C$1775,"=r09",'Opportunities'!$N$2:$N$1775,"=sep25",'Opportunities'!$R$2:$R$1775,"=1",'Opportunities'!$F$2:$F$1775,"=proposal")</f>
        <v>0</v>
      </c>
      <c r="I226" s="4">
        <f>SUMIFS('Opportunities'!$H$2:$H$1775,'Opportunities'!$C$2:$C$1775,"=r09",'Opportunities'!$N$2:$N$1775,"=oct25",'Opportunities'!$R$2:$R$1775,"=1",'Opportunities'!$F$2:$F$1775,"=proposal")</f>
        <v>0</v>
      </c>
      <c r="J226" s="4">
        <f>SUMIFS('Opportunities'!$H$2:$H$1775,'Opportunities'!$C$2:$C$1775,"=r09",'Opportunities'!$N$2:$N$1775,"=nov25",'Opportunities'!$R$2:$R$1775,"=1",'Opportunities'!$F$2:$F$1775,"=proposal")</f>
        <v>0</v>
      </c>
      <c r="K226" s="4">
        <f>SUMIFS('Opportunities'!$H$2:$H$1775,'Opportunities'!$C$2:$C$1775,"=r09",'Opportunities'!$N$2:$N$1775,"=dec25",'Opportunities'!$R$2:$R$1775,"=1",'Opportunities'!$F$2:$F$1775,"=proposal")</f>
        <v>0</v>
      </c>
      <c r="L226" s="4">
        <f>SUMIFS('Opportunities'!$H$2:$H$1775,'Opportunities'!$C$2:$C$1775,"=r09",'Opportunities'!$N$2:$N$1775,"=jan26",'Opportunities'!$R$2:$R$1775,"=1",'Opportunities'!$F$2:$F$1775,"=proposal")</f>
        <v>0</v>
      </c>
      <c r="M226" s="4">
        <f>SUMIFS('Opportunities'!$H$2:$H$1775,'Opportunities'!$C$2:$C$1775,"=r09",'Opportunities'!$N$2:$N$1775,"=feb26",'Opportunities'!$R$2:$R$1775,"=1",'Opportunities'!$F$2:$F$1775,"=proposal")</f>
        <v>0</v>
      </c>
      <c r="N226" s="4">
        <f>SUMIFS('Opportunities'!$H$2:$H$1775,'Opportunities'!$C$2:$C$1775,"=r09",'Opportunities'!$N$2:$N$1775,"=mar26",'Opportunities'!$R$2:$R$1775,"=1",'Opportunities'!$F$2:$F$1775,"=proposal")</f>
        <v>0</v>
      </c>
      <c r="O226" s="4">
        <f>SUMIFS('Opportunities'!$H$2:$H$1775,'Opportunities'!$C$2:$C$1775,"=r09",'Opportunities'!$N$2:$N$1775,"=apr26",'Opportunities'!$R$2:$R$1775,"=1",'Opportunities'!$F$2:$F$1775,"=proposal")</f>
        <v>0</v>
      </c>
      <c r="P226" s="4">
        <f>SUMIFS('Opportunities'!$H$2:$H$1775,'Opportunities'!$C$2:$C$1775,"=r09",'Opportunities'!$N$2:$N$1775,"=may26",'Opportunities'!$R$2:$R$1775,"=1",'Opportunities'!$F$2:$F$1775,"=proposal")</f>
        <v>0</v>
      </c>
      <c r="Q226" s="4">
        <f>SUMIFS('Opportunities'!$H$2:$H$1775,'Opportunities'!$C$2:$C$1775,"=r09",'Opportunities'!$N$2:$N$1775,"=jun26",'Opportunities'!$R$2:$R$1775,"=1",'Opportunities'!$F$2:$F$1775,"=proposal")</f>
        <v>0</v>
      </c>
      <c r="R226" s="4">
        <f>SUMIFS('Opportunities'!$H$2:$H$1775,'Opportunities'!$C$2:$C$1775,"=r09",'Opportunities'!$N$2:$N$1775,"=jul26",'Opportunities'!$R$2:$R$1775,"=1",'Opportunities'!$F$2:$F$1775,"=proposal")</f>
        <v>0</v>
      </c>
      <c r="S226" s="4">
        <f>SUMIFS('Opportunities'!$H$2:$H$1775,'Opportunities'!$C$2:$C$1775,"=r09",'Opportunities'!$N$2:$N$1775,"=aug26",'Opportunities'!$R$2:$R$1775,"=1",'Opportunities'!$F$2:$F$1775,"=proposal")</f>
        <v>0</v>
      </c>
      <c r="T226" s="4">
        <f>SUMIFS('Opportunities'!$H$2:$H$1775,'Opportunities'!$C$2:$C$1775,"=r09",'Opportunities'!$N$2:$N$1775,"=sep26",'Opportunities'!$R$2:$R$1775,"=1",'Opportunities'!$F$2:$F$1775,"=proposal")</f>
        <v>44500</v>
      </c>
      <c r="U226" s="4">
        <f>SUMIFS('Opportunities'!$H$2:$H$1775,'Opportunities'!$C$2:$C$1775,"=r09",'Opportunities'!$N$2:$N$1775,"=oct26",'Opportunities'!$R$2:$R$1775,"=1",'Opportunities'!$F$2:$F$1775,"=proposal")</f>
        <v>83100</v>
      </c>
      <c r="V226" s="4">
        <f>SUMIFS('Opportunities'!$H$2:$H$1775,'Opportunities'!$C$2:$C$1775,"=r09",'Opportunities'!$N$2:$N$1775,"=nov26",'Opportunities'!$R$2:$R$1775,"=1",'Opportunities'!$F$2:$F$1775,"=proposal")</f>
        <v>0</v>
      </c>
      <c r="W226" s="4">
        <f>SUMIFS('Opportunities'!$H$2:$H$1775,'Opportunities'!$C$2:$C$1775,"=r09",'Opportunities'!$N$2:$N$1775,"=dec26",'Opportunities'!$R$2:$R$1775,"=1",'Opportunities'!$F$2:$F$1775,"=proposal")</f>
        <v>21000</v>
      </c>
    </row>
    <row r="227">
      <c r="A227" s="0" t="inlineStr">
        <is>
          <t xml:space="preserve">Best case (proposal)</t>
        </is>
      </c>
      <c r="B227" s="0" t="inlineStr">
        <is>
          <t xml:space="preserve">Ingrid Müller</t>
        </is>
      </c>
      <c r="C227" s="4">
        <f>SUMIFS('Opportunities'!$H$2:$H$1775,'Opportunities'!$C$2:$C$1775,"=r10",'Opportunities'!$N$2:$N$1775,"=apr25",'Opportunities'!$R$2:$R$1775,"=1",'Opportunities'!$F$2:$F$1775,"=proposal")</f>
        <v>0</v>
      </c>
      <c r="D227" s="4">
        <f>SUMIFS('Opportunities'!$H$2:$H$1775,'Opportunities'!$C$2:$C$1775,"=r10",'Opportunities'!$N$2:$N$1775,"=may25",'Opportunities'!$R$2:$R$1775,"=1",'Opportunities'!$F$2:$F$1775,"=proposal")</f>
        <v>0</v>
      </c>
      <c r="E227" s="4">
        <f>SUMIFS('Opportunities'!$H$2:$H$1775,'Opportunities'!$C$2:$C$1775,"=r10",'Opportunities'!$N$2:$N$1775,"=jun25",'Opportunities'!$R$2:$R$1775,"=1",'Opportunities'!$F$2:$F$1775,"=proposal")</f>
        <v>0</v>
      </c>
      <c r="F227" s="4">
        <f>SUMIFS('Opportunities'!$H$2:$H$1775,'Opportunities'!$C$2:$C$1775,"=r10",'Opportunities'!$N$2:$N$1775,"=jul25",'Opportunities'!$R$2:$R$1775,"=1",'Opportunities'!$F$2:$F$1775,"=proposal")</f>
        <v>0</v>
      </c>
      <c r="G227" s="4">
        <f>SUMIFS('Opportunities'!$H$2:$H$1775,'Opportunities'!$C$2:$C$1775,"=r10",'Opportunities'!$N$2:$N$1775,"=aug25",'Opportunities'!$R$2:$R$1775,"=1",'Opportunities'!$F$2:$F$1775,"=proposal")</f>
        <v>0</v>
      </c>
      <c r="H227" s="4">
        <f>SUMIFS('Opportunities'!$H$2:$H$1775,'Opportunities'!$C$2:$C$1775,"=r10",'Opportunities'!$N$2:$N$1775,"=sep25",'Opportunities'!$R$2:$R$1775,"=1",'Opportunities'!$F$2:$F$1775,"=proposal")</f>
        <v>0</v>
      </c>
      <c r="I227" s="4">
        <f>SUMIFS('Opportunities'!$H$2:$H$1775,'Opportunities'!$C$2:$C$1775,"=r10",'Opportunities'!$N$2:$N$1775,"=oct25",'Opportunities'!$R$2:$R$1775,"=1",'Opportunities'!$F$2:$F$1775,"=proposal")</f>
        <v>0</v>
      </c>
      <c r="J227" s="4">
        <f>SUMIFS('Opportunities'!$H$2:$H$1775,'Opportunities'!$C$2:$C$1775,"=r10",'Opportunities'!$N$2:$N$1775,"=nov25",'Opportunities'!$R$2:$R$1775,"=1",'Opportunities'!$F$2:$F$1775,"=proposal")</f>
        <v>0</v>
      </c>
      <c r="K227" s="4">
        <f>SUMIFS('Opportunities'!$H$2:$H$1775,'Opportunities'!$C$2:$C$1775,"=r10",'Opportunities'!$N$2:$N$1775,"=dec25",'Opportunities'!$R$2:$R$1775,"=1",'Opportunities'!$F$2:$F$1775,"=proposal")</f>
        <v>0</v>
      </c>
      <c r="L227" s="4">
        <f>SUMIFS('Opportunities'!$H$2:$H$1775,'Opportunities'!$C$2:$C$1775,"=r10",'Opportunities'!$N$2:$N$1775,"=jan26",'Opportunities'!$R$2:$R$1775,"=1",'Opportunities'!$F$2:$F$1775,"=proposal")</f>
        <v>0</v>
      </c>
      <c r="M227" s="4">
        <f>SUMIFS('Opportunities'!$H$2:$H$1775,'Opportunities'!$C$2:$C$1775,"=r10",'Opportunities'!$N$2:$N$1775,"=feb26",'Opportunities'!$R$2:$R$1775,"=1",'Opportunities'!$F$2:$F$1775,"=proposal")</f>
        <v>0</v>
      </c>
      <c r="N227" s="4">
        <f>SUMIFS('Opportunities'!$H$2:$H$1775,'Opportunities'!$C$2:$C$1775,"=r10",'Opportunities'!$N$2:$N$1775,"=mar26",'Opportunities'!$R$2:$R$1775,"=1",'Opportunities'!$F$2:$F$1775,"=proposal")</f>
        <v>0</v>
      </c>
      <c r="O227" s="4">
        <f>SUMIFS('Opportunities'!$H$2:$H$1775,'Opportunities'!$C$2:$C$1775,"=r10",'Opportunities'!$N$2:$N$1775,"=apr26",'Opportunities'!$R$2:$R$1775,"=1",'Opportunities'!$F$2:$F$1775,"=proposal")</f>
        <v>0</v>
      </c>
      <c r="P227" s="4">
        <f>SUMIFS('Opportunities'!$H$2:$H$1775,'Opportunities'!$C$2:$C$1775,"=r10",'Opportunities'!$N$2:$N$1775,"=may26",'Opportunities'!$R$2:$R$1775,"=1",'Opportunities'!$F$2:$F$1775,"=proposal")</f>
        <v>0</v>
      </c>
      <c r="Q227" s="4">
        <f>SUMIFS('Opportunities'!$H$2:$H$1775,'Opportunities'!$C$2:$C$1775,"=r10",'Opportunities'!$N$2:$N$1775,"=jun26",'Opportunities'!$R$2:$R$1775,"=1",'Opportunities'!$F$2:$F$1775,"=proposal")</f>
        <v>0</v>
      </c>
      <c r="R227" s="4">
        <f>SUMIFS('Opportunities'!$H$2:$H$1775,'Opportunities'!$C$2:$C$1775,"=r10",'Opportunities'!$N$2:$N$1775,"=jul26",'Opportunities'!$R$2:$R$1775,"=1",'Opportunities'!$F$2:$F$1775,"=proposal")</f>
        <v>0</v>
      </c>
      <c r="S227" s="4">
        <f>SUMIFS('Opportunities'!$H$2:$H$1775,'Opportunities'!$C$2:$C$1775,"=r10",'Opportunities'!$N$2:$N$1775,"=aug26",'Opportunities'!$R$2:$R$1775,"=1",'Opportunities'!$F$2:$F$1775,"=proposal")</f>
        <v>0</v>
      </c>
      <c r="T227" s="4">
        <f>SUMIFS('Opportunities'!$H$2:$H$1775,'Opportunities'!$C$2:$C$1775,"=r10",'Opportunities'!$N$2:$N$1775,"=sep26",'Opportunities'!$R$2:$R$1775,"=1",'Opportunities'!$F$2:$F$1775,"=proposal")</f>
        <v>0</v>
      </c>
      <c r="U227" s="4">
        <f>SUMIFS('Opportunities'!$H$2:$H$1775,'Opportunities'!$C$2:$C$1775,"=r10",'Opportunities'!$N$2:$N$1775,"=oct26",'Opportunities'!$R$2:$R$1775,"=1",'Opportunities'!$F$2:$F$1775,"=proposal")</f>
        <v>0</v>
      </c>
      <c r="V227" s="4">
        <f>SUMIFS('Opportunities'!$H$2:$H$1775,'Opportunities'!$C$2:$C$1775,"=r10",'Opportunities'!$N$2:$N$1775,"=nov26",'Opportunities'!$R$2:$R$1775,"=1",'Opportunities'!$F$2:$F$1775,"=proposal")</f>
        <v>0</v>
      </c>
      <c r="W227" s="4">
        <f>SUMIFS('Opportunities'!$H$2:$H$1775,'Opportunities'!$C$2:$C$1775,"=r10",'Opportunities'!$N$2:$N$1775,"=dec26",'Opportunities'!$R$2:$R$1775,"=1",'Opportunities'!$F$2:$F$1775,"=proposal")</f>
        <v>0</v>
      </c>
    </row>
    <row r="228">
      <c r="A228" s="0" t="inlineStr">
        <is>
          <t xml:space="preserve">Best case (proposal)</t>
        </is>
      </c>
      <c r="B228" s="0" t="inlineStr">
        <is>
          <t xml:space="preserve">Ingrid Kim</t>
        </is>
      </c>
      <c r="C228" s="4">
        <f>SUMIFS('Opportunities'!$H$2:$H$1775,'Opportunities'!$C$2:$C$1775,"=r11",'Opportunities'!$N$2:$N$1775,"=apr25",'Opportunities'!$R$2:$R$1775,"=1",'Opportunities'!$F$2:$F$1775,"=proposal")</f>
        <v>0</v>
      </c>
      <c r="D228" s="4">
        <f>SUMIFS('Opportunities'!$H$2:$H$1775,'Opportunities'!$C$2:$C$1775,"=r11",'Opportunities'!$N$2:$N$1775,"=may25",'Opportunities'!$R$2:$R$1775,"=1",'Opportunities'!$F$2:$F$1775,"=proposal")</f>
        <v>0</v>
      </c>
      <c r="E228" s="4">
        <f>SUMIFS('Opportunities'!$H$2:$H$1775,'Opportunities'!$C$2:$C$1775,"=r11",'Opportunities'!$N$2:$N$1775,"=jun25",'Opportunities'!$R$2:$R$1775,"=1",'Opportunities'!$F$2:$F$1775,"=proposal")</f>
        <v>0</v>
      </c>
      <c r="F228" s="4">
        <f>SUMIFS('Opportunities'!$H$2:$H$1775,'Opportunities'!$C$2:$C$1775,"=r11",'Opportunities'!$N$2:$N$1775,"=jul25",'Opportunities'!$R$2:$R$1775,"=1",'Opportunities'!$F$2:$F$1775,"=proposal")</f>
        <v>0</v>
      </c>
      <c r="G228" s="4">
        <f>SUMIFS('Opportunities'!$H$2:$H$1775,'Opportunities'!$C$2:$C$1775,"=r11",'Opportunities'!$N$2:$N$1775,"=aug25",'Opportunities'!$R$2:$R$1775,"=1",'Opportunities'!$F$2:$F$1775,"=proposal")</f>
        <v>0</v>
      </c>
      <c r="H228" s="4">
        <f>SUMIFS('Opportunities'!$H$2:$H$1775,'Opportunities'!$C$2:$C$1775,"=r11",'Opportunities'!$N$2:$N$1775,"=sep25",'Opportunities'!$R$2:$R$1775,"=1",'Opportunities'!$F$2:$F$1775,"=proposal")</f>
        <v>0</v>
      </c>
      <c r="I228" s="4">
        <f>SUMIFS('Opportunities'!$H$2:$H$1775,'Opportunities'!$C$2:$C$1775,"=r11",'Opportunities'!$N$2:$N$1775,"=oct25",'Opportunities'!$R$2:$R$1775,"=1",'Opportunities'!$F$2:$F$1775,"=proposal")</f>
        <v>0</v>
      </c>
      <c r="J228" s="4">
        <f>SUMIFS('Opportunities'!$H$2:$H$1775,'Opportunities'!$C$2:$C$1775,"=r11",'Opportunities'!$N$2:$N$1775,"=nov25",'Opportunities'!$R$2:$R$1775,"=1",'Opportunities'!$F$2:$F$1775,"=proposal")</f>
        <v>0</v>
      </c>
      <c r="K228" s="4">
        <f>SUMIFS('Opportunities'!$H$2:$H$1775,'Opportunities'!$C$2:$C$1775,"=r11",'Opportunities'!$N$2:$N$1775,"=dec25",'Opportunities'!$R$2:$R$1775,"=1",'Opportunities'!$F$2:$F$1775,"=proposal")</f>
        <v>0</v>
      </c>
      <c r="L228" s="4">
        <f>SUMIFS('Opportunities'!$H$2:$H$1775,'Opportunities'!$C$2:$C$1775,"=r11",'Opportunities'!$N$2:$N$1775,"=jan26",'Opportunities'!$R$2:$R$1775,"=1",'Opportunities'!$F$2:$F$1775,"=proposal")</f>
        <v>0</v>
      </c>
      <c r="M228" s="4">
        <f>SUMIFS('Opportunities'!$H$2:$H$1775,'Opportunities'!$C$2:$C$1775,"=r11",'Opportunities'!$N$2:$N$1775,"=feb26",'Opportunities'!$R$2:$R$1775,"=1",'Opportunities'!$F$2:$F$1775,"=proposal")</f>
        <v>0</v>
      </c>
      <c r="N228" s="4">
        <f>SUMIFS('Opportunities'!$H$2:$H$1775,'Opportunities'!$C$2:$C$1775,"=r11",'Opportunities'!$N$2:$N$1775,"=mar26",'Opportunities'!$R$2:$R$1775,"=1",'Opportunities'!$F$2:$F$1775,"=proposal")</f>
        <v>0</v>
      </c>
      <c r="O228" s="4">
        <f>SUMIFS('Opportunities'!$H$2:$H$1775,'Opportunities'!$C$2:$C$1775,"=r11",'Opportunities'!$N$2:$N$1775,"=apr26",'Opportunities'!$R$2:$R$1775,"=1",'Opportunities'!$F$2:$F$1775,"=proposal")</f>
        <v>0</v>
      </c>
      <c r="P228" s="4">
        <f>SUMIFS('Opportunities'!$H$2:$H$1775,'Opportunities'!$C$2:$C$1775,"=r11",'Opportunities'!$N$2:$N$1775,"=may26",'Opportunities'!$R$2:$R$1775,"=1",'Opportunities'!$F$2:$F$1775,"=proposal")</f>
        <v>0</v>
      </c>
      <c r="Q228" s="4">
        <f>SUMIFS('Opportunities'!$H$2:$H$1775,'Opportunities'!$C$2:$C$1775,"=r11",'Opportunities'!$N$2:$N$1775,"=jun26",'Opportunities'!$R$2:$R$1775,"=1",'Opportunities'!$F$2:$F$1775,"=proposal")</f>
        <v>0</v>
      </c>
      <c r="R228" s="4">
        <f>SUMIFS('Opportunities'!$H$2:$H$1775,'Opportunities'!$C$2:$C$1775,"=r11",'Opportunities'!$N$2:$N$1775,"=jul26",'Opportunities'!$R$2:$R$1775,"=1",'Opportunities'!$F$2:$F$1775,"=proposal")</f>
        <v>0</v>
      </c>
      <c r="S228" s="4">
        <f>SUMIFS('Opportunities'!$H$2:$H$1775,'Opportunities'!$C$2:$C$1775,"=r11",'Opportunities'!$N$2:$N$1775,"=aug26",'Opportunities'!$R$2:$R$1775,"=1",'Opportunities'!$F$2:$F$1775,"=proposal")</f>
        <v>0</v>
      </c>
      <c r="T228" s="4">
        <f>SUMIFS('Opportunities'!$H$2:$H$1775,'Opportunities'!$C$2:$C$1775,"=r11",'Opportunities'!$N$2:$N$1775,"=sep26",'Opportunities'!$R$2:$R$1775,"=1",'Opportunities'!$F$2:$F$1775,"=proposal")</f>
        <v>0</v>
      </c>
      <c r="U228" s="4">
        <f>SUMIFS('Opportunities'!$H$2:$H$1775,'Opportunities'!$C$2:$C$1775,"=r11",'Opportunities'!$N$2:$N$1775,"=oct26",'Opportunities'!$R$2:$R$1775,"=1",'Opportunities'!$F$2:$F$1775,"=proposal")</f>
        <v>9100</v>
      </c>
      <c r="V228" s="4">
        <f>SUMIFS('Opportunities'!$H$2:$H$1775,'Opportunities'!$C$2:$C$1775,"=r11",'Opportunities'!$N$2:$N$1775,"=nov26",'Opportunities'!$R$2:$R$1775,"=1",'Opportunities'!$F$2:$F$1775,"=proposal")</f>
        <v>0</v>
      </c>
      <c r="W228" s="4">
        <f>SUMIFS('Opportunities'!$H$2:$H$1775,'Opportunities'!$C$2:$C$1775,"=r11",'Opportunities'!$N$2:$N$1775,"=dec26",'Opportunities'!$R$2:$R$1775,"=1",'Opportunities'!$F$2:$F$1775,"=proposal")</f>
        <v>10300</v>
      </c>
    </row>
    <row r="229">
      <c r="A229" s="0" t="inlineStr">
        <is>
          <t xml:space="preserve">Best case (proposal)</t>
        </is>
      </c>
      <c r="B229" s="0" t="inlineStr">
        <is>
          <t xml:space="preserve">Priya Nair</t>
        </is>
      </c>
      <c r="C229" s="4">
        <f>SUMIFS('Opportunities'!$H$2:$H$1775,'Opportunities'!$C$2:$C$1775,"=r12",'Opportunities'!$N$2:$N$1775,"=apr25",'Opportunities'!$R$2:$R$1775,"=1",'Opportunities'!$F$2:$F$1775,"=proposal")</f>
        <v>0</v>
      </c>
      <c r="D229" s="4">
        <f>SUMIFS('Opportunities'!$H$2:$H$1775,'Opportunities'!$C$2:$C$1775,"=r12",'Opportunities'!$N$2:$N$1775,"=may25",'Opportunities'!$R$2:$R$1775,"=1",'Opportunities'!$F$2:$F$1775,"=proposal")</f>
        <v>0</v>
      </c>
      <c r="E229" s="4">
        <f>SUMIFS('Opportunities'!$H$2:$H$1775,'Opportunities'!$C$2:$C$1775,"=r12",'Opportunities'!$N$2:$N$1775,"=jun25",'Opportunities'!$R$2:$R$1775,"=1",'Opportunities'!$F$2:$F$1775,"=proposal")</f>
        <v>0</v>
      </c>
      <c r="F229" s="4">
        <f>SUMIFS('Opportunities'!$H$2:$H$1775,'Opportunities'!$C$2:$C$1775,"=r12",'Opportunities'!$N$2:$N$1775,"=jul25",'Opportunities'!$R$2:$R$1775,"=1",'Opportunities'!$F$2:$F$1775,"=proposal")</f>
        <v>0</v>
      </c>
      <c r="G229" s="4">
        <f>SUMIFS('Opportunities'!$H$2:$H$1775,'Opportunities'!$C$2:$C$1775,"=r12",'Opportunities'!$N$2:$N$1775,"=aug25",'Opportunities'!$R$2:$R$1775,"=1",'Opportunities'!$F$2:$F$1775,"=proposal")</f>
        <v>0</v>
      </c>
      <c r="H229" s="4">
        <f>SUMIFS('Opportunities'!$H$2:$H$1775,'Opportunities'!$C$2:$C$1775,"=r12",'Opportunities'!$N$2:$N$1775,"=sep25",'Opportunities'!$R$2:$R$1775,"=1",'Opportunities'!$F$2:$F$1775,"=proposal")</f>
        <v>0</v>
      </c>
      <c r="I229" s="4">
        <f>SUMIFS('Opportunities'!$H$2:$H$1775,'Opportunities'!$C$2:$C$1775,"=r12",'Opportunities'!$N$2:$N$1775,"=oct25",'Opportunities'!$R$2:$R$1775,"=1",'Opportunities'!$F$2:$F$1775,"=proposal")</f>
        <v>0</v>
      </c>
      <c r="J229" s="4">
        <f>SUMIFS('Opportunities'!$H$2:$H$1775,'Opportunities'!$C$2:$C$1775,"=r12",'Opportunities'!$N$2:$N$1775,"=nov25",'Opportunities'!$R$2:$R$1775,"=1",'Opportunities'!$F$2:$F$1775,"=proposal")</f>
        <v>0</v>
      </c>
      <c r="K229" s="4">
        <f>SUMIFS('Opportunities'!$H$2:$H$1775,'Opportunities'!$C$2:$C$1775,"=r12",'Opportunities'!$N$2:$N$1775,"=dec25",'Opportunities'!$R$2:$R$1775,"=1",'Opportunities'!$F$2:$F$1775,"=proposal")</f>
        <v>0</v>
      </c>
      <c r="L229" s="4">
        <f>SUMIFS('Opportunities'!$H$2:$H$1775,'Opportunities'!$C$2:$C$1775,"=r12",'Opportunities'!$N$2:$N$1775,"=jan26",'Opportunities'!$R$2:$R$1775,"=1",'Opportunities'!$F$2:$F$1775,"=proposal")</f>
        <v>0</v>
      </c>
      <c r="M229" s="4">
        <f>SUMIFS('Opportunities'!$H$2:$H$1775,'Opportunities'!$C$2:$C$1775,"=r12",'Opportunities'!$N$2:$N$1775,"=feb26",'Opportunities'!$R$2:$R$1775,"=1",'Opportunities'!$F$2:$F$1775,"=proposal")</f>
        <v>0</v>
      </c>
      <c r="N229" s="4">
        <f>SUMIFS('Opportunities'!$H$2:$H$1775,'Opportunities'!$C$2:$C$1775,"=r12",'Opportunities'!$N$2:$N$1775,"=mar26",'Opportunities'!$R$2:$R$1775,"=1",'Opportunities'!$F$2:$F$1775,"=proposal")</f>
        <v>0</v>
      </c>
      <c r="O229" s="4">
        <f>SUMIFS('Opportunities'!$H$2:$H$1775,'Opportunities'!$C$2:$C$1775,"=r12",'Opportunities'!$N$2:$N$1775,"=apr26",'Opportunities'!$R$2:$R$1775,"=1",'Opportunities'!$F$2:$F$1775,"=proposal")</f>
        <v>0</v>
      </c>
      <c r="P229" s="4">
        <f>SUMIFS('Opportunities'!$H$2:$H$1775,'Opportunities'!$C$2:$C$1775,"=r12",'Opportunities'!$N$2:$N$1775,"=may26",'Opportunities'!$R$2:$R$1775,"=1",'Opportunities'!$F$2:$F$1775,"=proposal")</f>
        <v>0</v>
      </c>
      <c r="Q229" s="4">
        <f>SUMIFS('Opportunities'!$H$2:$H$1775,'Opportunities'!$C$2:$C$1775,"=r12",'Opportunities'!$N$2:$N$1775,"=jun26",'Opportunities'!$R$2:$R$1775,"=1",'Opportunities'!$F$2:$F$1775,"=proposal")</f>
        <v>0</v>
      </c>
      <c r="R229" s="4">
        <f>SUMIFS('Opportunities'!$H$2:$H$1775,'Opportunities'!$C$2:$C$1775,"=r12",'Opportunities'!$N$2:$N$1775,"=jul26",'Opportunities'!$R$2:$R$1775,"=1",'Opportunities'!$F$2:$F$1775,"=proposal")</f>
        <v>0</v>
      </c>
      <c r="S229" s="4">
        <f>SUMIFS('Opportunities'!$H$2:$H$1775,'Opportunities'!$C$2:$C$1775,"=r12",'Opportunities'!$N$2:$N$1775,"=aug26",'Opportunities'!$R$2:$R$1775,"=1",'Opportunities'!$F$2:$F$1775,"=proposal")</f>
        <v>0</v>
      </c>
      <c r="T229" s="4">
        <f>SUMIFS('Opportunities'!$H$2:$H$1775,'Opportunities'!$C$2:$C$1775,"=r12",'Opportunities'!$N$2:$N$1775,"=sep26",'Opportunities'!$R$2:$R$1775,"=1",'Opportunities'!$F$2:$F$1775,"=proposal")</f>
        <v>15300</v>
      </c>
      <c r="U229" s="4">
        <f>SUMIFS('Opportunities'!$H$2:$H$1775,'Opportunities'!$C$2:$C$1775,"=r12",'Opportunities'!$N$2:$N$1775,"=oct26",'Opportunities'!$R$2:$R$1775,"=1",'Opportunities'!$F$2:$F$1775,"=proposal")</f>
        <v>55600</v>
      </c>
      <c r="V229" s="4">
        <f>SUMIFS('Opportunities'!$H$2:$H$1775,'Opportunities'!$C$2:$C$1775,"=r12",'Opportunities'!$N$2:$N$1775,"=nov26",'Opportunities'!$R$2:$R$1775,"=1",'Opportunities'!$F$2:$F$1775,"=proposal")</f>
        <v>0</v>
      </c>
      <c r="W229" s="4">
        <f>SUMIFS('Opportunities'!$H$2:$H$1775,'Opportunities'!$C$2:$C$1775,"=r12",'Opportunities'!$N$2:$N$1775,"=dec26",'Opportunities'!$R$2:$R$1775,"=1",'Opportunities'!$F$2:$F$1775,"=proposal")</f>
        <v>45200</v>
      </c>
    </row>
    <row r="230">
      <c r="A230" s="0" t="inlineStr">
        <is>
          <t xml:space="preserve">Best case (proposal)</t>
        </is>
      </c>
      <c r="B230" s="0" t="inlineStr">
        <is>
          <t xml:space="preserve">Hugo Lindqvist</t>
        </is>
      </c>
      <c r="C230" s="4">
        <f>SUMIFS('Opportunities'!$H$2:$H$1775,'Opportunities'!$C$2:$C$1775,"=r13",'Opportunities'!$N$2:$N$1775,"=apr25",'Opportunities'!$R$2:$R$1775,"=1",'Opportunities'!$F$2:$F$1775,"=proposal")</f>
        <v>0</v>
      </c>
      <c r="D230" s="4">
        <f>SUMIFS('Opportunities'!$H$2:$H$1775,'Opportunities'!$C$2:$C$1775,"=r13",'Opportunities'!$N$2:$N$1775,"=may25",'Opportunities'!$R$2:$R$1775,"=1",'Opportunities'!$F$2:$F$1775,"=proposal")</f>
        <v>0</v>
      </c>
      <c r="E230" s="4">
        <f>SUMIFS('Opportunities'!$H$2:$H$1775,'Opportunities'!$C$2:$C$1775,"=r13",'Opportunities'!$N$2:$N$1775,"=jun25",'Opportunities'!$R$2:$R$1775,"=1",'Opportunities'!$F$2:$F$1775,"=proposal")</f>
        <v>0</v>
      </c>
      <c r="F230" s="4">
        <f>SUMIFS('Opportunities'!$H$2:$H$1775,'Opportunities'!$C$2:$C$1775,"=r13",'Opportunities'!$N$2:$N$1775,"=jul25",'Opportunities'!$R$2:$R$1775,"=1",'Opportunities'!$F$2:$F$1775,"=proposal")</f>
        <v>0</v>
      </c>
      <c r="G230" s="4">
        <f>SUMIFS('Opportunities'!$H$2:$H$1775,'Opportunities'!$C$2:$C$1775,"=r13",'Opportunities'!$N$2:$N$1775,"=aug25",'Opportunities'!$R$2:$R$1775,"=1",'Opportunities'!$F$2:$F$1775,"=proposal")</f>
        <v>0</v>
      </c>
      <c r="H230" s="4">
        <f>SUMIFS('Opportunities'!$H$2:$H$1775,'Opportunities'!$C$2:$C$1775,"=r13",'Opportunities'!$N$2:$N$1775,"=sep25",'Opportunities'!$R$2:$R$1775,"=1",'Opportunities'!$F$2:$F$1775,"=proposal")</f>
        <v>0</v>
      </c>
      <c r="I230" s="4">
        <f>SUMIFS('Opportunities'!$H$2:$H$1775,'Opportunities'!$C$2:$C$1775,"=r13",'Opportunities'!$N$2:$N$1775,"=oct25",'Opportunities'!$R$2:$R$1775,"=1",'Opportunities'!$F$2:$F$1775,"=proposal")</f>
        <v>0</v>
      </c>
      <c r="J230" s="4">
        <f>SUMIFS('Opportunities'!$H$2:$H$1775,'Opportunities'!$C$2:$C$1775,"=r13",'Opportunities'!$N$2:$N$1775,"=nov25",'Opportunities'!$R$2:$R$1775,"=1",'Opportunities'!$F$2:$F$1775,"=proposal")</f>
        <v>0</v>
      </c>
      <c r="K230" s="4">
        <f>SUMIFS('Opportunities'!$H$2:$H$1775,'Opportunities'!$C$2:$C$1775,"=r13",'Opportunities'!$N$2:$N$1775,"=dec25",'Opportunities'!$R$2:$R$1775,"=1",'Opportunities'!$F$2:$F$1775,"=proposal")</f>
        <v>0</v>
      </c>
      <c r="L230" s="4">
        <f>SUMIFS('Opportunities'!$H$2:$H$1775,'Opportunities'!$C$2:$C$1775,"=r13",'Opportunities'!$N$2:$N$1775,"=jan26",'Opportunities'!$R$2:$R$1775,"=1",'Opportunities'!$F$2:$F$1775,"=proposal")</f>
        <v>0</v>
      </c>
      <c r="M230" s="4">
        <f>SUMIFS('Opportunities'!$H$2:$H$1775,'Opportunities'!$C$2:$C$1775,"=r13",'Opportunities'!$N$2:$N$1775,"=feb26",'Opportunities'!$R$2:$R$1775,"=1",'Opportunities'!$F$2:$F$1775,"=proposal")</f>
        <v>0</v>
      </c>
      <c r="N230" s="4">
        <f>SUMIFS('Opportunities'!$H$2:$H$1775,'Opportunities'!$C$2:$C$1775,"=r13",'Opportunities'!$N$2:$N$1775,"=mar26",'Opportunities'!$R$2:$R$1775,"=1",'Opportunities'!$F$2:$F$1775,"=proposal")</f>
        <v>0</v>
      </c>
      <c r="O230" s="4">
        <f>SUMIFS('Opportunities'!$H$2:$H$1775,'Opportunities'!$C$2:$C$1775,"=r13",'Opportunities'!$N$2:$N$1775,"=apr26",'Opportunities'!$R$2:$R$1775,"=1",'Opportunities'!$F$2:$F$1775,"=proposal")</f>
        <v>0</v>
      </c>
      <c r="P230" s="4">
        <f>SUMIFS('Opportunities'!$H$2:$H$1775,'Opportunities'!$C$2:$C$1775,"=r13",'Opportunities'!$N$2:$N$1775,"=may26",'Opportunities'!$R$2:$R$1775,"=1",'Opportunities'!$F$2:$F$1775,"=proposal")</f>
        <v>0</v>
      </c>
      <c r="Q230" s="4">
        <f>SUMIFS('Opportunities'!$H$2:$H$1775,'Opportunities'!$C$2:$C$1775,"=r13",'Opportunities'!$N$2:$N$1775,"=jun26",'Opportunities'!$R$2:$R$1775,"=1",'Opportunities'!$F$2:$F$1775,"=proposal")</f>
        <v>0</v>
      </c>
      <c r="R230" s="4">
        <f>SUMIFS('Opportunities'!$H$2:$H$1775,'Opportunities'!$C$2:$C$1775,"=r13",'Opportunities'!$N$2:$N$1775,"=jul26",'Opportunities'!$R$2:$R$1775,"=1",'Opportunities'!$F$2:$F$1775,"=proposal")</f>
        <v>0</v>
      </c>
      <c r="S230" s="4">
        <f>SUMIFS('Opportunities'!$H$2:$H$1775,'Opportunities'!$C$2:$C$1775,"=r13",'Opportunities'!$N$2:$N$1775,"=aug26",'Opportunities'!$R$2:$R$1775,"=1",'Opportunities'!$F$2:$F$1775,"=proposal")</f>
        <v>0</v>
      </c>
      <c r="T230" s="4">
        <f>SUMIFS('Opportunities'!$H$2:$H$1775,'Opportunities'!$C$2:$C$1775,"=r13",'Opportunities'!$N$2:$N$1775,"=sep26",'Opportunities'!$R$2:$R$1775,"=1",'Opportunities'!$F$2:$F$1775,"=proposal")</f>
        <v>0</v>
      </c>
      <c r="U230" s="4">
        <f>SUMIFS('Opportunities'!$H$2:$H$1775,'Opportunities'!$C$2:$C$1775,"=r13",'Opportunities'!$N$2:$N$1775,"=oct26",'Opportunities'!$R$2:$R$1775,"=1",'Opportunities'!$F$2:$F$1775,"=proposal")</f>
        <v>263500</v>
      </c>
      <c r="V230" s="4">
        <f>SUMIFS('Opportunities'!$H$2:$H$1775,'Opportunities'!$C$2:$C$1775,"=r13",'Opportunities'!$N$2:$N$1775,"=nov26",'Opportunities'!$R$2:$R$1775,"=1",'Opportunities'!$F$2:$F$1775,"=proposal")</f>
        <v>0</v>
      </c>
      <c r="W230" s="4">
        <f>SUMIFS('Opportunities'!$H$2:$H$1775,'Opportunities'!$C$2:$C$1775,"=r13",'Opportunities'!$N$2:$N$1775,"=dec26",'Opportunities'!$R$2:$R$1775,"=1",'Opportunities'!$F$2:$F$1775,"=proposal")</f>
        <v>63700</v>
      </c>
    </row>
    <row r="231">
      <c r="A231" s="0" t="inlineStr">
        <is>
          <t xml:space="preserve">Best case (proposal)</t>
        </is>
      </c>
      <c r="B231" s="0" t="inlineStr">
        <is>
          <t xml:space="preserve">Wei Novak</t>
        </is>
      </c>
      <c r="C231" s="4">
        <f>SUMIFS('Opportunities'!$H$2:$H$1775,'Opportunities'!$C$2:$C$1775,"=r14",'Opportunities'!$N$2:$N$1775,"=apr25",'Opportunities'!$R$2:$R$1775,"=1",'Opportunities'!$F$2:$F$1775,"=proposal")</f>
        <v>0</v>
      </c>
      <c r="D231" s="4">
        <f>SUMIFS('Opportunities'!$H$2:$H$1775,'Opportunities'!$C$2:$C$1775,"=r14",'Opportunities'!$N$2:$N$1775,"=may25",'Opportunities'!$R$2:$R$1775,"=1",'Opportunities'!$F$2:$F$1775,"=proposal")</f>
        <v>0</v>
      </c>
      <c r="E231" s="4">
        <f>SUMIFS('Opportunities'!$H$2:$H$1775,'Opportunities'!$C$2:$C$1775,"=r14",'Opportunities'!$N$2:$N$1775,"=jun25",'Opportunities'!$R$2:$R$1775,"=1",'Opportunities'!$F$2:$F$1775,"=proposal")</f>
        <v>0</v>
      </c>
      <c r="F231" s="4">
        <f>SUMIFS('Opportunities'!$H$2:$H$1775,'Opportunities'!$C$2:$C$1775,"=r14",'Opportunities'!$N$2:$N$1775,"=jul25",'Opportunities'!$R$2:$R$1775,"=1",'Opportunities'!$F$2:$F$1775,"=proposal")</f>
        <v>0</v>
      </c>
      <c r="G231" s="4">
        <f>SUMIFS('Opportunities'!$H$2:$H$1775,'Opportunities'!$C$2:$C$1775,"=r14",'Opportunities'!$N$2:$N$1775,"=aug25",'Opportunities'!$R$2:$R$1775,"=1",'Opportunities'!$F$2:$F$1775,"=proposal")</f>
        <v>0</v>
      </c>
      <c r="H231" s="4">
        <f>SUMIFS('Opportunities'!$H$2:$H$1775,'Opportunities'!$C$2:$C$1775,"=r14",'Opportunities'!$N$2:$N$1775,"=sep25",'Opportunities'!$R$2:$R$1775,"=1",'Opportunities'!$F$2:$F$1775,"=proposal")</f>
        <v>0</v>
      </c>
      <c r="I231" s="4">
        <f>SUMIFS('Opportunities'!$H$2:$H$1775,'Opportunities'!$C$2:$C$1775,"=r14",'Opportunities'!$N$2:$N$1775,"=oct25",'Opportunities'!$R$2:$R$1775,"=1",'Opportunities'!$F$2:$F$1775,"=proposal")</f>
        <v>0</v>
      </c>
      <c r="J231" s="4">
        <f>SUMIFS('Opportunities'!$H$2:$H$1775,'Opportunities'!$C$2:$C$1775,"=r14",'Opportunities'!$N$2:$N$1775,"=nov25",'Opportunities'!$R$2:$R$1775,"=1",'Opportunities'!$F$2:$F$1775,"=proposal")</f>
        <v>0</v>
      </c>
      <c r="K231" s="4">
        <f>SUMIFS('Opportunities'!$H$2:$H$1775,'Opportunities'!$C$2:$C$1775,"=r14",'Opportunities'!$N$2:$N$1775,"=dec25",'Opportunities'!$R$2:$R$1775,"=1",'Opportunities'!$F$2:$F$1775,"=proposal")</f>
        <v>0</v>
      </c>
      <c r="L231" s="4">
        <f>SUMIFS('Opportunities'!$H$2:$H$1775,'Opportunities'!$C$2:$C$1775,"=r14",'Opportunities'!$N$2:$N$1775,"=jan26",'Opportunities'!$R$2:$R$1775,"=1",'Opportunities'!$F$2:$F$1775,"=proposal")</f>
        <v>0</v>
      </c>
      <c r="M231" s="4">
        <f>SUMIFS('Opportunities'!$H$2:$H$1775,'Opportunities'!$C$2:$C$1775,"=r14",'Opportunities'!$N$2:$N$1775,"=feb26",'Opportunities'!$R$2:$R$1775,"=1",'Opportunities'!$F$2:$F$1775,"=proposal")</f>
        <v>0</v>
      </c>
      <c r="N231" s="4">
        <f>SUMIFS('Opportunities'!$H$2:$H$1775,'Opportunities'!$C$2:$C$1775,"=r14",'Opportunities'!$N$2:$N$1775,"=mar26",'Opportunities'!$R$2:$R$1775,"=1",'Opportunities'!$F$2:$F$1775,"=proposal")</f>
        <v>0</v>
      </c>
      <c r="O231" s="4">
        <f>SUMIFS('Opportunities'!$H$2:$H$1775,'Opportunities'!$C$2:$C$1775,"=r14",'Opportunities'!$N$2:$N$1775,"=apr26",'Opportunities'!$R$2:$R$1775,"=1",'Opportunities'!$F$2:$F$1775,"=proposal")</f>
        <v>0</v>
      </c>
      <c r="P231" s="4">
        <f>SUMIFS('Opportunities'!$H$2:$H$1775,'Opportunities'!$C$2:$C$1775,"=r14",'Opportunities'!$N$2:$N$1775,"=may26",'Opportunities'!$R$2:$R$1775,"=1",'Opportunities'!$F$2:$F$1775,"=proposal")</f>
        <v>0</v>
      </c>
      <c r="Q231" s="4">
        <f>SUMIFS('Opportunities'!$H$2:$H$1775,'Opportunities'!$C$2:$C$1775,"=r14",'Opportunities'!$N$2:$N$1775,"=jun26",'Opportunities'!$R$2:$R$1775,"=1",'Opportunities'!$F$2:$F$1775,"=proposal")</f>
        <v>0</v>
      </c>
      <c r="R231" s="4">
        <f>SUMIFS('Opportunities'!$H$2:$H$1775,'Opportunities'!$C$2:$C$1775,"=r14",'Opportunities'!$N$2:$N$1775,"=jul26",'Opportunities'!$R$2:$R$1775,"=1",'Opportunities'!$F$2:$F$1775,"=proposal")</f>
        <v>0</v>
      </c>
      <c r="S231" s="4">
        <f>SUMIFS('Opportunities'!$H$2:$H$1775,'Opportunities'!$C$2:$C$1775,"=r14",'Opportunities'!$N$2:$N$1775,"=aug26",'Opportunities'!$R$2:$R$1775,"=1",'Opportunities'!$F$2:$F$1775,"=proposal")</f>
        <v>0</v>
      </c>
      <c r="T231" s="4">
        <f>SUMIFS('Opportunities'!$H$2:$H$1775,'Opportunities'!$C$2:$C$1775,"=r14",'Opportunities'!$N$2:$N$1775,"=sep26",'Opportunities'!$R$2:$R$1775,"=1",'Opportunities'!$F$2:$F$1775,"=proposal")</f>
        <v>0</v>
      </c>
      <c r="U231" s="4">
        <f>SUMIFS('Opportunities'!$H$2:$H$1775,'Opportunities'!$C$2:$C$1775,"=r14",'Opportunities'!$N$2:$N$1775,"=oct26",'Opportunities'!$R$2:$R$1775,"=1",'Opportunities'!$F$2:$F$1775,"=proposal")</f>
        <v>0</v>
      </c>
      <c r="V231" s="4">
        <f>SUMIFS('Opportunities'!$H$2:$H$1775,'Opportunities'!$C$2:$C$1775,"=r14",'Opportunities'!$N$2:$N$1775,"=nov26",'Opportunities'!$R$2:$R$1775,"=1",'Opportunities'!$F$2:$F$1775,"=proposal")</f>
        <v>0</v>
      </c>
      <c r="W231" s="4">
        <f>SUMIFS('Opportunities'!$H$2:$H$1775,'Opportunities'!$C$2:$C$1775,"=r14",'Opportunities'!$N$2:$N$1775,"=dec26",'Opportunities'!$R$2:$R$1775,"=1",'Opportunities'!$F$2:$F$1775,"=proposal")</f>
        <v>0</v>
      </c>
    </row>
    <row r="232">
      <c r="A232" s="0" t="inlineStr">
        <is>
          <t xml:space="preserve">Best case (proposal)</t>
        </is>
      </c>
      <c r="B232" s="0" t="inlineStr">
        <is>
          <t xml:space="preserve">Nikolai Kim</t>
        </is>
      </c>
      <c r="C232" s="4">
        <f>SUMIFS('Opportunities'!$H$2:$H$1775,'Opportunities'!$C$2:$C$1775,"=r15",'Opportunities'!$N$2:$N$1775,"=apr25",'Opportunities'!$R$2:$R$1775,"=1",'Opportunities'!$F$2:$F$1775,"=proposal")</f>
        <v>0</v>
      </c>
      <c r="D232" s="4">
        <f>SUMIFS('Opportunities'!$H$2:$H$1775,'Opportunities'!$C$2:$C$1775,"=r15",'Opportunities'!$N$2:$N$1775,"=may25",'Opportunities'!$R$2:$R$1775,"=1",'Opportunities'!$F$2:$F$1775,"=proposal")</f>
        <v>0</v>
      </c>
      <c r="E232" s="4">
        <f>SUMIFS('Opportunities'!$H$2:$H$1775,'Opportunities'!$C$2:$C$1775,"=r15",'Opportunities'!$N$2:$N$1775,"=jun25",'Opportunities'!$R$2:$R$1775,"=1",'Opportunities'!$F$2:$F$1775,"=proposal")</f>
        <v>0</v>
      </c>
      <c r="F232" s="4">
        <f>SUMIFS('Opportunities'!$H$2:$H$1775,'Opportunities'!$C$2:$C$1775,"=r15",'Opportunities'!$N$2:$N$1775,"=jul25",'Opportunities'!$R$2:$R$1775,"=1",'Opportunities'!$F$2:$F$1775,"=proposal")</f>
        <v>0</v>
      </c>
      <c r="G232" s="4">
        <f>SUMIFS('Opportunities'!$H$2:$H$1775,'Opportunities'!$C$2:$C$1775,"=r15",'Opportunities'!$N$2:$N$1775,"=aug25",'Opportunities'!$R$2:$R$1775,"=1",'Opportunities'!$F$2:$F$1775,"=proposal")</f>
        <v>0</v>
      </c>
      <c r="H232" s="4">
        <f>SUMIFS('Opportunities'!$H$2:$H$1775,'Opportunities'!$C$2:$C$1775,"=r15",'Opportunities'!$N$2:$N$1775,"=sep25",'Opportunities'!$R$2:$R$1775,"=1",'Opportunities'!$F$2:$F$1775,"=proposal")</f>
        <v>0</v>
      </c>
      <c r="I232" s="4">
        <f>SUMIFS('Opportunities'!$H$2:$H$1775,'Opportunities'!$C$2:$C$1775,"=r15",'Opportunities'!$N$2:$N$1775,"=oct25",'Opportunities'!$R$2:$R$1775,"=1",'Opportunities'!$F$2:$F$1775,"=proposal")</f>
        <v>0</v>
      </c>
      <c r="J232" s="4">
        <f>SUMIFS('Opportunities'!$H$2:$H$1775,'Opportunities'!$C$2:$C$1775,"=r15",'Opportunities'!$N$2:$N$1775,"=nov25",'Opportunities'!$R$2:$R$1775,"=1",'Opportunities'!$F$2:$F$1775,"=proposal")</f>
        <v>0</v>
      </c>
      <c r="K232" s="4">
        <f>SUMIFS('Opportunities'!$H$2:$H$1775,'Opportunities'!$C$2:$C$1775,"=r15",'Opportunities'!$N$2:$N$1775,"=dec25",'Opportunities'!$R$2:$R$1775,"=1",'Opportunities'!$F$2:$F$1775,"=proposal")</f>
        <v>0</v>
      </c>
      <c r="L232" s="4">
        <f>SUMIFS('Opportunities'!$H$2:$H$1775,'Opportunities'!$C$2:$C$1775,"=r15",'Opportunities'!$N$2:$N$1775,"=jan26",'Opportunities'!$R$2:$R$1775,"=1",'Opportunities'!$F$2:$F$1775,"=proposal")</f>
        <v>0</v>
      </c>
      <c r="M232" s="4">
        <f>SUMIFS('Opportunities'!$H$2:$H$1775,'Opportunities'!$C$2:$C$1775,"=r15",'Opportunities'!$N$2:$N$1775,"=feb26",'Opportunities'!$R$2:$R$1775,"=1",'Opportunities'!$F$2:$F$1775,"=proposal")</f>
        <v>0</v>
      </c>
      <c r="N232" s="4">
        <f>SUMIFS('Opportunities'!$H$2:$H$1775,'Opportunities'!$C$2:$C$1775,"=r15",'Opportunities'!$N$2:$N$1775,"=mar26",'Opportunities'!$R$2:$R$1775,"=1",'Opportunities'!$F$2:$F$1775,"=proposal")</f>
        <v>0</v>
      </c>
      <c r="O232" s="4">
        <f>SUMIFS('Opportunities'!$H$2:$H$1775,'Opportunities'!$C$2:$C$1775,"=r15",'Opportunities'!$N$2:$N$1775,"=apr26",'Opportunities'!$R$2:$R$1775,"=1",'Opportunities'!$F$2:$F$1775,"=proposal")</f>
        <v>0</v>
      </c>
      <c r="P232" s="4">
        <f>SUMIFS('Opportunities'!$H$2:$H$1775,'Opportunities'!$C$2:$C$1775,"=r15",'Opportunities'!$N$2:$N$1775,"=may26",'Opportunities'!$R$2:$R$1775,"=1",'Opportunities'!$F$2:$F$1775,"=proposal")</f>
        <v>0</v>
      </c>
      <c r="Q232" s="4">
        <f>SUMIFS('Opportunities'!$H$2:$H$1775,'Opportunities'!$C$2:$C$1775,"=r15",'Opportunities'!$N$2:$N$1775,"=jun26",'Opportunities'!$R$2:$R$1775,"=1",'Opportunities'!$F$2:$F$1775,"=proposal")</f>
        <v>0</v>
      </c>
      <c r="R232" s="4">
        <f>SUMIFS('Opportunities'!$H$2:$H$1775,'Opportunities'!$C$2:$C$1775,"=r15",'Opportunities'!$N$2:$N$1775,"=jul26",'Opportunities'!$R$2:$R$1775,"=1",'Opportunities'!$F$2:$F$1775,"=proposal")</f>
        <v>0</v>
      </c>
      <c r="S232" s="4">
        <f>SUMIFS('Opportunities'!$H$2:$H$1775,'Opportunities'!$C$2:$C$1775,"=r15",'Opportunities'!$N$2:$N$1775,"=aug26",'Opportunities'!$R$2:$R$1775,"=1",'Opportunities'!$F$2:$F$1775,"=proposal")</f>
        <v>0</v>
      </c>
      <c r="T232" s="4">
        <f>SUMIFS('Opportunities'!$H$2:$H$1775,'Opportunities'!$C$2:$C$1775,"=r15",'Opportunities'!$N$2:$N$1775,"=sep26",'Opportunities'!$R$2:$R$1775,"=1",'Opportunities'!$F$2:$F$1775,"=proposal")</f>
        <v>51100</v>
      </c>
      <c r="U232" s="4">
        <f>SUMIFS('Opportunities'!$H$2:$H$1775,'Opportunities'!$C$2:$C$1775,"=r15",'Opportunities'!$N$2:$N$1775,"=oct26",'Opportunities'!$R$2:$R$1775,"=1",'Opportunities'!$F$2:$F$1775,"=proposal")</f>
        <v>0</v>
      </c>
      <c r="V232" s="4">
        <f>SUMIFS('Opportunities'!$H$2:$H$1775,'Opportunities'!$C$2:$C$1775,"=r15",'Opportunities'!$N$2:$N$1775,"=nov26",'Opportunities'!$R$2:$R$1775,"=1",'Opportunities'!$F$2:$F$1775,"=proposal")</f>
        <v>0</v>
      </c>
      <c r="W232" s="4">
        <f>SUMIFS('Opportunities'!$H$2:$H$1775,'Opportunities'!$C$2:$C$1775,"=r15",'Opportunities'!$N$2:$N$1775,"=dec26",'Opportunities'!$R$2:$R$1775,"=1",'Opportunities'!$F$2:$F$1775,"=proposal")</f>
        <v>0</v>
      </c>
    </row>
    <row r="233">
      <c r="A233" s="0" t="inlineStr">
        <is>
          <t xml:space="preserve">Best case (proposal)</t>
        </is>
      </c>
      <c r="B233" s="0" t="inlineStr">
        <is>
          <t xml:space="preserve">Wei Nair</t>
        </is>
      </c>
      <c r="C233" s="4">
        <f>SUMIFS('Opportunities'!$H$2:$H$1775,'Opportunities'!$C$2:$C$1775,"=r16",'Opportunities'!$N$2:$N$1775,"=apr25",'Opportunities'!$R$2:$R$1775,"=1",'Opportunities'!$F$2:$F$1775,"=proposal")</f>
        <v>0</v>
      </c>
      <c r="D233" s="4">
        <f>SUMIFS('Opportunities'!$H$2:$H$1775,'Opportunities'!$C$2:$C$1775,"=r16",'Opportunities'!$N$2:$N$1775,"=may25",'Opportunities'!$R$2:$R$1775,"=1",'Opportunities'!$F$2:$F$1775,"=proposal")</f>
        <v>0</v>
      </c>
      <c r="E233" s="4">
        <f>SUMIFS('Opportunities'!$H$2:$H$1775,'Opportunities'!$C$2:$C$1775,"=r16",'Opportunities'!$N$2:$N$1775,"=jun25",'Opportunities'!$R$2:$R$1775,"=1",'Opportunities'!$F$2:$F$1775,"=proposal")</f>
        <v>0</v>
      </c>
      <c r="F233" s="4">
        <f>SUMIFS('Opportunities'!$H$2:$H$1775,'Opportunities'!$C$2:$C$1775,"=r16",'Opportunities'!$N$2:$N$1775,"=jul25",'Opportunities'!$R$2:$R$1775,"=1",'Opportunities'!$F$2:$F$1775,"=proposal")</f>
        <v>0</v>
      </c>
      <c r="G233" s="4">
        <f>SUMIFS('Opportunities'!$H$2:$H$1775,'Opportunities'!$C$2:$C$1775,"=r16",'Opportunities'!$N$2:$N$1775,"=aug25",'Opportunities'!$R$2:$R$1775,"=1",'Opportunities'!$F$2:$F$1775,"=proposal")</f>
        <v>0</v>
      </c>
      <c r="H233" s="4">
        <f>SUMIFS('Opportunities'!$H$2:$H$1775,'Opportunities'!$C$2:$C$1775,"=r16",'Opportunities'!$N$2:$N$1775,"=sep25",'Opportunities'!$R$2:$R$1775,"=1",'Opportunities'!$F$2:$F$1775,"=proposal")</f>
        <v>0</v>
      </c>
      <c r="I233" s="4">
        <f>SUMIFS('Opportunities'!$H$2:$H$1775,'Opportunities'!$C$2:$C$1775,"=r16",'Opportunities'!$N$2:$N$1775,"=oct25",'Opportunities'!$R$2:$R$1775,"=1",'Opportunities'!$F$2:$F$1775,"=proposal")</f>
        <v>0</v>
      </c>
      <c r="J233" s="4">
        <f>SUMIFS('Opportunities'!$H$2:$H$1775,'Opportunities'!$C$2:$C$1775,"=r16",'Opportunities'!$N$2:$N$1775,"=nov25",'Opportunities'!$R$2:$R$1775,"=1",'Opportunities'!$F$2:$F$1775,"=proposal")</f>
        <v>0</v>
      </c>
      <c r="K233" s="4">
        <f>SUMIFS('Opportunities'!$H$2:$H$1775,'Opportunities'!$C$2:$C$1775,"=r16",'Opportunities'!$N$2:$N$1775,"=dec25",'Opportunities'!$R$2:$R$1775,"=1",'Opportunities'!$F$2:$F$1775,"=proposal")</f>
        <v>0</v>
      </c>
      <c r="L233" s="4">
        <f>SUMIFS('Opportunities'!$H$2:$H$1775,'Opportunities'!$C$2:$C$1775,"=r16",'Opportunities'!$N$2:$N$1775,"=jan26",'Opportunities'!$R$2:$R$1775,"=1",'Opportunities'!$F$2:$F$1775,"=proposal")</f>
        <v>0</v>
      </c>
      <c r="M233" s="4">
        <f>SUMIFS('Opportunities'!$H$2:$H$1775,'Opportunities'!$C$2:$C$1775,"=r16",'Opportunities'!$N$2:$N$1775,"=feb26",'Opportunities'!$R$2:$R$1775,"=1",'Opportunities'!$F$2:$F$1775,"=proposal")</f>
        <v>0</v>
      </c>
      <c r="N233" s="4">
        <f>SUMIFS('Opportunities'!$H$2:$H$1775,'Opportunities'!$C$2:$C$1775,"=r16",'Opportunities'!$N$2:$N$1775,"=mar26",'Opportunities'!$R$2:$R$1775,"=1",'Opportunities'!$F$2:$F$1775,"=proposal")</f>
        <v>0</v>
      </c>
      <c r="O233" s="4">
        <f>SUMIFS('Opportunities'!$H$2:$H$1775,'Opportunities'!$C$2:$C$1775,"=r16",'Opportunities'!$N$2:$N$1775,"=apr26",'Opportunities'!$R$2:$R$1775,"=1",'Opportunities'!$F$2:$F$1775,"=proposal")</f>
        <v>0</v>
      </c>
      <c r="P233" s="4">
        <f>SUMIFS('Opportunities'!$H$2:$H$1775,'Opportunities'!$C$2:$C$1775,"=r16",'Opportunities'!$N$2:$N$1775,"=may26",'Opportunities'!$R$2:$R$1775,"=1",'Opportunities'!$F$2:$F$1775,"=proposal")</f>
        <v>0</v>
      </c>
      <c r="Q233" s="4">
        <f>SUMIFS('Opportunities'!$H$2:$H$1775,'Opportunities'!$C$2:$C$1775,"=r16",'Opportunities'!$N$2:$N$1775,"=jun26",'Opportunities'!$R$2:$R$1775,"=1",'Opportunities'!$F$2:$F$1775,"=proposal")</f>
        <v>0</v>
      </c>
      <c r="R233" s="4">
        <f>SUMIFS('Opportunities'!$H$2:$H$1775,'Opportunities'!$C$2:$C$1775,"=r16",'Opportunities'!$N$2:$N$1775,"=jul26",'Opportunities'!$R$2:$R$1775,"=1",'Opportunities'!$F$2:$F$1775,"=proposal")</f>
        <v>0</v>
      </c>
      <c r="S233" s="4">
        <f>SUMIFS('Opportunities'!$H$2:$H$1775,'Opportunities'!$C$2:$C$1775,"=r16",'Opportunities'!$N$2:$N$1775,"=aug26",'Opportunities'!$R$2:$R$1775,"=1",'Opportunities'!$F$2:$F$1775,"=proposal")</f>
        <v>0</v>
      </c>
      <c r="T233" s="4">
        <f>SUMIFS('Opportunities'!$H$2:$H$1775,'Opportunities'!$C$2:$C$1775,"=r16",'Opportunities'!$N$2:$N$1775,"=sep26",'Opportunities'!$R$2:$R$1775,"=1",'Opportunities'!$F$2:$F$1775,"=proposal")</f>
        <v>46900</v>
      </c>
      <c r="U233" s="4">
        <f>SUMIFS('Opportunities'!$H$2:$H$1775,'Opportunities'!$C$2:$C$1775,"=r16",'Opportunities'!$N$2:$N$1775,"=oct26",'Opportunities'!$R$2:$R$1775,"=1",'Opportunities'!$F$2:$F$1775,"=proposal")</f>
        <v>0</v>
      </c>
      <c r="V233" s="4">
        <f>SUMIFS('Opportunities'!$H$2:$H$1775,'Opportunities'!$C$2:$C$1775,"=r16",'Opportunities'!$N$2:$N$1775,"=nov26",'Opportunities'!$R$2:$R$1775,"=1",'Opportunities'!$F$2:$F$1775,"=proposal")</f>
        <v>0</v>
      </c>
      <c r="W233" s="4">
        <f>SUMIFS('Opportunities'!$H$2:$H$1775,'Opportunities'!$C$2:$C$1775,"=r16",'Opportunities'!$N$2:$N$1775,"=dec26",'Opportunities'!$R$2:$R$1775,"=1",'Opportunities'!$F$2:$F$1775,"=proposal")</f>
        <v>0</v>
      </c>
    </row>
    <row r="234">
      <c r="A234" s="0" t="inlineStr">
        <is>
          <t xml:space="preserve">Best case (proposal)</t>
        </is>
      </c>
      <c r="B234" s="0" t="inlineStr">
        <is>
          <t xml:space="preserve">Liam Silva</t>
        </is>
      </c>
      <c r="C234" s="4">
        <f>SUMIFS('Opportunities'!$H$2:$H$1775,'Opportunities'!$C$2:$C$1775,"=r17",'Opportunities'!$N$2:$N$1775,"=apr25",'Opportunities'!$R$2:$R$1775,"=1",'Opportunities'!$F$2:$F$1775,"=proposal")</f>
        <v>0</v>
      </c>
      <c r="D234" s="4">
        <f>SUMIFS('Opportunities'!$H$2:$H$1775,'Opportunities'!$C$2:$C$1775,"=r17",'Opportunities'!$N$2:$N$1775,"=may25",'Opportunities'!$R$2:$R$1775,"=1",'Opportunities'!$F$2:$F$1775,"=proposal")</f>
        <v>0</v>
      </c>
      <c r="E234" s="4">
        <f>SUMIFS('Opportunities'!$H$2:$H$1775,'Opportunities'!$C$2:$C$1775,"=r17",'Opportunities'!$N$2:$N$1775,"=jun25",'Opportunities'!$R$2:$R$1775,"=1",'Opportunities'!$F$2:$F$1775,"=proposal")</f>
        <v>0</v>
      </c>
      <c r="F234" s="4">
        <f>SUMIFS('Opportunities'!$H$2:$H$1775,'Opportunities'!$C$2:$C$1775,"=r17",'Opportunities'!$N$2:$N$1775,"=jul25",'Opportunities'!$R$2:$R$1775,"=1",'Opportunities'!$F$2:$F$1775,"=proposal")</f>
        <v>0</v>
      </c>
      <c r="G234" s="4">
        <f>SUMIFS('Opportunities'!$H$2:$H$1775,'Opportunities'!$C$2:$C$1775,"=r17",'Opportunities'!$N$2:$N$1775,"=aug25",'Opportunities'!$R$2:$R$1775,"=1",'Opportunities'!$F$2:$F$1775,"=proposal")</f>
        <v>0</v>
      </c>
      <c r="H234" s="4">
        <f>SUMIFS('Opportunities'!$H$2:$H$1775,'Opportunities'!$C$2:$C$1775,"=r17",'Opportunities'!$N$2:$N$1775,"=sep25",'Opportunities'!$R$2:$R$1775,"=1",'Opportunities'!$F$2:$F$1775,"=proposal")</f>
        <v>0</v>
      </c>
      <c r="I234" s="4">
        <f>SUMIFS('Opportunities'!$H$2:$H$1775,'Opportunities'!$C$2:$C$1775,"=r17",'Opportunities'!$N$2:$N$1775,"=oct25",'Opportunities'!$R$2:$R$1775,"=1",'Opportunities'!$F$2:$F$1775,"=proposal")</f>
        <v>0</v>
      </c>
      <c r="J234" s="4">
        <f>SUMIFS('Opportunities'!$H$2:$H$1775,'Opportunities'!$C$2:$C$1775,"=r17",'Opportunities'!$N$2:$N$1775,"=nov25",'Opportunities'!$R$2:$R$1775,"=1",'Opportunities'!$F$2:$F$1775,"=proposal")</f>
        <v>0</v>
      </c>
      <c r="K234" s="4">
        <f>SUMIFS('Opportunities'!$H$2:$H$1775,'Opportunities'!$C$2:$C$1775,"=r17",'Opportunities'!$N$2:$N$1775,"=dec25",'Opportunities'!$R$2:$R$1775,"=1",'Opportunities'!$F$2:$F$1775,"=proposal")</f>
        <v>0</v>
      </c>
      <c r="L234" s="4">
        <f>SUMIFS('Opportunities'!$H$2:$H$1775,'Opportunities'!$C$2:$C$1775,"=r17",'Opportunities'!$N$2:$N$1775,"=jan26",'Opportunities'!$R$2:$R$1775,"=1",'Opportunities'!$F$2:$F$1775,"=proposal")</f>
        <v>0</v>
      </c>
      <c r="M234" s="4">
        <f>SUMIFS('Opportunities'!$H$2:$H$1775,'Opportunities'!$C$2:$C$1775,"=r17",'Opportunities'!$N$2:$N$1775,"=feb26",'Opportunities'!$R$2:$R$1775,"=1",'Opportunities'!$F$2:$F$1775,"=proposal")</f>
        <v>0</v>
      </c>
      <c r="N234" s="4">
        <f>SUMIFS('Opportunities'!$H$2:$H$1775,'Opportunities'!$C$2:$C$1775,"=r17",'Opportunities'!$N$2:$N$1775,"=mar26",'Opportunities'!$R$2:$R$1775,"=1",'Opportunities'!$F$2:$F$1775,"=proposal")</f>
        <v>0</v>
      </c>
      <c r="O234" s="4">
        <f>SUMIFS('Opportunities'!$H$2:$H$1775,'Opportunities'!$C$2:$C$1775,"=r17",'Opportunities'!$N$2:$N$1775,"=apr26",'Opportunities'!$R$2:$R$1775,"=1",'Opportunities'!$F$2:$F$1775,"=proposal")</f>
        <v>0</v>
      </c>
      <c r="P234" s="4">
        <f>SUMIFS('Opportunities'!$H$2:$H$1775,'Opportunities'!$C$2:$C$1775,"=r17",'Opportunities'!$N$2:$N$1775,"=may26",'Opportunities'!$R$2:$R$1775,"=1",'Opportunities'!$F$2:$F$1775,"=proposal")</f>
        <v>0</v>
      </c>
      <c r="Q234" s="4">
        <f>SUMIFS('Opportunities'!$H$2:$H$1775,'Opportunities'!$C$2:$C$1775,"=r17",'Opportunities'!$N$2:$N$1775,"=jun26",'Opportunities'!$R$2:$R$1775,"=1",'Opportunities'!$F$2:$F$1775,"=proposal")</f>
        <v>0</v>
      </c>
      <c r="R234" s="4">
        <f>SUMIFS('Opportunities'!$H$2:$H$1775,'Opportunities'!$C$2:$C$1775,"=r17",'Opportunities'!$N$2:$N$1775,"=jul26",'Opportunities'!$R$2:$R$1775,"=1",'Opportunities'!$F$2:$F$1775,"=proposal")</f>
        <v>0</v>
      </c>
      <c r="S234" s="4">
        <f>SUMIFS('Opportunities'!$H$2:$H$1775,'Opportunities'!$C$2:$C$1775,"=r17",'Opportunities'!$N$2:$N$1775,"=aug26",'Opportunities'!$R$2:$R$1775,"=1",'Opportunities'!$F$2:$F$1775,"=proposal")</f>
        <v>0</v>
      </c>
      <c r="T234" s="4">
        <f>SUMIFS('Opportunities'!$H$2:$H$1775,'Opportunities'!$C$2:$C$1775,"=r17",'Opportunities'!$N$2:$N$1775,"=sep26",'Opportunities'!$R$2:$R$1775,"=1",'Opportunities'!$F$2:$F$1775,"=proposal")</f>
        <v>16100</v>
      </c>
      <c r="U234" s="4">
        <f>SUMIFS('Opportunities'!$H$2:$H$1775,'Opportunities'!$C$2:$C$1775,"=r17",'Opportunities'!$N$2:$N$1775,"=oct26",'Opportunities'!$R$2:$R$1775,"=1",'Opportunities'!$F$2:$F$1775,"=proposal")</f>
        <v>43600</v>
      </c>
      <c r="V234" s="4">
        <f>SUMIFS('Opportunities'!$H$2:$H$1775,'Opportunities'!$C$2:$C$1775,"=r17",'Opportunities'!$N$2:$N$1775,"=nov26",'Opportunities'!$R$2:$R$1775,"=1",'Opportunities'!$F$2:$F$1775,"=proposal")</f>
        <v>0</v>
      </c>
      <c r="W234" s="4">
        <f>SUMIFS('Opportunities'!$H$2:$H$1775,'Opportunities'!$C$2:$C$1775,"=r17",'Opportunities'!$N$2:$N$1775,"=dec26",'Opportunities'!$R$2:$R$1775,"=1",'Opportunities'!$F$2:$F$1775,"=proposal")</f>
        <v>0</v>
      </c>
    </row>
    <row r="235">
      <c r="A235" s="0" t="inlineStr">
        <is>
          <t xml:space="preserve">Best case (proposal)</t>
        </is>
      </c>
      <c r="B235" s="0" t="inlineStr">
        <is>
          <t xml:space="preserve">Samuel Silva</t>
        </is>
      </c>
      <c r="C235" s="4">
        <f>SUMIFS('Opportunities'!$H$2:$H$1775,'Opportunities'!$C$2:$C$1775,"=r18",'Opportunities'!$N$2:$N$1775,"=apr25",'Opportunities'!$R$2:$R$1775,"=1",'Opportunities'!$F$2:$F$1775,"=proposal")</f>
        <v>0</v>
      </c>
      <c r="D235" s="4">
        <f>SUMIFS('Opportunities'!$H$2:$H$1775,'Opportunities'!$C$2:$C$1775,"=r18",'Opportunities'!$N$2:$N$1775,"=may25",'Opportunities'!$R$2:$R$1775,"=1",'Opportunities'!$F$2:$F$1775,"=proposal")</f>
        <v>0</v>
      </c>
      <c r="E235" s="4">
        <f>SUMIFS('Opportunities'!$H$2:$H$1775,'Opportunities'!$C$2:$C$1775,"=r18",'Opportunities'!$N$2:$N$1775,"=jun25",'Opportunities'!$R$2:$R$1775,"=1",'Opportunities'!$F$2:$F$1775,"=proposal")</f>
        <v>0</v>
      </c>
      <c r="F235" s="4">
        <f>SUMIFS('Opportunities'!$H$2:$H$1775,'Opportunities'!$C$2:$C$1775,"=r18",'Opportunities'!$N$2:$N$1775,"=jul25",'Opportunities'!$R$2:$R$1775,"=1",'Opportunities'!$F$2:$F$1775,"=proposal")</f>
        <v>0</v>
      </c>
      <c r="G235" s="4">
        <f>SUMIFS('Opportunities'!$H$2:$H$1775,'Opportunities'!$C$2:$C$1775,"=r18",'Opportunities'!$N$2:$N$1775,"=aug25",'Opportunities'!$R$2:$R$1775,"=1",'Opportunities'!$F$2:$F$1775,"=proposal")</f>
        <v>0</v>
      </c>
      <c r="H235" s="4">
        <f>SUMIFS('Opportunities'!$H$2:$H$1775,'Opportunities'!$C$2:$C$1775,"=r18",'Opportunities'!$N$2:$N$1775,"=sep25",'Opportunities'!$R$2:$R$1775,"=1",'Opportunities'!$F$2:$F$1775,"=proposal")</f>
        <v>0</v>
      </c>
      <c r="I235" s="4">
        <f>SUMIFS('Opportunities'!$H$2:$H$1775,'Opportunities'!$C$2:$C$1775,"=r18",'Opportunities'!$N$2:$N$1775,"=oct25",'Opportunities'!$R$2:$R$1775,"=1",'Opportunities'!$F$2:$F$1775,"=proposal")</f>
        <v>0</v>
      </c>
      <c r="J235" s="4">
        <f>SUMIFS('Opportunities'!$H$2:$H$1775,'Opportunities'!$C$2:$C$1775,"=r18",'Opportunities'!$N$2:$N$1775,"=nov25",'Opportunities'!$R$2:$R$1775,"=1",'Opportunities'!$F$2:$F$1775,"=proposal")</f>
        <v>0</v>
      </c>
      <c r="K235" s="4">
        <f>SUMIFS('Opportunities'!$H$2:$H$1775,'Opportunities'!$C$2:$C$1775,"=r18",'Opportunities'!$N$2:$N$1775,"=dec25",'Opportunities'!$R$2:$R$1775,"=1",'Opportunities'!$F$2:$F$1775,"=proposal")</f>
        <v>0</v>
      </c>
      <c r="L235" s="4">
        <f>SUMIFS('Opportunities'!$H$2:$H$1775,'Opportunities'!$C$2:$C$1775,"=r18",'Opportunities'!$N$2:$N$1775,"=jan26",'Opportunities'!$R$2:$R$1775,"=1",'Opportunities'!$F$2:$F$1775,"=proposal")</f>
        <v>0</v>
      </c>
      <c r="M235" s="4">
        <f>SUMIFS('Opportunities'!$H$2:$H$1775,'Opportunities'!$C$2:$C$1775,"=r18",'Opportunities'!$N$2:$N$1775,"=feb26",'Opportunities'!$R$2:$R$1775,"=1",'Opportunities'!$F$2:$F$1775,"=proposal")</f>
        <v>0</v>
      </c>
      <c r="N235" s="4">
        <f>SUMIFS('Opportunities'!$H$2:$H$1775,'Opportunities'!$C$2:$C$1775,"=r18",'Opportunities'!$N$2:$N$1775,"=mar26",'Opportunities'!$R$2:$R$1775,"=1",'Opportunities'!$F$2:$F$1775,"=proposal")</f>
        <v>0</v>
      </c>
      <c r="O235" s="4">
        <f>SUMIFS('Opportunities'!$H$2:$H$1775,'Opportunities'!$C$2:$C$1775,"=r18",'Opportunities'!$N$2:$N$1775,"=apr26",'Opportunities'!$R$2:$R$1775,"=1",'Opportunities'!$F$2:$F$1775,"=proposal")</f>
        <v>0</v>
      </c>
      <c r="P235" s="4">
        <f>SUMIFS('Opportunities'!$H$2:$H$1775,'Opportunities'!$C$2:$C$1775,"=r18",'Opportunities'!$N$2:$N$1775,"=may26",'Opportunities'!$R$2:$R$1775,"=1",'Opportunities'!$F$2:$F$1775,"=proposal")</f>
        <v>0</v>
      </c>
      <c r="Q235" s="4">
        <f>SUMIFS('Opportunities'!$H$2:$H$1775,'Opportunities'!$C$2:$C$1775,"=r18",'Opportunities'!$N$2:$N$1775,"=jun26",'Opportunities'!$R$2:$R$1775,"=1",'Opportunities'!$F$2:$F$1775,"=proposal")</f>
        <v>0</v>
      </c>
      <c r="R235" s="4">
        <f>SUMIFS('Opportunities'!$H$2:$H$1775,'Opportunities'!$C$2:$C$1775,"=r18",'Opportunities'!$N$2:$N$1775,"=jul26",'Opportunities'!$R$2:$R$1775,"=1",'Opportunities'!$F$2:$F$1775,"=proposal")</f>
        <v>0</v>
      </c>
      <c r="S235" s="4">
        <f>SUMIFS('Opportunities'!$H$2:$H$1775,'Opportunities'!$C$2:$C$1775,"=r18",'Opportunities'!$N$2:$N$1775,"=aug26",'Opportunities'!$R$2:$R$1775,"=1",'Opportunities'!$F$2:$F$1775,"=proposal")</f>
        <v>0</v>
      </c>
      <c r="T235" s="4">
        <f>SUMIFS('Opportunities'!$H$2:$H$1775,'Opportunities'!$C$2:$C$1775,"=r18",'Opportunities'!$N$2:$N$1775,"=sep26",'Opportunities'!$R$2:$R$1775,"=1",'Opportunities'!$F$2:$F$1775,"=proposal")</f>
        <v>0</v>
      </c>
      <c r="U235" s="4">
        <f>SUMIFS('Opportunities'!$H$2:$H$1775,'Opportunities'!$C$2:$C$1775,"=r18",'Opportunities'!$N$2:$N$1775,"=oct26",'Opportunities'!$R$2:$R$1775,"=1",'Opportunities'!$F$2:$F$1775,"=proposal")</f>
        <v>35700</v>
      </c>
      <c r="V235" s="4">
        <f>SUMIFS('Opportunities'!$H$2:$H$1775,'Opportunities'!$C$2:$C$1775,"=r18",'Opportunities'!$N$2:$N$1775,"=nov26",'Opportunities'!$R$2:$R$1775,"=1",'Opportunities'!$F$2:$F$1775,"=proposal")</f>
        <v>0</v>
      </c>
      <c r="W235" s="4">
        <f>SUMIFS('Opportunities'!$H$2:$H$1775,'Opportunities'!$C$2:$C$1775,"=r18",'Opportunities'!$N$2:$N$1775,"=dec26",'Opportunities'!$R$2:$R$1775,"=1",'Opportunities'!$F$2:$F$1775,"=proposal")</f>
        <v>0</v>
      </c>
    </row>
    <row r="236">
      <c r="A236" s="0" t="inlineStr">
        <is>
          <t xml:space="preserve">Best case (proposal)</t>
        </is>
      </c>
      <c r="B236" s="0" t="inlineStr">
        <is>
          <t xml:space="preserve">Yuki Larsen</t>
        </is>
      </c>
      <c r="C236" s="4">
        <f>SUMIFS('Opportunities'!$H$2:$H$1775,'Opportunities'!$C$2:$C$1775,"=r19",'Opportunities'!$N$2:$N$1775,"=apr25",'Opportunities'!$R$2:$R$1775,"=1",'Opportunities'!$F$2:$F$1775,"=proposal")</f>
        <v>0</v>
      </c>
      <c r="D236" s="4">
        <f>SUMIFS('Opportunities'!$H$2:$H$1775,'Opportunities'!$C$2:$C$1775,"=r19",'Opportunities'!$N$2:$N$1775,"=may25",'Opportunities'!$R$2:$R$1775,"=1",'Opportunities'!$F$2:$F$1775,"=proposal")</f>
        <v>0</v>
      </c>
      <c r="E236" s="4">
        <f>SUMIFS('Opportunities'!$H$2:$H$1775,'Opportunities'!$C$2:$C$1775,"=r19",'Opportunities'!$N$2:$N$1775,"=jun25",'Opportunities'!$R$2:$R$1775,"=1",'Opportunities'!$F$2:$F$1775,"=proposal")</f>
        <v>0</v>
      </c>
      <c r="F236" s="4">
        <f>SUMIFS('Opportunities'!$H$2:$H$1775,'Opportunities'!$C$2:$C$1775,"=r19",'Opportunities'!$N$2:$N$1775,"=jul25",'Opportunities'!$R$2:$R$1775,"=1",'Opportunities'!$F$2:$F$1775,"=proposal")</f>
        <v>0</v>
      </c>
      <c r="G236" s="4">
        <f>SUMIFS('Opportunities'!$H$2:$H$1775,'Opportunities'!$C$2:$C$1775,"=r19",'Opportunities'!$N$2:$N$1775,"=aug25",'Opportunities'!$R$2:$R$1775,"=1",'Opportunities'!$F$2:$F$1775,"=proposal")</f>
        <v>0</v>
      </c>
      <c r="H236" s="4">
        <f>SUMIFS('Opportunities'!$H$2:$H$1775,'Opportunities'!$C$2:$C$1775,"=r19",'Opportunities'!$N$2:$N$1775,"=sep25",'Opportunities'!$R$2:$R$1775,"=1",'Opportunities'!$F$2:$F$1775,"=proposal")</f>
        <v>0</v>
      </c>
      <c r="I236" s="4">
        <f>SUMIFS('Opportunities'!$H$2:$H$1775,'Opportunities'!$C$2:$C$1775,"=r19",'Opportunities'!$N$2:$N$1775,"=oct25",'Opportunities'!$R$2:$R$1775,"=1",'Opportunities'!$F$2:$F$1775,"=proposal")</f>
        <v>0</v>
      </c>
      <c r="J236" s="4">
        <f>SUMIFS('Opportunities'!$H$2:$H$1775,'Opportunities'!$C$2:$C$1775,"=r19",'Opportunities'!$N$2:$N$1775,"=nov25",'Opportunities'!$R$2:$R$1775,"=1",'Opportunities'!$F$2:$F$1775,"=proposal")</f>
        <v>0</v>
      </c>
      <c r="K236" s="4">
        <f>SUMIFS('Opportunities'!$H$2:$H$1775,'Opportunities'!$C$2:$C$1775,"=r19",'Opportunities'!$N$2:$N$1775,"=dec25",'Opportunities'!$R$2:$R$1775,"=1",'Opportunities'!$F$2:$F$1775,"=proposal")</f>
        <v>0</v>
      </c>
      <c r="L236" s="4">
        <f>SUMIFS('Opportunities'!$H$2:$H$1775,'Opportunities'!$C$2:$C$1775,"=r19",'Opportunities'!$N$2:$N$1775,"=jan26",'Opportunities'!$R$2:$R$1775,"=1",'Opportunities'!$F$2:$F$1775,"=proposal")</f>
        <v>0</v>
      </c>
      <c r="M236" s="4">
        <f>SUMIFS('Opportunities'!$H$2:$H$1775,'Opportunities'!$C$2:$C$1775,"=r19",'Opportunities'!$N$2:$N$1775,"=feb26",'Opportunities'!$R$2:$R$1775,"=1",'Opportunities'!$F$2:$F$1775,"=proposal")</f>
        <v>0</v>
      </c>
      <c r="N236" s="4">
        <f>SUMIFS('Opportunities'!$H$2:$H$1775,'Opportunities'!$C$2:$C$1775,"=r19",'Opportunities'!$N$2:$N$1775,"=mar26",'Opportunities'!$R$2:$R$1775,"=1",'Opportunities'!$F$2:$F$1775,"=proposal")</f>
        <v>0</v>
      </c>
      <c r="O236" s="4">
        <f>SUMIFS('Opportunities'!$H$2:$H$1775,'Opportunities'!$C$2:$C$1775,"=r19",'Opportunities'!$N$2:$N$1775,"=apr26",'Opportunities'!$R$2:$R$1775,"=1",'Opportunities'!$F$2:$F$1775,"=proposal")</f>
        <v>0</v>
      </c>
      <c r="P236" s="4">
        <f>SUMIFS('Opportunities'!$H$2:$H$1775,'Opportunities'!$C$2:$C$1775,"=r19",'Opportunities'!$N$2:$N$1775,"=may26",'Opportunities'!$R$2:$R$1775,"=1",'Opportunities'!$F$2:$F$1775,"=proposal")</f>
        <v>0</v>
      </c>
      <c r="Q236" s="4">
        <f>SUMIFS('Opportunities'!$H$2:$H$1775,'Opportunities'!$C$2:$C$1775,"=r19",'Opportunities'!$N$2:$N$1775,"=jun26",'Opportunities'!$R$2:$R$1775,"=1",'Opportunities'!$F$2:$F$1775,"=proposal")</f>
        <v>0</v>
      </c>
      <c r="R236" s="4">
        <f>SUMIFS('Opportunities'!$H$2:$H$1775,'Opportunities'!$C$2:$C$1775,"=r19",'Opportunities'!$N$2:$N$1775,"=jul26",'Opportunities'!$R$2:$R$1775,"=1",'Opportunities'!$F$2:$F$1775,"=proposal")</f>
        <v>0</v>
      </c>
      <c r="S236" s="4">
        <f>SUMIFS('Opportunities'!$H$2:$H$1775,'Opportunities'!$C$2:$C$1775,"=r19",'Opportunities'!$N$2:$N$1775,"=aug26",'Opportunities'!$R$2:$R$1775,"=1",'Opportunities'!$F$2:$F$1775,"=proposal")</f>
        <v>0</v>
      </c>
      <c r="T236" s="4">
        <f>SUMIFS('Opportunities'!$H$2:$H$1775,'Opportunities'!$C$2:$C$1775,"=r19",'Opportunities'!$N$2:$N$1775,"=sep26",'Opportunities'!$R$2:$R$1775,"=1",'Opportunities'!$F$2:$F$1775,"=proposal")</f>
        <v>0</v>
      </c>
      <c r="U236" s="4">
        <f>SUMIFS('Opportunities'!$H$2:$H$1775,'Opportunities'!$C$2:$C$1775,"=r19",'Opportunities'!$N$2:$N$1775,"=oct26",'Opportunities'!$R$2:$R$1775,"=1",'Opportunities'!$F$2:$F$1775,"=proposal")</f>
        <v>0</v>
      </c>
      <c r="V236" s="4">
        <f>SUMIFS('Opportunities'!$H$2:$H$1775,'Opportunities'!$C$2:$C$1775,"=r19",'Opportunities'!$N$2:$N$1775,"=nov26",'Opportunities'!$R$2:$R$1775,"=1",'Opportunities'!$F$2:$F$1775,"=proposal")</f>
        <v>0</v>
      </c>
      <c r="W236" s="4">
        <f>SUMIFS('Opportunities'!$H$2:$H$1775,'Opportunities'!$C$2:$C$1775,"=r19",'Opportunities'!$N$2:$N$1775,"=dec26",'Opportunities'!$R$2:$R$1775,"=1",'Opportunities'!$F$2:$F$1775,"=proposal")</f>
        <v>74900</v>
      </c>
    </row>
    <row r="237">
      <c r="A237" s="0" t="inlineStr">
        <is>
          <t xml:space="preserve">Best case (proposal)</t>
        </is>
      </c>
      <c r="B237" s="0" t="inlineStr">
        <is>
          <t xml:space="preserve">Nikolai Sato</t>
        </is>
      </c>
      <c r="C237" s="4">
        <f>SUMIFS('Opportunities'!$H$2:$H$1775,'Opportunities'!$C$2:$C$1775,"=r20",'Opportunities'!$N$2:$N$1775,"=apr25",'Opportunities'!$R$2:$R$1775,"=1",'Opportunities'!$F$2:$F$1775,"=proposal")</f>
        <v>0</v>
      </c>
      <c r="D237" s="4">
        <f>SUMIFS('Opportunities'!$H$2:$H$1775,'Opportunities'!$C$2:$C$1775,"=r20",'Opportunities'!$N$2:$N$1775,"=may25",'Opportunities'!$R$2:$R$1775,"=1",'Opportunities'!$F$2:$F$1775,"=proposal")</f>
        <v>0</v>
      </c>
      <c r="E237" s="4">
        <f>SUMIFS('Opportunities'!$H$2:$H$1775,'Opportunities'!$C$2:$C$1775,"=r20",'Opportunities'!$N$2:$N$1775,"=jun25",'Opportunities'!$R$2:$R$1775,"=1",'Opportunities'!$F$2:$F$1775,"=proposal")</f>
        <v>0</v>
      </c>
      <c r="F237" s="4">
        <f>SUMIFS('Opportunities'!$H$2:$H$1775,'Opportunities'!$C$2:$C$1775,"=r20",'Opportunities'!$N$2:$N$1775,"=jul25",'Opportunities'!$R$2:$R$1775,"=1",'Opportunities'!$F$2:$F$1775,"=proposal")</f>
        <v>0</v>
      </c>
      <c r="G237" s="4">
        <f>SUMIFS('Opportunities'!$H$2:$H$1775,'Opportunities'!$C$2:$C$1775,"=r20",'Opportunities'!$N$2:$N$1775,"=aug25",'Opportunities'!$R$2:$R$1775,"=1",'Opportunities'!$F$2:$F$1775,"=proposal")</f>
        <v>0</v>
      </c>
      <c r="H237" s="4">
        <f>SUMIFS('Opportunities'!$H$2:$H$1775,'Opportunities'!$C$2:$C$1775,"=r20",'Opportunities'!$N$2:$N$1775,"=sep25",'Opportunities'!$R$2:$R$1775,"=1",'Opportunities'!$F$2:$F$1775,"=proposal")</f>
        <v>0</v>
      </c>
      <c r="I237" s="4">
        <f>SUMIFS('Opportunities'!$H$2:$H$1775,'Opportunities'!$C$2:$C$1775,"=r20",'Opportunities'!$N$2:$N$1775,"=oct25",'Opportunities'!$R$2:$R$1775,"=1",'Opportunities'!$F$2:$F$1775,"=proposal")</f>
        <v>0</v>
      </c>
      <c r="J237" s="4">
        <f>SUMIFS('Opportunities'!$H$2:$H$1775,'Opportunities'!$C$2:$C$1775,"=r20",'Opportunities'!$N$2:$N$1775,"=nov25",'Opportunities'!$R$2:$R$1775,"=1",'Opportunities'!$F$2:$F$1775,"=proposal")</f>
        <v>0</v>
      </c>
      <c r="K237" s="4">
        <f>SUMIFS('Opportunities'!$H$2:$H$1775,'Opportunities'!$C$2:$C$1775,"=r20",'Opportunities'!$N$2:$N$1775,"=dec25",'Opportunities'!$R$2:$R$1775,"=1",'Opportunities'!$F$2:$F$1775,"=proposal")</f>
        <v>0</v>
      </c>
      <c r="L237" s="4">
        <f>SUMIFS('Opportunities'!$H$2:$H$1775,'Opportunities'!$C$2:$C$1775,"=r20",'Opportunities'!$N$2:$N$1775,"=jan26",'Opportunities'!$R$2:$R$1775,"=1",'Opportunities'!$F$2:$F$1775,"=proposal")</f>
        <v>0</v>
      </c>
      <c r="M237" s="4">
        <f>SUMIFS('Opportunities'!$H$2:$H$1775,'Opportunities'!$C$2:$C$1775,"=r20",'Opportunities'!$N$2:$N$1775,"=feb26",'Opportunities'!$R$2:$R$1775,"=1",'Opportunities'!$F$2:$F$1775,"=proposal")</f>
        <v>0</v>
      </c>
      <c r="N237" s="4">
        <f>SUMIFS('Opportunities'!$H$2:$H$1775,'Opportunities'!$C$2:$C$1775,"=r20",'Opportunities'!$N$2:$N$1775,"=mar26",'Opportunities'!$R$2:$R$1775,"=1",'Opportunities'!$F$2:$F$1775,"=proposal")</f>
        <v>0</v>
      </c>
      <c r="O237" s="4">
        <f>SUMIFS('Opportunities'!$H$2:$H$1775,'Opportunities'!$C$2:$C$1775,"=r20",'Opportunities'!$N$2:$N$1775,"=apr26",'Opportunities'!$R$2:$R$1775,"=1",'Opportunities'!$F$2:$F$1775,"=proposal")</f>
        <v>0</v>
      </c>
      <c r="P237" s="4">
        <f>SUMIFS('Opportunities'!$H$2:$H$1775,'Opportunities'!$C$2:$C$1775,"=r20",'Opportunities'!$N$2:$N$1775,"=may26",'Opportunities'!$R$2:$R$1775,"=1",'Opportunities'!$F$2:$F$1775,"=proposal")</f>
        <v>0</v>
      </c>
      <c r="Q237" s="4">
        <f>SUMIFS('Opportunities'!$H$2:$H$1775,'Opportunities'!$C$2:$C$1775,"=r20",'Opportunities'!$N$2:$N$1775,"=jun26",'Opportunities'!$R$2:$R$1775,"=1",'Opportunities'!$F$2:$F$1775,"=proposal")</f>
        <v>0</v>
      </c>
      <c r="R237" s="4">
        <f>SUMIFS('Opportunities'!$H$2:$H$1775,'Opportunities'!$C$2:$C$1775,"=r20",'Opportunities'!$N$2:$N$1775,"=jul26",'Opportunities'!$R$2:$R$1775,"=1",'Opportunities'!$F$2:$F$1775,"=proposal")</f>
        <v>0</v>
      </c>
      <c r="S237" s="4">
        <f>SUMIFS('Opportunities'!$H$2:$H$1775,'Opportunities'!$C$2:$C$1775,"=r20",'Opportunities'!$N$2:$N$1775,"=aug26",'Opportunities'!$R$2:$R$1775,"=1",'Opportunities'!$F$2:$F$1775,"=proposal")</f>
        <v>0</v>
      </c>
      <c r="T237" s="4">
        <f>SUMIFS('Opportunities'!$H$2:$H$1775,'Opportunities'!$C$2:$C$1775,"=r20",'Opportunities'!$N$2:$N$1775,"=sep26",'Opportunities'!$R$2:$R$1775,"=1",'Opportunities'!$F$2:$F$1775,"=proposal")</f>
        <v>0</v>
      </c>
      <c r="U237" s="4">
        <f>SUMIFS('Opportunities'!$H$2:$H$1775,'Opportunities'!$C$2:$C$1775,"=r20",'Opportunities'!$N$2:$N$1775,"=oct26",'Opportunities'!$R$2:$R$1775,"=1",'Opportunities'!$F$2:$F$1775,"=proposal")</f>
        <v>0</v>
      </c>
      <c r="V237" s="4">
        <f>SUMIFS('Opportunities'!$H$2:$H$1775,'Opportunities'!$C$2:$C$1775,"=r20",'Opportunities'!$N$2:$N$1775,"=nov26",'Opportunities'!$R$2:$R$1775,"=1",'Opportunities'!$F$2:$F$1775,"=proposal")</f>
        <v>0</v>
      </c>
      <c r="W237" s="4">
        <f>SUMIFS('Opportunities'!$H$2:$H$1775,'Opportunities'!$C$2:$C$1775,"=r20",'Opportunities'!$N$2:$N$1775,"=dec26",'Opportunities'!$R$2:$R$1775,"=1",'Opportunities'!$F$2:$F$1775,"=proposal")</f>
        <v>0</v>
      </c>
    </row>
    <row r="238">
      <c r="A238" s="0" t="inlineStr">
        <is>
          <t xml:space="preserve">Best case (proposal)</t>
        </is>
      </c>
      <c r="B238" s="0" t="inlineStr">
        <is>
          <t xml:space="preserve">Elena Silva</t>
        </is>
      </c>
      <c r="C238" s="4">
        <f>SUMIFS('Opportunities'!$H$2:$H$1775,'Opportunities'!$C$2:$C$1775,"=r21",'Opportunities'!$N$2:$N$1775,"=apr25",'Opportunities'!$R$2:$R$1775,"=1",'Opportunities'!$F$2:$F$1775,"=proposal")</f>
        <v>0</v>
      </c>
      <c r="D238" s="4">
        <f>SUMIFS('Opportunities'!$H$2:$H$1775,'Opportunities'!$C$2:$C$1775,"=r21",'Opportunities'!$N$2:$N$1775,"=may25",'Opportunities'!$R$2:$R$1775,"=1",'Opportunities'!$F$2:$F$1775,"=proposal")</f>
        <v>0</v>
      </c>
      <c r="E238" s="4">
        <f>SUMIFS('Opportunities'!$H$2:$H$1775,'Opportunities'!$C$2:$C$1775,"=r21",'Opportunities'!$N$2:$N$1775,"=jun25",'Opportunities'!$R$2:$R$1775,"=1",'Opportunities'!$F$2:$F$1775,"=proposal")</f>
        <v>0</v>
      </c>
      <c r="F238" s="4">
        <f>SUMIFS('Opportunities'!$H$2:$H$1775,'Opportunities'!$C$2:$C$1775,"=r21",'Opportunities'!$N$2:$N$1775,"=jul25",'Opportunities'!$R$2:$R$1775,"=1",'Opportunities'!$F$2:$F$1775,"=proposal")</f>
        <v>0</v>
      </c>
      <c r="G238" s="4">
        <f>SUMIFS('Opportunities'!$H$2:$H$1775,'Opportunities'!$C$2:$C$1775,"=r21",'Opportunities'!$N$2:$N$1775,"=aug25",'Opportunities'!$R$2:$R$1775,"=1",'Opportunities'!$F$2:$F$1775,"=proposal")</f>
        <v>0</v>
      </c>
      <c r="H238" s="4">
        <f>SUMIFS('Opportunities'!$H$2:$H$1775,'Opportunities'!$C$2:$C$1775,"=r21",'Opportunities'!$N$2:$N$1775,"=sep25",'Opportunities'!$R$2:$R$1775,"=1",'Opportunities'!$F$2:$F$1775,"=proposal")</f>
        <v>0</v>
      </c>
      <c r="I238" s="4">
        <f>SUMIFS('Opportunities'!$H$2:$H$1775,'Opportunities'!$C$2:$C$1775,"=r21",'Opportunities'!$N$2:$N$1775,"=oct25",'Opportunities'!$R$2:$R$1775,"=1",'Opportunities'!$F$2:$F$1775,"=proposal")</f>
        <v>0</v>
      </c>
      <c r="J238" s="4">
        <f>SUMIFS('Opportunities'!$H$2:$H$1775,'Opportunities'!$C$2:$C$1775,"=r21",'Opportunities'!$N$2:$N$1775,"=nov25",'Opportunities'!$R$2:$R$1775,"=1",'Opportunities'!$F$2:$F$1775,"=proposal")</f>
        <v>0</v>
      </c>
      <c r="K238" s="4">
        <f>SUMIFS('Opportunities'!$H$2:$H$1775,'Opportunities'!$C$2:$C$1775,"=r21",'Opportunities'!$N$2:$N$1775,"=dec25",'Opportunities'!$R$2:$R$1775,"=1",'Opportunities'!$F$2:$F$1775,"=proposal")</f>
        <v>0</v>
      </c>
      <c r="L238" s="4">
        <f>SUMIFS('Opportunities'!$H$2:$H$1775,'Opportunities'!$C$2:$C$1775,"=r21",'Opportunities'!$N$2:$N$1775,"=jan26",'Opportunities'!$R$2:$R$1775,"=1",'Opportunities'!$F$2:$F$1775,"=proposal")</f>
        <v>0</v>
      </c>
      <c r="M238" s="4">
        <f>SUMIFS('Opportunities'!$H$2:$H$1775,'Opportunities'!$C$2:$C$1775,"=r21",'Opportunities'!$N$2:$N$1775,"=feb26",'Opportunities'!$R$2:$R$1775,"=1",'Opportunities'!$F$2:$F$1775,"=proposal")</f>
        <v>0</v>
      </c>
      <c r="N238" s="4">
        <f>SUMIFS('Opportunities'!$H$2:$H$1775,'Opportunities'!$C$2:$C$1775,"=r21",'Opportunities'!$N$2:$N$1775,"=mar26",'Opportunities'!$R$2:$R$1775,"=1",'Opportunities'!$F$2:$F$1775,"=proposal")</f>
        <v>0</v>
      </c>
      <c r="O238" s="4">
        <f>SUMIFS('Opportunities'!$H$2:$H$1775,'Opportunities'!$C$2:$C$1775,"=r21",'Opportunities'!$N$2:$N$1775,"=apr26",'Opportunities'!$R$2:$R$1775,"=1",'Opportunities'!$F$2:$F$1775,"=proposal")</f>
        <v>0</v>
      </c>
      <c r="P238" s="4">
        <f>SUMIFS('Opportunities'!$H$2:$H$1775,'Opportunities'!$C$2:$C$1775,"=r21",'Opportunities'!$N$2:$N$1775,"=may26",'Opportunities'!$R$2:$R$1775,"=1",'Opportunities'!$F$2:$F$1775,"=proposal")</f>
        <v>0</v>
      </c>
      <c r="Q238" s="4">
        <f>SUMIFS('Opportunities'!$H$2:$H$1775,'Opportunities'!$C$2:$C$1775,"=r21",'Opportunities'!$N$2:$N$1775,"=jun26",'Opportunities'!$R$2:$R$1775,"=1",'Opportunities'!$F$2:$F$1775,"=proposal")</f>
        <v>0</v>
      </c>
      <c r="R238" s="4">
        <f>SUMIFS('Opportunities'!$H$2:$H$1775,'Opportunities'!$C$2:$C$1775,"=r21",'Opportunities'!$N$2:$N$1775,"=jul26",'Opportunities'!$R$2:$R$1775,"=1",'Opportunities'!$F$2:$F$1775,"=proposal")</f>
        <v>0</v>
      </c>
      <c r="S238" s="4">
        <f>SUMIFS('Opportunities'!$H$2:$H$1775,'Opportunities'!$C$2:$C$1775,"=r21",'Opportunities'!$N$2:$N$1775,"=aug26",'Opportunities'!$R$2:$R$1775,"=1",'Opportunities'!$F$2:$F$1775,"=proposal")</f>
        <v>0</v>
      </c>
      <c r="T238" s="4">
        <f>SUMIFS('Opportunities'!$H$2:$H$1775,'Opportunities'!$C$2:$C$1775,"=r21",'Opportunities'!$N$2:$N$1775,"=sep26",'Opportunities'!$R$2:$R$1775,"=1",'Opportunities'!$F$2:$F$1775,"=proposal")</f>
        <v>38900</v>
      </c>
      <c r="U238" s="4">
        <f>SUMIFS('Opportunities'!$H$2:$H$1775,'Opportunities'!$C$2:$C$1775,"=r21",'Opportunities'!$N$2:$N$1775,"=oct26",'Opportunities'!$R$2:$R$1775,"=1",'Opportunities'!$F$2:$F$1775,"=proposal")</f>
        <v>22000</v>
      </c>
      <c r="V238" s="4">
        <f>SUMIFS('Opportunities'!$H$2:$H$1775,'Opportunities'!$C$2:$C$1775,"=r21",'Opportunities'!$N$2:$N$1775,"=nov26",'Opportunities'!$R$2:$R$1775,"=1",'Opportunities'!$F$2:$F$1775,"=proposal")</f>
        <v>0</v>
      </c>
      <c r="W238" s="4">
        <f>SUMIFS('Opportunities'!$H$2:$H$1775,'Opportunities'!$C$2:$C$1775,"=r21",'Opportunities'!$N$2:$N$1775,"=dec26",'Opportunities'!$R$2:$R$1775,"=1",'Opportunities'!$F$2:$F$1775,"=proposal")</f>
        <v>0</v>
      </c>
    </row>
    <row r="239">
      <c r="A239" s="0" t="inlineStr">
        <is>
          <t xml:space="preserve">Best case (proposal)</t>
        </is>
      </c>
      <c r="B239" s="0" t="inlineStr">
        <is>
          <t xml:space="preserve">Arjun Müller</t>
        </is>
      </c>
      <c r="C239" s="4">
        <f>SUMIFS('Opportunities'!$H$2:$H$1775,'Opportunities'!$C$2:$C$1775,"=r22",'Opportunities'!$N$2:$N$1775,"=apr25",'Opportunities'!$R$2:$R$1775,"=1",'Opportunities'!$F$2:$F$1775,"=proposal")</f>
        <v>0</v>
      </c>
      <c r="D239" s="4">
        <f>SUMIFS('Opportunities'!$H$2:$H$1775,'Opportunities'!$C$2:$C$1775,"=r22",'Opportunities'!$N$2:$N$1775,"=may25",'Opportunities'!$R$2:$R$1775,"=1",'Opportunities'!$F$2:$F$1775,"=proposal")</f>
        <v>0</v>
      </c>
      <c r="E239" s="4">
        <f>SUMIFS('Opportunities'!$H$2:$H$1775,'Opportunities'!$C$2:$C$1775,"=r22",'Opportunities'!$N$2:$N$1775,"=jun25",'Opportunities'!$R$2:$R$1775,"=1",'Opportunities'!$F$2:$F$1775,"=proposal")</f>
        <v>0</v>
      </c>
      <c r="F239" s="4">
        <f>SUMIFS('Opportunities'!$H$2:$H$1775,'Opportunities'!$C$2:$C$1775,"=r22",'Opportunities'!$N$2:$N$1775,"=jul25",'Opportunities'!$R$2:$R$1775,"=1",'Opportunities'!$F$2:$F$1775,"=proposal")</f>
        <v>0</v>
      </c>
      <c r="G239" s="4">
        <f>SUMIFS('Opportunities'!$H$2:$H$1775,'Opportunities'!$C$2:$C$1775,"=r22",'Opportunities'!$N$2:$N$1775,"=aug25",'Opportunities'!$R$2:$R$1775,"=1",'Opportunities'!$F$2:$F$1775,"=proposal")</f>
        <v>0</v>
      </c>
      <c r="H239" s="4">
        <f>SUMIFS('Opportunities'!$H$2:$H$1775,'Opportunities'!$C$2:$C$1775,"=r22",'Opportunities'!$N$2:$N$1775,"=sep25",'Opportunities'!$R$2:$R$1775,"=1",'Opportunities'!$F$2:$F$1775,"=proposal")</f>
        <v>0</v>
      </c>
      <c r="I239" s="4">
        <f>SUMIFS('Opportunities'!$H$2:$H$1775,'Opportunities'!$C$2:$C$1775,"=r22",'Opportunities'!$N$2:$N$1775,"=oct25",'Opportunities'!$R$2:$R$1775,"=1",'Opportunities'!$F$2:$F$1775,"=proposal")</f>
        <v>0</v>
      </c>
      <c r="J239" s="4">
        <f>SUMIFS('Opportunities'!$H$2:$H$1775,'Opportunities'!$C$2:$C$1775,"=r22",'Opportunities'!$N$2:$N$1775,"=nov25",'Opportunities'!$R$2:$R$1775,"=1",'Opportunities'!$F$2:$F$1775,"=proposal")</f>
        <v>0</v>
      </c>
      <c r="K239" s="4">
        <f>SUMIFS('Opportunities'!$H$2:$H$1775,'Opportunities'!$C$2:$C$1775,"=r22",'Opportunities'!$N$2:$N$1775,"=dec25",'Opportunities'!$R$2:$R$1775,"=1",'Opportunities'!$F$2:$F$1775,"=proposal")</f>
        <v>0</v>
      </c>
      <c r="L239" s="4">
        <f>SUMIFS('Opportunities'!$H$2:$H$1775,'Opportunities'!$C$2:$C$1775,"=r22",'Opportunities'!$N$2:$N$1775,"=jan26",'Opportunities'!$R$2:$R$1775,"=1",'Opportunities'!$F$2:$F$1775,"=proposal")</f>
        <v>0</v>
      </c>
      <c r="M239" s="4">
        <f>SUMIFS('Opportunities'!$H$2:$H$1775,'Opportunities'!$C$2:$C$1775,"=r22",'Opportunities'!$N$2:$N$1775,"=feb26",'Opportunities'!$R$2:$R$1775,"=1",'Opportunities'!$F$2:$F$1775,"=proposal")</f>
        <v>0</v>
      </c>
      <c r="N239" s="4">
        <f>SUMIFS('Opportunities'!$H$2:$H$1775,'Opportunities'!$C$2:$C$1775,"=r22",'Opportunities'!$N$2:$N$1775,"=mar26",'Opportunities'!$R$2:$R$1775,"=1",'Opportunities'!$F$2:$F$1775,"=proposal")</f>
        <v>0</v>
      </c>
      <c r="O239" s="4">
        <f>SUMIFS('Opportunities'!$H$2:$H$1775,'Opportunities'!$C$2:$C$1775,"=r22",'Opportunities'!$N$2:$N$1775,"=apr26",'Opportunities'!$R$2:$R$1775,"=1",'Opportunities'!$F$2:$F$1775,"=proposal")</f>
        <v>0</v>
      </c>
      <c r="P239" s="4">
        <f>SUMIFS('Opportunities'!$H$2:$H$1775,'Opportunities'!$C$2:$C$1775,"=r22",'Opportunities'!$N$2:$N$1775,"=may26",'Opportunities'!$R$2:$R$1775,"=1",'Opportunities'!$F$2:$F$1775,"=proposal")</f>
        <v>0</v>
      </c>
      <c r="Q239" s="4">
        <f>SUMIFS('Opportunities'!$H$2:$H$1775,'Opportunities'!$C$2:$C$1775,"=r22",'Opportunities'!$N$2:$N$1775,"=jun26",'Opportunities'!$R$2:$R$1775,"=1",'Opportunities'!$F$2:$F$1775,"=proposal")</f>
        <v>0</v>
      </c>
      <c r="R239" s="4">
        <f>SUMIFS('Opportunities'!$H$2:$H$1775,'Opportunities'!$C$2:$C$1775,"=r22",'Opportunities'!$N$2:$N$1775,"=jul26",'Opportunities'!$R$2:$R$1775,"=1",'Opportunities'!$F$2:$F$1775,"=proposal")</f>
        <v>0</v>
      </c>
      <c r="S239" s="4">
        <f>SUMIFS('Opportunities'!$H$2:$H$1775,'Opportunities'!$C$2:$C$1775,"=r22",'Opportunities'!$N$2:$N$1775,"=aug26",'Opportunities'!$R$2:$R$1775,"=1",'Opportunities'!$F$2:$F$1775,"=proposal")</f>
        <v>0</v>
      </c>
      <c r="T239" s="4">
        <f>SUMIFS('Opportunities'!$H$2:$H$1775,'Opportunities'!$C$2:$C$1775,"=r22",'Opportunities'!$N$2:$N$1775,"=sep26",'Opportunities'!$R$2:$R$1775,"=1",'Opportunities'!$F$2:$F$1775,"=proposal")</f>
        <v>0</v>
      </c>
      <c r="U239" s="4">
        <f>SUMIFS('Opportunities'!$H$2:$H$1775,'Opportunities'!$C$2:$C$1775,"=r22",'Opportunities'!$N$2:$N$1775,"=oct26",'Opportunities'!$R$2:$R$1775,"=1",'Opportunities'!$F$2:$F$1775,"=proposal")</f>
        <v>0</v>
      </c>
      <c r="V239" s="4">
        <f>SUMIFS('Opportunities'!$H$2:$H$1775,'Opportunities'!$C$2:$C$1775,"=r22",'Opportunities'!$N$2:$N$1775,"=nov26",'Opportunities'!$R$2:$R$1775,"=1",'Opportunities'!$F$2:$F$1775,"=proposal")</f>
        <v>0</v>
      </c>
      <c r="W239" s="4">
        <f>SUMIFS('Opportunities'!$H$2:$H$1775,'Opportunities'!$C$2:$C$1775,"=r22",'Opportunities'!$N$2:$N$1775,"=dec26",'Opportunities'!$R$2:$R$1775,"=1",'Opportunities'!$F$2:$F$1775,"=proposal")</f>
        <v>0</v>
      </c>
    </row>
    <row r="240">
      <c r="A240" s="0" t="inlineStr">
        <is>
          <t xml:space="preserve">Best case (proposal)</t>
        </is>
      </c>
      <c r="B240" s="0" t="inlineStr">
        <is>
          <t xml:space="preserve">Nikolai Park</t>
        </is>
      </c>
      <c r="C240" s="4">
        <f>SUMIFS('Opportunities'!$H$2:$H$1775,'Opportunities'!$C$2:$C$1775,"=r23",'Opportunities'!$N$2:$N$1775,"=apr25",'Opportunities'!$R$2:$R$1775,"=1",'Opportunities'!$F$2:$F$1775,"=proposal")</f>
        <v>0</v>
      </c>
      <c r="D240" s="4">
        <f>SUMIFS('Opportunities'!$H$2:$H$1775,'Opportunities'!$C$2:$C$1775,"=r23",'Opportunities'!$N$2:$N$1775,"=may25",'Opportunities'!$R$2:$R$1775,"=1",'Opportunities'!$F$2:$F$1775,"=proposal")</f>
        <v>0</v>
      </c>
      <c r="E240" s="4">
        <f>SUMIFS('Opportunities'!$H$2:$H$1775,'Opportunities'!$C$2:$C$1775,"=r23",'Opportunities'!$N$2:$N$1775,"=jun25",'Opportunities'!$R$2:$R$1775,"=1",'Opportunities'!$F$2:$F$1775,"=proposal")</f>
        <v>0</v>
      </c>
      <c r="F240" s="4">
        <f>SUMIFS('Opportunities'!$H$2:$H$1775,'Opportunities'!$C$2:$C$1775,"=r23",'Opportunities'!$N$2:$N$1775,"=jul25",'Opportunities'!$R$2:$R$1775,"=1",'Opportunities'!$F$2:$F$1775,"=proposal")</f>
        <v>0</v>
      </c>
      <c r="G240" s="4">
        <f>SUMIFS('Opportunities'!$H$2:$H$1775,'Opportunities'!$C$2:$C$1775,"=r23",'Opportunities'!$N$2:$N$1775,"=aug25",'Opportunities'!$R$2:$R$1775,"=1",'Opportunities'!$F$2:$F$1775,"=proposal")</f>
        <v>0</v>
      </c>
      <c r="H240" s="4">
        <f>SUMIFS('Opportunities'!$H$2:$H$1775,'Opportunities'!$C$2:$C$1775,"=r23",'Opportunities'!$N$2:$N$1775,"=sep25",'Opportunities'!$R$2:$R$1775,"=1",'Opportunities'!$F$2:$F$1775,"=proposal")</f>
        <v>0</v>
      </c>
      <c r="I240" s="4">
        <f>SUMIFS('Opportunities'!$H$2:$H$1775,'Opportunities'!$C$2:$C$1775,"=r23",'Opportunities'!$N$2:$N$1775,"=oct25",'Opportunities'!$R$2:$R$1775,"=1",'Opportunities'!$F$2:$F$1775,"=proposal")</f>
        <v>0</v>
      </c>
      <c r="J240" s="4">
        <f>SUMIFS('Opportunities'!$H$2:$H$1775,'Opportunities'!$C$2:$C$1775,"=r23",'Opportunities'!$N$2:$N$1775,"=nov25",'Opportunities'!$R$2:$R$1775,"=1",'Opportunities'!$F$2:$F$1775,"=proposal")</f>
        <v>0</v>
      </c>
      <c r="K240" s="4">
        <f>SUMIFS('Opportunities'!$H$2:$H$1775,'Opportunities'!$C$2:$C$1775,"=r23",'Opportunities'!$N$2:$N$1775,"=dec25",'Opportunities'!$R$2:$R$1775,"=1",'Opportunities'!$F$2:$F$1775,"=proposal")</f>
        <v>0</v>
      </c>
      <c r="L240" s="4">
        <f>SUMIFS('Opportunities'!$H$2:$H$1775,'Opportunities'!$C$2:$C$1775,"=r23",'Opportunities'!$N$2:$N$1775,"=jan26",'Opportunities'!$R$2:$R$1775,"=1",'Opportunities'!$F$2:$F$1775,"=proposal")</f>
        <v>0</v>
      </c>
      <c r="M240" s="4">
        <f>SUMIFS('Opportunities'!$H$2:$H$1775,'Opportunities'!$C$2:$C$1775,"=r23",'Opportunities'!$N$2:$N$1775,"=feb26",'Opportunities'!$R$2:$R$1775,"=1",'Opportunities'!$F$2:$F$1775,"=proposal")</f>
        <v>0</v>
      </c>
      <c r="N240" s="4">
        <f>SUMIFS('Opportunities'!$H$2:$H$1775,'Opportunities'!$C$2:$C$1775,"=r23",'Opportunities'!$N$2:$N$1775,"=mar26",'Opportunities'!$R$2:$R$1775,"=1",'Opportunities'!$F$2:$F$1775,"=proposal")</f>
        <v>0</v>
      </c>
      <c r="O240" s="4">
        <f>SUMIFS('Opportunities'!$H$2:$H$1775,'Opportunities'!$C$2:$C$1775,"=r23",'Opportunities'!$N$2:$N$1775,"=apr26",'Opportunities'!$R$2:$R$1775,"=1",'Opportunities'!$F$2:$F$1775,"=proposal")</f>
        <v>0</v>
      </c>
      <c r="P240" s="4">
        <f>SUMIFS('Opportunities'!$H$2:$H$1775,'Opportunities'!$C$2:$C$1775,"=r23",'Opportunities'!$N$2:$N$1775,"=may26",'Opportunities'!$R$2:$R$1775,"=1",'Opportunities'!$F$2:$F$1775,"=proposal")</f>
        <v>0</v>
      </c>
      <c r="Q240" s="4">
        <f>SUMIFS('Opportunities'!$H$2:$H$1775,'Opportunities'!$C$2:$C$1775,"=r23",'Opportunities'!$N$2:$N$1775,"=jun26",'Opportunities'!$R$2:$R$1775,"=1",'Opportunities'!$F$2:$F$1775,"=proposal")</f>
        <v>0</v>
      </c>
      <c r="R240" s="4">
        <f>SUMIFS('Opportunities'!$H$2:$H$1775,'Opportunities'!$C$2:$C$1775,"=r23",'Opportunities'!$N$2:$N$1775,"=jul26",'Opportunities'!$R$2:$R$1775,"=1",'Opportunities'!$F$2:$F$1775,"=proposal")</f>
        <v>0</v>
      </c>
      <c r="S240" s="4">
        <f>SUMIFS('Opportunities'!$H$2:$H$1775,'Opportunities'!$C$2:$C$1775,"=r23",'Opportunities'!$N$2:$N$1775,"=aug26",'Opportunities'!$R$2:$R$1775,"=1",'Opportunities'!$F$2:$F$1775,"=proposal")</f>
        <v>0</v>
      </c>
      <c r="T240" s="4">
        <f>SUMIFS('Opportunities'!$H$2:$H$1775,'Opportunities'!$C$2:$C$1775,"=r23",'Opportunities'!$N$2:$N$1775,"=sep26",'Opportunities'!$R$2:$R$1775,"=1",'Opportunities'!$F$2:$F$1775,"=proposal")</f>
        <v>0</v>
      </c>
      <c r="U240" s="4">
        <f>SUMIFS('Opportunities'!$H$2:$H$1775,'Opportunities'!$C$2:$C$1775,"=r23",'Opportunities'!$N$2:$N$1775,"=oct26",'Opportunities'!$R$2:$R$1775,"=1",'Opportunities'!$F$2:$F$1775,"=proposal")</f>
        <v>0</v>
      </c>
      <c r="V240" s="4">
        <f>SUMIFS('Opportunities'!$H$2:$H$1775,'Opportunities'!$C$2:$C$1775,"=r23",'Opportunities'!$N$2:$N$1775,"=nov26",'Opportunities'!$R$2:$R$1775,"=1",'Opportunities'!$F$2:$F$1775,"=proposal")</f>
        <v>0</v>
      </c>
      <c r="W240" s="4">
        <f>SUMIFS('Opportunities'!$H$2:$H$1775,'Opportunities'!$C$2:$C$1775,"=r23",'Opportunities'!$N$2:$N$1775,"=dec26",'Opportunities'!$R$2:$R$1775,"=1",'Opportunities'!$F$2:$F$1775,"=proposal")</f>
        <v>0</v>
      </c>
    </row>
    <row r="241">
      <c r="A241" s="0" t="inlineStr">
        <is>
          <t xml:space="preserve">Best case (proposal)</t>
        </is>
      </c>
      <c r="B241" s="0" t="inlineStr">
        <is>
          <t xml:space="preserve">Ingrid Dubois</t>
        </is>
      </c>
      <c r="C241" s="4">
        <f>SUMIFS('Opportunities'!$H$2:$H$1775,'Opportunities'!$C$2:$C$1775,"=r24",'Opportunities'!$N$2:$N$1775,"=apr25",'Opportunities'!$R$2:$R$1775,"=1",'Opportunities'!$F$2:$F$1775,"=proposal")</f>
        <v>0</v>
      </c>
      <c r="D241" s="4">
        <f>SUMIFS('Opportunities'!$H$2:$H$1775,'Opportunities'!$C$2:$C$1775,"=r24",'Opportunities'!$N$2:$N$1775,"=may25",'Opportunities'!$R$2:$R$1775,"=1",'Opportunities'!$F$2:$F$1775,"=proposal")</f>
        <v>0</v>
      </c>
      <c r="E241" s="4">
        <f>SUMIFS('Opportunities'!$H$2:$H$1775,'Opportunities'!$C$2:$C$1775,"=r24",'Opportunities'!$N$2:$N$1775,"=jun25",'Opportunities'!$R$2:$R$1775,"=1",'Opportunities'!$F$2:$F$1775,"=proposal")</f>
        <v>0</v>
      </c>
      <c r="F241" s="4">
        <f>SUMIFS('Opportunities'!$H$2:$H$1775,'Opportunities'!$C$2:$C$1775,"=r24",'Opportunities'!$N$2:$N$1775,"=jul25",'Opportunities'!$R$2:$R$1775,"=1",'Opportunities'!$F$2:$F$1775,"=proposal")</f>
        <v>0</v>
      </c>
      <c r="G241" s="4">
        <f>SUMIFS('Opportunities'!$H$2:$H$1775,'Opportunities'!$C$2:$C$1775,"=r24",'Opportunities'!$N$2:$N$1775,"=aug25",'Opportunities'!$R$2:$R$1775,"=1",'Opportunities'!$F$2:$F$1775,"=proposal")</f>
        <v>0</v>
      </c>
      <c r="H241" s="4">
        <f>SUMIFS('Opportunities'!$H$2:$H$1775,'Opportunities'!$C$2:$C$1775,"=r24",'Opportunities'!$N$2:$N$1775,"=sep25",'Opportunities'!$R$2:$R$1775,"=1",'Opportunities'!$F$2:$F$1775,"=proposal")</f>
        <v>0</v>
      </c>
      <c r="I241" s="4">
        <f>SUMIFS('Opportunities'!$H$2:$H$1775,'Opportunities'!$C$2:$C$1775,"=r24",'Opportunities'!$N$2:$N$1775,"=oct25",'Opportunities'!$R$2:$R$1775,"=1",'Opportunities'!$F$2:$F$1775,"=proposal")</f>
        <v>0</v>
      </c>
      <c r="J241" s="4">
        <f>SUMIFS('Opportunities'!$H$2:$H$1775,'Opportunities'!$C$2:$C$1775,"=r24",'Opportunities'!$N$2:$N$1775,"=nov25",'Opportunities'!$R$2:$R$1775,"=1",'Opportunities'!$F$2:$F$1775,"=proposal")</f>
        <v>0</v>
      </c>
      <c r="K241" s="4">
        <f>SUMIFS('Opportunities'!$H$2:$H$1775,'Opportunities'!$C$2:$C$1775,"=r24",'Opportunities'!$N$2:$N$1775,"=dec25",'Opportunities'!$R$2:$R$1775,"=1",'Opportunities'!$F$2:$F$1775,"=proposal")</f>
        <v>0</v>
      </c>
      <c r="L241" s="4">
        <f>SUMIFS('Opportunities'!$H$2:$H$1775,'Opportunities'!$C$2:$C$1775,"=r24",'Opportunities'!$N$2:$N$1775,"=jan26",'Opportunities'!$R$2:$R$1775,"=1",'Opportunities'!$F$2:$F$1775,"=proposal")</f>
        <v>0</v>
      </c>
      <c r="M241" s="4">
        <f>SUMIFS('Opportunities'!$H$2:$H$1775,'Opportunities'!$C$2:$C$1775,"=r24",'Opportunities'!$N$2:$N$1775,"=feb26",'Opportunities'!$R$2:$R$1775,"=1",'Opportunities'!$F$2:$F$1775,"=proposal")</f>
        <v>0</v>
      </c>
      <c r="N241" s="4">
        <f>SUMIFS('Opportunities'!$H$2:$H$1775,'Opportunities'!$C$2:$C$1775,"=r24",'Opportunities'!$N$2:$N$1775,"=mar26",'Opportunities'!$R$2:$R$1775,"=1",'Opportunities'!$F$2:$F$1775,"=proposal")</f>
        <v>0</v>
      </c>
      <c r="O241" s="4">
        <f>SUMIFS('Opportunities'!$H$2:$H$1775,'Opportunities'!$C$2:$C$1775,"=r24",'Opportunities'!$N$2:$N$1775,"=apr26",'Opportunities'!$R$2:$R$1775,"=1",'Opportunities'!$F$2:$F$1775,"=proposal")</f>
        <v>0</v>
      </c>
      <c r="P241" s="4">
        <f>SUMIFS('Opportunities'!$H$2:$H$1775,'Opportunities'!$C$2:$C$1775,"=r24",'Opportunities'!$N$2:$N$1775,"=may26",'Opportunities'!$R$2:$R$1775,"=1",'Opportunities'!$F$2:$F$1775,"=proposal")</f>
        <v>0</v>
      </c>
      <c r="Q241" s="4">
        <f>SUMIFS('Opportunities'!$H$2:$H$1775,'Opportunities'!$C$2:$C$1775,"=r24",'Opportunities'!$N$2:$N$1775,"=jun26",'Opportunities'!$R$2:$R$1775,"=1",'Opportunities'!$F$2:$F$1775,"=proposal")</f>
        <v>0</v>
      </c>
      <c r="R241" s="4">
        <f>SUMIFS('Opportunities'!$H$2:$H$1775,'Opportunities'!$C$2:$C$1775,"=r24",'Opportunities'!$N$2:$N$1775,"=jul26",'Opportunities'!$R$2:$R$1775,"=1",'Opportunities'!$F$2:$F$1775,"=proposal")</f>
        <v>0</v>
      </c>
      <c r="S241" s="4">
        <f>SUMIFS('Opportunities'!$H$2:$H$1775,'Opportunities'!$C$2:$C$1775,"=r24",'Opportunities'!$N$2:$N$1775,"=aug26",'Opportunities'!$R$2:$R$1775,"=1",'Opportunities'!$F$2:$F$1775,"=proposal")</f>
        <v>0</v>
      </c>
      <c r="T241" s="4">
        <f>SUMIFS('Opportunities'!$H$2:$H$1775,'Opportunities'!$C$2:$C$1775,"=r24",'Opportunities'!$N$2:$N$1775,"=sep26",'Opportunities'!$R$2:$R$1775,"=1",'Opportunities'!$F$2:$F$1775,"=proposal")</f>
        <v>0</v>
      </c>
      <c r="U241" s="4">
        <f>SUMIFS('Opportunities'!$H$2:$H$1775,'Opportunities'!$C$2:$C$1775,"=r24",'Opportunities'!$N$2:$N$1775,"=oct26",'Opportunities'!$R$2:$R$1775,"=1",'Opportunities'!$F$2:$F$1775,"=proposal")</f>
        <v>7000</v>
      </c>
      <c r="V241" s="4">
        <f>SUMIFS('Opportunities'!$H$2:$H$1775,'Opportunities'!$C$2:$C$1775,"=r24",'Opportunities'!$N$2:$N$1775,"=nov26",'Opportunities'!$R$2:$R$1775,"=1",'Opportunities'!$F$2:$F$1775,"=proposal")</f>
        <v>0</v>
      </c>
      <c r="W241" s="4">
        <f>SUMIFS('Opportunities'!$H$2:$H$1775,'Opportunities'!$C$2:$C$1775,"=r24",'Opportunities'!$N$2:$N$1775,"=dec26",'Opportunities'!$R$2:$R$1775,"=1",'Opportunities'!$F$2:$F$1775,"=proposal")</f>
        <v>46100</v>
      </c>
    </row>
    <row r="242">
      <c r="A242" s="0" t="inlineStr">
        <is>
          <t xml:space="preserve">Weighted pipeline</t>
        </is>
      </c>
      <c r="B242" s="0" t="inlineStr">
        <is>
          <t xml:space="preserve">Noor Ortiz</t>
        </is>
      </c>
      <c r="C242" s="4">
        <f>SUMIFS('Opportunities'!$S$2:$S$1775,'Opportunities'!$C$2:$C$1775,"=r01",'Opportunities'!$N$2:$N$1775,"=apr25",'Opportunities'!$R$2:$R$1775,"=1")</f>
        <v>0</v>
      </c>
      <c r="D242" s="4">
        <f>SUMIFS('Opportunities'!$S$2:$S$1775,'Opportunities'!$C$2:$C$1775,"=r01",'Opportunities'!$N$2:$N$1775,"=may25",'Opportunities'!$R$2:$R$1775,"=1")</f>
        <v>0</v>
      </c>
      <c r="E242" s="4">
        <f>SUMIFS('Opportunities'!$S$2:$S$1775,'Opportunities'!$C$2:$C$1775,"=r01",'Opportunities'!$N$2:$N$1775,"=jun25",'Opportunities'!$R$2:$R$1775,"=1")</f>
        <v>0</v>
      </c>
      <c r="F242" s="4">
        <f>SUMIFS('Opportunities'!$S$2:$S$1775,'Opportunities'!$C$2:$C$1775,"=r01",'Opportunities'!$N$2:$N$1775,"=jul25",'Opportunities'!$R$2:$R$1775,"=1")</f>
        <v>0</v>
      </c>
      <c r="G242" s="4">
        <f>SUMIFS('Opportunities'!$S$2:$S$1775,'Opportunities'!$C$2:$C$1775,"=r01",'Opportunities'!$N$2:$N$1775,"=aug25",'Opportunities'!$R$2:$R$1775,"=1")</f>
        <v>0</v>
      </c>
      <c r="H242" s="4">
        <f>SUMIFS('Opportunities'!$S$2:$S$1775,'Opportunities'!$C$2:$C$1775,"=r01",'Opportunities'!$N$2:$N$1775,"=sep25",'Opportunities'!$R$2:$R$1775,"=1")</f>
        <v>0</v>
      </c>
      <c r="I242" s="4">
        <f>SUMIFS('Opportunities'!$S$2:$S$1775,'Opportunities'!$C$2:$C$1775,"=r01",'Opportunities'!$N$2:$N$1775,"=oct25",'Opportunities'!$R$2:$R$1775,"=1")</f>
        <v>0</v>
      </c>
      <c r="J242" s="4">
        <f>SUMIFS('Opportunities'!$S$2:$S$1775,'Opportunities'!$C$2:$C$1775,"=r01",'Opportunities'!$N$2:$N$1775,"=nov25",'Opportunities'!$R$2:$R$1775,"=1")</f>
        <v>0</v>
      </c>
      <c r="K242" s="4">
        <f>SUMIFS('Opportunities'!$S$2:$S$1775,'Opportunities'!$C$2:$C$1775,"=r01",'Opportunities'!$N$2:$N$1775,"=dec25",'Opportunities'!$R$2:$R$1775,"=1")</f>
        <v>0</v>
      </c>
      <c r="L242" s="4">
        <f>SUMIFS('Opportunities'!$S$2:$S$1775,'Opportunities'!$C$2:$C$1775,"=r01",'Opportunities'!$N$2:$N$1775,"=jan26",'Opportunities'!$R$2:$R$1775,"=1")</f>
        <v>0</v>
      </c>
      <c r="M242" s="4">
        <f>SUMIFS('Opportunities'!$S$2:$S$1775,'Opportunities'!$C$2:$C$1775,"=r01",'Opportunities'!$N$2:$N$1775,"=feb26",'Opportunities'!$R$2:$R$1775,"=1")</f>
        <v>0</v>
      </c>
      <c r="N242" s="4">
        <f>SUMIFS('Opportunities'!$S$2:$S$1775,'Opportunities'!$C$2:$C$1775,"=r01",'Opportunities'!$N$2:$N$1775,"=mar26",'Opportunities'!$R$2:$R$1775,"=1")</f>
        <v>0</v>
      </c>
      <c r="O242" s="4">
        <f>SUMIFS('Opportunities'!$S$2:$S$1775,'Opportunities'!$C$2:$C$1775,"=r01",'Opportunities'!$N$2:$N$1775,"=apr26",'Opportunities'!$R$2:$R$1775,"=1")</f>
        <v>0</v>
      </c>
      <c r="P242" s="4">
        <f>SUMIFS('Opportunities'!$S$2:$S$1775,'Opportunities'!$C$2:$C$1775,"=r01",'Opportunities'!$N$2:$N$1775,"=may26",'Opportunities'!$R$2:$R$1775,"=1")</f>
        <v>0</v>
      </c>
      <c r="Q242" s="4">
        <f>SUMIFS('Opportunities'!$S$2:$S$1775,'Opportunities'!$C$2:$C$1775,"=r01",'Opportunities'!$N$2:$N$1775,"=jun26",'Opportunities'!$R$2:$R$1775,"=1")</f>
        <v>0</v>
      </c>
      <c r="R242" s="4">
        <f>SUMIFS('Opportunities'!$S$2:$S$1775,'Opportunities'!$C$2:$C$1775,"=r01",'Opportunities'!$N$2:$N$1775,"=jul26",'Opportunities'!$R$2:$R$1775,"=1")</f>
        <v>0</v>
      </c>
      <c r="S242" s="4">
        <f>SUMIFS('Opportunities'!$S$2:$S$1775,'Opportunities'!$C$2:$C$1775,"=r01",'Opportunities'!$N$2:$N$1775,"=aug26",'Opportunities'!$R$2:$R$1775,"=1")</f>
        <v>0</v>
      </c>
      <c r="T242" s="4">
        <f>SUMIFS('Opportunities'!$S$2:$S$1775,'Opportunities'!$C$2:$C$1775,"=r01",'Opportunities'!$N$2:$N$1775,"=sep26",'Opportunities'!$R$2:$R$1775,"=1")</f>
        <v>64675</v>
      </c>
      <c r="U242" s="4">
        <f>SUMIFS('Opportunities'!$S$2:$S$1775,'Opportunities'!$C$2:$C$1775,"=r01",'Opportunities'!$N$2:$N$1775,"=oct26",'Opportunities'!$R$2:$R$1775,"=1")</f>
        <v>691425</v>
      </c>
      <c r="V242" s="4">
        <f>SUMIFS('Opportunities'!$S$2:$S$1775,'Opportunities'!$C$2:$C$1775,"=r01",'Opportunities'!$N$2:$N$1775,"=nov26",'Opportunities'!$R$2:$R$1775,"=1")</f>
        <v>18390</v>
      </c>
      <c r="W242" s="4">
        <f>SUMIFS('Opportunities'!$S$2:$S$1775,'Opportunities'!$C$2:$C$1775,"=r01",'Opportunities'!$N$2:$N$1775,"=dec26",'Opportunities'!$R$2:$R$1775,"=1")</f>
        <v>419515</v>
      </c>
    </row>
    <row r="243">
      <c r="A243" s="0" t="inlineStr">
        <is>
          <t xml:space="preserve">Weighted pipeline</t>
        </is>
      </c>
      <c r="B243" s="0" t="inlineStr">
        <is>
          <t xml:space="preserve">Priya Yilmaz</t>
        </is>
      </c>
      <c r="C243" s="4">
        <f>SUMIFS('Opportunities'!$S$2:$S$1775,'Opportunities'!$C$2:$C$1775,"=r02",'Opportunities'!$N$2:$N$1775,"=apr25",'Opportunities'!$R$2:$R$1775,"=1")</f>
        <v>0</v>
      </c>
      <c r="D243" s="4">
        <f>SUMIFS('Opportunities'!$S$2:$S$1775,'Opportunities'!$C$2:$C$1775,"=r02",'Opportunities'!$N$2:$N$1775,"=may25",'Opportunities'!$R$2:$R$1775,"=1")</f>
        <v>0</v>
      </c>
      <c r="E243" s="4">
        <f>SUMIFS('Opportunities'!$S$2:$S$1775,'Opportunities'!$C$2:$C$1775,"=r02",'Opportunities'!$N$2:$N$1775,"=jun25",'Opportunities'!$R$2:$R$1775,"=1")</f>
        <v>0</v>
      </c>
      <c r="F243" s="4">
        <f>SUMIFS('Opportunities'!$S$2:$S$1775,'Opportunities'!$C$2:$C$1775,"=r02",'Opportunities'!$N$2:$N$1775,"=jul25",'Opportunities'!$R$2:$R$1775,"=1")</f>
        <v>0</v>
      </c>
      <c r="G243" s="4">
        <f>SUMIFS('Opportunities'!$S$2:$S$1775,'Opportunities'!$C$2:$C$1775,"=r02",'Opportunities'!$N$2:$N$1775,"=aug25",'Opportunities'!$R$2:$R$1775,"=1")</f>
        <v>0</v>
      </c>
      <c r="H243" s="4">
        <f>SUMIFS('Opportunities'!$S$2:$S$1775,'Opportunities'!$C$2:$C$1775,"=r02",'Opportunities'!$N$2:$N$1775,"=sep25",'Opportunities'!$R$2:$R$1775,"=1")</f>
        <v>0</v>
      </c>
      <c r="I243" s="4">
        <f>SUMIFS('Opportunities'!$S$2:$S$1775,'Opportunities'!$C$2:$C$1775,"=r02",'Opportunities'!$N$2:$N$1775,"=oct25",'Opportunities'!$R$2:$R$1775,"=1")</f>
        <v>0</v>
      </c>
      <c r="J243" s="4">
        <f>SUMIFS('Opportunities'!$S$2:$S$1775,'Opportunities'!$C$2:$C$1775,"=r02",'Opportunities'!$N$2:$N$1775,"=nov25",'Opportunities'!$R$2:$R$1775,"=1")</f>
        <v>0</v>
      </c>
      <c r="K243" s="4">
        <f>SUMIFS('Opportunities'!$S$2:$S$1775,'Opportunities'!$C$2:$C$1775,"=r02",'Opportunities'!$N$2:$N$1775,"=dec25",'Opportunities'!$R$2:$R$1775,"=1")</f>
        <v>0</v>
      </c>
      <c r="L243" s="4">
        <f>SUMIFS('Opportunities'!$S$2:$S$1775,'Opportunities'!$C$2:$C$1775,"=r02",'Opportunities'!$N$2:$N$1775,"=jan26",'Opportunities'!$R$2:$R$1775,"=1")</f>
        <v>0</v>
      </c>
      <c r="M243" s="4">
        <f>SUMIFS('Opportunities'!$S$2:$S$1775,'Opportunities'!$C$2:$C$1775,"=r02",'Opportunities'!$N$2:$N$1775,"=feb26",'Opportunities'!$R$2:$R$1775,"=1")</f>
        <v>0</v>
      </c>
      <c r="N243" s="4">
        <f>SUMIFS('Opportunities'!$S$2:$S$1775,'Opportunities'!$C$2:$C$1775,"=r02",'Opportunities'!$N$2:$N$1775,"=mar26",'Opportunities'!$R$2:$R$1775,"=1")</f>
        <v>0</v>
      </c>
      <c r="O243" s="4">
        <f>SUMIFS('Opportunities'!$S$2:$S$1775,'Opportunities'!$C$2:$C$1775,"=r02",'Opportunities'!$N$2:$N$1775,"=apr26",'Opportunities'!$R$2:$R$1775,"=1")</f>
        <v>0</v>
      </c>
      <c r="P243" s="4">
        <f>SUMIFS('Opportunities'!$S$2:$S$1775,'Opportunities'!$C$2:$C$1775,"=r02",'Opportunities'!$N$2:$N$1775,"=may26",'Opportunities'!$R$2:$R$1775,"=1")</f>
        <v>0</v>
      </c>
      <c r="Q243" s="4">
        <f>SUMIFS('Opportunities'!$S$2:$S$1775,'Opportunities'!$C$2:$C$1775,"=r02",'Opportunities'!$N$2:$N$1775,"=jun26",'Opportunities'!$R$2:$R$1775,"=1")</f>
        <v>0</v>
      </c>
      <c r="R243" s="4">
        <f>SUMIFS('Opportunities'!$S$2:$S$1775,'Opportunities'!$C$2:$C$1775,"=r02",'Opportunities'!$N$2:$N$1775,"=jul26",'Opportunities'!$R$2:$R$1775,"=1")</f>
        <v>0</v>
      </c>
      <c r="S243" s="4">
        <f>SUMIFS('Opportunities'!$S$2:$S$1775,'Opportunities'!$C$2:$C$1775,"=r02",'Opportunities'!$N$2:$N$1775,"=aug26",'Opportunities'!$R$2:$R$1775,"=1")</f>
        <v>0</v>
      </c>
      <c r="T243" s="4">
        <f>SUMIFS('Opportunities'!$S$2:$S$1775,'Opportunities'!$C$2:$C$1775,"=r02",'Opportunities'!$N$2:$N$1775,"=sep26",'Opportunities'!$R$2:$R$1775,"=1")</f>
        <v>12830</v>
      </c>
      <c r="U243" s="4">
        <f>SUMIFS('Opportunities'!$S$2:$S$1775,'Opportunities'!$C$2:$C$1775,"=r02",'Opportunities'!$N$2:$N$1775,"=oct26",'Opportunities'!$R$2:$R$1775,"=1")</f>
        <v>0</v>
      </c>
      <c r="V243" s="4">
        <f>SUMIFS('Opportunities'!$S$2:$S$1775,'Opportunities'!$C$2:$C$1775,"=r02",'Opportunities'!$N$2:$N$1775,"=nov26",'Opportunities'!$R$2:$R$1775,"=1")</f>
        <v>0</v>
      </c>
      <c r="W243" s="4">
        <f>SUMIFS('Opportunities'!$S$2:$S$1775,'Opportunities'!$C$2:$C$1775,"=r02",'Opportunities'!$N$2:$N$1775,"=dec26",'Opportunities'!$R$2:$R$1775,"=1")</f>
        <v>25690</v>
      </c>
    </row>
    <row r="244">
      <c r="A244" s="0" t="inlineStr">
        <is>
          <t xml:space="preserve">Weighted pipeline</t>
        </is>
      </c>
      <c r="B244" s="0" t="inlineStr">
        <is>
          <t xml:space="preserve">Marcus Schmidt</t>
        </is>
      </c>
      <c r="C244" s="4">
        <f>SUMIFS('Opportunities'!$S$2:$S$1775,'Opportunities'!$C$2:$C$1775,"=r03",'Opportunities'!$N$2:$N$1775,"=apr25",'Opportunities'!$R$2:$R$1775,"=1")</f>
        <v>0</v>
      </c>
      <c r="D244" s="4">
        <f>SUMIFS('Opportunities'!$S$2:$S$1775,'Opportunities'!$C$2:$C$1775,"=r03",'Opportunities'!$N$2:$N$1775,"=may25",'Opportunities'!$R$2:$R$1775,"=1")</f>
        <v>0</v>
      </c>
      <c r="E244" s="4">
        <f>SUMIFS('Opportunities'!$S$2:$S$1775,'Opportunities'!$C$2:$C$1775,"=r03",'Opportunities'!$N$2:$N$1775,"=jun25",'Opportunities'!$R$2:$R$1775,"=1")</f>
        <v>0</v>
      </c>
      <c r="F244" s="4">
        <f>SUMIFS('Opportunities'!$S$2:$S$1775,'Opportunities'!$C$2:$C$1775,"=r03",'Opportunities'!$N$2:$N$1775,"=jul25",'Opportunities'!$R$2:$R$1775,"=1")</f>
        <v>0</v>
      </c>
      <c r="G244" s="4">
        <f>SUMIFS('Opportunities'!$S$2:$S$1775,'Opportunities'!$C$2:$C$1775,"=r03",'Opportunities'!$N$2:$N$1775,"=aug25",'Opportunities'!$R$2:$R$1775,"=1")</f>
        <v>0</v>
      </c>
      <c r="H244" s="4">
        <f>SUMIFS('Opportunities'!$S$2:$S$1775,'Opportunities'!$C$2:$C$1775,"=r03",'Opportunities'!$N$2:$N$1775,"=sep25",'Opportunities'!$R$2:$R$1775,"=1")</f>
        <v>0</v>
      </c>
      <c r="I244" s="4">
        <f>SUMIFS('Opportunities'!$S$2:$S$1775,'Opportunities'!$C$2:$C$1775,"=r03",'Opportunities'!$N$2:$N$1775,"=oct25",'Opportunities'!$R$2:$R$1775,"=1")</f>
        <v>0</v>
      </c>
      <c r="J244" s="4">
        <f>SUMIFS('Opportunities'!$S$2:$S$1775,'Opportunities'!$C$2:$C$1775,"=r03",'Opportunities'!$N$2:$N$1775,"=nov25",'Opportunities'!$R$2:$R$1775,"=1")</f>
        <v>0</v>
      </c>
      <c r="K244" s="4">
        <f>SUMIFS('Opportunities'!$S$2:$S$1775,'Opportunities'!$C$2:$C$1775,"=r03",'Opportunities'!$N$2:$N$1775,"=dec25",'Opportunities'!$R$2:$R$1775,"=1")</f>
        <v>0</v>
      </c>
      <c r="L244" s="4">
        <f>SUMIFS('Opportunities'!$S$2:$S$1775,'Opportunities'!$C$2:$C$1775,"=r03",'Opportunities'!$N$2:$N$1775,"=jan26",'Opportunities'!$R$2:$R$1775,"=1")</f>
        <v>0</v>
      </c>
      <c r="M244" s="4">
        <f>SUMIFS('Opportunities'!$S$2:$S$1775,'Opportunities'!$C$2:$C$1775,"=r03",'Opportunities'!$N$2:$N$1775,"=feb26",'Opportunities'!$R$2:$R$1775,"=1")</f>
        <v>0</v>
      </c>
      <c r="N244" s="4">
        <f>SUMIFS('Opportunities'!$S$2:$S$1775,'Opportunities'!$C$2:$C$1775,"=r03",'Opportunities'!$N$2:$N$1775,"=mar26",'Opportunities'!$R$2:$R$1775,"=1")</f>
        <v>0</v>
      </c>
      <c r="O244" s="4">
        <f>SUMIFS('Opportunities'!$S$2:$S$1775,'Opportunities'!$C$2:$C$1775,"=r03",'Opportunities'!$N$2:$N$1775,"=apr26",'Opportunities'!$R$2:$R$1775,"=1")</f>
        <v>0</v>
      </c>
      <c r="P244" s="4">
        <f>SUMIFS('Opportunities'!$S$2:$S$1775,'Opportunities'!$C$2:$C$1775,"=r03",'Opportunities'!$N$2:$N$1775,"=may26",'Opportunities'!$R$2:$R$1775,"=1")</f>
        <v>0</v>
      </c>
      <c r="Q244" s="4">
        <f>SUMIFS('Opportunities'!$S$2:$S$1775,'Opportunities'!$C$2:$C$1775,"=r03",'Opportunities'!$N$2:$N$1775,"=jun26",'Opportunities'!$R$2:$R$1775,"=1")</f>
        <v>0</v>
      </c>
      <c r="R244" s="4">
        <f>SUMIFS('Opportunities'!$S$2:$S$1775,'Opportunities'!$C$2:$C$1775,"=r03",'Opportunities'!$N$2:$N$1775,"=jul26",'Opportunities'!$R$2:$R$1775,"=1")</f>
        <v>0</v>
      </c>
      <c r="S244" s="4">
        <f>SUMIFS('Opportunities'!$S$2:$S$1775,'Opportunities'!$C$2:$C$1775,"=r03",'Opportunities'!$N$2:$N$1775,"=aug26",'Opportunities'!$R$2:$R$1775,"=1")</f>
        <v>0</v>
      </c>
      <c r="T244" s="4">
        <f>SUMIFS('Opportunities'!$S$2:$S$1775,'Opportunities'!$C$2:$C$1775,"=r03",'Opportunities'!$N$2:$N$1775,"=sep26",'Opportunities'!$R$2:$R$1775,"=1")</f>
        <v>82000</v>
      </c>
      <c r="U244" s="4">
        <f>SUMIFS('Opportunities'!$S$2:$S$1775,'Opportunities'!$C$2:$C$1775,"=r03",'Opportunities'!$N$2:$N$1775,"=oct26",'Opportunities'!$R$2:$R$1775,"=1")</f>
        <v>44975</v>
      </c>
      <c r="V244" s="4">
        <f>SUMIFS('Opportunities'!$S$2:$S$1775,'Opportunities'!$C$2:$C$1775,"=r03",'Opportunities'!$N$2:$N$1775,"=nov26",'Opportunities'!$R$2:$R$1775,"=1")</f>
        <v>0</v>
      </c>
      <c r="W244" s="4">
        <f>SUMIFS('Opportunities'!$S$2:$S$1775,'Opportunities'!$C$2:$C$1775,"=r03",'Opportunities'!$N$2:$N$1775,"=dec26",'Opportunities'!$R$2:$R$1775,"=1")</f>
        <v>38580</v>
      </c>
    </row>
    <row r="245">
      <c r="A245" s="0" t="inlineStr">
        <is>
          <t xml:space="preserve">Weighted pipeline</t>
        </is>
      </c>
      <c r="B245" s="0" t="inlineStr">
        <is>
          <t xml:space="preserve">Amara Haddad</t>
        </is>
      </c>
      <c r="C245" s="4">
        <f>SUMIFS('Opportunities'!$S$2:$S$1775,'Opportunities'!$C$2:$C$1775,"=r04",'Opportunities'!$N$2:$N$1775,"=apr25",'Opportunities'!$R$2:$R$1775,"=1")</f>
        <v>0</v>
      </c>
      <c r="D245" s="4">
        <f>SUMIFS('Opportunities'!$S$2:$S$1775,'Opportunities'!$C$2:$C$1775,"=r04",'Opportunities'!$N$2:$N$1775,"=may25",'Opportunities'!$R$2:$R$1775,"=1")</f>
        <v>0</v>
      </c>
      <c r="E245" s="4">
        <f>SUMIFS('Opportunities'!$S$2:$S$1775,'Opportunities'!$C$2:$C$1775,"=r04",'Opportunities'!$N$2:$N$1775,"=jun25",'Opportunities'!$R$2:$R$1775,"=1")</f>
        <v>0</v>
      </c>
      <c r="F245" s="4">
        <f>SUMIFS('Opportunities'!$S$2:$S$1775,'Opportunities'!$C$2:$C$1775,"=r04",'Opportunities'!$N$2:$N$1775,"=jul25",'Opportunities'!$R$2:$R$1775,"=1")</f>
        <v>0</v>
      </c>
      <c r="G245" s="4">
        <f>SUMIFS('Opportunities'!$S$2:$S$1775,'Opportunities'!$C$2:$C$1775,"=r04",'Opportunities'!$N$2:$N$1775,"=aug25",'Opportunities'!$R$2:$R$1775,"=1")</f>
        <v>0</v>
      </c>
      <c r="H245" s="4">
        <f>SUMIFS('Opportunities'!$S$2:$S$1775,'Opportunities'!$C$2:$C$1775,"=r04",'Opportunities'!$N$2:$N$1775,"=sep25",'Opportunities'!$R$2:$R$1775,"=1")</f>
        <v>0</v>
      </c>
      <c r="I245" s="4">
        <f>SUMIFS('Opportunities'!$S$2:$S$1775,'Opportunities'!$C$2:$C$1775,"=r04",'Opportunities'!$N$2:$N$1775,"=oct25",'Opportunities'!$R$2:$R$1775,"=1")</f>
        <v>0</v>
      </c>
      <c r="J245" s="4">
        <f>SUMIFS('Opportunities'!$S$2:$S$1775,'Opportunities'!$C$2:$C$1775,"=r04",'Opportunities'!$N$2:$N$1775,"=nov25",'Opportunities'!$R$2:$R$1775,"=1")</f>
        <v>0</v>
      </c>
      <c r="K245" s="4">
        <f>SUMIFS('Opportunities'!$S$2:$S$1775,'Opportunities'!$C$2:$C$1775,"=r04",'Opportunities'!$N$2:$N$1775,"=dec25",'Opportunities'!$R$2:$R$1775,"=1")</f>
        <v>0</v>
      </c>
      <c r="L245" s="4">
        <f>SUMIFS('Opportunities'!$S$2:$S$1775,'Opportunities'!$C$2:$C$1775,"=r04",'Opportunities'!$N$2:$N$1775,"=jan26",'Opportunities'!$R$2:$R$1775,"=1")</f>
        <v>0</v>
      </c>
      <c r="M245" s="4">
        <f>SUMIFS('Opportunities'!$S$2:$S$1775,'Opportunities'!$C$2:$C$1775,"=r04",'Opportunities'!$N$2:$N$1775,"=feb26",'Opportunities'!$R$2:$R$1775,"=1")</f>
        <v>0</v>
      </c>
      <c r="N245" s="4">
        <f>SUMIFS('Opportunities'!$S$2:$S$1775,'Opportunities'!$C$2:$C$1775,"=r04",'Opportunities'!$N$2:$N$1775,"=mar26",'Opportunities'!$R$2:$R$1775,"=1")</f>
        <v>0</v>
      </c>
      <c r="O245" s="4">
        <f>SUMIFS('Opportunities'!$S$2:$S$1775,'Opportunities'!$C$2:$C$1775,"=r04",'Opportunities'!$N$2:$N$1775,"=apr26",'Opportunities'!$R$2:$R$1775,"=1")</f>
        <v>0</v>
      </c>
      <c r="P245" s="4">
        <f>SUMIFS('Opportunities'!$S$2:$S$1775,'Opportunities'!$C$2:$C$1775,"=r04",'Opportunities'!$N$2:$N$1775,"=may26",'Opportunities'!$R$2:$R$1775,"=1")</f>
        <v>0</v>
      </c>
      <c r="Q245" s="4">
        <f>SUMIFS('Opportunities'!$S$2:$S$1775,'Opportunities'!$C$2:$C$1775,"=r04",'Opportunities'!$N$2:$N$1775,"=jun26",'Opportunities'!$R$2:$R$1775,"=1")</f>
        <v>0</v>
      </c>
      <c r="R245" s="4">
        <f>SUMIFS('Opportunities'!$S$2:$S$1775,'Opportunities'!$C$2:$C$1775,"=r04",'Opportunities'!$N$2:$N$1775,"=jul26",'Opportunities'!$R$2:$R$1775,"=1")</f>
        <v>0</v>
      </c>
      <c r="S245" s="4">
        <f>SUMIFS('Opportunities'!$S$2:$S$1775,'Opportunities'!$C$2:$C$1775,"=r04",'Opportunities'!$N$2:$N$1775,"=aug26",'Opportunities'!$R$2:$R$1775,"=1")</f>
        <v>0</v>
      </c>
      <c r="T245" s="4">
        <f>SUMIFS('Opportunities'!$S$2:$S$1775,'Opportunities'!$C$2:$C$1775,"=r04",'Opportunities'!$N$2:$N$1775,"=sep26",'Opportunities'!$R$2:$R$1775,"=1")</f>
        <v>61600</v>
      </c>
      <c r="U245" s="4">
        <f>SUMIFS('Opportunities'!$S$2:$S$1775,'Opportunities'!$C$2:$C$1775,"=r04",'Opportunities'!$N$2:$N$1775,"=oct26",'Opportunities'!$R$2:$R$1775,"=1")</f>
        <v>101930</v>
      </c>
      <c r="V245" s="4">
        <f>SUMIFS('Opportunities'!$S$2:$S$1775,'Opportunities'!$C$2:$C$1775,"=r04",'Opportunities'!$N$2:$N$1775,"=nov26",'Opportunities'!$R$2:$R$1775,"=1")</f>
        <v>21780</v>
      </c>
      <c r="W245" s="4">
        <f>SUMIFS('Opportunities'!$S$2:$S$1775,'Opportunities'!$C$2:$C$1775,"=r04",'Opportunities'!$N$2:$N$1775,"=dec26",'Opportunities'!$R$2:$R$1775,"=1")</f>
        <v>51090</v>
      </c>
    </row>
    <row r="246">
      <c r="A246" s="0" t="inlineStr">
        <is>
          <t xml:space="preserve">Weighted pipeline</t>
        </is>
      </c>
      <c r="B246" s="0" t="inlineStr">
        <is>
          <t xml:space="preserve">Fatima Silva</t>
        </is>
      </c>
      <c r="C246" s="4">
        <f>SUMIFS('Opportunities'!$S$2:$S$1775,'Opportunities'!$C$2:$C$1775,"=r05",'Opportunities'!$N$2:$N$1775,"=apr25",'Opportunities'!$R$2:$R$1775,"=1")</f>
        <v>0</v>
      </c>
      <c r="D246" s="4">
        <f>SUMIFS('Opportunities'!$S$2:$S$1775,'Opportunities'!$C$2:$C$1775,"=r05",'Opportunities'!$N$2:$N$1775,"=may25",'Opportunities'!$R$2:$R$1775,"=1")</f>
        <v>0</v>
      </c>
      <c r="E246" s="4">
        <f>SUMIFS('Opportunities'!$S$2:$S$1775,'Opportunities'!$C$2:$C$1775,"=r05",'Opportunities'!$N$2:$N$1775,"=jun25",'Opportunities'!$R$2:$R$1775,"=1")</f>
        <v>0</v>
      </c>
      <c r="F246" s="4">
        <f>SUMIFS('Opportunities'!$S$2:$S$1775,'Opportunities'!$C$2:$C$1775,"=r05",'Opportunities'!$N$2:$N$1775,"=jul25",'Opportunities'!$R$2:$R$1775,"=1")</f>
        <v>0</v>
      </c>
      <c r="G246" s="4">
        <f>SUMIFS('Opportunities'!$S$2:$S$1775,'Opportunities'!$C$2:$C$1775,"=r05",'Opportunities'!$N$2:$N$1775,"=aug25",'Opportunities'!$R$2:$R$1775,"=1")</f>
        <v>0</v>
      </c>
      <c r="H246" s="4">
        <f>SUMIFS('Opportunities'!$S$2:$S$1775,'Opportunities'!$C$2:$C$1775,"=r05",'Opportunities'!$N$2:$N$1775,"=sep25",'Opportunities'!$R$2:$R$1775,"=1")</f>
        <v>0</v>
      </c>
      <c r="I246" s="4">
        <f>SUMIFS('Opportunities'!$S$2:$S$1775,'Opportunities'!$C$2:$C$1775,"=r05",'Opportunities'!$N$2:$N$1775,"=oct25",'Opportunities'!$R$2:$R$1775,"=1")</f>
        <v>0</v>
      </c>
      <c r="J246" s="4">
        <f>SUMIFS('Opportunities'!$S$2:$S$1775,'Opportunities'!$C$2:$C$1775,"=r05",'Opportunities'!$N$2:$N$1775,"=nov25",'Opportunities'!$R$2:$R$1775,"=1")</f>
        <v>0</v>
      </c>
      <c r="K246" s="4">
        <f>SUMIFS('Opportunities'!$S$2:$S$1775,'Opportunities'!$C$2:$C$1775,"=r05",'Opportunities'!$N$2:$N$1775,"=dec25",'Opportunities'!$R$2:$R$1775,"=1")</f>
        <v>0</v>
      </c>
      <c r="L246" s="4">
        <f>SUMIFS('Opportunities'!$S$2:$S$1775,'Opportunities'!$C$2:$C$1775,"=r05",'Opportunities'!$N$2:$N$1775,"=jan26",'Opportunities'!$R$2:$R$1775,"=1")</f>
        <v>0</v>
      </c>
      <c r="M246" s="4">
        <f>SUMIFS('Opportunities'!$S$2:$S$1775,'Opportunities'!$C$2:$C$1775,"=r05",'Opportunities'!$N$2:$N$1775,"=feb26",'Opportunities'!$R$2:$R$1775,"=1")</f>
        <v>0</v>
      </c>
      <c r="N246" s="4">
        <f>SUMIFS('Opportunities'!$S$2:$S$1775,'Opportunities'!$C$2:$C$1775,"=r05",'Opportunities'!$N$2:$N$1775,"=mar26",'Opportunities'!$R$2:$R$1775,"=1")</f>
        <v>0</v>
      </c>
      <c r="O246" s="4">
        <f>SUMIFS('Opportunities'!$S$2:$S$1775,'Opportunities'!$C$2:$C$1775,"=r05",'Opportunities'!$N$2:$N$1775,"=apr26",'Opportunities'!$R$2:$R$1775,"=1")</f>
        <v>0</v>
      </c>
      <c r="P246" s="4">
        <f>SUMIFS('Opportunities'!$S$2:$S$1775,'Opportunities'!$C$2:$C$1775,"=r05",'Opportunities'!$N$2:$N$1775,"=may26",'Opportunities'!$R$2:$R$1775,"=1")</f>
        <v>0</v>
      </c>
      <c r="Q246" s="4">
        <f>SUMIFS('Opportunities'!$S$2:$S$1775,'Opportunities'!$C$2:$C$1775,"=r05",'Opportunities'!$N$2:$N$1775,"=jun26",'Opportunities'!$R$2:$R$1775,"=1")</f>
        <v>0</v>
      </c>
      <c r="R246" s="4">
        <f>SUMIFS('Opportunities'!$S$2:$S$1775,'Opportunities'!$C$2:$C$1775,"=r05",'Opportunities'!$N$2:$N$1775,"=jul26",'Opportunities'!$R$2:$R$1775,"=1")</f>
        <v>0</v>
      </c>
      <c r="S246" s="4">
        <f>SUMIFS('Opportunities'!$S$2:$S$1775,'Opportunities'!$C$2:$C$1775,"=r05",'Opportunities'!$N$2:$N$1775,"=aug26",'Opportunities'!$R$2:$R$1775,"=1")</f>
        <v>0</v>
      </c>
      <c r="T246" s="4">
        <f>SUMIFS('Opportunities'!$S$2:$S$1775,'Opportunities'!$C$2:$C$1775,"=r05",'Opportunities'!$N$2:$N$1775,"=sep26",'Opportunities'!$R$2:$R$1775,"=1")</f>
        <v>30810</v>
      </c>
      <c r="U246" s="4">
        <f>SUMIFS('Opportunities'!$S$2:$S$1775,'Opportunities'!$C$2:$C$1775,"=r05",'Opportunities'!$N$2:$N$1775,"=oct26",'Opportunities'!$R$2:$R$1775,"=1")</f>
        <v>27530</v>
      </c>
      <c r="V246" s="4">
        <f>SUMIFS('Opportunities'!$S$2:$S$1775,'Opportunities'!$C$2:$C$1775,"=r05",'Opportunities'!$N$2:$N$1775,"=nov26",'Opportunities'!$R$2:$R$1775,"=1")</f>
        <v>7650</v>
      </c>
      <c r="W246" s="4">
        <f>SUMIFS('Opportunities'!$S$2:$S$1775,'Opportunities'!$C$2:$C$1775,"=r05",'Opportunities'!$N$2:$N$1775,"=dec26",'Opportunities'!$R$2:$R$1775,"=1")</f>
        <v>5230</v>
      </c>
    </row>
    <row r="247">
      <c r="A247" s="0" t="inlineStr">
        <is>
          <t xml:space="preserve">Weighted pipeline</t>
        </is>
      </c>
      <c r="B247" s="0" t="inlineStr">
        <is>
          <t xml:space="preserve">Ana Ortiz</t>
        </is>
      </c>
      <c r="C247" s="4">
        <f>SUMIFS('Opportunities'!$S$2:$S$1775,'Opportunities'!$C$2:$C$1775,"=r06",'Opportunities'!$N$2:$N$1775,"=apr25",'Opportunities'!$R$2:$R$1775,"=1")</f>
        <v>0</v>
      </c>
      <c r="D247" s="4">
        <f>SUMIFS('Opportunities'!$S$2:$S$1775,'Opportunities'!$C$2:$C$1775,"=r06",'Opportunities'!$N$2:$N$1775,"=may25",'Opportunities'!$R$2:$R$1775,"=1")</f>
        <v>0</v>
      </c>
      <c r="E247" s="4">
        <f>SUMIFS('Opportunities'!$S$2:$S$1775,'Opportunities'!$C$2:$C$1775,"=r06",'Opportunities'!$N$2:$N$1775,"=jun25",'Opportunities'!$R$2:$R$1775,"=1")</f>
        <v>0</v>
      </c>
      <c r="F247" s="4">
        <f>SUMIFS('Opportunities'!$S$2:$S$1775,'Opportunities'!$C$2:$C$1775,"=r06",'Opportunities'!$N$2:$N$1775,"=jul25",'Opportunities'!$R$2:$R$1775,"=1")</f>
        <v>0</v>
      </c>
      <c r="G247" s="4">
        <f>SUMIFS('Opportunities'!$S$2:$S$1775,'Opportunities'!$C$2:$C$1775,"=r06",'Opportunities'!$N$2:$N$1775,"=aug25",'Opportunities'!$R$2:$R$1775,"=1")</f>
        <v>0</v>
      </c>
      <c r="H247" s="4">
        <f>SUMIFS('Opportunities'!$S$2:$S$1775,'Opportunities'!$C$2:$C$1775,"=r06",'Opportunities'!$N$2:$N$1775,"=sep25",'Opportunities'!$R$2:$R$1775,"=1")</f>
        <v>0</v>
      </c>
      <c r="I247" s="4">
        <f>SUMIFS('Opportunities'!$S$2:$S$1775,'Opportunities'!$C$2:$C$1775,"=r06",'Opportunities'!$N$2:$N$1775,"=oct25",'Opportunities'!$R$2:$R$1775,"=1")</f>
        <v>0</v>
      </c>
      <c r="J247" s="4">
        <f>SUMIFS('Opportunities'!$S$2:$S$1775,'Opportunities'!$C$2:$C$1775,"=r06",'Opportunities'!$N$2:$N$1775,"=nov25",'Opportunities'!$R$2:$R$1775,"=1")</f>
        <v>0</v>
      </c>
      <c r="K247" s="4">
        <f>SUMIFS('Opportunities'!$S$2:$S$1775,'Opportunities'!$C$2:$C$1775,"=r06",'Opportunities'!$N$2:$N$1775,"=dec25",'Opportunities'!$R$2:$R$1775,"=1")</f>
        <v>0</v>
      </c>
      <c r="L247" s="4">
        <f>SUMIFS('Opportunities'!$S$2:$S$1775,'Opportunities'!$C$2:$C$1775,"=r06",'Opportunities'!$N$2:$N$1775,"=jan26",'Opportunities'!$R$2:$R$1775,"=1")</f>
        <v>0</v>
      </c>
      <c r="M247" s="4">
        <f>SUMIFS('Opportunities'!$S$2:$S$1775,'Opportunities'!$C$2:$C$1775,"=r06",'Opportunities'!$N$2:$N$1775,"=feb26",'Opportunities'!$R$2:$R$1775,"=1")</f>
        <v>0</v>
      </c>
      <c r="N247" s="4">
        <f>SUMIFS('Opportunities'!$S$2:$S$1775,'Opportunities'!$C$2:$C$1775,"=r06",'Opportunities'!$N$2:$N$1775,"=mar26",'Opportunities'!$R$2:$R$1775,"=1")</f>
        <v>0</v>
      </c>
      <c r="O247" s="4">
        <f>SUMIFS('Opportunities'!$S$2:$S$1775,'Opportunities'!$C$2:$C$1775,"=r06",'Opportunities'!$N$2:$N$1775,"=apr26",'Opportunities'!$R$2:$R$1775,"=1")</f>
        <v>0</v>
      </c>
      <c r="P247" s="4">
        <f>SUMIFS('Opportunities'!$S$2:$S$1775,'Opportunities'!$C$2:$C$1775,"=r06",'Opportunities'!$N$2:$N$1775,"=may26",'Opportunities'!$R$2:$R$1775,"=1")</f>
        <v>0</v>
      </c>
      <c r="Q247" s="4">
        <f>SUMIFS('Opportunities'!$S$2:$S$1775,'Opportunities'!$C$2:$C$1775,"=r06",'Opportunities'!$N$2:$N$1775,"=jun26",'Opportunities'!$R$2:$R$1775,"=1")</f>
        <v>0</v>
      </c>
      <c r="R247" s="4">
        <f>SUMIFS('Opportunities'!$S$2:$S$1775,'Opportunities'!$C$2:$C$1775,"=r06",'Opportunities'!$N$2:$N$1775,"=jul26",'Opportunities'!$R$2:$R$1775,"=1")</f>
        <v>0</v>
      </c>
      <c r="S247" s="4">
        <f>SUMIFS('Opportunities'!$S$2:$S$1775,'Opportunities'!$C$2:$C$1775,"=r06",'Opportunities'!$N$2:$N$1775,"=aug26",'Opportunities'!$R$2:$R$1775,"=1")</f>
        <v>0</v>
      </c>
      <c r="T247" s="4">
        <f>SUMIFS('Opportunities'!$S$2:$S$1775,'Opportunities'!$C$2:$C$1775,"=r06",'Opportunities'!$N$2:$N$1775,"=sep26",'Opportunities'!$R$2:$R$1775,"=1")</f>
        <v>11510</v>
      </c>
      <c r="U247" s="4">
        <f>SUMIFS('Opportunities'!$S$2:$S$1775,'Opportunities'!$C$2:$C$1775,"=r06",'Opportunities'!$N$2:$N$1775,"=oct26",'Opportunities'!$R$2:$R$1775,"=1")</f>
        <v>15340</v>
      </c>
      <c r="V247" s="4">
        <f>SUMIFS('Opportunities'!$S$2:$S$1775,'Opportunities'!$C$2:$C$1775,"=r06",'Opportunities'!$N$2:$N$1775,"=nov26",'Opportunities'!$R$2:$R$1775,"=1")</f>
        <v>4950</v>
      </c>
      <c r="W247" s="4">
        <f>SUMIFS('Opportunities'!$S$2:$S$1775,'Opportunities'!$C$2:$C$1775,"=r06",'Opportunities'!$N$2:$N$1775,"=dec26",'Opportunities'!$R$2:$R$1775,"=1")</f>
        <v>2240</v>
      </c>
    </row>
    <row r="248">
      <c r="A248" s="0" t="inlineStr">
        <is>
          <t xml:space="preserve">Weighted pipeline</t>
        </is>
      </c>
      <c r="B248" s="0" t="inlineStr">
        <is>
          <t xml:space="preserve">Tobias Silva</t>
        </is>
      </c>
      <c r="C248" s="4">
        <f>SUMIFS('Opportunities'!$S$2:$S$1775,'Opportunities'!$C$2:$C$1775,"=r07",'Opportunities'!$N$2:$N$1775,"=apr25",'Opportunities'!$R$2:$R$1775,"=1")</f>
        <v>0</v>
      </c>
      <c r="D248" s="4">
        <f>SUMIFS('Opportunities'!$S$2:$S$1775,'Opportunities'!$C$2:$C$1775,"=r07",'Opportunities'!$N$2:$N$1775,"=may25",'Opportunities'!$R$2:$R$1775,"=1")</f>
        <v>0</v>
      </c>
      <c r="E248" s="4">
        <f>SUMIFS('Opportunities'!$S$2:$S$1775,'Opportunities'!$C$2:$C$1775,"=r07",'Opportunities'!$N$2:$N$1775,"=jun25",'Opportunities'!$R$2:$R$1775,"=1")</f>
        <v>0</v>
      </c>
      <c r="F248" s="4">
        <f>SUMIFS('Opportunities'!$S$2:$S$1775,'Opportunities'!$C$2:$C$1775,"=r07",'Opportunities'!$N$2:$N$1775,"=jul25",'Opportunities'!$R$2:$R$1775,"=1")</f>
        <v>0</v>
      </c>
      <c r="G248" s="4">
        <f>SUMIFS('Opportunities'!$S$2:$S$1775,'Opportunities'!$C$2:$C$1775,"=r07",'Opportunities'!$N$2:$N$1775,"=aug25",'Opportunities'!$R$2:$R$1775,"=1")</f>
        <v>0</v>
      </c>
      <c r="H248" s="4">
        <f>SUMIFS('Opportunities'!$S$2:$S$1775,'Opportunities'!$C$2:$C$1775,"=r07",'Opportunities'!$N$2:$N$1775,"=sep25",'Opportunities'!$R$2:$R$1775,"=1")</f>
        <v>0</v>
      </c>
      <c r="I248" s="4">
        <f>SUMIFS('Opportunities'!$S$2:$S$1775,'Opportunities'!$C$2:$C$1775,"=r07",'Opportunities'!$N$2:$N$1775,"=oct25",'Opportunities'!$R$2:$R$1775,"=1")</f>
        <v>0</v>
      </c>
      <c r="J248" s="4">
        <f>SUMIFS('Opportunities'!$S$2:$S$1775,'Opportunities'!$C$2:$C$1775,"=r07",'Opportunities'!$N$2:$N$1775,"=nov25",'Opportunities'!$R$2:$R$1775,"=1")</f>
        <v>0</v>
      </c>
      <c r="K248" s="4">
        <f>SUMIFS('Opportunities'!$S$2:$S$1775,'Opportunities'!$C$2:$C$1775,"=r07",'Opportunities'!$N$2:$N$1775,"=dec25",'Opportunities'!$R$2:$R$1775,"=1")</f>
        <v>0</v>
      </c>
      <c r="L248" s="4">
        <f>SUMIFS('Opportunities'!$S$2:$S$1775,'Opportunities'!$C$2:$C$1775,"=r07",'Opportunities'!$N$2:$N$1775,"=jan26",'Opportunities'!$R$2:$R$1775,"=1")</f>
        <v>0</v>
      </c>
      <c r="M248" s="4">
        <f>SUMIFS('Opportunities'!$S$2:$S$1775,'Opportunities'!$C$2:$C$1775,"=r07",'Opportunities'!$N$2:$N$1775,"=feb26",'Opportunities'!$R$2:$R$1775,"=1")</f>
        <v>0</v>
      </c>
      <c r="N248" s="4">
        <f>SUMIFS('Opportunities'!$S$2:$S$1775,'Opportunities'!$C$2:$C$1775,"=r07",'Opportunities'!$N$2:$N$1775,"=mar26",'Opportunities'!$R$2:$R$1775,"=1")</f>
        <v>0</v>
      </c>
      <c r="O248" s="4">
        <f>SUMIFS('Opportunities'!$S$2:$S$1775,'Opportunities'!$C$2:$C$1775,"=r07",'Opportunities'!$N$2:$N$1775,"=apr26",'Opportunities'!$R$2:$R$1775,"=1")</f>
        <v>0</v>
      </c>
      <c r="P248" s="4">
        <f>SUMIFS('Opportunities'!$S$2:$S$1775,'Opportunities'!$C$2:$C$1775,"=r07",'Opportunities'!$N$2:$N$1775,"=may26",'Opportunities'!$R$2:$R$1775,"=1")</f>
        <v>0</v>
      </c>
      <c r="Q248" s="4">
        <f>SUMIFS('Opportunities'!$S$2:$S$1775,'Opportunities'!$C$2:$C$1775,"=r07",'Opportunities'!$N$2:$N$1775,"=jun26",'Opportunities'!$R$2:$R$1775,"=1")</f>
        <v>0</v>
      </c>
      <c r="R248" s="4">
        <f>SUMIFS('Opportunities'!$S$2:$S$1775,'Opportunities'!$C$2:$C$1775,"=r07",'Opportunities'!$N$2:$N$1775,"=jul26",'Opportunities'!$R$2:$R$1775,"=1")</f>
        <v>0</v>
      </c>
      <c r="S248" s="4">
        <f>SUMIFS('Opportunities'!$S$2:$S$1775,'Opportunities'!$C$2:$C$1775,"=r07",'Opportunities'!$N$2:$N$1775,"=aug26",'Opportunities'!$R$2:$R$1775,"=1")</f>
        <v>0</v>
      </c>
      <c r="T248" s="4">
        <f>SUMIFS('Opportunities'!$S$2:$S$1775,'Opportunities'!$C$2:$C$1775,"=r07",'Opportunities'!$N$2:$N$1775,"=sep26",'Opportunities'!$R$2:$R$1775,"=1")</f>
        <v>314500</v>
      </c>
      <c r="U248" s="4">
        <f>SUMIFS('Opportunities'!$S$2:$S$1775,'Opportunities'!$C$2:$C$1775,"=r07",'Opportunities'!$N$2:$N$1775,"=oct26",'Opportunities'!$R$2:$R$1775,"=1")</f>
        <v>108925</v>
      </c>
      <c r="V248" s="4">
        <f>SUMIFS('Opportunities'!$S$2:$S$1775,'Opportunities'!$C$2:$C$1775,"=r07",'Opportunities'!$N$2:$N$1775,"=nov26",'Opportunities'!$R$2:$R$1775,"=1")</f>
        <v>34660</v>
      </c>
      <c r="W248" s="4">
        <f>SUMIFS('Opportunities'!$S$2:$S$1775,'Opportunities'!$C$2:$C$1775,"=r07",'Opportunities'!$N$2:$N$1775,"=dec26",'Opportunities'!$R$2:$R$1775,"=1")</f>
        <v>89030</v>
      </c>
    </row>
    <row r="249">
      <c r="A249" s="0" t="inlineStr">
        <is>
          <t xml:space="preserve">Weighted pipeline</t>
        </is>
      </c>
      <c r="B249" s="0" t="inlineStr">
        <is>
          <t xml:space="preserve">Leila Osei</t>
        </is>
      </c>
      <c r="C249" s="4">
        <f>SUMIFS('Opportunities'!$S$2:$S$1775,'Opportunities'!$C$2:$C$1775,"=r08",'Opportunities'!$N$2:$N$1775,"=apr25",'Opportunities'!$R$2:$R$1775,"=1")</f>
        <v>0</v>
      </c>
      <c r="D249" s="4">
        <f>SUMIFS('Opportunities'!$S$2:$S$1775,'Opportunities'!$C$2:$C$1775,"=r08",'Opportunities'!$N$2:$N$1775,"=may25",'Opportunities'!$R$2:$R$1775,"=1")</f>
        <v>0</v>
      </c>
      <c r="E249" s="4">
        <f>SUMIFS('Opportunities'!$S$2:$S$1775,'Opportunities'!$C$2:$C$1775,"=r08",'Opportunities'!$N$2:$N$1775,"=jun25",'Opportunities'!$R$2:$R$1775,"=1")</f>
        <v>0</v>
      </c>
      <c r="F249" s="4">
        <f>SUMIFS('Opportunities'!$S$2:$S$1775,'Opportunities'!$C$2:$C$1775,"=r08",'Opportunities'!$N$2:$N$1775,"=jul25",'Opportunities'!$R$2:$R$1775,"=1")</f>
        <v>0</v>
      </c>
      <c r="G249" s="4">
        <f>SUMIFS('Opportunities'!$S$2:$S$1775,'Opportunities'!$C$2:$C$1775,"=r08",'Opportunities'!$N$2:$N$1775,"=aug25",'Opportunities'!$R$2:$R$1775,"=1")</f>
        <v>0</v>
      </c>
      <c r="H249" s="4">
        <f>SUMIFS('Opportunities'!$S$2:$S$1775,'Opportunities'!$C$2:$C$1775,"=r08",'Opportunities'!$N$2:$N$1775,"=sep25",'Opportunities'!$R$2:$R$1775,"=1")</f>
        <v>0</v>
      </c>
      <c r="I249" s="4">
        <f>SUMIFS('Opportunities'!$S$2:$S$1775,'Opportunities'!$C$2:$C$1775,"=r08",'Opportunities'!$N$2:$N$1775,"=oct25",'Opportunities'!$R$2:$R$1775,"=1")</f>
        <v>0</v>
      </c>
      <c r="J249" s="4">
        <f>SUMIFS('Opportunities'!$S$2:$S$1775,'Opportunities'!$C$2:$C$1775,"=r08",'Opportunities'!$N$2:$N$1775,"=nov25",'Opportunities'!$R$2:$R$1775,"=1")</f>
        <v>0</v>
      </c>
      <c r="K249" s="4">
        <f>SUMIFS('Opportunities'!$S$2:$S$1775,'Opportunities'!$C$2:$C$1775,"=r08",'Opportunities'!$N$2:$N$1775,"=dec25",'Opportunities'!$R$2:$R$1775,"=1")</f>
        <v>0</v>
      </c>
      <c r="L249" s="4">
        <f>SUMIFS('Opportunities'!$S$2:$S$1775,'Opportunities'!$C$2:$C$1775,"=r08",'Opportunities'!$N$2:$N$1775,"=jan26",'Opportunities'!$R$2:$R$1775,"=1")</f>
        <v>0</v>
      </c>
      <c r="M249" s="4">
        <f>SUMIFS('Opportunities'!$S$2:$S$1775,'Opportunities'!$C$2:$C$1775,"=r08",'Opportunities'!$N$2:$N$1775,"=feb26",'Opportunities'!$R$2:$R$1775,"=1")</f>
        <v>0</v>
      </c>
      <c r="N249" s="4">
        <f>SUMIFS('Opportunities'!$S$2:$S$1775,'Opportunities'!$C$2:$C$1775,"=r08",'Opportunities'!$N$2:$N$1775,"=mar26",'Opportunities'!$R$2:$R$1775,"=1")</f>
        <v>0</v>
      </c>
      <c r="O249" s="4">
        <f>SUMIFS('Opportunities'!$S$2:$S$1775,'Opportunities'!$C$2:$C$1775,"=r08",'Opportunities'!$N$2:$N$1775,"=apr26",'Opportunities'!$R$2:$R$1775,"=1")</f>
        <v>0</v>
      </c>
      <c r="P249" s="4">
        <f>SUMIFS('Opportunities'!$S$2:$S$1775,'Opportunities'!$C$2:$C$1775,"=r08",'Opportunities'!$N$2:$N$1775,"=may26",'Opportunities'!$R$2:$R$1775,"=1")</f>
        <v>0</v>
      </c>
      <c r="Q249" s="4">
        <f>SUMIFS('Opportunities'!$S$2:$S$1775,'Opportunities'!$C$2:$C$1775,"=r08",'Opportunities'!$N$2:$N$1775,"=jun26",'Opportunities'!$R$2:$R$1775,"=1")</f>
        <v>0</v>
      </c>
      <c r="R249" s="4">
        <f>SUMIFS('Opportunities'!$S$2:$S$1775,'Opportunities'!$C$2:$C$1775,"=r08",'Opportunities'!$N$2:$N$1775,"=jul26",'Opportunities'!$R$2:$R$1775,"=1")</f>
        <v>0</v>
      </c>
      <c r="S249" s="4">
        <f>SUMIFS('Opportunities'!$S$2:$S$1775,'Opportunities'!$C$2:$C$1775,"=r08",'Opportunities'!$N$2:$N$1775,"=aug26",'Opportunities'!$R$2:$R$1775,"=1")</f>
        <v>0</v>
      </c>
      <c r="T249" s="4">
        <f>SUMIFS('Opportunities'!$S$2:$S$1775,'Opportunities'!$C$2:$C$1775,"=r08",'Opportunities'!$N$2:$N$1775,"=sep26",'Opportunities'!$R$2:$R$1775,"=1")</f>
        <v>97325</v>
      </c>
      <c r="U249" s="4">
        <f>SUMIFS('Opportunities'!$S$2:$S$1775,'Opportunities'!$C$2:$C$1775,"=r08",'Opportunities'!$N$2:$N$1775,"=oct26",'Opportunities'!$R$2:$R$1775,"=1")</f>
        <v>76550</v>
      </c>
      <c r="V249" s="4">
        <f>SUMIFS('Opportunities'!$S$2:$S$1775,'Opportunities'!$C$2:$C$1775,"=r08",'Opportunities'!$N$2:$N$1775,"=nov26",'Opportunities'!$R$2:$R$1775,"=1")</f>
        <v>23675</v>
      </c>
      <c r="W249" s="4">
        <f>SUMIFS('Opportunities'!$S$2:$S$1775,'Opportunities'!$C$2:$C$1775,"=r08",'Opportunities'!$N$2:$N$1775,"=dec26",'Opportunities'!$R$2:$R$1775,"=1")</f>
        <v>28150</v>
      </c>
    </row>
    <row r="250">
      <c r="A250" s="0" t="inlineStr">
        <is>
          <t xml:space="preserve">Weighted pipeline</t>
        </is>
      </c>
      <c r="B250" s="0" t="inlineStr">
        <is>
          <t xml:space="preserve">Grace Costa</t>
        </is>
      </c>
      <c r="C250" s="4">
        <f>SUMIFS('Opportunities'!$S$2:$S$1775,'Opportunities'!$C$2:$C$1775,"=r09",'Opportunities'!$N$2:$N$1775,"=apr25",'Opportunities'!$R$2:$R$1775,"=1")</f>
        <v>0</v>
      </c>
      <c r="D250" s="4">
        <f>SUMIFS('Opportunities'!$S$2:$S$1775,'Opportunities'!$C$2:$C$1775,"=r09",'Opportunities'!$N$2:$N$1775,"=may25",'Opportunities'!$R$2:$R$1775,"=1")</f>
        <v>0</v>
      </c>
      <c r="E250" s="4">
        <f>SUMIFS('Opportunities'!$S$2:$S$1775,'Opportunities'!$C$2:$C$1775,"=r09",'Opportunities'!$N$2:$N$1775,"=jun25",'Opportunities'!$R$2:$R$1775,"=1")</f>
        <v>0</v>
      </c>
      <c r="F250" s="4">
        <f>SUMIFS('Opportunities'!$S$2:$S$1775,'Opportunities'!$C$2:$C$1775,"=r09",'Opportunities'!$N$2:$N$1775,"=jul25",'Opportunities'!$R$2:$R$1775,"=1")</f>
        <v>0</v>
      </c>
      <c r="G250" s="4">
        <f>SUMIFS('Opportunities'!$S$2:$S$1775,'Opportunities'!$C$2:$C$1775,"=r09",'Opportunities'!$N$2:$N$1775,"=aug25",'Opportunities'!$R$2:$R$1775,"=1")</f>
        <v>0</v>
      </c>
      <c r="H250" s="4">
        <f>SUMIFS('Opportunities'!$S$2:$S$1775,'Opportunities'!$C$2:$C$1775,"=r09",'Opportunities'!$N$2:$N$1775,"=sep25",'Opportunities'!$R$2:$R$1775,"=1")</f>
        <v>0</v>
      </c>
      <c r="I250" s="4">
        <f>SUMIFS('Opportunities'!$S$2:$S$1775,'Opportunities'!$C$2:$C$1775,"=r09",'Opportunities'!$N$2:$N$1775,"=oct25",'Opportunities'!$R$2:$R$1775,"=1")</f>
        <v>0</v>
      </c>
      <c r="J250" s="4">
        <f>SUMIFS('Opportunities'!$S$2:$S$1775,'Opportunities'!$C$2:$C$1775,"=r09",'Opportunities'!$N$2:$N$1775,"=nov25",'Opportunities'!$R$2:$R$1775,"=1")</f>
        <v>0</v>
      </c>
      <c r="K250" s="4">
        <f>SUMIFS('Opportunities'!$S$2:$S$1775,'Opportunities'!$C$2:$C$1775,"=r09",'Opportunities'!$N$2:$N$1775,"=dec25",'Opportunities'!$R$2:$R$1775,"=1")</f>
        <v>0</v>
      </c>
      <c r="L250" s="4">
        <f>SUMIFS('Opportunities'!$S$2:$S$1775,'Opportunities'!$C$2:$C$1775,"=r09",'Opportunities'!$N$2:$N$1775,"=jan26",'Opportunities'!$R$2:$R$1775,"=1")</f>
        <v>0</v>
      </c>
      <c r="M250" s="4">
        <f>SUMIFS('Opportunities'!$S$2:$S$1775,'Opportunities'!$C$2:$C$1775,"=r09",'Opportunities'!$N$2:$N$1775,"=feb26",'Opportunities'!$R$2:$R$1775,"=1")</f>
        <v>0</v>
      </c>
      <c r="N250" s="4">
        <f>SUMIFS('Opportunities'!$S$2:$S$1775,'Opportunities'!$C$2:$C$1775,"=r09",'Opportunities'!$N$2:$N$1775,"=mar26",'Opportunities'!$R$2:$R$1775,"=1")</f>
        <v>0</v>
      </c>
      <c r="O250" s="4">
        <f>SUMIFS('Opportunities'!$S$2:$S$1775,'Opportunities'!$C$2:$C$1775,"=r09",'Opportunities'!$N$2:$N$1775,"=apr26",'Opportunities'!$R$2:$R$1775,"=1")</f>
        <v>0</v>
      </c>
      <c r="P250" s="4">
        <f>SUMIFS('Opportunities'!$S$2:$S$1775,'Opportunities'!$C$2:$C$1775,"=r09",'Opportunities'!$N$2:$N$1775,"=may26",'Opportunities'!$R$2:$R$1775,"=1")</f>
        <v>0</v>
      </c>
      <c r="Q250" s="4">
        <f>SUMIFS('Opportunities'!$S$2:$S$1775,'Opportunities'!$C$2:$C$1775,"=r09",'Opportunities'!$N$2:$N$1775,"=jun26",'Opportunities'!$R$2:$R$1775,"=1")</f>
        <v>0</v>
      </c>
      <c r="R250" s="4">
        <f>SUMIFS('Opportunities'!$S$2:$S$1775,'Opportunities'!$C$2:$C$1775,"=r09",'Opportunities'!$N$2:$N$1775,"=jul26",'Opportunities'!$R$2:$R$1775,"=1")</f>
        <v>0</v>
      </c>
      <c r="S250" s="4">
        <f>SUMIFS('Opportunities'!$S$2:$S$1775,'Opportunities'!$C$2:$C$1775,"=r09",'Opportunities'!$N$2:$N$1775,"=aug26",'Opportunities'!$R$2:$R$1775,"=1")</f>
        <v>0</v>
      </c>
      <c r="T250" s="4">
        <f>SUMIFS('Opportunities'!$S$2:$S$1775,'Opportunities'!$C$2:$C$1775,"=r09",'Opportunities'!$N$2:$N$1775,"=sep26",'Opportunities'!$R$2:$R$1775,"=1")</f>
        <v>95225</v>
      </c>
      <c r="U250" s="4">
        <f>SUMIFS('Opportunities'!$S$2:$S$1775,'Opportunities'!$C$2:$C$1775,"=r09",'Opportunities'!$N$2:$N$1775,"=oct26",'Opportunities'!$R$2:$R$1775,"=1")</f>
        <v>107045</v>
      </c>
      <c r="V250" s="4">
        <f>SUMIFS('Opportunities'!$S$2:$S$1775,'Opportunities'!$C$2:$C$1775,"=r09",'Opportunities'!$N$2:$N$1775,"=nov26",'Opportunities'!$R$2:$R$1775,"=1")</f>
        <v>1950</v>
      </c>
      <c r="W250" s="4">
        <f>SUMIFS('Opportunities'!$S$2:$S$1775,'Opportunities'!$C$2:$C$1775,"=r09",'Opportunities'!$N$2:$N$1775,"=dec26",'Opportunities'!$R$2:$R$1775,"=1")</f>
        <v>12040</v>
      </c>
    </row>
    <row r="251">
      <c r="A251" s="0" t="inlineStr">
        <is>
          <t xml:space="preserve">Weighted pipeline</t>
        </is>
      </c>
      <c r="B251" s="0" t="inlineStr">
        <is>
          <t xml:space="preserve">Ingrid Müller</t>
        </is>
      </c>
      <c r="C251" s="4">
        <f>SUMIFS('Opportunities'!$S$2:$S$1775,'Opportunities'!$C$2:$C$1775,"=r10",'Opportunities'!$N$2:$N$1775,"=apr25",'Opportunities'!$R$2:$R$1775,"=1")</f>
        <v>0</v>
      </c>
      <c r="D251" s="4">
        <f>SUMIFS('Opportunities'!$S$2:$S$1775,'Opportunities'!$C$2:$C$1775,"=r10",'Opportunities'!$N$2:$N$1775,"=may25",'Opportunities'!$R$2:$R$1775,"=1")</f>
        <v>0</v>
      </c>
      <c r="E251" s="4">
        <f>SUMIFS('Opportunities'!$S$2:$S$1775,'Opportunities'!$C$2:$C$1775,"=r10",'Opportunities'!$N$2:$N$1775,"=jun25",'Opportunities'!$R$2:$R$1775,"=1")</f>
        <v>0</v>
      </c>
      <c r="F251" s="4">
        <f>SUMIFS('Opportunities'!$S$2:$S$1775,'Opportunities'!$C$2:$C$1775,"=r10",'Opportunities'!$N$2:$N$1775,"=jul25",'Opportunities'!$R$2:$R$1775,"=1")</f>
        <v>0</v>
      </c>
      <c r="G251" s="4">
        <f>SUMIFS('Opportunities'!$S$2:$S$1775,'Opportunities'!$C$2:$C$1775,"=r10",'Opportunities'!$N$2:$N$1775,"=aug25",'Opportunities'!$R$2:$R$1775,"=1")</f>
        <v>0</v>
      </c>
      <c r="H251" s="4">
        <f>SUMIFS('Opportunities'!$S$2:$S$1775,'Opportunities'!$C$2:$C$1775,"=r10",'Opportunities'!$N$2:$N$1775,"=sep25",'Opportunities'!$R$2:$R$1775,"=1")</f>
        <v>0</v>
      </c>
      <c r="I251" s="4">
        <f>SUMIFS('Opportunities'!$S$2:$S$1775,'Opportunities'!$C$2:$C$1775,"=r10",'Opportunities'!$N$2:$N$1775,"=oct25",'Opportunities'!$R$2:$R$1775,"=1")</f>
        <v>0</v>
      </c>
      <c r="J251" s="4">
        <f>SUMIFS('Opportunities'!$S$2:$S$1775,'Opportunities'!$C$2:$C$1775,"=r10",'Opportunities'!$N$2:$N$1775,"=nov25",'Opportunities'!$R$2:$R$1775,"=1")</f>
        <v>0</v>
      </c>
      <c r="K251" s="4">
        <f>SUMIFS('Opportunities'!$S$2:$S$1775,'Opportunities'!$C$2:$C$1775,"=r10",'Opportunities'!$N$2:$N$1775,"=dec25",'Opportunities'!$R$2:$R$1775,"=1")</f>
        <v>0</v>
      </c>
      <c r="L251" s="4">
        <f>SUMIFS('Opportunities'!$S$2:$S$1775,'Opportunities'!$C$2:$C$1775,"=r10",'Opportunities'!$N$2:$N$1775,"=jan26",'Opportunities'!$R$2:$R$1775,"=1")</f>
        <v>0</v>
      </c>
      <c r="M251" s="4">
        <f>SUMIFS('Opportunities'!$S$2:$S$1775,'Opportunities'!$C$2:$C$1775,"=r10",'Opportunities'!$N$2:$N$1775,"=feb26",'Opportunities'!$R$2:$R$1775,"=1")</f>
        <v>0</v>
      </c>
      <c r="N251" s="4">
        <f>SUMIFS('Opportunities'!$S$2:$S$1775,'Opportunities'!$C$2:$C$1775,"=r10",'Opportunities'!$N$2:$N$1775,"=mar26",'Opportunities'!$R$2:$R$1775,"=1")</f>
        <v>0</v>
      </c>
      <c r="O251" s="4">
        <f>SUMIFS('Opportunities'!$S$2:$S$1775,'Opportunities'!$C$2:$C$1775,"=r10",'Opportunities'!$N$2:$N$1775,"=apr26",'Opportunities'!$R$2:$R$1775,"=1")</f>
        <v>0</v>
      </c>
      <c r="P251" s="4">
        <f>SUMIFS('Opportunities'!$S$2:$S$1775,'Opportunities'!$C$2:$C$1775,"=r10",'Opportunities'!$N$2:$N$1775,"=may26",'Opportunities'!$R$2:$R$1775,"=1")</f>
        <v>0</v>
      </c>
      <c r="Q251" s="4">
        <f>SUMIFS('Opportunities'!$S$2:$S$1775,'Opportunities'!$C$2:$C$1775,"=r10",'Opportunities'!$N$2:$N$1775,"=jun26",'Opportunities'!$R$2:$R$1775,"=1")</f>
        <v>0</v>
      </c>
      <c r="R251" s="4">
        <f>SUMIFS('Opportunities'!$S$2:$S$1775,'Opportunities'!$C$2:$C$1775,"=r10",'Opportunities'!$N$2:$N$1775,"=jul26",'Opportunities'!$R$2:$R$1775,"=1")</f>
        <v>0</v>
      </c>
      <c r="S251" s="4">
        <f>SUMIFS('Opportunities'!$S$2:$S$1775,'Opportunities'!$C$2:$C$1775,"=r10",'Opportunities'!$N$2:$N$1775,"=aug26",'Opportunities'!$R$2:$R$1775,"=1")</f>
        <v>0</v>
      </c>
      <c r="T251" s="4">
        <f>SUMIFS('Opportunities'!$S$2:$S$1775,'Opportunities'!$C$2:$C$1775,"=r10",'Opportunities'!$N$2:$N$1775,"=sep26",'Opportunities'!$R$2:$R$1775,"=1")</f>
        <v>22275</v>
      </c>
      <c r="U251" s="4">
        <f>SUMIFS('Opportunities'!$S$2:$S$1775,'Opportunities'!$C$2:$C$1775,"=r10",'Opportunities'!$N$2:$N$1775,"=oct26",'Opportunities'!$R$2:$R$1775,"=1")</f>
        <v>1940</v>
      </c>
      <c r="V251" s="4">
        <f>SUMIFS('Opportunities'!$S$2:$S$1775,'Opportunities'!$C$2:$C$1775,"=r10",'Opportunities'!$N$2:$N$1775,"=nov26",'Opportunities'!$R$2:$R$1775,"=1")</f>
        <v>9660</v>
      </c>
      <c r="W251" s="4">
        <f>SUMIFS('Opportunities'!$S$2:$S$1775,'Opportunities'!$C$2:$C$1775,"=r10",'Opportunities'!$N$2:$N$1775,"=dec26",'Opportunities'!$R$2:$R$1775,"=1")</f>
        <v>94665</v>
      </c>
    </row>
    <row r="252">
      <c r="A252" s="0" t="inlineStr">
        <is>
          <t xml:space="preserve">Weighted pipeline</t>
        </is>
      </c>
      <c r="B252" s="0" t="inlineStr">
        <is>
          <t xml:space="preserve">Ingrid Kim</t>
        </is>
      </c>
      <c r="C252" s="4">
        <f>SUMIFS('Opportunities'!$S$2:$S$1775,'Opportunities'!$C$2:$C$1775,"=r11",'Opportunities'!$N$2:$N$1775,"=apr25",'Opportunities'!$R$2:$R$1775,"=1")</f>
        <v>0</v>
      </c>
      <c r="D252" s="4">
        <f>SUMIFS('Opportunities'!$S$2:$S$1775,'Opportunities'!$C$2:$C$1775,"=r11",'Opportunities'!$N$2:$N$1775,"=may25",'Opportunities'!$R$2:$R$1775,"=1")</f>
        <v>0</v>
      </c>
      <c r="E252" s="4">
        <f>SUMIFS('Opportunities'!$S$2:$S$1775,'Opportunities'!$C$2:$C$1775,"=r11",'Opportunities'!$N$2:$N$1775,"=jun25",'Opportunities'!$R$2:$R$1775,"=1")</f>
        <v>0</v>
      </c>
      <c r="F252" s="4">
        <f>SUMIFS('Opportunities'!$S$2:$S$1775,'Opportunities'!$C$2:$C$1775,"=r11",'Opportunities'!$N$2:$N$1775,"=jul25",'Opportunities'!$R$2:$R$1775,"=1")</f>
        <v>0</v>
      </c>
      <c r="G252" s="4">
        <f>SUMIFS('Opportunities'!$S$2:$S$1775,'Opportunities'!$C$2:$C$1775,"=r11",'Opportunities'!$N$2:$N$1775,"=aug25",'Opportunities'!$R$2:$R$1775,"=1")</f>
        <v>0</v>
      </c>
      <c r="H252" s="4">
        <f>SUMIFS('Opportunities'!$S$2:$S$1775,'Opportunities'!$C$2:$C$1775,"=r11",'Opportunities'!$N$2:$N$1775,"=sep25",'Opportunities'!$R$2:$R$1775,"=1")</f>
        <v>0</v>
      </c>
      <c r="I252" s="4">
        <f>SUMIFS('Opportunities'!$S$2:$S$1775,'Opportunities'!$C$2:$C$1775,"=r11",'Opportunities'!$N$2:$N$1775,"=oct25",'Opportunities'!$R$2:$R$1775,"=1")</f>
        <v>0</v>
      </c>
      <c r="J252" s="4">
        <f>SUMIFS('Opportunities'!$S$2:$S$1775,'Opportunities'!$C$2:$C$1775,"=r11",'Opportunities'!$N$2:$N$1775,"=nov25",'Opportunities'!$R$2:$R$1775,"=1")</f>
        <v>0</v>
      </c>
      <c r="K252" s="4">
        <f>SUMIFS('Opportunities'!$S$2:$S$1775,'Opportunities'!$C$2:$C$1775,"=r11",'Opportunities'!$N$2:$N$1775,"=dec25",'Opportunities'!$R$2:$R$1775,"=1")</f>
        <v>0</v>
      </c>
      <c r="L252" s="4">
        <f>SUMIFS('Opportunities'!$S$2:$S$1775,'Opportunities'!$C$2:$C$1775,"=r11",'Opportunities'!$N$2:$N$1775,"=jan26",'Opportunities'!$R$2:$R$1775,"=1")</f>
        <v>0</v>
      </c>
      <c r="M252" s="4">
        <f>SUMIFS('Opportunities'!$S$2:$S$1775,'Opportunities'!$C$2:$C$1775,"=r11",'Opportunities'!$N$2:$N$1775,"=feb26",'Opportunities'!$R$2:$R$1775,"=1")</f>
        <v>0</v>
      </c>
      <c r="N252" s="4">
        <f>SUMIFS('Opportunities'!$S$2:$S$1775,'Opportunities'!$C$2:$C$1775,"=r11",'Opportunities'!$N$2:$N$1775,"=mar26",'Opportunities'!$R$2:$R$1775,"=1")</f>
        <v>0</v>
      </c>
      <c r="O252" s="4">
        <f>SUMIFS('Opportunities'!$S$2:$S$1775,'Opportunities'!$C$2:$C$1775,"=r11",'Opportunities'!$N$2:$N$1775,"=apr26",'Opportunities'!$R$2:$R$1775,"=1")</f>
        <v>0</v>
      </c>
      <c r="P252" s="4">
        <f>SUMIFS('Opportunities'!$S$2:$S$1775,'Opportunities'!$C$2:$C$1775,"=r11",'Opportunities'!$N$2:$N$1775,"=may26",'Opportunities'!$R$2:$R$1775,"=1")</f>
        <v>0</v>
      </c>
      <c r="Q252" s="4">
        <f>SUMIFS('Opportunities'!$S$2:$S$1775,'Opportunities'!$C$2:$C$1775,"=r11",'Opportunities'!$N$2:$N$1775,"=jun26",'Opportunities'!$R$2:$R$1775,"=1")</f>
        <v>0</v>
      </c>
      <c r="R252" s="4">
        <f>SUMIFS('Opportunities'!$S$2:$S$1775,'Opportunities'!$C$2:$C$1775,"=r11",'Opportunities'!$N$2:$N$1775,"=jul26",'Opportunities'!$R$2:$R$1775,"=1")</f>
        <v>0</v>
      </c>
      <c r="S252" s="4">
        <f>SUMIFS('Opportunities'!$S$2:$S$1775,'Opportunities'!$C$2:$C$1775,"=r11",'Opportunities'!$N$2:$N$1775,"=aug26",'Opportunities'!$R$2:$R$1775,"=1")</f>
        <v>0</v>
      </c>
      <c r="T252" s="4">
        <f>SUMIFS('Opportunities'!$S$2:$S$1775,'Opportunities'!$C$2:$C$1775,"=r11",'Opportunities'!$N$2:$N$1775,"=sep26",'Opportunities'!$R$2:$R$1775,"=1")</f>
        <v>0</v>
      </c>
      <c r="U252" s="4">
        <f>SUMIFS('Opportunities'!$S$2:$S$1775,'Opportunities'!$C$2:$C$1775,"=r11",'Opportunities'!$N$2:$N$1775,"=oct26",'Opportunities'!$R$2:$R$1775,"=1")</f>
        <v>10260</v>
      </c>
      <c r="V252" s="4">
        <f>SUMIFS('Opportunities'!$S$2:$S$1775,'Opportunities'!$C$2:$C$1775,"=r11",'Opportunities'!$N$2:$N$1775,"=nov26",'Opportunities'!$R$2:$R$1775,"=1")</f>
        <v>0</v>
      </c>
      <c r="W252" s="4">
        <f>SUMIFS('Opportunities'!$S$2:$S$1775,'Opportunities'!$C$2:$C$1775,"=r11",'Opportunities'!$N$2:$N$1775,"=dec26",'Opportunities'!$R$2:$R$1775,"=1")</f>
        <v>41675</v>
      </c>
    </row>
    <row r="253">
      <c r="A253" s="0" t="inlineStr">
        <is>
          <t xml:space="preserve">Weighted pipeline</t>
        </is>
      </c>
      <c r="B253" s="0" t="inlineStr">
        <is>
          <t xml:space="preserve">Priya Nair</t>
        </is>
      </c>
      <c r="C253" s="4">
        <f>SUMIFS('Opportunities'!$S$2:$S$1775,'Opportunities'!$C$2:$C$1775,"=r12",'Opportunities'!$N$2:$N$1775,"=apr25",'Opportunities'!$R$2:$R$1775,"=1")</f>
        <v>0</v>
      </c>
      <c r="D253" s="4">
        <f>SUMIFS('Opportunities'!$S$2:$S$1775,'Opportunities'!$C$2:$C$1775,"=r12",'Opportunities'!$N$2:$N$1775,"=may25",'Opportunities'!$R$2:$R$1775,"=1")</f>
        <v>0</v>
      </c>
      <c r="E253" s="4">
        <f>SUMIFS('Opportunities'!$S$2:$S$1775,'Opportunities'!$C$2:$C$1775,"=r12",'Opportunities'!$N$2:$N$1775,"=jun25",'Opportunities'!$R$2:$R$1775,"=1")</f>
        <v>0</v>
      </c>
      <c r="F253" s="4">
        <f>SUMIFS('Opportunities'!$S$2:$S$1775,'Opportunities'!$C$2:$C$1775,"=r12",'Opportunities'!$N$2:$N$1775,"=jul25",'Opportunities'!$R$2:$R$1775,"=1")</f>
        <v>0</v>
      </c>
      <c r="G253" s="4">
        <f>SUMIFS('Opportunities'!$S$2:$S$1775,'Opportunities'!$C$2:$C$1775,"=r12",'Opportunities'!$N$2:$N$1775,"=aug25",'Opportunities'!$R$2:$R$1775,"=1")</f>
        <v>0</v>
      </c>
      <c r="H253" s="4">
        <f>SUMIFS('Opportunities'!$S$2:$S$1775,'Opportunities'!$C$2:$C$1775,"=r12",'Opportunities'!$N$2:$N$1775,"=sep25",'Opportunities'!$R$2:$R$1775,"=1")</f>
        <v>0</v>
      </c>
      <c r="I253" s="4">
        <f>SUMIFS('Opportunities'!$S$2:$S$1775,'Opportunities'!$C$2:$C$1775,"=r12",'Opportunities'!$N$2:$N$1775,"=oct25",'Opportunities'!$R$2:$R$1775,"=1")</f>
        <v>0</v>
      </c>
      <c r="J253" s="4">
        <f>SUMIFS('Opportunities'!$S$2:$S$1775,'Opportunities'!$C$2:$C$1775,"=r12",'Opportunities'!$N$2:$N$1775,"=nov25",'Opportunities'!$R$2:$R$1775,"=1")</f>
        <v>0</v>
      </c>
      <c r="K253" s="4">
        <f>SUMIFS('Opportunities'!$S$2:$S$1775,'Opportunities'!$C$2:$C$1775,"=r12",'Opportunities'!$N$2:$N$1775,"=dec25",'Opportunities'!$R$2:$R$1775,"=1")</f>
        <v>0</v>
      </c>
      <c r="L253" s="4">
        <f>SUMIFS('Opportunities'!$S$2:$S$1775,'Opportunities'!$C$2:$C$1775,"=r12",'Opportunities'!$N$2:$N$1775,"=jan26",'Opportunities'!$R$2:$R$1775,"=1")</f>
        <v>0</v>
      </c>
      <c r="M253" s="4">
        <f>SUMIFS('Opportunities'!$S$2:$S$1775,'Opportunities'!$C$2:$C$1775,"=r12",'Opportunities'!$N$2:$N$1775,"=feb26",'Opportunities'!$R$2:$R$1775,"=1")</f>
        <v>0</v>
      </c>
      <c r="N253" s="4">
        <f>SUMIFS('Opportunities'!$S$2:$S$1775,'Opportunities'!$C$2:$C$1775,"=r12",'Opportunities'!$N$2:$N$1775,"=mar26",'Opportunities'!$R$2:$R$1775,"=1")</f>
        <v>0</v>
      </c>
      <c r="O253" s="4">
        <f>SUMIFS('Opportunities'!$S$2:$S$1775,'Opportunities'!$C$2:$C$1775,"=r12",'Opportunities'!$N$2:$N$1775,"=apr26",'Opportunities'!$R$2:$R$1775,"=1")</f>
        <v>0</v>
      </c>
      <c r="P253" s="4">
        <f>SUMIFS('Opportunities'!$S$2:$S$1775,'Opportunities'!$C$2:$C$1775,"=r12",'Opportunities'!$N$2:$N$1775,"=may26",'Opportunities'!$R$2:$R$1775,"=1")</f>
        <v>0</v>
      </c>
      <c r="Q253" s="4">
        <f>SUMIFS('Opportunities'!$S$2:$S$1775,'Opportunities'!$C$2:$C$1775,"=r12",'Opportunities'!$N$2:$N$1775,"=jun26",'Opportunities'!$R$2:$R$1775,"=1")</f>
        <v>0</v>
      </c>
      <c r="R253" s="4">
        <f>SUMIFS('Opportunities'!$S$2:$S$1775,'Opportunities'!$C$2:$C$1775,"=r12",'Opportunities'!$N$2:$N$1775,"=jul26",'Opportunities'!$R$2:$R$1775,"=1")</f>
        <v>0</v>
      </c>
      <c r="S253" s="4">
        <f>SUMIFS('Opportunities'!$S$2:$S$1775,'Opportunities'!$C$2:$C$1775,"=r12",'Opportunities'!$N$2:$N$1775,"=aug26",'Opportunities'!$R$2:$R$1775,"=1")</f>
        <v>0</v>
      </c>
      <c r="T253" s="4">
        <f>SUMIFS('Opportunities'!$S$2:$S$1775,'Opportunities'!$C$2:$C$1775,"=r12",'Opportunities'!$N$2:$N$1775,"=sep26",'Opportunities'!$R$2:$R$1775,"=1")</f>
        <v>24915</v>
      </c>
      <c r="U253" s="4">
        <f>SUMIFS('Opportunities'!$S$2:$S$1775,'Opportunities'!$C$2:$C$1775,"=r12",'Opportunities'!$N$2:$N$1775,"=oct26",'Opportunities'!$R$2:$R$1775,"=1")</f>
        <v>28810</v>
      </c>
      <c r="V253" s="4">
        <f>SUMIFS('Opportunities'!$S$2:$S$1775,'Opportunities'!$C$2:$C$1775,"=r12",'Opportunities'!$N$2:$N$1775,"=nov26",'Opportunities'!$R$2:$R$1775,"=1")</f>
        <v>0</v>
      </c>
      <c r="W253" s="4">
        <f>SUMIFS('Opportunities'!$S$2:$S$1775,'Opportunities'!$C$2:$C$1775,"=r12",'Opportunities'!$N$2:$N$1775,"=dec26",'Opportunities'!$R$2:$R$1775,"=1")</f>
        <v>24010</v>
      </c>
    </row>
    <row r="254">
      <c r="A254" s="0" t="inlineStr">
        <is>
          <t xml:space="preserve">Weighted pipeline</t>
        </is>
      </c>
      <c r="B254" s="0" t="inlineStr">
        <is>
          <t xml:space="preserve">Hugo Lindqvist</t>
        </is>
      </c>
      <c r="C254" s="4">
        <f>SUMIFS('Opportunities'!$S$2:$S$1775,'Opportunities'!$C$2:$C$1775,"=r13",'Opportunities'!$N$2:$N$1775,"=apr25",'Opportunities'!$R$2:$R$1775,"=1")</f>
        <v>0</v>
      </c>
      <c r="D254" s="4">
        <f>SUMIFS('Opportunities'!$S$2:$S$1775,'Opportunities'!$C$2:$C$1775,"=r13",'Opportunities'!$N$2:$N$1775,"=may25",'Opportunities'!$R$2:$R$1775,"=1")</f>
        <v>0</v>
      </c>
      <c r="E254" s="4">
        <f>SUMIFS('Opportunities'!$S$2:$S$1775,'Opportunities'!$C$2:$C$1775,"=r13",'Opportunities'!$N$2:$N$1775,"=jun25",'Opportunities'!$R$2:$R$1775,"=1")</f>
        <v>0</v>
      </c>
      <c r="F254" s="4">
        <f>SUMIFS('Opportunities'!$S$2:$S$1775,'Opportunities'!$C$2:$C$1775,"=r13",'Opportunities'!$N$2:$N$1775,"=jul25",'Opportunities'!$R$2:$R$1775,"=1")</f>
        <v>0</v>
      </c>
      <c r="G254" s="4">
        <f>SUMIFS('Opportunities'!$S$2:$S$1775,'Opportunities'!$C$2:$C$1775,"=r13",'Opportunities'!$N$2:$N$1775,"=aug25",'Opportunities'!$R$2:$R$1775,"=1")</f>
        <v>0</v>
      </c>
      <c r="H254" s="4">
        <f>SUMIFS('Opportunities'!$S$2:$S$1775,'Opportunities'!$C$2:$C$1775,"=r13",'Opportunities'!$N$2:$N$1775,"=sep25",'Opportunities'!$R$2:$R$1775,"=1")</f>
        <v>0</v>
      </c>
      <c r="I254" s="4">
        <f>SUMIFS('Opportunities'!$S$2:$S$1775,'Opportunities'!$C$2:$C$1775,"=r13",'Opportunities'!$N$2:$N$1775,"=oct25",'Opportunities'!$R$2:$R$1775,"=1")</f>
        <v>0</v>
      </c>
      <c r="J254" s="4">
        <f>SUMIFS('Opportunities'!$S$2:$S$1775,'Opportunities'!$C$2:$C$1775,"=r13",'Opportunities'!$N$2:$N$1775,"=nov25",'Opportunities'!$R$2:$R$1775,"=1")</f>
        <v>0</v>
      </c>
      <c r="K254" s="4">
        <f>SUMIFS('Opportunities'!$S$2:$S$1775,'Opportunities'!$C$2:$C$1775,"=r13",'Opportunities'!$N$2:$N$1775,"=dec25",'Opportunities'!$R$2:$R$1775,"=1")</f>
        <v>0</v>
      </c>
      <c r="L254" s="4">
        <f>SUMIFS('Opportunities'!$S$2:$S$1775,'Opportunities'!$C$2:$C$1775,"=r13",'Opportunities'!$N$2:$N$1775,"=jan26",'Opportunities'!$R$2:$R$1775,"=1")</f>
        <v>0</v>
      </c>
      <c r="M254" s="4">
        <f>SUMIFS('Opportunities'!$S$2:$S$1775,'Opportunities'!$C$2:$C$1775,"=r13",'Opportunities'!$N$2:$N$1775,"=feb26",'Opportunities'!$R$2:$R$1775,"=1")</f>
        <v>0</v>
      </c>
      <c r="N254" s="4">
        <f>SUMIFS('Opportunities'!$S$2:$S$1775,'Opportunities'!$C$2:$C$1775,"=r13",'Opportunities'!$N$2:$N$1775,"=mar26",'Opportunities'!$R$2:$R$1775,"=1")</f>
        <v>0</v>
      </c>
      <c r="O254" s="4">
        <f>SUMIFS('Opportunities'!$S$2:$S$1775,'Opportunities'!$C$2:$C$1775,"=r13",'Opportunities'!$N$2:$N$1775,"=apr26",'Opportunities'!$R$2:$R$1775,"=1")</f>
        <v>0</v>
      </c>
      <c r="P254" s="4">
        <f>SUMIFS('Opportunities'!$S$2:$S$1775,'Opportunities'!$C$2:$C$1775,"=r13",'Opportunities'!$N$2:$N$1775,"=may26",'Opportunities'!$R$2:$R$1775,"=1")</f>
        <v>0</v>
      </c>
      <c r="Q254" s="4">
        <f>SUMIFS('Opportunities'!$S$2:$S$1775,'Opportunities'!$C$2:$C$1775,"=r13",'Opportunities'!$N$2:$N$1775,"=jun26",'Opportunities'!$R$2:$R$1775,"=1")</f>
        <v>0</v>
      </c>
      <c r="R254" s="4">
        <f>SUMIFS('Opportunities'!$S$2:$S$1775,'Opportunities'!$C$2:$C$1775,"=r13",'Opportunities'!$N$2:$N$1775,"=jul26",'Opportunities'!$R$2:$R$1775,"=1")</f>
        <v>0</v>
      </c>
      <c r="S254" s="4">
        <f>SUMIFS('Opportunities'!$S$2:$S$1775,'Opportunities'!$C$2:$C$1775,"=r13",'Opportunities'!$N$2:$N$1775,"=aug26",'Opportunities'!$R$2:$R$1775,"=1")</f>
        <v>0</v>
      </c>
      <c r="T254" s="4">
        <f>SUMIFS('Opportunities'!$S$2:$S$1775,'Opportunities'!$C$2:$C$1775,"=r13",'Opportunities'!$N$2:$N$1775,"=sep26",'Opportunities'!$R$2:$R$1775,"=1")</f>
        <v>102400</v>
      </c>
      <c r="U254" s="4">
        <f>SUMIFS('Opportunities'!$S$2:$S$1775,'Opportunities'!$C$2:$C$1775,"=r13",'Opportunities'!$N$2:$N$1775,"=oct26",'Opportunities'!$R$2:$R$1775,"=1")</f>
        <v>143350</v>
      </c>
      <c r="V254" s="4">
        <f>SUMIFS('Opportunities'!$S$2:$S$1775,'Opportunities'!$C$2:$C$1775,"=r13",'Opportunities'!$N$2:$N$1775,"=nov26",'Opportunities'!$R$2:$R$1775,"=1")</f>
        <v>9660</v>
      </c>
      <c r="W254" s="4">
        <f>SUMIFS('Opportunities'!$S$2:$S$1775,'Opportunities'!$C$2:$C$1775,"=r13",'Opportunities'!$N$2:$N$1775,"=dec26",'Opportunities'!$R$2:$R$1775,"=1")</f>
        <v>69245</v>
      </c>
    </row>
    <row r="255">
      <c r="A255" s="0" t="inlineStr">
        <is>
          <t xml:space="preserve">Weighted pipeline</t>
        </is>
      </c>
      <c r="B255" s="0" t="inlineStr">
        <is>
          <t xml:space="preserve">Wei Novak</t>
        </is>
      </c>
      <c r="C255" s="4">
        <f>SUMIFS('Opportunities'!$S$2:$S$1775,'Opportunities'!$C$2:$C$1775,"=r14",'Opportunities'!$N$2:$N$1775,"=apr25",'Opportunities'!$R$2:$R$1775,"=1")</f>
        <v>0</v>
      </c>
      <c r="D255" s="4">
        <f>SUMIFS('Opportunities'!$S$2:$S$1775,'Opportunities'!$C$2:$C$1775,"=r14",'Opportunities'!$N$2:$N$1775,"=may25",'Opportunities'!$R$2:$R$1775,"=1")</f>
        <v>0</v>
      </c>
      <c r="E255" s="4">
        <f>SUMIFS('Opportunities'!$S$2:$S$1775,'Opportunities'!$C$2:$C$1775,"=r14",'Opportunities'!$N$2:$N$1775,"=jun25",'Opportunities'!$R$2:$R$1775,"=1")</f>
        <v>0</v>
      </c>
      <c r="F255" s="4">
        <f>SUMIFS('Opportunities'!$S$2:$S$1775,'Opportunities'!$C$2:$C$1775,"=r14",'Opportunities'!$N$2:$N$1775,"=jul25",'Opportunities'!$R$2:$R$1775,"=1")</f>
        <v>0</v>
      </c>
      <c r="G255" s="4">
        <f>SUMIFS('Opportunities'!$S$2:$S$1775,'Opportunities'!$C$2:$C$1775,"=r14",'Opportunities'!$N$2:$N$1775,"=aug25",'Opportunities'!$R$2:$R$1775,"=1")</f>
        <v>0</v>
      </c>
      <c r="H255" s="4">
        <f>SUMIFS('Opportunities'!$S$2:$S$1775,'Opportunities'!$C$2:$C$1775,"=r14",'Opportunities'!$N$2:$N$1775,"=sep25",'Opportunities'!$R$2:$R$1775,"=1")</f>
        <v>0</v>
      </c>
      <c r="I255" s="4">
        <f>SUMIFS('Opportunities'!$S$2:$S$1775,'Opportunities'!$C$2:$C$1775,"=r14",'Opportunities'!$N$2:$N$1775,"=oct25",'Opportunities'!$R$2:$R$1775,"=1")</f>
        <v>0</v>
      </c>
      <c r="J255" s="4">
        <f>SUMIFS('Opportunities'!$S$2:$S$1775,'Opportunities'!$C$2:$C$1775,"=r14",'Opportunities'!$N$2:$N$1775,"=nov25",'Opportunities'!$R$2:$R$1775,"=1")</f>
        <v>0</v>
      </c>
      <c r="K255" s="4">
        <f>SUMIFS('Opportunities'!$S$2:$S$1775,'Opportunities'!$C$2:$C$1775,"=r14",'Opportunities'!$N$2:$N$1775,"=dec25",'Opportunities'!$R$2:$R$1775,"=1")</f>
        <v>0</v>
      </c>
      <c r="L255" s="4">
        <f>SUMIFS('Opportunities'!$S$2:$S$1775,'Opportunities'!$C$2:$C$1775,"=r14",'Opportunities'!$N$2:$N$1775,"=jan26",'Opportunities'!$R$2:$R$1775,"=1")</f>
        <v>0</v>
      </c>
      <c r="M255" s="4">
        <f>SUMIFS('Opportunities'!$S$2:$S$1775,'Opportunities'!$C$2:$C$1775,"=r14",'Opportunities'!$N$2:$N$1775,"=feb26",'Opportunities'!$R$2:$R$1775,"=1")</f>
        <v>0</v>
      </c>
      <c r="N255" s="4">
        <f>SUMIFS('Opportunities'!$S$2:$S$1775,'Opportunities'!$C$2:$C$1775,"=r14",'Opportunities'!$N$2:$N$1775,"=mar26",'Opportunities'!$R$2:$R$1775,"=1")</f>
        <v>0</v>
      </c>
      <c r="O255" s="4">
        <f>SUMIFS('Opportunities'!$S$2:$S$1775,'Opportunities'!$C$2:$C$1775,"=r14",'Opportunities'!$N$2:$N$1775,"=apr26",'Opportunities'!$R$2:$R$1775,"=1")</f>
        <v>0</v>
      </c>
      <c r="P255" s="4">
        <f>SUMIFS('Opportunities'!$S$2:$S$1775,'Opportunities'!$C$2:$C$1775,"=r14",'Opportunities'!$N$2:$N$1775,"=may26",'Opportunities'!$R$2:$R$1775,"=1")</f>
        <v>0</v>
      </c>
      <c r="Q255" s="4">
        <f>SUMIFS('Opportunities'!$S$2:$S$1775,'Opportunities'!$C$2:$C$1775,"=r14",'Opportunities'!$N$2:$N$1775,"=jun26",'Opportunities'!$R$2:$R$1775,"=1")</f>
        <v>0</v>
      </c>
      <c r="R255" s="4">
        <f>SUMIFS('Opportunities'!$S$2:$S$1775,'Opportunities'!$C$2:$C$1775,"=r14",'Opportunities'!$N$2:$N$1775,"=jul26",'Opportunities'!$R$2:$R$1775,"=1")</f>
        <v>0</v>
      </c>
      <c r="S255" s="4">
        <f>SUMIFS('Opportunities'!$S$2:$S$1775,'Opportunities'!$C$2:$C$1775,"=r14",'Opportunities'!$N$2:$N$1775,"=aug26",'Opportunities'!$R$2:$R$1775,"=1")</f>
        <v>0</v>
      </c>
      <c r="T255" s="4">
        <f>SUMIFS('Opportunities'!$S$2:$S$1775,'Opportunities'!$C$2:$C$1775,"=r14",'Opportunities'!$N$2:$N$1775,"=sep26",'Opportunities'!$R$2:$R$1775,"=1")</f>
        <v>0</v>
      </c>
      <c r="U255" s="4">
        <f>SUMIFS('Opportunities'!$S$2:$S$1775,'Opportunities'!$C$2:$C$1775,"=r14",'Opportunities'!$N$2:$N$1775,"=oct26",'Opportunities'!$R$2:$R$1775,"=1")</f>
        <v>179495</v>
      </c>
      <c r="V255" s="4">
        <f>SUMIFS('Opportunities'!$S$2:$S$1775,'Opportunities'!$C$2:$C$1775,"=r14",'Opportunities'!$N$2:$N$1775,"=nov26",'Opportunities'!$R$2:$R$1775,"=1")</f>
        <v>12140</v>
      </c>
      <c r="W255" s="4">
        <f>SUMIFS('Opportunities'!$S$2:$S$1775,'Opportunities'!$C$2:$C$1775,"=r14",'Opportunities'!$N$2:$N$1775,"=dec26",'Opportunities'!$R$2:$R$1775,"=1")</f>
        <v>0</v>
      </c>
    </row>
    <row r="256">
      <c r="A256" s="0" t="inlineStr">
        <is>
          <t xml:space="preserve">Weighted pipeline</t>
        </is>
      </c>
      <c r="B256" s="0" t="inlineStr">
        <is>
          <t xml:space="preserve">Nikolai Kim</t>
        </is>
      </c>
      <c r="C256" s="4">
        <f>SUMIFS('Opportunities'!$S$2:$S$1775,'Opportunities'!$C$2:$C$1775,"=r15",'Opportunities'!$N$2:$N$1775,"=apr25",'Opportunities'!$R$2:$R$1775,"=1")</f>
        <v>0</v>
      </c>
      <c r="D256" s="4">
        <f>SUMIFS('Opportunities'!$S$2:$S$1775,'Opportunities'!$C$2:$C$1775,"=r15",'Opportunities'!$N$2:$N$1775,"=may25",'Opportunities'!$R$2:$R$1775,"=1")</f>
        <v>0</v>
      </c>
      <c r="E256" s="4">
        <f>SUMIFS('Opportunities'!$S$2:$S$1775,'Opportunities'!$C$2:$C$1775,"=r15",'Opportunities'!$N$2:$N$1775,"=jun25",'Opportunities'!$R$2:$R$1775,"=1")</f>
        <v>0</v>
      </c>
      <c r="F256" s="4">
        <f>SUMIFS('Opportunities'!$S$2:$S$1775,'Opportunities'!$C$2:$C$1775,"=r15",'Opportunities'!$N$2:$N$1775,"=jul25",'Opportunities'!$R$2:$R$1775,"=1")</f>
        <v>0</v>
      </c>
      <c r="G256" s="4">
        <f>SUMIFS('Opportunities'!$S$2:$S$1775,'Opportunities'!$C$2:$C$1775,"=r15",'Opportunities'!$N$2:$N$1775,"=aug25",'Opportunities'!$R$2:$R$1775,"=1")</f>
        <v>0</v>
      </c>
      <c r="H256" s="4">
        <f>SUMIFS('Opportunities'!$S$2:$S$1775,'Opportunities'!$C$2:$C$1775,"=r15",'Opportunities'!$N$2:$N$1775,"=sep25",'Opportunities'!$R$2:$R$1775,"=1")</f>
        <v>0</v>
      </c>
      <c r="I256" s="4">
        <f>SUMIFS('Opportunities'!$S$2:$S$1775,'Opportunities'!$C$2:$C$1775,"=r15",'Opportunities'!$N$2:$N$1775,"=oct25",'Opportunities'!$R$2:$R$1775,"=1")</f>
        <v>0</v>
      </c>
      <c r="J256" s="4">
        <f>SUMIFS('Opportunities'!$S$2:$S$1775,'Opportunities'!$C$2:$C$1775,"=r15",'Opportunities'!$N$2:$N$1775,"=nov25",'Opportunities'!$R$2:$R$1775,"=1")</f>
        <v>0</v>
      </c>
      <c r="K256" s="4">
        <f>SUMIFS('Opportunities'!$S$2:$S$1775,'Opportunities'!$C$2:$C$1775,"=r15",'Opportunities'!$N$2:$N$1775,"=dec25",'Opportunities'!$R$2:$R$1775,"=1")</f>
        <v>0</v>
      </c>
      <c r="L256" s="4">
        <f>SUMIFS('Opportunities'!$S$2:$S$1775,'Opportunities'!$C$2:$C$1775,"=r15",'Opportunities'!$N$2:$N$1775,"=jan26",'Opportunities'!$R$2:$R$1775,"=1")</f>
        <v>0</v>
      </c>
      <c r="M256" s="4">
        <f>SUMIFS('Opportunities'!$S$2:$S$1775,'Opportunities'!$C$2:$C$1775,"=r15",'Opportunities'!$N$2:$N$1775,"=feb26",'Opportunities'!$R$2:$R$1775,"=1")</f>
        <v>0</v>
      </c>
      <c r="N256" s="4">
        <f>SUMIFS('Opportunities'!$S$2:$S$1775,'Opportunities'!$C$2:$C$1775,"=r15",'Opportunities'!$N$2:$N$1775,"=mar26",'Opportunities'!$R$2:$R$1775,"=1")</f>
        <v>0</v>
      </c>
      <c r="O256" s="4">
        <f>SUMIFS('Opportunities'!$S$2:$S$1775,'Opportunities'!$C$2:$C$1775,"=r15",'Opportunities'!$N$2:$N$1775,"=apr26",'Opportunities'!$R$2:$R$1775,"=1")</f>
        <v>0</v>
      </c>
      <c r="P256" s="4">
        <f>SUMIFS('Opportunities'!$S$2:$S$1775,'Opportunities'!$C$2:$C$1775,"=r15",'Opportunities'!$N$2:$N$1775,"=may26",'Opportunities'!$R$2:$R$1775,"=1")</f>
        <v>0</v>
      </c>
      <c r="Q256" s="4">
        <f>SUMIFS('Opportunities'!$S$2:$S$1775,'Opportunities'!$C$2:$C$1775,"=r15",'Opportunities'!$N$2:$N$1775,"=jun26",'Opportunities'!$R$2:$R$1775,"=1")</f>
        <v>0</v>
      </c>
      <c r="R256" s="4">
        <f>SUMIFS('Opportunities'!$S$2:$S$1775,'Opportunities'!$C$2:$C$1775,"=r15",'Opportunities'!$N$2:$N$1775,"=jul26",'Opportunities'!$R$2:$R$1775,"=1")</f>
        <v>0</v>
      </c>
      <c r="S256" s="4">
        <f>SUMIFS('Opportunities'!$S$2:$S$1775,'Opportunities'!$C$2:$C$1775,"=r15",'Opportunities'!$N$2:$N$1775,"=aug26",'Opportunities'!$R$2:$R$1775,"=1")</f>
        <v>0</v>
      </c>
      <c r="T256" s="4">
        <f>SUMIFS('Opportunities'!$S$2:$S$1775,'Opportunities'!$C$2:$C$1775,"=r15",'Opportunities'!$N$2:$N$1775,"=sep26",'Opportunities'!$R$2:$R$1775,"=1")</f>
        <v>32780</v>
      </c>
      <c r="U256" s="4">
        <f>SUMIFS('Opportunities'!$S$2:$S$1775,'Opportunities'!$C$2:$C$1775,"=r15",'Opportunities'!$N$2:$N$1775,"=oct26",'Opportunities'!$R$2:$R$1775,"=1")</f>
        <v>10080</v>
      </c>
      <c r="V256" s="4">
        <f>SUMIFS('Opportunities'!$S$2:$S$1775,'Opportunities'!$C$2:$C$1775,"=r15",'Opportunities'!$N$2:$N$1775,"=nov26",'Opportunities'!$R$2:$R$1775,"=1")</f>
        <v>0</v>
      </c>
      <c r="W256" s="4">
        <f>SUMIFS('Opportunities'!$S$2:$S$1775,'Opportunities'!$C$2:$C$1775,"=r15",'Opportunities'!$N$2:$N$1775,"=dec26",'Opportunities'!$R$2:$R$1775,"=1")</f>
        <v>4100</v>
      </c>
    </row>
    <row r="257">
      <c r="A257" s="0" t="inlineStr">
        <is>
          <t xml:space="preserve">Weighted pipeline</t>
        </is>
      </c>
      <c r="B257" s="0" t="inlineStr">
        <is>
          <t xml:space="preserve">Wei Nair</t>
        </is>
      </c>
      <c r="C257" s="4">
        <f>SUMIFS('Opportunities'!$S$2:$S$1775,'Opportunities'!$C$2:$C$1775,"=r16",'Opportunities'!$N$2:$N$1775,"=apr25",'Opportunities'!$R$2:$R$1775,"=1")</f>
        <v>0</v>
      </c>
      <c r="D257" s="4">
        <f>SUMIFS('Opportunities'!$S$2:$S$1775,'Opportunities'!$C$2:$C$1775,"=r16",'Opportunities'!$N$2:$N$1775,"=may25",'Opportunities'!$R$2:$R$1775,"=1")</f>
        <v>0</v>
      </c>
      <c r="E257" s="4">
        <f>SUMIFS('Opportunities'!$S$2:$S$1775,'Opportunities'!$C$2:$C$1775,"=r16",'Opportunities'!$N$2:$N$1775,"=jun25",'Opportunities'!$R$2:$R$1775,"=1")</f>
        <v>0</v>
      </c>
      <c r="F257" s="4">
        <f>SUMIFS('Opportunities'!$S$2:$S$1775,'Opportunities'!$C$2:$C$1775,"=r16",'Opportunities'!$N$2:$N$1775,"=jul25",'Opportunities'!$R$2:$R$1775,"=1")</f>
        <v>0</v>
      </c>
      <c r="G257" s="4">
        <f>SUMIFS('Opportunities'!$S$2:$S$1775,'Opportunities'!$C$2:$C$1775,"=r16",'Opportunities'!$N$2:$N$1775,"=aug25",'Opportunities'!$R$2:$R$1775,"=1")</f>
        <v>0</v>
      </c>
      <c r="H257" s="4">
        <f>SUMIFS('Opportunities'!$S$2:$S$1775,'Opportunities'!$C$2:$C$1775,"=r16",'Opportunities'!$N$2:$N$1775,"=sep25",'Opportunities'!$R$2:$R$1775,"=1")</f>
        <v>0</v>
      </c>
      <c r="I257" s="4">
        <f>SUMIFS('Opportunities'!$S$2:$S$1775,'Opportunities'!$C$2:$C$1775,"=r16",'Opportunities'!$N$2:$N$1775,"=oct25",'Opportunities'!$R$2:$R$1775,"=1")</f>
        <v>0</v>
      </c>
      <c r="J257" s="4">
        <f>SUMIFS('Opportunities'!$S$2:$S$1775,'Opportunities'!$C$2:$C$1775,"=r16",'Opportunities'!$N$2:$N$1775,"=nov25",'Opportunities'!$R$2:$R$1775,"=1")</f>
        <v>0</v>
      </c>
      <c r="K257" s="4">
        <f>SUMIFS('Opportunities'!$S$2:$S$1775,'Opportunities'!$C$2:$C$1775,"=r16",'Opportunities'!$N$2:$N$1775,"=dec25",'Opportunities'!$R$2:$R$1775,"=1")</f>
        <v>0</v>
      </c>
      <c r="L257" s="4">
        <f>SUMIFS('Opportunities'!$S$2:$S$1775,'Opportunities'!$C$2:$C$1775,"=r16",'Opportunities'!$N$2:$N$1775,"=jan26",'Opportunities'!$R$2:$R$1775,"=1")</f>
        <v>0</v>
      </c>
      <c r="M257" s="4">
        <f>SUMIFS('Opportunities'!$S$2:$S$1775,'Opportunities'!$C$2:$C$1775,"=r16",'Opportunities'!$N$2:$N$1775,"=feb26",'Opportunities'!$R$2:$R$1775,"=1")</f>
        <v>0</v>
      </c>
      <c r="N257" s="4">
        <f>SUMIFS('Opportunities'!$S$2:$S$1775,'Opportunities'!$C$2:$C$1775,"=r16",'Opportunities'!$N$2:$N$1775,"=mar26",'Opportunities'!$R$2:$R$1775,"=1")</f>
        <v>0</v>
      </c>
      <c r="O257" s="4">
        <f>SUMIFS('Opportunities'!$S$2:$S$1775,'Opportunities'!$C$2:$C$1775,"=r16",'Opportunities'!$N$2:$N$1775,"=apr26",'Opportunities'!$R$2:$R$1775,"=1")</f>
        <v>0</v>
      </c>
      <c r="P257" s="4">
        <f>SUMIFS('Opportunities'!$S$2:$S$1775,'Opportunities'!$C$2:$C$1775,"=r16",'Opportunities'!$N$2:$N$1775,"=may26",'Opportunities'!$R$2:$R$1775,"=1")</f>
        <v>0</v>
      </c>
      <c r="Q257" s="4">
        <f>SUMIFS('Opportunities'!$S$2:$S$1775,'Opportunities'!$C$2:$C$1775,"=r16",'Opportunities'!$N$2:$N$1775,"=jun26",'Opportunities'!$R$2:$R$1775,"=1")</f>
        <v>0</v>
      </c>
      <c r="R257" s="4">
        <f>SUMIFS('Opportunities'!$S$2:$S$1775,'Opportunities'!$C$2:$C$1775,"=r16",'Opportunities'!$N$2:$N$1775,"=jul26",'Opportunities'!$R$2:$R$1775,"=1")</f>
        <v>0</v>
      </c>
      <c r="S257" s="4">
        <f>SUMIFS('Opportunities'!$S$2:$S$1775,'Opportunities'!$C$2:$C$1775,"=r16",'Opportunities'!$N$2:$N$1775,"=aug26",'Opportunities'!$R$2:$R$1775,"=1")</f>
        <v>0</v>
      </c>
      <c r="T257" s="4">
        <f>SUMIFS('Opportunities'!$S$2:$S$1775,'Opportunities'!$C$2:$C$1775,"=r16",'Opportunities'!$N$2:$N$1775,"=sep26",'Opportunities'!$R$2:$R$1775,"=1")</f>
        <v>23450</v>
      </c>
      <c r="U257" s="4">
        <f>SUMIFS('Opportunities'!$S$2:$S$1775,'Opportunities'!$C$2:$C$1775,"=r16",'Opportunities'!$N$2:$N$1775,"=oct26",'Opportunities'!$R$2:$R$1775,"=1")</f>
        <v>11025</v>
      </c>
      <c r="V257" s="4">
        <f>SUMIFS('Opportunities'!$S$2:$S$1775,'Opportunities'!$C$2:$C$1775,"=r16",'Opportunities'!$N$2:$N$1775,"=nov26",'Opportunities'!$R$2:$R$1775,"=1")</f>
        <v>0</v>
      </c>
      <c r="W257" s="4">
        <f>SUMIFS('Opportunities'!$S$2:$S$1775,'Opportunities'!$C$2:$C$1775,"=r16",'Opportunities'!$N$2:$N$1775,"=dec26",'Opportunities'!$R$2:$R$1775,"=1")</f>
        <v>0</v>
      </c>
    </row>
    <row r="258">
      <c r="A258" s="0" t="inlineStr">
        <is>
          <t xml:space="preserve">Weighted pipeline</t>
        </is>
      </c>
      <c r="B258" s="0" t="inlineStr">
        <is>
          <t xml:space="preserve">Liam Silva</t>
        </is>
      </c>
      <c r="C258" s="4">
        <f>SUMIFS('Opportunities'!$S$2:$S$1775,'Opportunities'!$C$2:$C$1775,"=r17",'Opportunities'!$N$2:$N$1775,"=apr25",'Opportunities'!$R$2:$R$1775,"=1")</f>
        <v>0</v>
      </c>
      <c r="D258" s="4">
        <f>SUMIFS('Opportunities'!$S$2:$S$1775,'Opportunities'!$C$2:$C$1775,"=r17",'Opportunities'!$N$2:$N$1775,"=may25",'Opportunities'!$R$2:$R$1775,"=1")</f>
        <v>0</v>
      </c>
      <c r="E258" s="4">
        <f>SUMIFS('Opportunities'!$S$2:$S$1775,'Opportunities'!$C$2:$C$1775,"=r17",'Opportunities'!$N$2:$N$1775,"=jun25",'Opportunities'!$R$2:$R$1775,"=1")</f>
        <v>0</v>
      </c>
      <c r="F258" s="4">
        <f>SUMIFS('Opportunities'!$S$2:$S$1775,'Opportunities'!$C$2:$C$1775,"=r17",'Opportunities'!$N$2:$N$1775,"=jul25",'Opportunities'!$R$2:$R$1775,"=1")</f>
        <v>0</v>
      </c>
      <c r="G258" s="4">
        <f>SUMIFS('Opportunities'!$S$2:$S$1775,'Opportunities'!$C$2:$C$1775,"=r17",'Opportunities'!$N$2:$N$1775,"=aug25",'Opportunities'!$R$2:$R$1775,"=1")</f>
        <v>0</v>
      </c>
      <c r="H258" s="4">
        <f>SUMIFS('Opportunities'!$S$2:$S$1775,'Opportunities'!$C$2:$C$1775,"=r17",'Opportunities'!$N$2:$N$1775,"=sep25",'Opportunities'!$R$2:$R$1775,"=1")</f>
        <v>0</v>
      </c>
      <c r="I258" s="4">
        <f>SUMIFS('Opportunities'!$S$2:$S$1775,'Opportunities'!$C$2:$C$1775,"=r17",'Opportunities'!$N$2:$N$1775,"=oct25",'Opportunities'!$R$2:$R$1775,"=1")</f>
        <v>0</v>
      </c>
      <c r="J258" s="4">
        <f>SUMIFS('Opportunities'!$S$2:$S$1775,'Opportunities'!$C$2:$C$1775,"=r17",'Opportunities'!$N$2:$N$1775,"=nov25",'Opportunities'!$R$2:$R$1775,"=1")</f>
        <v>0</v>
      </c>
      <c r="K258" s="4">
        <f>SUMIFS('Opportunities'!$S$2:$S$1775,'Opportunities'!$C$2:$C$1775,"=r17",'Opportunities'!$N$2:$N$1775,"=dec25",'Opportunities'!$R$2:$R$1775,"=1")</f>
        <v>0</v>
      </c>
      <c r="L258" s="4">
        <f>SUMIFS('Opportunities'!$S$2:$S$1775,'Opportunities'!$C$2:$C$1775,"=r17",'Opportunities'!$N$2:$N$1775,"=jan26",'Opportunities'!$R$2:$R$1775,"=1")</f>
        <v>0</v>
      </c>
      <c r="M258" s="4">
        <f>SUMIFS('Opportunities'!$S$2:$S$1775,'Opportunities'!$C$2:$C$1775,"=r17",'Opportunities'!$N$2:$N$1775,"=feb26",'Opportunities'!$R$2:$R$1775,"=1")</f>
        <v>0</v>
      </c>
      <c r="N258" s="4">
        <f>SUMIFS('Opportunities'!$S$2:$S$1775,'Opportunities'!$C$2:$C$1775,"=r17",'Opportunities'!$N$2:$N$1775,"=mar26",'Opportunities'!$R$2:$R$1775,"=1")</f>
        <v>0</v>
      </c>
      <c r="O258" s="4">
        <f>SUMIFS('Opportunities'!$S$2:$S$1775,'Opportunities'!$C$2:$C$1775,"=r17",'Opportunities'!$N$2:$N$1775,"=apr26",'Opportunities'!$R$2:$R$1775,"=1")</f>
        <v>0</v>
      </c>
      <c r="P258" s="4">
        <f>SUMIFS('Opportunities'!$S$2:$S$1775,'Opportunities'!$C$2:$C$1775,"=r17",'Opportunities'!$N$2:$N$1775,"=may26",'Opportunities'!$R$2:$R$1775,"=1")</f>
        <v>0</v>
      </c>
      <c r="Q258" s="4">
        <f>SUMIFS('Opportunities'!$S$2:$S$1775,'Opportunities'!$C$2:$C$1775,"=r17",'Opportunities'!$N$2:$N$1775,"=jun26",'Opportunities'!$R$2:$R$1775,"=1")</f>
        <v>0</v>
      </c>
      <c r="R258" s="4">
        <f>SUMIFS('Opportunities'!$S$2:$S$1775,'Opportunities'!$C$2:$C$1775,"=r17",'Opportunities'!$N$2:$N$1775,"=jul26",'Opportunities'!$R$2:$R$1775,"=1")</f>
        <v>0</v>
      </c>
      <c r="S258" s="4">
        <f>SUMIFS('Opportunities'!$S$2:$S$1775,'Opportunities'!$C$2:$C$1775,"=r17",'Opportunities'!$N$2:$N$1775,"=aug26",'Opportunities'!$R$2:$R$1775,"=1")</f>
        <v>0</v>
      </c>
      <c r="T258" s="4">
        <f>SUMIFS('Opportunities'!$S$2:$S$1775,'Opportunities'!$C$2:$C$1775,"=r17",'Opportunities'!$N$2:$N$1775,"=sep26",'Opportunities'!$R$2:$R$1775,"=1")</f>
        <v>23000</v>
      </c>
      <c r="U258" s="4">
        <f>SUMIFS('Opportunities'!$S$2:$S$1775,'Opportunities'!$C$2:$C$1775,"=r17",'Opportunities'!$N$2:$N$1775,"=oct26",'Opportunities'!$R$2:$R$1775,"=1")</f>
        <v>30725</v>
      </c>
      <c r="V258" s="4">
        <f>SUMIFS('Opportunities'!$S$2:$S$1775,'Opportunities'!$C$2:$C$1775,"=r17",'Opportunities'!$N$2:$N$1775,"=nov26",'Opportunities'!$R$2:$R$1775,"=1")</f>
        <v>1250</v>
      </c>
      <c r="W258" s="4">
        <f>SUMIFS('Opportunities'!$S$2:$S$1775,'Opportunities'!$C$2:$C$1775,"=r17",'Opportunities'!$N$2:$N$1775,"=dec26",'Opportunities'!$R$2:$R$1775,"=1")</f>
        <v>35025</v>
      </c>
    </row>
    <row r="259">
      <c r="A259" s="0" t="inlineStr">
        <is>
          <t xml:space="preserve">Weighted pipeline</t>
        </is>
      </c>
      <c r="B259" s="0" t="inlineStr">
        <is>
          <t xml:space="preserve">Samuel Silva</t>
        </is>
      </c>
      <c r="C259" s="4">
        <f>SUMIFS('Opportunities'!$S$2:$S$1775,'Opportunities'!$C$2:$C$1775,"=r18",'Opportunities'!$N$2:$N$1775,"=apr25",'Opportunities'!$R$2:$R$1775,"=1")</f>
        <v>0</v>
      </c>
      <c r="D259" s="4">
        <f>SUMIFS('Opportunities'!$S$2:$S$1775,'Opportunities'!$C$2:$C$1775,"=r18",'Opportunities'!$N$2:$N$1775,"=may25",'Opportunities'!$R$2:$R$1775,"=1")</f>
        <v>0</v>
      </c>
      <c r="E259" s="4">
        <f>SUMIFS('Opportunities'!$S$2:$S$1775,'Opportunities'!$C$2:$C$1775,"=r18",'Opportunities'!$N$2:$N$1775,"=jun25",'Opportunities'!$R$2:$R$1775,"=1")</f>
        <v>0</v>
      </c>
      <c r="F259" s="4">
        <f>SUMIFS('Opportunities'!$S$2:$S$1775,'Opportunities'!$C$2:$C$1775,"=r18",'Opportunities'!$N$2:$N$1775,"=jul25",'Opportunities'!$R$2:$R$1775,"=1")</f>
        <v>0</v>
      </c>
      <c r="G259" s="4">
        <f>SUMIFS('Opportunities'!$S$2:$S$1775,'Opportunities'!$C$2:$C$1775,"=r18",'Opportunities'!$N$2:$N$1775,"=aug25",'Opportunities'!$R$2:$R$1775,"=1")</f>
        <v>0</v>
      </c>
      <c r="H259" s="4">
        <f>SUMIFS('Opportunities'!$S$2:$S$1775,'Opportunities'!$C$2:$C$1775,"=r18",'Opportunities'!$N$2:$N$1775,"=sep25",'Opportunities'!$R$2:$R$1775,"=1")</f>
        <v>0</v>
      </c>
      <c r="I259" s="4">
        <f>SUMIFS('Opportunities'!$S$2:$S$1775,'Opportunities'!$C$2:$C$1775,"=r18",'Opportunities'!$N$2:$N$1775,"=oct25",'Opportunities'!$R$2:$R$1775,"=1")</f>
        <v>0</v>
      </c>
      <c r="J259" s="4">
        <f>SUMIFS('Opportunities'!$S$2:$S$1775,'Opportunities'!$C$2:$C$1775,"=r18",'Opportunities'!$N$2:$N$1775,"=nov25",'Opportunities'!$R$2:$R$1775,"=1")</f>
        <v>0</v>
      </c>
      <c r="K259" s="4">
        <f>SUMIFS('Opportunities'!$S$2:$S$1775,'Opportunities'!$C$2:$C$1775,"=r18",'Opportunities'!$N$2:$N$1775,"=dec25",'Opportunities'!$R$2:$R$1775,"=1")</f>
        <v>0</v>
      </c>
      <c r="L259" s="4">
        <f>SUMIFS('Opportunities'!$S$2:$S$1775,'Opportunities'!$C$2:$C$1775,"=r18",'Opportunities'!$N$2:$N$1775,"=jan26",'Opportunities'!$R$2:$R$1775,"=1")</f>
        <v>0</v>
      </c>
      <c r="M259" s="4">
        <f>SUMIFS('Opportunities'!$S$2:$S$1775,'Opportunities'!$C$2:$C$1775,"=r18",'Opportunities'!$N$2:$N$1775,"=feb26",'Opportunities'!$R$2:$R$1775,"=1")</f>
        <v>0</v>
      </c>
      <c r="N259" s="4">
        <f>SUMIFS('Opportunities'!$S$2:$S$1775,'Opportunities'!$C$2:$C$1775,"=r18",'Opportunities'!$N$2:$N$1775,"=mar26",'Opportunities'!$R$2:$R$1775,"=1")</f>
        <v>0</v>
      </c>
      <c r="O259" s="4">
        <f>SUMIFS('Opportunities'!$S$2:$S$1775,'Opportunities'!$C$2:$C$1775,"=r18",'Opportunities'!$N$2:$N$1775,"=apr26",'Opportunities'!$R$2:$R$1775,"=1")</f>
        <v>0</v>
      </c>
      <c r="P259" s="4">
        <f>SUMIFS('Opportunities'!$S$2:$S$1775,'Opportunities'!$C$2:$C$1775,"=r18",'Opportunities'!$N$2:$N$1775,"=may26",'Opportunities'!$R$2:$R$1775,"=1")</f>
        <v>0</v>
      </c>
      <c r="Q259" s="4">
        <f>SUMIFS('Opportunities'!$S$2:$S$1775,'Opportunities'!$C$2:$C$1775,"=r18",'Opportunities'!$N$2:$N$1775,"=jun26",'Opportunities'!$R$2:$R$1775,"=1")</f>
        <v>0</v>
      </c>
      <c r="R259" s="4">
        <f>SUMIFS('Opportunities'!$S$2:$S$1775,'Opportunities'!$C$2:$C$1775,"=r18",'Opportunities'!$N$2:$N$1775,"=jul26",'Opportunities'!$R$2:$R$1775,"=1")</f>
        <v>0</v>
      </c>
      <c r="S259" s="4">
        <f>SUMIFS('Opportunities'!$S$2:$S$1775,'Opportunities'!$C$2:$C$1775,"=r18",'Opportunities'!$N$2:$N$1775,"=aug26",'Opportunities'!$R$2:$R$1775,"=1")</f>
        <v>0</v>
      </c>
      <c r="T259" s="4">
        <f>SUMIFS('Opportunities'!$S$2:$S$1775,'Opportunities'!$C$2:$C$1775,"=r18",'Opportunities'!$N$2:$N$1775,"=sep26",'Opportunities'!$R$2:$R$1775,"=1")</f>
        <v>4930</v>
      </c>
      <c r="U259" s="4">
        <f>SUMIFS('Opportunities'!$S$2:$S$1775,'Opportunities'!$C$2:$C$1775,"=r18",'Opportunities'!$N$2:$N$1775,"=oct26",'Opportunities'!$R$2:$R$1775,"=1")</f>
        <v>18100</v>
      </c>
      <c r="V259" s="4">
        <f>SUMIFS('Opportunities'!$S$2:$S$1775,'Opportunities'!$C$2:$C$1775,"=r18",'Opportunities'!$N$2:$N$1775,"=nov26",'Opportunities'!$R$2:$R$1775,"=1")</f>
        <v>0</v>
      </c>
      <c r="W259" s="4">
        <f>SUMIFS('Opportunities'!$S$2:$S$1775,'Opportunities'!$C$2:$C$1775,"=r18",'Opportunities'!$N$2:$N$1775,"=dec26",'Opportunities'!$R$2:$R$1775,"=1")</f>
        <v>6900</v>
      </c>
    </row>
    <row r="260">
      <c r="A260" s="0" t="inlineStr">
        <is>
          <t xml:space="preserve">Weighted pipeline</t>
        </is>
      </c>
      <c r="B260" s="0" t="inlineStr">
        <is>
          <t xml:space="preserve">Yuki Larsen</t>
        </is>
      </c>
      <c r="C260" s="4">
        <f>SUMIFS('Opportunities'!$S$2:$S$1775,'Opportunities'!$C$2:$C$1775,"=r19",'Opportunities'!$N$2:$N$1775,"=apr25",'Opportunities'!$R$2:$R$1775,"=1")</f>
        <v>0</v>
      </c>
      <c r="D260" s="4">
        <f>SUMIFS('Opportunities'!$S$2:$S$1775,'Opportunities'!$C$2:$C$1775,"=r19",'Opportunities'!$N$2:$N$1775,"=may25",'Opportunities'!$R$2:$R$1775,"=1")</f>
        <v>0</v>
      </c>
      <c r="E260" s="4">
        <f>SUMIFS('Opportunities'!$S$2:$S$1775,'Opportunities'!$C$2:$C$1775,"=r19",'Opportunities'!$N$2:$N$1775,"=jun25",'Opportunities'!$R$2:$R$1775,"=1")</f>
        <v>0</v>
      </c>
      <c r="F260" s="4">
        <f>SUMIFS('Opportunities'!$S$2:$S$1775,'Opportunities'!$C$2:$C$1775,"=r19",'Opportunities'!$N$2:$N$1775,"=jul25",'Opportunities'!$R$2:$R$1775,"=1")</f>
        <v>0</v>
      </c>
      <c r="G260" s="4">
        <f>SUMIFS('Opportunities'!$S$2:$S$1775,'Opportunities'!$C$2:$C$1775,"=r19",'Opportunities'!$N$2:$N$1775,"=aug25",'Opportunities'!$R$2:$R$1775,"=1")</f>
        <v>0</v>
      </c>
      <c r="H260" s="4">
        <f>SUMIFS('Opportunities'!$S$2:$S$1775,'Opportunities'!$C$2:$C$1775,"=r19",'Opportunities'!$N$2:$N$1775,"=sep25",'Opportunities'!$R$2:$R$1775,"=1")</f>
        <v>0</v>
      </c>
      <c r="I260" s="4">
        <f>SUMIFS('Opportunities'!$S$2:$S$1775,'Opportunities'!$C$2:$C$1775,"=r19",'Opportunities'!$N$2:$N$1775,"=oct25",'Opportunities'!$R$2:$R$1775,"=1")</f>
        <v>0</v>
      </c>
      <c r="J260" s="4">
        <f>SUMIFS('Opportunities'!$S$2:$S$1775,'Opportunities'!$C$2:$C$1775,"=r19",'Opportunities'!$N$2:$N$1775,"=nov25",'Opportunities'!$R$2:$R$1775,"=1")</f>
        <v>0</v>
      </c>
      <c r="K260" s="4">
        <f>SUMIFS('Opportunities'!$S$2:$S$1775,'Opportunities'!$C$2:$C$1775,"=r19",'Opportunities'!$N$2:$N$1775,"=dec25",'Opportunities'!$R$2:$R$1775,"=1")</f>
        <v>0</v>
      </c>
      <c r="L260" s="4">
        <f>SUMIFS('Opportunities'!$S$2:$S$1775,'Opportunities'!$C$2:$C$1775,"=r19",'Opportunities'!$N$2:$N$1775,"=jan26",'Opportunities'!$R$2:$R$1775,"=1")</f>
        <v>0</v>
      </c>
      <c r="M260" s="4">
        <f>SUMIFS('Opportunities'!$S$2:$S$1775,'Opportunities'!$C$2:$C$1775,"=r19",'Opportunities'!$N$2:$N$1775,"=feb26",'Opportunities'!$R$2:$R$1775,"=1")</f>
        <v>0</v>
      </c>
      <c r="N260" s="4">
        <f>SUMIFS('Opportunities'!$S$2:$S$1775,'Opportunities'!$C$2:$C$1775,"=r19",'Opportunities'!$N$2:$N$1775,"=mar26",'Opportunities'!$R$2:$R$1775,"=1")</f>
        <v>0</v>
      </c>
      <c r="O260" s="4">
        <f>SUMIFS('Opportunities'!$S$2:$S$1775,'Opportunities'!$C$2:$C$1775,"=r19",'Opportunities'!$N$2:$N$1775,"=apr26",'Opportunities'!$R$2:$R$1775,"=1")</f>
        <v>0</v>
      </c>
      <c r="P260" s="4">
        <f>SUMIFS('Opportunities'!$S$2:$S$1775,'Opportunities'!$C$2:$C$1775,"=r19",'Opportunities'!$N$2:$N$1775,"=may26",'Opportunities'!$R$2:$R$1775,"=1")</f>
        <v>0</v>
      </c>
      <c r="Q260" s="4">
        <f>SUMIFS('Opportunities'!$S$2:$S$1775,'Opportunities'!$C$2:$C$1775,"=r19",'Opportunities'!$N$2:$N$1775,"=jun26",'Opportunities'!$R$2:$R$1775,"=1")</f>
        <v>0</v>
      </c>
      <c r="R260" s="4">
        <f>SUMIFS('Opportunities'!$S$2:$S$1775,'Opportunities'!$C$2:$C$1775,"=r19",'Opportunities'!$N$2:$N$1775,"=jul26",'Opportunities'!$R$2:$R$1775,"=1")</f>
        <v>0</v>
      </c>
      <c r="S260" s="4">
        <f>SUMIFS('Opportunities'!$S$2:$S$1775,'Opportunities'!$C$2:$C$1775,"=r19",'Opportunities'!$N$2:$N$1775,"=aug26",'Opportunities'!$R$2:$R$1775,"=1")</f>
        <v>0</v>
      </c>
      <c r="T260" s="4">
        <f>SUMIFS('Opportunities'!$S$2:$S$1775,'Opportunities'!$C$2:$C$1775,"=r19",'Opportunities'!$N$2:$N$1775,"=sep26",'Opportunities'!$R$2:$R$1775,"=1")</f>
        <v>0</v>
      </c>
      <c r="U260" s="4">
        <f>SUMIFS('Opportunities'!$S$2:$S$1775,'Opportunities'!$C$2:$C$1775,"=r19",'Opportunities'!$N$2:$N$1775,"=oct26",'Opportunities'!$R$2:$R$1775,"=1")</f>
        <v>60990</v>
      </c>
      <c r="V260" s="4">
        <f>SUMIFS('Opportunities'!$S$2:$S$1775,'Opportunities'!$C$2:$C$1775,"=r19",'Opportunities'!$N$2:$N$1775,"=nov26",'Opportunities'!$R$2:$R$1775,"=1")</f>
        <v>46010</v>
      </c>
      <c r="W260" s="4">
        <f>SUMIFS('Opportunities'!$S$2:$S$1775,'Opportunities'!$C$2:$C$1775,"=r19",'Opportunities'!$N$2:$N$1775,"=dec26",'Opportunities'!$R$2:$R$1775,"=1")</f>
        <v>85980</v>
      </c>
    </row>
    <row r="261">
      <c r="A261" s="0" t="inlineStr">
        <is>
          <t xml:space="preserve">Weighted pipeline</t>
        </is>
      </c>
      <c r="B261" s="0" t="inlineStr">
        <is>
          <t xml:space="preserve">Nikolai Sato</t>
        </is>
      </c>
      <c r="C261" s="4">
        <f>SUMIFS('Opportunities'!$S$2:$S$1775,'Opportunities'!$C$2:$C$1775,"=r20",'Opportunities'!$N$2:$N$1775,"=apr25",'Opportunities'!$R$2:$R$1775,"=1")</f>
        <v>0</v>
      </c>
      <c r="D261" s="4">
        <f>SUMIFS('Opportunities'!$S$2:$S$1775,'Opportunities'!$C$2:$C$1775,"=r20",'Opportunities'!$N$2:$N$1775,"=may25",'Opportunities'!$R$2:$R$1775,"=1")</f>
        <v>0</v>
      </c>
      <c r="E261" s="4">
        <f>SUMIFS('Opportunities'!$S$2:$S$1775,'Opportunities'!$C$2:$C$1775,"=r20",'Opportunities'!$N$2:$N$1775,"=jun25",'Opportunities'!$R$2:$R$1775,"=1")</f>
        <v>0</v>
      </c>
      <c r="F261" s="4">
        <f>SUMIFS('Opportunities'!$S$2:$S$1775,'Opportunities'!$C$2:$C$1775,"=r20",'Opportunities'!$N$2:$N$1775,"=jul25",'Opportunities'!$R$2:$R$1775,"=1")</f>
        <v>0</v>
      </c>
      <c r="G261" s="4">
        <f>SUMIFS('Opportunities'!$S$2:$S$1775,'Opportunities'!$C$2:$C$1775,"=r20",'Opportunities'!$N$2:$N$1775,"=aug25",'Opportunities'!$R$2:$R$1775,"=1")</f>
        <v>0</v>
      </c>
      <c r="H261" s="4">
        <f>SUMIFS('Opportunities'!$S$2:$S$1775,'Opportunities'!$C$2:$C$1775,"=r20",'Opportunities'!$N$2:$N$1775,"=sep25",'Opportunities'!$R$2:$R$1775,"=1")</f>
        <v>0</v>
      </c>
      <c r="I261" s="4">
        <f>SUMIFS('Opportunities'!$S$2:$S$1775,'Opportunities'!$C$2:$C$1775,"=r20",'Opportunities'!$N$2:$N$1775,"=oct25",'Opportunities'!$R$2:$R$1775,"=1")</f>
        <v>0</v>
      </c>
      <c r="J261" s="4">
        <f>SUMIFS('Opportunities'!$S$2:$S$1775,'Opportunities'!$C$2:$C$1775,"=r20",'Opportunities'!$N$2:$N$1775,"=nov25",'Opportunities'!$R$2:$R$1775,"=1")</f>
        <v>0</v>
      </c>
      <c r="K261" s="4">
        <f>SUMIFS('Opportunities'!$S$2:$S$1775,'Opportunities'!$C$2:$C$1775,"=r20",'Opportunities'!$N$2:$N$1775,"=dec25",'Opportunities'!$R$2:$R$1775,"=1")</f>
        <v>0</v>
      </c>
      <c r="L261" s="4">
        <f>SUMIFS('Opportunities'!$S$2:$S$1775,'Opportunities'!$C$2:$C$1775,"=r20",'Opportunities'!$N$2:$N$1775,"=jan26",'Opportunities'!$R$2:$R$1775,"=1")</f>
        <v>0</v>
      </c>
      <c r="M261" s="4">
        <f>SUMIFS('Opportunities'!$S$2:$S$1775,'Opportunities'!$C$2:$C$1775,"=r20",'Opportunities'!$N$2:$N$1775,"=feb26",'Opportunities'!$R$2:$R$1775,"=1")</f>
        <v>0</v>
      </c>
      <c r="N261" s="4">
        <f>SUMIFS('Opportunities'!$S$2:$S$1775,'Opportunities'!$C$2:$C$1775,"=r20",'Opportunities'!$N$2:$N$1775,"=mar26",'Opportunities'!$R$2:$R$1775,"=1")</f>
        <v>0</v>
      </c>
      <c r="O261" s="4">
        <f>SUMIFS('Opportunities'!$S$2:$S$1775,'Opportunities'!$C$2:$C$1775,"=r20",'Opportunities'!$N$2:$N$1775,"=apr26",'Opportunities'!$R$2:$R$1775,"=1")</f>
        <v>0</v>
      </c>
      <c r="P261" s="4">
        <f>SUMIFS('Opportunities'!$S$2:$S$1775,'Opportunities'!$C$2:$C$1775,"=r20",'Opportunities'!$N$2:$N$1775,"=may26",'Opportunities'!$R$2:$R$1775,"=1")</f>
        <v>0</v>
      </c>
      <c r="Q261" s="4">
        <f>SUMIFS('Opportunities'!$S$2:$S$1775,'Opportunities'!$C$2:$C$1775,"=r20",'Opportunities'!$N$2:$N$1775,"=jun26",'Opportunities'!$R$2:$R$1775,"=1")</f>
        <v>0</v>
      </c>
      <c r="R261" s="4">
        <f>SUMIFS('Opportunities'!$S$2:$S$1775,'Opportunities'!$C$2:$C$1775,"=r20",'Opportunities'!$N$2:$N$1775,"=jul26",'Opportunities'!$R$2:$R$1775,"=1")</f>
        <v>0</v>
      </c>
      <c r="S261" s="4">
        <f>SUMIFS('Opportunities'!$S$2:$S$1775,'Opportunities'!$C$2:$C$1775,"=r20",'Opportunities'!$N$2:$N$1775,"=aug26",'Opportunities'!$R$2:$R$1775,"=1")</f>
        <v>0</v>
      </c>
      <c r="T261" s="4">
        <f>SUMIFS('Opportunities'!$S$2:$S$1775,'Opportunities'!$C$2:$C$1775,"=r20",'Opportunities'!$N$2:$N$1775,"=sep26",'Opportunities'!$R$2:$R$1775,"=1")</f>
        <v>59225</v>
      </c>
      <c r="U261" s="4">
        <f>SUMIFS('Opportunities'!$S$2:$S$1775,'Opportunities'!$C$2:$C$1775,"=r20",'Opportunities'!$N$2:$N$1775,"=oct26",'Opportunities'!$R$2:$R$1775,"=1")</f>
        <v>75975</v>
      </c>
      <c r="V261" s="4">
        <f>SUMIFS('Opportunities'!$S$2:$S$1775,'Opportunities'!$C$2:$C$1775,"=r20",'Opportunities'!$N$2:$N$1775,"=nov26",'Opportunities'!$R$2:$R$1775,"=1")</f>
        <v>0</v>
      </c>
      <c r="W261" s="4">
        <f>SUMIFS('Opportunities'!$S$2:$S$1775,'Opportunities'!$C$2:$C$1775,"=r20",'Opportunities'!$N$2:$N$1775,"=dec26",'Opportunities'!$R$2:$R$1775,"=1")</f>
        <v>210760</v>
      </c>
    </row>
    <row r="262">
      <c r="A262" s="0" t="inlineStr">
        <is>
          <t xml:space="preserve">Weighted pipeline</t>
        </is>
      </c>
      <c r="B262" s="0" t="inlineStr">
        <is>
          <t xml:space="preserve">Elena Silva</t>
        </is>
      </c>
      <c r="C262" s="4">
        <f>SUMIFS('Opportunities'!$S$2:$S$1775,'Opportunities'!$C$2:$C$1775,"=r21",'Opportunities'!$N$2:$N$1775,"=apr25",'Opportunities'!$R$2:$R$1775,"=1")</f>
        <v>0</v>
      </c>
      <c r="D262" s="4">
        <f>SUMIFS('Opportunities'!$S$2:$S$1775,'Opportunities'!$C$2:$C$1775,"=r21",'Opportunities'!$N$2:$N$1775,"=may25",'Opportunities'!$R$2:$R$1775,"=1")</f>
        <v>0</v>
      </c>
      <c r="E262" s="4">
        <f>SUMIFS('Opportunities'!$S$2:$S$1775,'Opportunities'!$C$2:$C$1775,"=r21",'Opportunities'!$N$2:$N$1775,"=jun25",'Opportunities'!$R$2:$R$1775,"=1")</f>
        <v>0</v>
      </c>
      <c r="F262" s="4">
        <f>SUMIFS('Opportunities'!$S$2:$S$1775,'Opportunities'!$C$2:$C$1775,"=r21",'Opportunities'!$N$2:$N$1775,"=jul25",'Opportunities'!$R$2:$R$1775,"=1")</f>
        <v>0</v>
      </c>
      <c r="G262" s="4">
        <f>SUMIFS('Opportunities'!$S$2:$S$1775,'Opportunities'!$C$2:$C$1775,"=r21",'Opportunities'!$N$2:$N$1775,"=aug25",'Opportunities'!$R$2:$R$1775,"=1")</f>
        <v>0</v>
      </c>
      <c r="H262" s="4">
        <f>SUMIFS('Opportunities'!$S$2:$S$1775,'Opportunities'!$C$2:$C$1775,"=r21",'Opportunities'!$N$2:$N$1775,"=sep25",'Opportunities'!$R$2:$R$1775,"=1")</f>
        <v>0</v>
      </c>
      <c r="I262" s="4">
        <f>SUMIFS('Opportunities'!$S$2:$S$1775,'Opportunities'!$C$2:$C$1775,"=r21",'Opportunities'!$N$2:$N$1775,"=oct25",'Opportunities'!$R$2:$R$1775,"=1")</f>
        <v>0</v>
      </c>
      <c r="J262" s="4">
        <f>SUMIFS('Opportunities'!$S$2:$S$1775,'Opportunities'!$C$2:$C$1775,"=r21",'Opportunities'!$N$2:$N$1775,"=nov25",'Opportunities'!$R$2:$R$1775,"=1")</f>
        <v>0</v>
      </c>
      <c r="K262" s="4">
        <f>SUMIFS('Opportunities'!$S$2:$S$1775,'Opportunities'!$C$2:$C$1775,"=r21",'Opportunities'!$N$2:$N$1775,"=dec25",'Opportunities'!$R$2:$R$1775,"=1")</f>
        <v>0</v>
      </c>
      <c r="L262" s="4">
        <f>SUMIFS('Opportunities'!$S$2:$S$1775,'Opportunities'!$C$2:$C$1775,"=r21",'Opportunities'!$N$2:$N$1775,"=jan26",'Opportunities'!$R$2:$R$1775,"=1")</f>
        <v>0</v>
      </c>
      <c r="M262" s="4">
        <f>SUMIFS('Opportunities'!$S$2:$S$1775,'Opportunities'!$C$2:$C$1775,"=r21",'Opportunities'!$N$2:$N$1775,"=feb26",'Opportunities'!$R$2:$R$1775,"=1")</f>
        <v>0</v>
      </c>
      <c r="N262" s="4">
        <f>SUMIFS('Opportunities'!$S$2:$S$1775,'Opportunities'!$C$2:$C$1775,"=r21",'Opportunities'!$N$2:$N$1775,"=mar26",'Opportunities'!$R$2:$R$1775,"=1")</f>
        <v>0</v>
      </c>
      <c r="O262" s="4">
        <f>SUMIFS('Opportunities'!$S$2:$S$1775,'Opportunities'!$C$2:$C$1775,"=r21",'Opportunities'!$N$2:$N$1775,"=apr26",'Opportunities'!$R$2:$R$1775,"=1")</f>
        <v>0</v>
      </c>
      <c r="P262" s="4">
        <f>SUMIFS('Opportunities'!$S$2:$S$1775,'Opportunities'!$C$2:$C$1775,"=r21",'Opportunities'!$N$2:$N$1775,"=may26",'Opportunities'!$R$2:$R$1775,"=1")</f>
        <v>0</v>
      </c>
      <c r="Q262" s="4">
        <f>SUMIFS('Opportunities'!$S$2:$S$1775,'Opportunities'!$C$2:$C$1775,"=r21",'Opportunities'!$N$2:$N$1775,"=jun26",'Opportunities'!$R$2:$R$1775,"=1")</f>
        <v>0</v>
      </c>
      <c r="R262" s="4">
        <f>SUMIFS('Opportunities'!$S$2:$S$1775,'Opportunities'!$C$2:$C$1775,"=r21",'Opportunities'!$N$2:$N$1775,"=jul26",'Opportunities'!$R$2:$R$1775,"=1")</f>
        <v>0</v>
      </c>
      <c r="S262" s="4">
        <f>SUMIFS('Opportunities'!$S$2:$S$1775,'Opportunities'!$C$2:$C$1775,"=r21",'Opportunities'!$N$2:$N$1775,"=aug26",'Opportunities'!$R$2:$R$1775,"=1")</f>
        <v>0</v>
      </c>
      <c r="T262" s="4">
        <f>SUMIFS('Opportunities'!$S$2:$S$1775,'Opportunities'!$C$2:$C$1775,"=r21",'Opportunities'!$N$2:$N$1775,"=sep26",'Opportunities'!$R$2:$R$1775,"=1")</f>
        <v>71075</v>
      </c>
      <c r="U262" s="4">
        <f>SUMIFS('Opportunities'!$S$2:$S$1775,'Opportunities'!$C$2:$C$1775,"=r21",'Opportunities'!$N$2:$N$1775,"=oct26",'Opportunities'!$R$2:$R$1775,"=1")</f>
        <v>41315</v>
      </c>
      <c r="V262" s="4">
        <f>SUMIFS('Opportunities'!$S$2:$S$1775,'Opportunities'!$C$2:$C$1775,"=r21",'Opportunities'!$N$2:$N$1775,"=nov26",'Opportunities'!$R$2:$R$1775,"=1")</f>
        <v>26010</v>
      </c>
      <c r="W262" s="4">
        <f>SUMIFS('Opportunities'!$S$2:$S$1775,'Opportunities'!$C$2:$C$1775,"=r21",'Opportunities'!$N$2:$N$1775,"=dec26",'Opportunities'!$R$2:$R$1775,"=1")</f>
        <v>58165</v>
      </c>
    </row>
    <row r="263">
      <c r="A263" s="0" t="inlineStr">
        <is>
          <t xml:space="preserve">Weighted pipeline</t>
        </is>
      </c>
      <c r="B263" s="0" t="inlineStr">
        <is>
          <t xml:space="preserve">Arjun Müller</t>
        </is>
      </c>
      <c r="C263" s="4">
        <f>SUMIFS('Opportunities'!$S$2:$S$1775,'Opportunities'!$C$2:$C$1775,"=r22",'Opportunities'!$N$2:$N$1775,"=apr25",'Opportunities'!$R$2:$R$1775,"=1")</f>
        <v>0</v>
      </c>
      <c r="D263" s="4">
        <f>SUMIFS('Opportunities'!$S$2:$S$1775,'Opportunities'!$C$2:$C$1775,"=r22",'Opportunities'!$N$2:$N$1775,"=may25",'Opportunities'!$R$2:$R$1775,"=1")</f>
        <v>0</v>
      </c>
      <c r="E263" s="4">
        <f>SUMIFS('Opportunities'!$S$2:$S$1775,'Opportunities'!$C$2:$C$1775,"=r22",'Opportunities'!$N$2:$N$1775,"=jun25",'Opportunities'!$R$2:$R$1775,"=1")</f>
        <v>0</v>
      </c>
      <c r="F263" s="4">
        <f>SUMIFS('Opportunities'!$S$2:$S$1775,'Opportunities'!$C$2:$C$1775,"=r22",'Opportunities'!$N$2:$N$1775,"=jul25",'Opportunities'!$R$2:$R$1775,"=1")</f>
        <v>0</v>
      </c>
      <c r="G263" s="4">
        <f>SUMIFS('Opportunities'!$S$2:$S$1775,'Opportunities'!$C$2:$C$1775,"=r22",'Opportunities'!$N$2:$N$1775,"=aug25",'Opportunities'!$R$2:$R$1775,"=1")</f>
        <v>0</v>
      </c>
      <c r="H263" s="4">
        <f>SUMIFS('Opportunities'!$S$2:$S$1775,'Opportunities'!$C$2:$C$1775,"=r22",'Opportunities'!$N$2:$N$1775,"=sep25",'Opportunities'!$R$2:$R$1775,"=1")</f>
        <v>0</v>
      </c>
      <c r="I263" s="4">
        <f>SUMIFS('Opportunities'!$S$2:$S$1775,'Opportunities'!$C$2:$C$1775,"=r22",'Opportunities'!$N$2:$N$1775,"=oct25",'Opportunities'!$R$2:$R$1775,"=1")</f>
        <v>0</v>
      </c>
      <c r="J263" s="4">
        <f>SUMIFS('Opportunities'!$S$2:$S$1775,'Opportunities'!$C$2:$C$1775,"=r22",'Opportunities'!$N$2:$N$1775,"=nov25",'Opportunities'!$R$2:$R$1775,"=1")</f>
        <v>0</v>
      </c>
      <c r="K263" s="4">
        <f>SUMIFS('Opportunities'!$S$2:$S$1775,'Opportunities'!$C$2:$C$1775,"=r22",'Opportunities'!$N$2:$N$1775,"=dec25",'Opportunities'!$R$2:$R$1775,"=1")</f>
        <v>0</v>
      </c>
      <c r="L263" s="4">
        <f>SUMIFS('Opportunities'!$S$2:$S$1775,'Opportunities'!$C$2:$C$1775,"=r22",'Opportunities'!$N$2:$N$1775,"=jan26",'Opportunities'!$R$2:$R$1775,"=1")</f>
        <v>0</v>
      </c>
      <c r="M263" s="4">
        <f>SUMIFS('Opportunities'!$S$2:$S$1775,'Opportunities'!$C$2:$C$1775,"=r22",'Opportunities'!$N$2:$N$1775,"=feb26",'Opportunities'!$R$2:$R$1775,"=1")</f>
        <v>0</v>
      </c>
      <c r="N263" s="4">
        <f>SUMIFS('Opportunities'!$S$2:$S$1775,'Opportunities'!$C$2:$C$1775,"=r22",'Opportunities'!$N$2:$N$1775,"=mar26",'Opportunities'!$R$2:$R$1775,"=1")</f>
        <v>0</v>
      </c>
      <c r="O263" s="4">
        <f>SUMIFS('Opportunities'!$S$2:$S$1775,'Opportunities'!$C$2:$C$1775,"=r22",'Opportunities'!$N$2:$N$1775,"=apr26",'Opportunities'!$R$2:$R$1775,"=1")</f>
        <v>0</v>
      </c>
      <c r="P263" s="4">
        <f>SUMIFS('Opportunities'!$S$2:$S$1775,'Opportunities'!$C$2:$C$1775,"=r22",'Opportunities'!$N$2:$N$1775,"=may26",'Opportunities'!$R$2:$R$1775,"=1")</f>
        <v>0</v>
      </c>
      <c r="Q263" s="4">
        <f>SUMIFS('Opportunities'!$S$2:$S$1775,'Opportunities'!$C$2:$C$1775,"=r22",'Opportunities'!$N$2:$N$1775,"=jun26",'Opportunities'!$R$2:$R$1775,"=1")</f>
        <v>0</v>
      </c>
      <c r="R263" s="4">
        <f>SUMIFS('Opportunities'!$S$2:$S$1775,'Opportunities'!$C$2:$C$1775,"=r22",'Opportunities'!$N$2:$N$1775,"=jul26",'Opportunities'!$R$2:$R$1775,"=1")</f>
        <v>0</v>
      </c>
      <c r="S263" s="4">
        <f>SUMIFS('Opportunities'!$S$2:$S$1775,'Opportunities'!$C$2:$C$1775,"=r22",'Opportunities'!$N$2:$N$1775,"=aug26",'Opportunities'!$R$2:$R$1775,"=1")</f>
        <v>0</v>
      </c>
      <c r="T263" s="4">
        <f>SUMIFS('Opportunities'!$S$2:$S$1775,'Opportunities'!$C$2:$C$1775,"=r22",'Opportunities'!$N$2:$N$1775,"=sep26",'Opportunities'!$R$2:$R$1775,"=1")</f>
        <v>5425</v>
      </c>
      <c r="U263" s="4">
        <f>SUMIFS('Opportunities'!$S$2:$S$1775,'Opportunities'!$C$2:$C$1775,"=r22",'Opportunities'!$N$2:$N$1775,"=oct26",'Opportunities'!$R$2:$R$1775,"=1")</f>
        <v>42200</v>
      </c>
      <c r="V263" s="4">
        <f>SUMIFS('Opportunities'!$S$2:$S$1775,'Opportunities'!$C$2:$C$1775,"=r22",'Opportunities'!$N$2:$N$1775,"=nov26",'Opportunities'!$R$2:$R$1775,"=1")</f>
        <v>0</v>
      </c>
      <c r="W263" s="4">
        <f>SUMIFS('Opportunities'!$S$2:$S$1775,'Opportunities'!$C$2:$C$1775,"=r22",'Opportunities'!$N$2:$N$1775,"=dec26",'Opportunities'!$R$2:$R$1775,"=1")</f>
        <v>27945</v>
      </c>
    </row>
    <row r="264">
      <c r="A264" s="0" t="inlineStr">
        <is>
          <t xml:space="preserve">Weighted pipeline</t>
        </is>
      </c>
      <c r="B264" s="0" t="inlineStr">
        <is>
          <t xml:space="preserve">Nikolai Park</t>
        </is>
      </c>
      <c r="C264" s="4">
        <f>SUMIFS('Opportunities'!$S$2:$S$1775,'Opportunities'!$C$2:$C$1775,"=r23",'Opportunities'!$N$2:$N$1775,"=apr25",'Opportunities'!$R$2:$R$1775,"=1")</f>
        <v>0</v>
      </c>
      <c r="D264" s="4">
        <f>SUMIFS('Opportunities'!$S$2:$S$1775,'Opportunities'!$C$2:$C$1775,"=r23",'Opportunities'!$N$2:$N$1775,"=may25",'Opportunities'!$R$2:$R$1775,"=1")</f>
        <v>0</v>
      </c>
      <c r="E264" s="4">
        <f>SUMIFS('Opportunities'!$S$2:$S$1775,'Opportunities'!$C$2:$C$1775,"=r23",'Opportunities'!$N$2:$N$1775,"=jun25",'Opportunities'!$R$2:$R$1775,"=1")</f>
        <v>0</v>
      </c>
      <c r="F264" s="4">
        <f>SUMIFS('Opportunities'!$S$2:$S$1775,'Opportunities'!$C$2:$C$1775,"=r23",'Opportunities'!$N$2:$N$1775,"=jul25",'Opportunities'!$R$2:$R$1775,"=1")</f>
        <v>0</v>
      </c>
      <c r="G264" s="4">
        <f>SUMIFS('Opportunities'!$S$2:$S$1775,'Opportunities'!$C$2:$C$1775,"=r23",'Opportunities'!$N$2:$N$1775,"=aug25",'Opportunities'!$R$2:$R$1775,"=1")</f>
        <v>0</v>
      </c>
      <c r="H264" s="4">
        <f>SUMIFS('Opportunities'!$S$2:$S$1775,'Opportunities'!$C$2:$C$1775,"=r23",'Opportunities'!$N$2:$N$1775,"=sep25",'Opportunities'!$R$2:$R$1775,"=1")</f>
        <v>0</v>
      </c>
      <c r="I264" s="4">
        <f>SUMIFS('Opportunities'!$S$2:$S$1775,'Opportunities'!$C$2:$C$1775,"=r23",'Opportunities'!$N$2:$N$1775,"=oct25",'Opportunities'!$R$2:$R$1775,"=1")</f>
        <v>0</v>
      </c>
      <c r="J264" s="4">
        <f>SUMIFS('Opportunities'!$S$2:$S$1775,'Opportunities'!$C$2:$C$1775,"=r23",'Opportunities'!$N$2:$N$1775,"=nov25",'Opportunities'!$R$2:$R$1775,"=1")</f>
        <v>0</v>
      </c>
      <c r="K264" s="4">
        <f>SUMIFS('Opportunities'!$S$2:$S$1775,'Opportunities'!$C$2:$C$1775,"=r23",'Opportunities'!$N$2:$N$1775,"=dec25",'Opportunities'!$R$2:$R$1775,"=1")</f>
        <v>0</v>
      </c>
      <c r="L264" s="4">
        <f>SUMIFS('Opportunities'!$S$2:$S$1775,'Opportunities'!$C$2:$C$1775,"=r23",'Opportunities'!$N$2:$N$1775,"=jan26",'Opportunities'!$R$2:$R$1775,"=1")</f>
        <v>0</v>
      </c>
      <c r="M264" s="4">
        <f>SUMIFS('Opportunities'!$S$2:$S$1775,'Opportunities'!$C$2:$C$1775,"=r23",'Opportunities'!$N$2:$N$1775,"=feb26",'Opportunities'!$R$2:$R$1775,"=1")</f>
        <v>0</v>
      </c>
      <c r="N264" s="4">
        <f>SUMIFS('Opportunities'!$S$2:$S$1775,'Opportunities'!$C$2:$C$1775,"=r23",'Opportunities'!$N$2:$N$1775,"=mar26",'Opportunities'!$R$2:$R$1775,"=1")</f>
        <v>0</v>
      </c>
      <c r="O264" s="4">
        <f>SUMIFS('Opportunities'!$S$2:$S$1775,'Opportunities'!$C$2:$C$1775,"=r23",'Opportunities'!$N$2:$N$1775,"=apr26",'Opportunities'!$R$2:$R$1775,"=1")</f>
        <v>0</v>
      </c>
      <c r="P264" s="4">
        <f>SUMIFS('Opportunities'!$S$2:$S$1775,'Opportunities'!$C$2:$C$1775,"=r23",'Opportunities'!$N$2:$N$1775,"=may26",'Opportunities'!$R$2:$R$1775,"=1")</f>
        <v>0</v>
      </c>
      <c r="Q264" s="4">
        <f>SUMIFS('Opportunities'!$S$2:$S$1775,'Opportunities'!$C$2:$C$1775,"=r23",'Opportunities'!$N$2:$N$1775,"=jun26",'Opportunities'!$R$2:$R$1775,"=1")</f>
        <v>0</v>
      </c>
      <c r="R264" s="4">
        <f>SUMIFS('Opportunities'!$S$2:$S$1775,'Opportunities'!$C$2:$C$1775,"=r23",'Opportunities'!$N$2:$N$1775,"=jul26",'Opportunities'!$R$2:$R$1775,"=1")</f>
        <v>0</v>
      </c>
      <c r="S264" s="4">
        <f>SUMIFS('Opportunities'!$S$2:$S$1775,'Opportunities'!$C$2:$C$1775,"=r23",'Opportunities'!$N$2:$N$1775,"=aug26",'Opportunities'!$R$2:$R$1775,"=1")</f>
        <v>0</v>
      </c>
      <c r="T264" s="4">
        <f>SUMIFS('Opportunities'!$S$2:$S$1775,'Opportunities'!$C$2:$C$1775,"=r23",'Opportunities'!$N$2:$N$1775,"=sep26",'Opportunities'!$R$2:$R$1775,"=1")</f>
        <v>6150</v>
      </c>
      <c r="U264" s="4">
        <f>SUMIFS('Opportunities'!$S$2:$S$1775,'Opportunities'!$C$2:$C$1775,"=r23",'Opportunities'!$N$2:$N$1775,"=oct26",'Opportunities'!$R$2:$R$1775,"=1")</f>
        <v>7310</v>
      </c>
      <c r="V264" s="4">
        <f>SUMIFS('Opportunities'!$S$2:$S$1775,'Opportunities'!$C$2:$C$1775,"=r23",'Opportunities'!$N$2:$N$1775,"=nov26",'Opportunities'!$R$2:$R$1775,"=1")</f>
        <v>0</v>
      </c>
      <c r="W264" s="4">
        <f>SUMIFS('Opportunities'!$S$2:$S$1775,'Opportunities'!$C$2:$C$1775,"=r23",'Opportunities'!$N$2:$N$1775,"=dec26",'Opportunities'!$R$2:$R$1775,"=1")</f>
        <v>1720</v>
      </c>
    </row>
    <row r="265">
      <c r="A265" s="0" t="inlineStr">
        <is>
          <t xml:space="preserve">Weighted pipeline</t>
        </is>
      </c>
      <c r="B265" s="0" t="inlineStr">
        <is>
          <t xml:space="preserve">Ingrid Dubois</t>
        </is>
      </c>
      <c r="C265" s="4">
        <f>SUMIFS('Opportunities'!$S$2:$S$1775,'Opportunities'!$C$2:$C$1775,"=r24",'Opportunities'!$N$2:$N$1775,"=apr25",'Opportunities'!$R$2:$R$1775,"=1")</f>
        <v>0</v>
      </c>
      <c r="D265" s="4">
        <f>SUMIFS('Opportunities'!$S$2:$S$1775,'Opportunities'!$C$2:$C$1775,"=r24",'Opportunities'!$N$2:$N$1775,"=may25",'Opportunities'!$R$2:$R$1775,"=1")</f>
        <v>0</v>
      </c>
      <c r="E265" s="4">
        <f>SUMIFS('Opportunities'!$S$2:$S$1775,'Opportunities'!$C$2:$C$1775,"=r24",'Opportunities'!$N$2:$N$1775,"=jun25",'Opportunities'!$R$2:$R$1775,"=1")</f>
        <v>0</v>
      </c>
      <c r="F265" s="4">
        <f>SUMIFS('Opportunities'!$S$2:$S$1775,'Opportunities'!$C$2:$C$1775,"=r24",'Opportunities'!$N$2:$N$1775,"=jul25",'Opportunities'!$R$2:$R$1775,"=1")</f>
        <v>0</v>
      </c>
      <c r="G265" s="4">
        <f>SUMIFS('Opportunities'!$S$2:$S$1775,'Opportunities'!$C$2:$C$1775,"=r24",'Opportunities'!$N$2:$N$1775,"=aug25",'Opportunities'!$R$2:$R$1775,"=1")</f>
        <v>0</v>
      </c>
      <c r="H265" s="4">
        <f>SUMIFS('Opportunities'!$S$2:$S$1775,'Opportunities'!$C$2:$C$1775,"=r24",'Opportunities'!$N$2:$N$1775,"=sep25",'Opportunities'!$R$2:$R$1775,"=1")</f>
        <v>0</v>
      </c>
      <c r="I265" s="4">
        <f>SUMIFS('Opportunities'!$S$2:$S$1775,'Opportunities'!$C$2:$C$1775,"=r24",'Opportunities'!$N$2:$N$1775,"=oct25",'Opportunities'!$R$2:$R$1775,"=1")</f>
        <v>0</v>
      </c>
      <c r="J265" s="4">
        <f>SUMIFS('Opportunities'!$S$2:$S$1775,'Opportunities'!$C$2:$C$1775,"=r24",'Opportunities'!$N$2:$N$1775,"=nov25",'Opportunities'!$R$2:$R$1775,"=1")</f>
        <v>0</v>
      </c>
      <c r="K265" s="4">
        <f>SUMIFS('Opportunities'!$S$2:$S$1775,'Opportunities'!$C$2:$C$1775,"=r24",'Opportunities'!$N$2:$N$1775,"=dec25",'Opportunities'!$R$2:$R$1775,"=1")</f>
        <v>0</v>
      </c>
      <c r="L265" s="4">
        <f>SUMIFS('Opportunities'!$S$2:$S$1775,'Opportunities'!$C$2:$C$1775,"=r24",'Opportunities'!$N$2:$N$1775,"=jan26",'Opportunities'!$R$2:$R$1775,"=1")</f>
        <v>0</v>
      </c>
      <c r="M265" s="4">
        <f>SUMIFS('Opportunities'!$S$2:$S$1775,'Opportunities'!$C$2:$C$1775,"=r24",'Opportunities'!$N$2:$N$1775,"=feb26",'Opportunities'!$R$2:$R$1775,"=1")</f>
        <v>0</v>
      </c>
      <c r="N265" s="4">
        <f>SUMIFS('Opportunities'!$S$2:$S$1775,'Opportunities'!$C$2:$C$1775,"=r24",'Opportunities'!$N$2:$N$1775,"=mar26",'Opportunities'!$R$2:$R$1775,"=1")</f>
        <v>0</v>
      </c>
      <c r="O265" s="4">
        <f>SUMIFS('Opportunities'!$S$2:$S$1775,'Opportunities'!$C$2:$C$1775,"=r24",'Opportunities'!$N$2:$N$1775,"=apr26",'Opportunities'!$R$2:$R$1775,"=1")</f>
        <v>0</v>
      </c>
      <c r="P265" s="4">
        <f>SUMIFS('Opportunities'!$S$2:$S$1775,'Opportunities'!$C$2:$C$1775,"=r24",'Opportunities'!$N$2:$N$1775,"=may26",'Opportunities'!$R$2:$R$1775,"=1")</f>
        <v>0</v>
      </c>
      <c r="Q265" s="4">
        <f>SUMIFS('Opportunities'!$S$2:$S$1775,'Opportunities'!$C$2:$C$1775,"=r24",'Opportunities'!$N$2:$N$1775,"=jun26",'Opportunities'!$R$2:$R$1775,"=1")</f>
        <v>0</v>
      </c>
      <c r="R265" s="4">
        <f>SUMIFS('Opportunities'!$S$2:$S$1775,'Opportunities'!$C$2:$C$1775,"=r24",'Opportunities'!$N$2:$N$1775,"=jul26",'Opportunities'!$R$2:$R$1775,"=1")</f>
        <v>0</v>
      </c>
      <c r="S265" s="4">
        <f>SUMIFS('Opportunities'!$S$2:$S$1775,'Opportunities'!$C$2:$C$1775,"=r24",'Opportunities'!$N$2:$N$1775,"=aug26",'Opportunities'!$R$2:$R$1775,"=1")</f>
        <v>0</v>
      </c>
      <c r="T265" s="4">
        <f>SUMIFS('Opportunities'!$S$2:$S$1775,'Opportunities'!$C$2:$C$1775,"=r24",'Opportunities'!$N$2:$N$1775,"=sep26",'Opportunities'!$R$2:$R$1775,"=1")</f>
        <v>7265</v>
      </c>
      <c r="U265" s="4">
        <f>SUMIFS('Opportunities'!$S$2:$S$1775,'Opportunities'!$C$2:$C$1775,"=r24",'Opportunities'!$N$2:$N$1775,"=oct26",'Opportunities'!$R$2:$R$1775,"=1")</f>
        <v>6690</v>
      </c>
      <c r="V265" s="4">
        <f>SUMIFS('Opportunities'!$S$2:$S$1775,'Opportunities'!$C$2:$C$1775,"=r24",'Opportunities'!$N$2:$N$1775,"=nov26",'Opportunities'!$R$2:$R$1775,"=1")</f>
        <v>0</v>
      </c>
      <c r="W265" s="4">
        <f>SUMIFS('Opportunities'!$S$2:$S$1775,'Opportunities'!$C$2:$C$1775,"=r24",'Opportunities'!$N$2:$N$1775,"=dec26",'Opportunities'!$R$2:$R$1775,"=1")</f>
        <v>24340</v>
      </c>
    </row>
    <row r="266">
      <c r="A266" s="0" t="inlineStr">
        <is>
          <t xml:space="preserve">Forecast</t>
        </is>
      </c>
      <c r="B266" s="0" t="inlineStr">
        <is>
          <t xml:space="preserve">Noor Ortiz</t>
        </is>
      </c>
      <c r="C266" s="4">
        <f>(((C2+('Plan parameters'!B7*C194))+('Plan parameters'!B8*C218))+('Plan parameters'!B9*((C170-C194)-C218)))</f>
        <v>0</v>
      </c>
      <c r="D266" s="4">
        <f>(((D2+('Plan parameters'!B7*D194))+('Plan parameters'!B8*D218))+('Plan parameters'!B9*((D170-D194)-D218)))</f>
        <v>0</v>
      </c>
      <c r="E266" s="4">
        <f>(((E2+('Plan parameters'!B7*E194))+('Plan parameters'!B8*E218))+('Plan parameters'!B9*((E170-E194)-E218)))</f>
        <v>0</v>
      </c>
      <c r="F266" s="4">
        <f>(((F2+('Plan parameters'!B7*F194))+('Plan parameters'!B8*F218))+('Plan parameters'!B9*((F170-F194)-F218)))</f>
        <v>0</v>
      </c>
      <c r="G266" s="4">
        <f>(((G2+('Plan parameters'!B7*G194))+('Plan parameters'!B8*G218))+('Plan parameters'!B9*((G170-G194)-G218)))</f>
        <v>0</v>
      </c>
      <c r="H266" s="4">
        <f>(((H2+('Plan parameters'!B7*H194))+('Plan parameters'!B8*H218))+('Plan parameters'!B9*((H170-H194)-H218)))</f>
        <v>0</v>
      </c>
      <c r="I266" s="4">
        <f>(((I2+('Plan parameters'!B7*I194))+('Plan parameters'!B8*I218))+('Plan parameters'!B9*((I170-I194)-I218)))</f>
        <v>0</v>
      </c>
      <c r="J266" s="4">
        <f>(((J2+('Plan parameters'!B7*J194))+('Plan parameters'!B8*J218))+('Plan parameters'!B9*((J170-J194)-J218)))</f>
        <v>94300</v>
      </c>
      <c r="K266" s="4">
        <f>(((K2+('Plan parameters'!B7*K194))+('Plan parameters'!B8*K218))+('Plan parameters'!B9*((K170-K194)-K218)))</f>
        <v>106900</v>
      </c>
      <c r="L266" s="4">
        <f>(((L2+('Plan parameters'!B7*L194))+('Plan parameters'!B8*L218))+('Plan parameters'!B9*((L170-L194)-L218)))</f>
        <v>0</v>
      </c>
      <c r="M266" s="4">
        <f>(((M2+('Plan parameters'!B7*M194))+('Plan parameters'!B8*M218))+('Plan parameters'!B9*((M170-M194)-M218)))</f>
        <v>0</v>
      </c>
      <c r="N266" s="4">
        <f>(((N2+('Plan parameters'!B7*N194))+('Plan parameters'!B8*N218))+('Plan parameters'!B9*((N170-N194)-N218)))</f>
        <v>505900</v>
      </c>
      <c r="O266" s="4">
        <f>(((O2+('Plan parameters'!B7*O194))+('Plan parameters'!B8*O218))+('Plan parameters'!B9*((O170-O194)-O218)))</f>
        <v>0</v>
      </c>
      <c r="P266" s="4">
        <f>(((P2+('Plan parameters'!B7*P194))+('Plan parameters'!B8*P218))+('Plan parameters'!B9*((P170-P194)-P218)))</f>
        <v>127500</v>
      </c>
      <c r="Q266" s="4">
        <f>(((Q2+('Plan parameters'!B7*Q194))+('Plan parameters'!B8*Q218))+('Plan parameters'!B9*((Q170-Q194)-Q218)))</f>
        <v>309200</v>
      </c>
      <c r="R266" s="4">
        <f>(((R2+('Plan parameters'!B7*R194))+('Plan parameters'!B8*R218))+('Plan parameters'!B9*((R170-R194)-R218)))</f>
        <v>76800</v>
      </c>
      <c r="S266" s="4">
        <f>(((S2+('Plan parameters'!B7*S194))+('Plan parameters'!B8*S218))+('Plan parameters'!B9*((S170-S194)-S218)))</f>
        <v>61800</v>
      </c>
      <c r="T266" s="4">
        <f>(((T2+('Plan parameters'!B7*T194))+('Plan parameters'!B8*T218))+('Plan parameters'!B9*((T170-T194)-T218)))</f>
        <v>25870</v>
      </c>
      <c r="U266" s="4">
        <f>(((U2+('Plan parameters'!B7*U194))+('Plan parameters'!B8*U218))+('Plan parameters'!B9*((U170-U194)-U218)))</f>
        <v>747720</v>
      </c>
      <c r="V266" s="4">
        <f>(((V2+('Plan parameters'!B7*V194))+('Plan parameters'!B8*V218))+('Plan parameters'!B9*((V170-V194)-V218)))</f>
        <v>18390</v>
      </c>
      <c r="W266" s="4">
        <f>(((W2+('Plan parameters'!B7*W194))+('Plan parameters'!B8*W218))+('Plan parameters'!B9*((W170-W194)-W218)))</f>
        <v>445540</v>
      </c>
    </row>
    <row r="267">
      <c r="A267" s="0" t="inlineStr">
        <is>
          <t xml:space="preserve">Forecast</t>
        </is>
      </c>
      <c r="B267" s="0" t="inlineStr">
        <is>
          <t xml:space="preserve">Priya Yilmaz</t>
        </is>
      </c>
      <c r="C267" s="4">
        <f>(((C3+('Plan parameters'!B7*C195))+('Plan parameters'!B8*C219))+('Plan parameters'!B9*((C171-C195)-C219)))</f>
        <v>0</v>
      </c>
      <c r="D267" s="4">
        <f>(((D3+('Plan parameters'!B7*D195))+('Plan parameters'!B8*D219))+('Plan parameters'!B9*((D171-D195)-D219)))</f>
        <v>0</v>
      </c>
      <c r="E267" s="4">
        <f>(((E3+('Plan parameters'!B7*E195))+('Plan parameters'!B8*E219))+('Plan parameters'!B9*((E171-E195)-E219)))</f>
        <v>0</v>
      </c>
      <c r="F267" s="4">
        <f>(((F3+('Plan parameters'!B7*F195))+('Plan parameters'!B8*F219))+('Plan parameters'!B9*((F171-F195)-F219)))</f>
        <v>0</v>
      </c>
      <c r="G267" s="4">
        <f>(((G3+('Plan parameters'!B7*G195))+('Plan parameters'!B8*G219))+('Plan parameters'!B9*((G171-G195)-G219)))</f>
        <v>0</v>
      </c>
      <c r="H267" s="4">
        <f>(((H3+('Plan parameters'!B7*H195))+('Plan parameters'!B8*H219))+('Plan parameters'!B9*((H171-H195)-H219)))</f>
        <v>0</v>
      </c>
      <c r="I267" s="4">
        <f>(((I3+('Plan parameters'!B7*I195))+('Plan parameters'!B8*I219))+('Plan parameters'!B9*((I171-I195)-I219)))</f>
        <v>0</v>
      </c>
      <c r="J267" s="4">
        <f>(((J3+('Plan parameters'!B7*J195))+('Plan parameters'!B8*J219))+('Plan parameters'!B9*((J171-J195)-J219)))</f>
        <v>0</v>
      </c>
      <c r="K267" s="4">
        <f>(((K3+('Plan parameters'!B7*K195))+('Plan parameters'!B8*K219))+('Plan parameters'!B9*((K171-K195)-K219)))</f>
        <v>0</v>
      </c>
      <c r="L267" s="4">
        <f>(((L3+('Plan parameters'!B7*L195))+('Plan parameters'!B8*L219))+('Plan parameters'!B9*((L171-L195)-L219)))</f>
        <v>0</v>
      </c>
      <c r="M267" s="4">
        <f>(((M3+('Plan parameters'!B7*M195))+('Plan parameters'!B8*M219))+('Plan parameters'!B9*((M171-M195)-M219)))</f>
        <v>0</v>
      </c>
      <c r="N267" s="4">
        <f>(((N3+('Plan parameters'!B7*N195))+('Plan parameters'!B8*N219))+('Plan parameters'!B9*((N171-N195)-N219)))</f>
        <v>0</v>
      </c>
      <c r="O267" s="4">
        <f>(((O3+('Plan parameters'!B7*O195))+('Plan parameters'!B8*O219))+('Plan parameters'!B9*((O171-O195)-O219)))</f>
        <v>0</v>
      </c>
      <c r="P267" s="4">
        <f>(((P3+('Plan parameters'!B7*P195))+('Plan parameters'!B8*P219))+('Plan parameters'!B9*((P171-P195)-P219)))</f>
        <v>0</v>
      </c>
      <c r="Q267" s="4">
        <f>(((Q3+('Plan parameters'!B7*Q195))+('Plan parameters'!B8*Q219))+('Plan parameters'!B9*((Q171-Q195)-Q219)))</f>
        <v>0</v>
      </c>
      <c r="R267" s="4">
        <f>(((R3+('Plan parameters'!B7*R195))+('Plan parameters'!B8*R219))+('Plan parameters'!B9*((R171-R195)-R219)))</f>
        <v>0</v>
      </c>
      <c r="S267" s="4">
        <f>(((S3+('Plan parameters'!B7*S195))+('Plan parameters'!B8*S219))+('Plan parameters'!B9*((S171-S195)-S219)))</f>
        <v>0</v>
      </c>
      <c r="T267" s="4">
        <f>(((T3+('Plan parameters'!B7*T195))+('Plan parameters'!B8*T219))+('Plan parameters'!B9*((T171-T195)-T219)))</f>
        <v>12830</v>
      </c>
      <c r="U267" s="4">
        <f>(((U3+('Plan parameters'!B7*U195))+('Plan parameters'!B8*U219))+('Plan parameters'!B9*((U171-U195)-U219)))</f>
        <v>0</v>
      </c>
      <c r="V267" s="4">
        <f>(((V3+('Plan parameters'!B7*V195))+('Plan parameters'!B8*V219))+('Plan parameters'!B9*((V171-V195)-V219)))</f>
        <v>0</v>
      </c>
      <c r="W267" s="4">
        <f>(((W3+('Plan parameters'!B7*W195))+('Plan parameters'!B8*W219))+('Plan parameters'!B9*((W171-W195)-W219)))</f>
        <v>25690</v>
      </c>
    </row>
    <row r="268">
      <c r="A268" s="0" t="inlineStr">
        <is>
          <t xml:space="preserve">Forecast</t>
        </is>
      </c>
      <c r="B268" s="0" t="inlineStr">
        <is>
          <t xml:space="preserve">Marcus Schmidt</t>
        </is>
      </c>
      <c r="C268" s="4">
        <f>(((C4+('Plan parameters'!B7*C196))+('Plan parameters'!B8*C220))+('Plan parameters'!B9*((C172-C196)-C220)))</f>
        <v>0</v>
      </c>
      <c r="D268" s="4">
        <f>(((D4+('Plan parameters'!B7*D196))+('Plan parameters'!B8*D220))+('Plan parameters'!B9*((D172-D196)-D220)))</f>
        <v>0</v>
      </c>
      <c r="E268" s="4">
        <f>(((E4+('Plan parameters'!B7*E196))+('Plan parameters'!B8*E220))+('Plan parameters'!B9*((E172-E196)-E220)))</f>
        <v>0</v>
      </c>
      <c r="F268" s="4">
        <f>(((F4+('Plan parameters'!B7*F196))+('Plan parameters'!B8*F220))+('Plan parameters'!B9*((F172-F196)-F220)))</f>
        <v>0</v>
      </c>
      <c r="G268" s="4">
        <f>(((G4+('Plan parameters'!B7*G196))+('Plan parameters'!B8*G220))+('Plan parameters'!B9*((G172-G196)-G220)))</f>
        <v>0</v>
      </c>
      <c r="H268" s="4">
        <f>(((H4+('Plan parameters'!B7*H196))+('Plan parameters'!B8*H220))+('Plan parameters'!B9*((H172-H196)-H220)))</f>
        <v>87800</v>
      </c>
      <c r="I268" s="4">
        <f>(((I4+('Plan parameters'!B7*I196))+('Plan parameters'!B8*I220))+('Plan parameters'!B9*((I172-I196)-I220)))</f>
        <v>40700</v>
      </c>
      <c r="J268" s="4">
        <f>(((J4+('Plan parameters'!B7*J196))+('Plan parameters'!B8*J220))+('Plan parameters'!B9*((J172-J196)-J220)))</f>
        <v>46100</v>
      </c>
      <c r="K268" s="4">
        <f>(((K4+('Plan parameters'!B7*K196))+('Plan parameters'!B8*K220))+('Plan parameters'!B9*((K172-K196)-K220)))</f>
        <v>103800</v>
      </c>
      <c r="L268" s="4">
        <f>(((L4+('Plan parameters'!B7*L196))+('Plan parameters'!B8*L220))+('Plan parameters'!B9*((L172-L196)-L220)))</f>
        <v>42200</v>
      </c>
      <c r="M268" s="4">
        <f>(((M4+('Plan parameters'!B7*M196))+('Plan parameters'!B8*M220))+('Plan parameters'!B9*((M172-M196)-M220)))</f>
        <v>101100</v>
      </c>
      <c r="N268" s="4">
        <f>(((N4+('Plan parameters'!B7*N196))+('Plan parameters'!B8*N220))+('Plan parameters'!B9*((N172-N196)-N220)))</f>
        <v>256400</v>
      </c>
      <c r="O268" s="4">
        <f>(((O4+('Plan parameters'!B7*O196))+('Plan parameters'!B8*O220))+('Plan parameters'!B9*((O172-O196)-O220)))</f>
        <v>0</v>
      </c>
      <c r="P268" s="4">
        <f>(((P4+('Plan parameters'!B7*P196))+('Plan parameters'!B8*P220))+('Plan parameters'!B9*((P172-P196)-P220)))</f>
        <v>39100</v>
      </c>
      <c r="Q268" s="4">
        <f>(((Q4+('Plan parameters'!B7*Q196))+('Plan parameters'!B8*Q220))+('Plan parameters'!B9*((Q172-Q196)-Q220)))</f>
        <v>134800</v>
      </c>
      <c r="R268" s="4">
        <f>(((R4+('Plan parameters'!B7*R196))+('Plan parameters'!B8*R220))+('Plan parameters'!B9*((R172-R196)-R220)))</f>
        <v>71600</v>
      </c>
      <c r="S268" s="4">
        <f>(((S4+('Plan parameters'!B7*S196))+('Plan parameters'!B8*S220))+('Plan parameters'!B9*((S172-S196)-S220)))</f>
        <v>0</v>
      </c>
      <c r="T268" s="4">
        <f>(((T4+('Plan parameters'!B7*T196))+('Plan parameters'!B8*T220))+('Plan parameters'!B9*((T172-T196)-T220)))</f>
        <v>140200</v>
      </c>
      <c r="U268" s="4">
        <f>(((U4+('Plan parameters'!B7*U196))+('Plan parameters'!B8*U220))+('Plan parameters'!B9*((U172-U196)-U220)))</f>
        <v>25340</v>
      </c>
      <c r="V268" s="4">
        <f>(((V4+('Plan parameters'!B7*V196))+('Plan parameters'!B8*V220))+('Plan parameters'!B9*((V172-V196)-V220)))</f>
        <v>0</v>
      </c>
      <c r="W268" s="4">
        <f>(((W4+('Plan parameters'!B7*W196))+('Plan parameters'!B8*W220))+('Plan parameters'!B9*((W172-W196)-W220)))</f>
        <v>38580</v>
      </c>
    </row>
    <row r="269">
      <c r="A269" s="0" t="inlineStr">
        <is>
          <t xml:space="preserve">Forecast</t>
        </is>
      </c>
      <c r="B269" s="0" t="inlineStr">
        <is>
          <t xml:space="preserve">Amara Haddad</t>
        </is>
      </c>
      <c r="C269" s="4">
        <f>(((C5+('Plan parameters'!B7*C197))+('Plan parameters'!B8*C221))+('Plan parameters'!B9*((C173-C197)-C221)))</f>
        <v>0</v>
      </c>
      <c r="D269" s="4">
        <f>(((D5+('Plan parameters'!B7*D197))+('Plan parameters'!B8*D221))+('Plan parameters'!B9*((D173-D197)-D221)))</f>
        <v>65200</v>
      </c>
      <c r="E269" s="4">
        <f>(((E5+('Plan parameters'!B7*E197))+('Plan parameters'!B8*E221))+('Plan parameters'!B9*((E173-E197)-E221)))</f>
        <v>142600</v>
      </c>
      <c r="F269" s="4">
        <f>(((F5+('Plan parameters'!B7*F197))+('Plan parameters'!B8*F221))+('Plan parameters'!B9*((F173-F197)-F221)))</f>
        <v>94100</v>
      </c>
      <c r="G269" s="4">
        <f>(((G5+('Plan parameters'!B7*G197))+('Plan parameters'!B8*G221))+('Plan parameters'!B9*((G173-G197)-G221)))</f>
        <v>123800</v>
      </c>
      <c r="H269" s="4">
        <f>(((H5+('Plan parameters'!B7*H197))+('Plan parameters'!B8*H221))+('Plan parameters'!B9*((H173-H197)-H221)))</f>
        <v>43700</v>
      </c>
      <c r="I269" s="4">
        <f>(((I5+('Plan parameters'!B7*I197))+('Plan parameters'!B8*I221))+('Plan parameters'!B9*((I173-I197)-I221)))</f>
        <v>35900</v>
      </c>
      <c r="J269" s="4">
        <f>(((J5+('Plan parameters'!B7*J197))+('Plan parameters'!B8*J221))+('Plan parameters'!B9*((J173-J197)-J221)))</f>
        <v>0</v>
      </c>
      <c r="K269" s="4">
        <f>(((K5+('Plan parameters'!B7*K197))+('Plan parameters'!B8*K221))+('Plan parameters'!B9*((K173-K197)-K221)))</f>
        <v>102200</v>
      </c>
      <c r="L269" s="4">
        <f>(((L5+('Plan parameters'!B7*L197))+('Plan parameters'!B8*L221))+('Plan parameters'!B9*((L173-L197)-L221)))</f>
        <v>16900</v>
      </c>
      <c r="M269" s="4">
        <f>(((M5+('Plan parameters'!B7*M197))+('Plan parameters'!B8*M221))+('Plan parameters'!B9*((M173-M197)-M221)))</f>
        <v>0</v>
      </c>
      <c r="N269" s="4">
        <f>(((N5+('Plan parameters'!B7*N197))+('Plan parameters'!B8*N221))+('Plan parameters'!B9*((N173-N197)-N221)))</f>
        <v>33500</v>
      </c>
      <c r="O269" s="4">
        <f>(((O5+('Plan parameters'!B7*O197))+('Plan parameters'!B8*O221))+('Plan parameters'!B9*((O173-O197)-O221)))</f>
        <v>0</v>
      </c>
      <c r="P269" s="4">
        <f>(((P5+('Plan parameters'!B7*P197))+('Plan parameters'!B8*P221))+('Plan parameters'!B9*((P173-P197)-P221)))</f>
        <v>37700</v>
      </c>
      <c r="Q269" s="4">
        <f>(((Q5+('Plan parameters'!B7*Q197))+('Plan parameters'!B8*Q221))+('Plan parameters'!B9*((Q173-Q197)-Q221)))</f>
        <v>0</v>
      </c>
      <c r="R269" s="4">
        <f>(((R5+('Plan parameters'!B7*R197))+('Plan parameters'!B8*R221))+('Plan parameters'!B9*((R173-R197)-R221)))</f>
        <v>0</v>
      </c>
      <c r="S269" s="4">
        <f>(((S5+('Plan parameters'!B7*S197))+('Plan parameters'!B8*S221))+('Plan parameters'!B9*((S173-S197)-S221)))</f>
        <v>55300</v>
      </c>
      <c r="T269" s="4">
        <f>(((T5+('Plan parameters'!B7*T197))+('Plan parameters'!B8*T221))+('Plan parameters'!B9*((T173-T197)-T221)))</f>
        <v>70150</v>
      </c>
      <c r="U269" s="4">
        <f>(((U5+('Plan parameters'!B7*U197))+('Plan parameters'!B8*U221))+('Plan parameters'!B9*((U173-U197)-U221)))</f>
        <v>78440</v>
      </c>
      <c r="V269" s="4">
        <f>(((V5+('Plan parameters'!B7*V197))+('Plan parameters'!B8*V221))+('Plan parameters'!B9*((V173-V197)-V221)))</f>
        <v>16200</v>
      </c>
      <c r="W269" s="4">
        <f>(((W5+('Plan parameters'!B7*W197))+('Plan parameters'!B8*W221))+('Plan parameters'!B9*((W173-W197)-W221)))</f>
        <v>41340</v>
      </c>
    </row>
    <row r="270">
      <c r="A270" s="0" t="inlineStr">
        <is>
          <t xml:space="preserve">Forecast</t>
        </is>
      </c>
      <c r="B270" s="0" t="inlineStr">
        <is>
          <t xml:space="preserve">Fatima Silva</t>
        </is>
      </c>
      <c r="C270" s="4">
        <f>(((C6+('Plan parameters'!B7*C198))+('Plan parameters'!B8*C222))+('Plan parameters'!B9*((C174-C198)-C222)))</f>
        <v>0</v>
      </c>
      <c r="D270" s="4">
        <f>(((D6+('Plan parameters'!B7*D198))+('Plan parameters'!B8*D222))+('Plan parameters'!B9*((D174-D198)-D222)))</f>
        <v>55400</v>
      </c>
      <c r="E270" s="4">
        <f>(((E6+('Plan parameters'!B7*E198))+('Plan parameters'!B8*E222))+('Plan parameters'!B9*((E174-E198)-E222)))</f>
        <v>52000</v>
      </c>
      <c r="F270" s="4">
        <f>(((F6+('Plan parameters'!B7*F198))+('Plan parameters'!B8*F222))+('Plan parameters'!B9*((F174-F198)-F222)))</f>
        <v>43100</v>
      </c>
      <c r="G270" s="4">
        <f>(((G6+('Plan parameters'!B7*G198))+('Plan parameters'!B8*G222))+('Plan parameters'!B9*((G174-G198)-G222)))</f>
        <v>41000</v>
      </c>
      <c r="H270" s="4">
        <f>(((H6+('Plan parameters'!B7*H198))+('Plan parameters'!B8*H222))+('Plan parameters'!B9*((H174-H198)-H222)))</f>
        <v>26400</v>
      </c>
      <c r="I270" s="4">
        <f>(((I6+('Plan parameters'!B7*I198))+('Plan parameters'!B8*I222))+('Plan parameters'!B9*((I174-I198)-I222)))</f>
        <v>32800</v>
      </c>
      <c r="J270" s="4">
        <f>(((J6+('Plan parameters'!B7*J198))+('Plan parameters'!B8*J222))+('Plan parameters'!B9*((J174-J198)-J222)))</f>
        <v>62000</v>
      </c>
      <c r="K270" s="4">
        <f>(((K6+('Plan parameters'!B7*K198))+('Plan parameters'!B8*K222))+('Plan parameters'!B9*((K174-K198)-K222)))</f>
        <v>26700</v>
      </c>
      <c r="L270" s="4">
        <f>(((L6+('Plan parameters'!B7*L198))+('Plan parameters'!B8*L222))+('Plan parameters'!B9*((L174-L198)-L222)))</f>
        <v>27800</v>
      </c>
      <c r="M270" s="4">
        <f>(((M6+('Plan parameters'!B7*M198))+('Plan parameters'!B8*M222))+('Plan parameters'!B9*((M174-M198)-M222)))</f>
        <v>22100</v>
      </c>
      <c r="N270" s="4">
        <f>(((N6+('Plan parameters'!B7*N198))+('Plan parameters'!B8*N222))+('Plan parameters'!B9*((N174-N198)-N222)))</f>
        <v>12600</v>
      </c>
      <c r="O270" s="4">
        <f>(((O6+('Plan parameters'!B7*O198))+('Plan parameters'!B8*O222))+('Plan parameters'!B9*((O174-O198)-O222)))</f>
        <v>18900</v>
      </c>
      <c r="P270" s="4">
        <f>(((P6+('Plan parameters'!B7*P198))+('Plan parameters'!B8*P222))+('Plan parameters'!B9*((P174-P198)-P222)))</f>
        <v>58200</v>
      </c>
      <c r="Q270" s="4">
        <f>(((Q6+('Plan parameters'!B7*Q198))+('Plan parameters'!B8*Q222))+('Plan parameters'!B9*((Q174-Q198)-Q222)))</f>
        <v>34500</v>
      </c>
      <c r="R270" s="4">
        <f>(((R6+('Plan parameters'!B7*R198))+('Plan parameters'!B8*R222))+('Plan parameters'!B9*((R174-R198)-R222)))</f>
        <v>36100</v>
      </c>
      <c r="S270" s="4">
        <f>(((S6+('Plan parameters'!B7*S198))+('Plan parameters'!B8*S222))+('Plan parameters'!B9*((S174-S198)-S222)))</f>
        <v>40500</v>
      </c>
      <c r="T270" s="4">
        <f>(((T6+('Plan parameters'!B7*T198))+('Plan parameters'!B8*T222))+('Plan parameters'!B9*((T174-T198)-T222)))</f>
        <v>68410</v>
      </c>
      <c r="U270" s="4">
        <f>(((U6+('Plan parameters'!B7*U198))+('Plan parameters'!B8*U222))+('Plan parameters'!B9*((U174-U198)-U222)))</f>
        <v>32120</v>
      </c>
      <c r="V270" s="4">
        <f>(((V6+('Plan parameters'!B7*V198))+('Plan parameters'!B8*V222))+('Plan parameters'!B9*((V174-V198)-V222)))</f>
        <v>9180</v>
      </c>
      <c r="W270" s="4">
        <f>(((W6+('Plan parameters'!B7*W198))+('Plan parameters'!B8*W222))+('Plan parameters'!B9*((W174-W198)-W222)))</f>
        <v>5230</v>
      </c>
    </row>
    <row r="271">
      <c r="A271" s="0" t="inlineStr">
        <is>
          <t xml:space="preserve">Forecast</t>
        </is>
      </c>
      <c r="B271" s="0" t="inlineStr">
        <is>
          <t xml:space="preserve">Ana Ortiz</t>
        </is>
      </c>
      <c r="C271" s="4">
        <f>(((C7+('Plan parameters'!B7*C199))+('Plan parameters'!B8*C223))+('Plan parameters'!B9*((C175-C199)-C223)))</f>
        <v>6800</v>
      </c>
      <c r="D271" s="4">
        <f>(((D7+('Plan parameters'!B7*D199))+('Plan parameters'!B8*D223))+('Plan parameters'!B9*((D175-D199)-D223)))</f>
        <v>0</v>
      </c>
      <c r="E271" s="4">
        <f>(((E7+('Plan parameters'!B7*E199))+('Plan parameters'!B8*E223))+('Plan parameters'!B9*((E175-E199)-E223)))</f>
        <v>14200</v>
      </c>
      <c r="F271" s="4">
        <f>(((F7+('Plan parameters'!B7*F199))+('Plan parameters'!B8*F223))+('Plan parameters'!B9*((F175-F199)-F223)))</f>
        <v>62400</v>
      </c>
      <c r="G271" s="4">
        <f>(((G7+('Plan parameters'!B7*G199))+('Plan parameters'!B8*G223))+('Plan parameters'!B9*((G175-G199)-G223)))</f>
        <v>5000</v>
      </c>
      <c r="H271" s="4">
        <f>(((H7+('Plan parameters'!B7*H199))+('Plan parameters'!B8*H223))+('Plan parameters'!B9*((H175-H199)-H223)))</f>
        <v>29600</v>
      </c>
      <c r="I271" s="4">
        <f>(((I7+('Plan parameters'!B7*I199))+('Plan parameters'!B8*I223))+('Plan parameters'!B9*((I175-I199)-I223)))</f>
        <v>0</v>
      </c>
      <c r="J271" s="4">
        <f>(((J7+('Plan parameters'!B7*J199))+('Plan parameters'!B8*J223))+('Plan parameters'!B9*((J175-J199)-J223)))</f>
        <v>7200</v>
      </c>
      <c r="K271" s="4">
        <f>(((K7+('Plan parameters'!B7*K199))+('Plan parameters'!B8*K223))+('Plan parameters'!B9*((K175-K199)-K223)))</f>
        <v>27800</v>
      </c>
      <c r="L271" s="4">
        <f>(((L7+('Plan parameters'!B7*L199))+('Plan parameters'!B8*L223))+('Plan parameters'!B9*((L175-L199)-L223)))</f>
        <v>22300</v>
      </c>
      <c r="M271" s="4">
        <f>(((M7+('Plan parameters'!B7*M199))+('Plan parameters'!B8*M223))+('Plan parameters'!B9*((M175-M199)-M223)))</f>
        <v>15100</v>
      </c>
      <c r="N271" s="4">
        <f>(((N7+('Plan parameters'!B7*N199))+('Plan parameters'!B8*N223))+('Plan parameters'!B9*((N175-N199)-N223)))</f>
        <v>19600</v>
      </c>
      <c r="O271" s="4">
        <f>(((O7+('Plan parameters'!B7*O199))+('Plan parameters'!B8*O223))+('Plan parameters'!B9*((O175-O199)-O223)))</f>
        <v>8200</v>
      </c>
      <c r="P271" s="4">
        <f>(((P7+('Plan parameters'!B7*P199))+('Plan parameters'!B8*P223))+('Plan parameters'!B9*((P175-P199)-P223)))</f>
        <v>34300</v>
      </c>
      <c r="Q271" s="4">
        <f>(((Q7+('Plan parameters'!B7*Q199))+('Plan parameters'!B8*Q223))+('Plan parameters'!B9*((Q175-Q199)-Q223)))</f>
        <v>66500</v>
      </c>
      <c r="R271" s="4">
        <f>(((R7+('Plan parameters'!B7*R199))+('Plan parameters'!B8*R223))+('Plan parameters'!B9*((R175-R199)-R223)))</f>
        <v>38000</v>
      </c>
      <c r="S271" s="4">
        <f>(((S7+('Plan parameters'!B7*S199))+('Plan parameters'!B8*S223))+('Plan parameters'!B9*((S175-S199)-S223)))</f>
        <v>18100</v>
      </c>
      <c r="T271" s="4">
        <f>(((T7+('Plan parameters'!B7*T199))+('Plan parameters'!B8*T223))+('Plan parameters'!B9*((T175-T199)-T223)))</f>
        <v>25970</v>
      </c>
      <c r="U271" s="4">
        <f>(((U7+('Plan parameters'!B7*U199))+('Plan parameters'!B8*U223))+('Plan parameters'!B9*((U175-U199)-U223)))</f>
        <v>15340</v>
      </c>
      <c r="V271" s="4">
        <f>(((V7+('Plan parameters'!B7*V199))+('Plan parameters'!B8*V223))+('Plan parameters'!B9*((V175-V199)-V223)))</f>
        <v>4950</v>
      </c>
      <c r="W271" s="4">
        <f>(((W7+('Plan parameters'!B7*W199))+('Plan parameters'!B8*W223))+('Plan parameters'!B9*((W175-W199)-W223)))</f>
        <v>2240</v>
      </c>
    </row>
    <row r="272">
      <c r="A272" s="0" t="inlineStr">
        <is>
          <t xml:space="preserve">Forecast</t>
        </is>
      </c>
      <c r="B272" s="0" t="inlineStr">
        <is>
          <t xml:space="preserve">Tobias Silva</t>
        </is>
      </c>
      <c r="C272" s="4">
        <f>(((C8+('Plan parameters'!B7*C200))+('Plan parameters'!B8*C224))+('Plan parameters'!B9*((C176-C200)-C224)))</f>
        <v>0</v>
      </c>
      <c r="D272" s="4">
        <f>(((D8+('Plan parameters'!B7*D200))+('Plan parameters'!B8*D224))+('Plan parameters'!B9*((D176-D200)-D224)))</f>
        <v>0</v>
      </c>
      <c r="E272" s="4">
        <f>(((E8+('Plan parameters'!B7*E200))+('Plan parameters'!B8*E224))+('Plan parameters'!B9*((E176-E200)-E224)))</f>
        <v>0</v>
      </c>
      <c r="F272" s="4">
        <f>(((F8+('Plan parameters'!B7*F200))+('Plan parameters'!B8*F224))+('Plan parameters'!B9*((F176-F200)-F224)))</f>
        <v>0</v>
      </c>
      <c r="G272" s="4">
        <f>(((G8+('Plan parameters'!B7*G200))+('Plan parameters'!B8*G224))+('Plan parameters'!B9*((G176-G200)-G224)))</f>
        <v>0</v>
      </c>
      <c r="H272" s="4">
        <f>(((H8+('Plan parameters'!B7*H200))+('Plan parameters'!B8*H224))+('Plan parameters'!B9*((H176-H200)-H224)))</f>
        <v>146800</v>
      </c>
      <c r="I272" s="4">
        <f>(((I8+('Plan parameters'!B7*I200))+('Plan parameters'!B8*I224))+('Plan parameters'!B9*((I176-I200)-I224)))</f>
        <v>0</v>
      </c>
      <c r="J272" s="4">
        <f>(((J8+('Plan parameters'!B7*J200))+('Plan parameters'!B8*J224))+('Plan parameters'!B9*((J176-J200)-J224)))</f>
        <v>0</v>
      </c>
      <c r="K272" s="4">
        <f>(((K8+('Plan parameters'!B7*K200))+('Plan parameters'!B8*K224))+('Plan parameters'!B9*((K176-K200)-K224)))</f>
        <v>0</v>
      </c>
      <c r="L272" s="4">
        <f>(((L8+('Plan parameters'!B7*L200))+('Plan parameters'!B8*L224))+('Plan parameters'!B9*((L176-L200)-L224)))</f>
        <v>0</v>
      </c>
      <c r="M272" s="4">
        <f>(((M8+('Plan parameters'!B7*M200))+('Plan parameters'!B8*M224))+('Plan parameters'!B9*((M176-M200)-M224)))</f>
        <v>700000</v>
      </c>
      <c r="N272" s="4">
        <f>(((N8+('Plan parameters'!B7*N200))+('Plan parameters'!B8*N224))+('Plan parameters'!B9*((N176-N200)-N224)))</f>
        <v>712300</v>
      </c>
      <c r="O272" s="4">
        <f>(((O8+('Plan parameters'!B7*O200))+('Plan parameters'!B8*O224))+('Plan parameters'!B9*((O176-O200)-O224)))</f>
        <v>0</v>
      </c>
      <c r="P272" s="4">
        <f>(((P8+('Plan parameters'!B7*P200))+('Plan parameters'!B8*P224))+('Plan parameters'!B9*((P176-P200)-P224)))</f>
        <v>0</v>
      </c>
      <c r="Q272" s="4">
        <f>(((Q8+('Plan parameters'!B7*Q200))+('Plan parameters'!B8*Q224))+('Plan parameters'!B9*((Q176-Q200)-Q224)))</f>
        <v>53000</v>
      </c>
      <c r="R272" s="4">
        <f>(((R8+('Plan parameters'!B7*R200))+('Plan parameters'!B8*R224))+('Plan parameters'!B9*((R176-R200)-R224)))</f>
        <v>209000</v>
      </c>
      <c r="S272" s="4">
        <f>(((S8+('Plan parameters'!B7*S200))+('Plan parameters'!B8*S224))+('Plan parameters'!B9*((S176-S200)-S224)))</f>
        <v>0</v>
      </c>
      <c r="T272" s="4">
        <f>(((T8+('Plan parameters'!B7*T200))+('Plan parameters'!B8*T224))+('Plan parameters'!B9*((T176-T200)-T224)))</f>
        <v>641670</v>
      </c>
      <c r="U272" s="4">
        <f>(((U8+('Plan parameters'!B7*U200))+('Plan parameters'!B8*U224))+('Plan parameters'!B9*((U176-U200)-U224)))</f>
        <v>109570</v>
      </c>
      <c r="V272" s="4">
        <f>(((V8+('Plan parameters'!B7*V200))+('Plan parameters'!B8*V224))+('Plan parameters'!B9*((V176-V200)-V224)))</f>
        <v>19630</v>
      </c>
      <c r="W272" s="4">
        <f>(((W8+('Plan parameters'!B7*W200))+('Plan parameters'!B8*W224))+('Plan parameters'!B9*((W176-W200)-W224)))</f>
        <v>89030</v>
      </c>
    </row>
    <row r="273">
      <c r="A273" s="0" t="inlineStr">
        <is>
          <t xml:space="preserve">Forecast</t>
        </is>
      </c>
      <c r="B273" s="0" t="inlineStr">
        <is>
          <t xml:space="preserve">Leila Osei</t>
        </is>
      </c>
      <c r="C273" s="4">
        <f>(((C9+('Plan parameters'!B7*C201))+('Plan parameters'!B8*C225))+('Plan parameters'!B9*((C177-C201)-C225)))</f>
        <v>0</v>
      </c>
      <c r="D273" s="4">
        <f>(((D9+('Plan parameters'!B7*D201))+('Plan parameters'!B8*D225))+('Plan parameters'!B9*((D177-D201)-D225)))</f>
        <v>0</v>
      </c>
      <c r="E273" s="4">
        <f>(((E9+('Plan parameters'!B7*E201))+('Plan parameters'!B8*E225))+('Plan parameters'!B9*((E177-E201)-E225)))</f>
        <v>0</v>
      </c>
      <c r="F273" s="4">
        <f>(((F9+('Plan parameters'!B7*F201))+('Plan parameters'!B8*F225))+('Plan parameters'!B9*((F177-F201)-F225)))</f>
        <v>0</v>
      </c>
      <c r="G273" s="4">
        <f>(((G9+('Plan parameters'!B7*G201))+('Plan parameters'!B8*G225))+('Plan parameters'!B9*((G177-G201)-G225)))</f>
        <v>0</v>
      </c>
      <c r="H273" s="4">
        <f>(((H9+('Plan parameters'!B7*H201))+('Plan parameters'!B8*H225))+('Plan parameters'!B9*((H177-H201)-H225)))</f>
        <v>0</v>
      </c>
      <c r="I273" s="4">
        <f>(((I9+('Plan parameters'!B7*I201))+('Plan parameters'!B8*I225))+('Plan parameters'!B9*((I177-I201)-I225)))</f>
        <v>0</v>
      </c>
      <c r="J273" s="4">
        <f>(((J9+('Plan parameters'!B7*J201))+('Plan parameters'!B8*J225))+('Plan parameters'!B9*((J177-J201)-J225)))</f>
        <v>0</v>
      </c>
      <c r="K273" s="4">
        <f>(((K9+('Plan parameters'!B7*K201))+('Plan parameters'!B8*K225))+('Plan parameters'!B9*((K177-K201)-K225)))</f>
        <v>0</v>
      </c>
      <c r="L273" s="4">
        <f>(((L9+('Plan parameters'!B7*L201))+('Plan parameters'!B8*L225))+('Plan parameters'!B9*((L177-L201)-L225)))</f>
        <v>0</v>
      </c>
      <c r="M273" s="4">
        <f>(((M9+('Plan parameters'!B7*M201))+('Plan parameters'!B8*M225))+('Plan parameters'!B9*((M177-M201)-M225)))</f>
        <v>0</v>
      </c>
      <c r="N273" s="4">
        <f>(((N9+('Plan parameters'!B7*N201))+('Plan parameters'!B8*N225))+('Plan parameters'!B9*((N177-N201)-N225)))</f>
        <v>35500</v>
      </c>
      <c r="O273" s="4">
        <f>(((O9+('Plan parameters'!B7*O201))+('Plan parameters'!B8*O225))+('Plan parameters'!B9*((O177-O201)-O225)))</f>
        <v>0</v>
      </c>
      <c r="P273" s="4">
        <f>(((P9+('Plan parameters'!B7*P201))+('Plan parameters'!B8*P225))+('Plan parameters'!B9*((P177-P201)-P225)))</f>
        <v>0</v>
      </c>
      <c r="Q273" s="4">
        <f>(((Q9+('Plan parameters'!B7*Q201))+('Plan parameters'!B8*Q225))+('Plan parameters'!B9*((Q177-Q201)-Q225)))</f>
        <v>355000</v>
      </c>
      <c r="R273" s="4">
        <f>(((R9+('Plan parameters'!B7*R201))+('Plan parameters'!B8*R225))+('Plan parameters'!B9*((R177-R201)-R225)))</f>
        <v>244100</v>
      </c>
      <c r="S273" s="4">
        <f>(((S9+('Plan parameters'!B7*S201))+('Plan parameters'!B8*S225))+('Plan parameters'!B9*((S177-S201)-S225)))</f>
        <v>67600</v>
      </c>
      <c r="T273" s="4">
        <f>(((T9+('Plan parameters'!B7*T201))+('Plan parameters'!B8*T225))+('Plan parameters'!B9*((T177-T201)-T225)))</f>
        <v>466120</v>
      </c>
      <c r="U273" s="4">
        <f>(((U9+('Plan parameters'!B7*U201))+('Plan parameters'!B8*U225))+('Plan parameters'!B9*((U177-U201)-U225)))</f>
        <v>76550</v>
      </c>
      <c r="V273" s="4">
        <f>(((V9+('Plan parameters'!B7*V201))+('Plan parameters'!B8*V225))+('Plan parameters'!B9*((V177-V201)-V225)))</f>
        <v>9470</v>
      </c>
      <c r="W273" s="4">
        <f>(((W9+('Plan parameters'!B7*W201))+('Plan parameters'!B8*W225))+('Plan parameters'!B9*((W177-W201)-W225)))</f>
        <v>11260</v>
      </c>
    </row>
    <row r="274">
      <c r="A274" s="0" t="inlineStr">
        <is>
          <t xml:space="preserve">Forecast</t>
        </is>
      </c>
      <c r="B274" s="0" t="inlineStr">
        <is>
          <t xml:space="preserve">Grace Costa</t>
        </is>
      </c>
      <c r="C274" s="4">
        <f>(((C10+('Plan parameters'!B7*C202))+('Plan parameters'!B8*C226))+('Plan parameters'!B9*((C178-C202)-C226)))</f>
        <v>0</v>
      </c>
      <c r="D274" s="4">
        <f>(((D10+('Plan parameters'!B7*D202))+('Plan parameters'!B8*D226))+('Plan parameters'!B9*((D178-D202)-D226)))</f>
        <v>32300</v>
      </c>
      <c r="E274" s="4">
        <f>(((E10+('Plan parameters'!B7*E202))+('Plan parameters'!B8*E226))+('Plan parameters'!B9*((E178-E202)-E226)))</f>
        <v>40000</v>
      </c>
      <c r="F274" s="4">
        <f>(((F10+('Plan parameters'!B7*F202))+('Plan parameters'!B8*F226))+('Plan parameters'!B9*((F178-F202)-F226)))</f>
        <v>45400</v>
      </c>
      <c r="G274" s="4">
        <f>(((G10+('Plan parameters'!B7*G202))+('Plan parameters'!B8*G226))+('Plan parameters'!B9*((G178-G202)-G226)))</f>
        <v>30000</v>
      </c>
      <c r="H274" s="4">
        <f>(((H10+('Plan parameters'!B7*H202))+('Plan parameters'!B8*H226))+('Plan parameters'!B9*((H178-H202)-H226)))</f>
        <v>38600</v>
      </c>
      <c r="I274" s="4">
        <f>(((I10+('Plan parameters'!B7*I202))+('Plan parameters'!B8*I226))+('Plan parameters'!B9*((I178-I202)-I226)))</f>
        <v>0</v>
      </c>
      <c r="J274" s="4">
        <f>(((J10+('Plan parameters'!B7*J202))+('Plan parameters'!B8*J226))+('Plan parameters'!B9*((J178-J202)-J226)))</f>
        <v>150400</v>
      </c>
      <c r="K274" s="4">
        <f>(((K10+('Plan parameters'!B7*K202))+('Plan parameters'!B8*K226))+('Plan parameters'!B9*((K178-K202)-K226)))</f>
        <v>195500</v>
      </c>
      <c r="L274" s="4">
        <f>(((L10+('Plan parameters'!B7*L202))+('Plan parameters'!B8*L226))+('Plan parameters'!B9*((L178-L202)-L226)))</f>
        <v>66400</v>
      </c>
      <c r="M274" s="4">
        <f>(((M10+('Plan parameters'!B7*M202))+('Plan parameters'!B8*M226))+('Plan parameters'!B9*((M178-M202)-M226)))</f>
        <v>151700</v>
      </c>
      <c r="N274" s="4">
        <f>(((N10+('Plan parameters'!B7*N202))+('Plan parameters'!B8*N226))+('Plan parameters'!B9*((N178-N202)-N226)))</f>
        <v>105500</v>
      </c>
      <c r="O274" s="4">
        <f>(((O10+('Plan parameters'!B7*O202))+('Plan parameters'!B8*O226))+('Plan parameters'!B9*((O178-O202)-O226)))</f>
        <v>105200</v>
      </c>
      <c r="P274" s="4">
        <f>(((P10+('Plan parameters'!B7*P202))+('Plan parameters'!B8*P226))+('Plan parameters'!B9*((P178-P202)-P226)))</f>
        <v>178200</v>
      </c>
      <c r="Q274" s="4">
        <f>(((Q10+('Plan parameters'!B7*Q202))+('Plan parameters'!B8*Q226))+('Plan parameters'!B9*((Q178-Q202)-Q226)))</f>
        <v>364300</v>
      </c>
      <c r="R274" s="4">
        <f>(((R10+('Plan parameters'!B7*R202))+('Plan parameters'!B8*R226))+('Plan parameters'!B9*((R178-R202)-R226)))</f>
        <v>160000</v>
      </c>
      <c r="S274" s="4">
        <f>(((S10+('Plan parameters'!B7*S202))+('Plan parameters'!B8*S226))+('Plan parameters'!B9*((S178-S202)-S226)))</f>
        <v>30100</v>
      </c>
      <c r="T274" s="4">
        <f>(((T10+('Plan parameters'!B7*T202))+('Plan parameters'!B8*T226))+('Plan parameters'!B9*((T178-T202)-T226)))</f>
        <v>302320</v>
      </c>
      <c r="U274" s="4">
        <f>(((U10+('Plan parameters'!B7*U202))+('Plan parameters'!B8*U226))+('Plan parameters'!B9*((U178-U202)-U226)))</f>
        <v>105710</v>
      </c>
      <c r="V274" s="4">
        <f>(((V10+('Plan parameters'!B7*V202))+('Plan parameters'!B8*V226))+('Plan parameters'!B9*((V178-V202)-V226)))</f>
        <v>1950</v>
      </c>
      <c r="W274" s="4">
        <f>(((W10+('Plan parameters'!B7*W202))+('Plan parameters'!B8*W226))+('Plan parameters'!B9*((W178-W202)-W226)))</f>
        <v>12040</v>
      </c>
    </row>
    <row r="275">
      <c r="A275" s="0" t="inlineStr">
        <is>
          <t xml:space="preserve">Forecast</t>
        </is>
      </c>
      <c r="B275" s="0" t="inlineStr">
        <is>
          <t xml:space="preserve">Ingrid Müller</t>
        </is>
      </c>
      <c r="C275" s="4">
        <f>(((C11+('Plan parameters'!B7*C203))+('Plan parameters'!B8*C227))+('Plan parameters'!B9*((C179-C203)-C227)))</f>
        <v>0</v>
      </c>
      <c r="D275" s="4">
        <f>(((D11+('Plan parameters'!B7*D203))+('Plan parameters'!B8*D227))+('Plan parameters'!B9*((D179-D203)-D227)))</f>
        <v>0</v>
      </c>
      <c r="E275" s="4">
        <f>(((E11+('Plan parameters'!B7*E203))+('Plan parameters'!B8*E227))+('Plan parameters'!B9*((E179-E203)-E227)))</f>
        <v>0</v>
      </c>
      <c r="F275" s="4">
        <f>(((F11+('Plan parameters'!B7*F203))+('Plan parameters'!B8*F227))+('Plan parameters'!B9*((F179-F203)-F227)))</f>
        <v>0</v>
      </c>
      <c r="G275" s="4">
        <f>(((G11+('Plan parameters'!B7*G203))+('Plan parameters'!B8*G227))+('Plan parameters'!B9*((G179-G203)-G227)))</f>
        <v>0</v>
      </c>
      <c r="H275" s="4">
        <f>(((H11+('Plan parameters'!B7*H203))+('Plan parameters'!B8*H227))+('Plan parameters'!B9*((H179-H203)-H227)))</f>
        <v>0</v>
      </c>
      <c r="I275" s="4">
        <f>(((I11+('Plan parameters'!B7*I203))+('Plan parameters'!B8*I227))+('Plan parameters'!B9*((I179-I203)-I227)))</f>
        <v>0</v>
      </c>
      <c r="J275" s="4">
        <f>(((J11+('Plan parameters'!B7*J203))+('Plan parameters'!B8*J227))+('Plan parameters'!B9*((J179-J203)-J227)))</f>
        <v>0</v>
      </c>
      <c r="K275" s="4">
        <f>(((K11+('Plan parameters'!B7*K203))+('Plan parameters'!B8*K227))+('Plan parameters'!B9*((K179-K203)-K227)))</f>
        <v>0</v>
      </c>
      <c r="L275" s="4">
        <f>(((L11+('Plan parameters'!B7*L203))+('Plan parameters'!B8*L227))+('Plan parameters'!B9*((L179-L203)-L227)))</f>
        <v>0</v>
      </c>
      <c r="M275" s="4">
        <f>(((M11+('Plan parameters'!B7*M203))+('Plan parameters'!B8*M227))+('Plan parameters'!B9*((M179-M203)-M227)))</f>
        <v>0</v>
      </c>
      <c r="N275" s="4">
        <f>(((N11+('Plan parameters'!B7*N203))+('Plan parameters'!B8*N227))+('Plan parameters'!B9*((N179-N203)-N227)))</f>
        <v>0</v>
      </c>
      <c r="O275" s="4">
        <f>(((O11+('Plan parameters'!B7*O203))+('Plan parameters'!B8*O227))+('Plan parameters'!B9*((O179-O203)-O227)))</f>
        <v>71500</v>
      </c>
      <c r="P275" s="4">
        <f>(((P11+('Plan parameters'!B7*P203))+('Plan parameters'!B8*P227))+('Plan parameters'!B9*((P179-P203)-P227)))</f>
        <v>0</v>
      </c>
      <c r="Q275" s="4">
        <f>(((Q11+('Plan parameters'!B7*Q203))+('Plan parameters'!B8*Q227))+('Plan parameters'!B9*((Q179-Q203)-Q227)))</f>
        <v>75200</v>
      </c>
      <c r="R275" s="4">
        <f>(((R11+('Plan parameters'!B7*R203))+('Plan parameters'!B8*R227))+('Plan parameters'!B9*((R179-R203)-R227)))</f>
        <v>0</v>
      </c>
      <c r="S275" s="4">
        <f>(((S11+('Plan parameters'!B7*S203))+('Plan parameters'!B8*S227))+('Plan parameters'!B9*((S179-S203)-S227)))</f>
        <v>159400</v>
      </c>
      <c r="T275" s="4">
        <f>(((T11+('Plan parameters'!B7*T203))+('Plan parameters'!B8*T227))+('Plan parameters'!B9*((T179-T203)-T227)))</f>
        <v>113030</v>
      </c>
      <c r="U275" s="4">
        <f>(((U11+('Plan parameters'!B7*U203))+('Plan parameters'!B8*U227))+('Plan parameters'!B9*((U179-U203)-U227)))</f>
        <v>1940</v>
      </c>
      <c r="V275" s="4">
        <f>(((V11+('Plan parameters'!B7*V203))+('Plan parameters'!B8*V227))+('Plan parameters'!B9*((V179-V203)-V227)))</f>
        <v>9660</v>
      </c>
      <c r="W275" s="4">
        <f>(((W11+('Plan parameters'!B7*W203))+('Plan parameters'!B8*W227))+('Plan parameters'!B9*((W179-W203)-W227)))</f>
        <v>108120</v>
      </c>
    </row>
    <row r="276">
      <c r="A276" s="0" t="inlineStr">
        <is>
          <t xml:space="preserve">Forecast</t>
        </is>
      </c>
      <c r="B276" s="0" t="inlineStr">
        <is>
          <t xml:space="preserve">Ingrid Kim</t>
        </is>
      </c>
      <c r="C276" s="4">
        <f>(((C12+('Plan parameters'!B7*C204))+('Plan parameters'!B8*C228))+('Plan parameters'!B9*((C180-C204)-C228)))</f>
        <v>42400</v>
      </c>
      <c r="D276" s="4">
        <f>(((D12+('Plan parameters'!B7*D204))+('Plan parameters'!B8*D228))+('Plan parameters'!B9*((D180-D204)-D228)))</f>
        <v>19000</v>
      </c>
      <c r="E276" s="4">
        <f>(((E12+('Plan parameters'!B7*E204))+('Plan parameters'!B8*E228))+('Plan parameters'!B9*((E180-E204)-E228)))</f>
        <v>19200</v>
      </c>
      <c r="F276" s="4">
        <f>(((F12+('Plan parameters'!B7*F204))+('Plan parameters'!B8*F228))+('Plan parameters'!B9*((F180-F204)-F228)))</f>
        <v>0</v>
      </c>
      <c r="G276" s="4">
        <f>(((G12+('Plan parameters'!B7*G204))+('Plan parameters'!B8*G228))+('Plan parameters'!B9*((G180-G204)-G228)))</f>
        <v>52100</v>
      </c>
      <c r="H276" s="4">
        <f>(((H12+('Plan parameters'!B7*H204))+('Plan parameters'!B8*H228))+('Plan parameters'!B9*((H180-H204)-H228)))</f>
        <v>34500</v>
      </c>
      <c r="I276" s="4">
        <f>(((I12+('Plan parameters'!B7*I204))+('Plan parameters'!B8*I228))+('Plan parameters'!B9*((I180-I204)-I228)))</f>
        <v>33600</v>
      </c>
      <c r="J276" s="4">
        <f>(((J12+('Plan parameters'!B7*J204))+('Plan parameters'!B8*J228))+('Plan parameters'!B9*((J180-J204)-J228)))</f>
        <v>37000</v>
      </c>
      <c r="K276" s="4">
        <f>(((K12+('Plan parameters'!B7*K204))+('Plan parameters'!B8*K228))+('Plan parameters'!B9*((K180-K204)-K228)))</f>
        <v>55200</v>
      </c>
      <c r="L276" s="4">
        <f>(((L12+('Plan parameters'!B7*L204))+('Plan parameters'!B8*L228))+('Plan parameters'!B9*((L180-L204)-L228)))</f>
        <v>23500</v>
      </c>
      <c r="M276" s="4">
        <f>(((M12+('Plan parameters'!B7*M204))+('Plan parameters'!B8*M228))+('Plan parameters'!B9*((M180-M204)-M228)))</f>
        <v>33300</v>
      </c>
      <c r="N276" s="4">
        <f>(((N12+('Plan parameters'!B7*N204))+('Plan parameters'!B8*N228))+('Plan parameters'!B9*((N180-N204)-N228)))</f>
        <v>49700</v>
      </c>
      <c r="O276" s="4">
        <f>(((O12+('Plan parameters'!B7*O204))+('Plan parameters'!B8*O228))+('Plan parameters'!B9*((O180-O204)-O228)))</f>
        <v>20500</v>
      </c>
      <c r="P276" s="4">
        <f>(((P12+('Plan parameters'!B7*P204))+('Plan parameters'!B8*P228))+('Plan parameters'!B9*((P180-P204)-P228)))</f>
        <v>6000</v>
      </c>
      <c r="Q276" s="4">
        <f>(((Q12+('Plan parameters'!B7*Q204))+('Plan parameters'!B8*Q228))+('Plan parameters'!B9*((Q180-Q204)-Q228)))</f>
        <v>0</v>
      </c>
      <c r="R276" s="4">
        <f>(((R12+('Plan parameters'!B7*R204))+('Plan parameters'!B8*R228))+('Plan parameters'!B9*((R180-R204)-R228)))</f>
        <v>44300</v>
      </c>
      <c r="S276" s="4">
        <f>(((S12+('Plan parameters'!B7*S204))+('Plan parameters'!B8*S228))+('Plan parameters'!B9*((S180-S204)-S228)))</f>
        <v>0</v>
      </c>
      <c r="T276" s="4">
        <f>(((T12+('Plan parameters'!B7*T204))+('Plan parameters'!B8*T228))+('Plan parameters'!B9*((T180-T204)-T228)))</f>
        <v>44800</v>
      </c>
      <c r="U276" s="4">
        <f>(((U12+('Plan parameters'!B7*U204))+('Plan parameters'!B8*U228))+('Plan parameters'!B9*((U180-U204)-U228)))</f>
        <v>7740</v>
      </c>
      <c r="V276" s="4">
        <f>(((V12+('Plan parameters'!B7*V204))+('Plan parameters'!B8*V228))+('Plan parameters'!B9*((V180-V204)-V228)))</f>
        <v>0</v>
      </c>
      <c r="W276" s="4">
        <f>(((W12+('Plan parameters'!B7*W204))+('Plan parameters'!B8*W228))+('Plan parameters'!B9*((W180-W204)-W228)))</f>
        <v>48980</v>
      </c>
    </row>
    <row r="277">
      <c r="A277" s="0" t="inlineStr">
        <is>
          <t xml:space="preserve">Forecast</t>
        </is>
      </c>
      <c r="B277" s="0" t="inlineStr">
        <is>
          <t xml:space="preserve">Priya Nair</t>
        </is>
      </c>
      <c r="C277" s="4">
        <f>(((C13+('Plan parameters'!B7*C205))+('Plan parameters'!B8*C229))+('Plan parameters'!B9*((C181-C205)-C229)))</f>
        <v>0</v>
      </c>
      <c r="D277" s="4">
        <f>(((D13+('Plan parameters'!B7*D205))+('Plan parameters'!B8*D229))+('Plan parameters'!B9*((D181-D205)-D229)))</f>
        <v>63800</v>
      </c>
      <c r="E277" s="4">
        <f>(((E13+('Plan parameters'!B7*E205))+('Plan parameters'!B8*E229))+('Plan parameters'!B9*((E181-E205)-E229)))</f>
        <v>6800</v>
      </c>
      <c r="F277" s="4">
        <f>(((F13+('Plan parameters'!B7*F205))+('Plan parameters'!B8*F229))+('Plan parameters'!B9*((F181-F205)-F229)))</f>
        <v>26200</v>
      </c>
      <c r="G277" s="4">
        <f>(((G13+('Plan parameters'!B7*G205))+('Plan parameters'!B8*G229))+('Plan parameters'!B9*((G181-G205)-G229)))</f>
        <v>6400</v>
      </c>
      <c r="H277" s="4">
        <f>(((H13+('Plan parameters'!B7*H205))+('Plan parameters'!B8*H229))+('Plan parameters'!B9*((H181-H205)-H229)))</f>
        <v>68400</v>
      </c>
      <c r="I277" s="4">
        <f>(((I13+('Plan parameters'!B7*I205))+('Plan parameters'!B8*I229))+('Plan parameters'!B9*((I181-I205)-I229)))</f>
        <v>29700</v>
      </c>
      <c r="J277" s="4">
        <f>(((J13+('Plan parameters'!B7*J205))+('Plan parameters'!B8*J229))+('Plan parameters'!B9*((J181-J205)-J229)))</f>
        <v>25700</v>
      </c>
      <c r="K277" s="4">
        <f>(((K13+('Plan parameters'!B7*K205))+('Plan parameters'!B8*K229))+('Plan parameters'!B9*((K181-K205)-K229)))</f>
        <v>56200</v>
      </c>
      <c r="L277" s="4">
        <f>(((L13+('Plan parameters'!B7*L205))+('Plan parameters'!B8*L229))+('Plan parameters'!B9*((L181-L205)-L229)))</f>
        <v>19600</v>
      </c>
      <c r="M277" s="4">
        <f>(((M13+('Plan parameters'!B7*M205))+('Plan parameters'!B8*M229))+('Plan parameters'!B9*((M181-M205)-M229)))</f>
        <v>0</v>
      </c>
      <c r="N277" s="4">
        <f>(((N13+('Plan parameters'!B7*N205))+('Plan parameters'!B8*N229))+('Plan parameters'!B9*((N181-N205)-N229)))</f>
        <v>56100</v>
      </c>
      <c r="O277" s="4">
        <f>(((O13+('Plan parameters'!B7*O205))+('Plan parameters'!B8*O229))+('Plan parameters'!B9*((O181-O205)-O229)))</f>
        <v>46600</v>
      </c>
      <c r="P277" s="4">
        <f>(((P13+('Plan parameters'!B7*P205))+('Plan parameters'!B8*P229))+('Plan parameters'!B9*((P181-P205)-P229)))</f>
        <v>5000</v>
      </c>
      <c r="Q277" s="4">
        <f>(((Q13+('Plan parameters'!B7*Q205))+('Plan parameters'!B8*Q229))+('Plan parameters'!B9*((Q181-Q205)-Q229)))</f>
        <v>52000</v>
      </c>
      <c r="R277" s="4">
        <f>(((R13+('Plan parameters'!B7*R205))+('Plan parameters'!B8*R229))+('Plan parameters'!B9*((R181-R205)-R229)))</f>
        <v>5400</v>
      </c>
      <c r="S277" s="4">
        <f>(((S13+('Plan parameters'!B7*S205))+('Plan parameters'!B8*S229))+('Plan parameters'!B9*((S181-S205)-S229)))</f>
        <v>31800</v>
      </c>
      <c r="T277" s="4">
        <f>(((T13+('Plan parameters'!B7*T205))+('Plan parameters'!B8*T229))+('Plan parameters'!B9*((T181-T205)-T229)))</f>
        <v>27870</v>
      </c>
      <c r="U277" s="4">
        <f>(((U13+('Plan parameters'!B7*U205))+('Plan parameters'!B8*U229))+('Plan parameters'!B9*((U181-U205)-U229)))</f>
        <v>28810</v>
      </c>
      <c r="V277" s="4">
        <f>(((V13+('Plan parameters'!B7*V205))+('Plan parameters'!B8*V229))+('Plan parameters'!B9*((V181-V205)-V229)))</f>
        <v>0</v>
      </c>
      <c r="W277" s="4">
        <f>(((W13+('Plan parameters'!B7*W205))+('Plan parameters'!B8*W229))+('Plan parameters'!B9*((W181-W205)-W229)))</f>
        <v>24010</v>
      </c>
    </row>
    <row r="278">
      <c r="A278" s="0" t="inlineStr">
        <is>
          <t xml:space="preserve">Forecast</t>
        </is>
      </c>
      <c r="B278" s="0" t="inlineStr">
        <is>
          <t xml:space="preserve">Hugo Lindqvist</t>
        </is>
      </c>
      <c r="C278" s="4">
        <f>(((C14+('Plan parameters'!B7*C206))+('Plan parameters'!B8*C230))+('Plan parameters'!B9*((C182-C206)-C230)))</f>
        <v>0</v>
      </c>
      <c r="D278" s="4">
        <f>(((D14+('Plan parameters'!B7*D206))+('Plan parameters'!B8*D230))+('Plan parameters'!B9*((D182-D206)-D230)))</f>
        <v>0</v>
      </c>
      <c r="E278" s="4">
        <f>(((E14+('Plan parameters'!B7*E206))+('Plan parameters'!B8*E230))+('Plan parameters'!B9*((E182-E206)-E230)))</f>
        <v>245800</v>
      </c>
      <c r="F278" s="4">
        <f>(((F14+('Plan parameters'!B7*F206))+('Plan parameters'!B8*F230))+('Plan parameters'!B9*((F182-F206)-F230)))</f>
        <v>0</v>
      </c>
      <c r="G278" s="4">
        <f>(((G14+('Plan parameters'!B7*G206))+('Plan parameters'!B8*G230))+('Plan parameters'!B9*((G182-G206)-G230)))</f>
        <v>0</v>
      </c>
      <c r="H278" s="4">
        <f>(((H14+('Plan parameters'!B7*H206))+('Plan parameters'!B8*H230))+('Plan parameters'!B9*((H182-H206)-H230)))</f>
        <v>732500</v>
      </c>
      <c r="I278" s="4">
        <f>(((I14+('Plan parameters'!B7*I206))+('Plan parameters'!B8*I230))+('Plan parameters'!B9*((I182-I206)-I230)))</f>
        <v>121300</v>
      </c>
      <c r="J278" s="4">
        <f>(((J14+('Plan parameters'!B7*J206))+('Plan parameters'!B8*J230))+('Plan parameters'!B9*((J182-J206)-J230)))</f>
        <v>150300</v>
      </c>
      <c r="K278" s="4">
        <f>(((K14+('Plan parameters'!B7*K206))+('Plan parameters'!B8*K230))+('Plan parameters'!B9*((K182-K206)-K230)))</f>
        <v>0</v>
      </c>
      <c r="L278" s="4">
        <f>(((L14+('Plan parameters'!B7*L206))+('Plan parameters'!B8*L230))+('Plan parameters'!B9*((L182-L206)-L230)))</f>
        <v>543300</v>
      </c>
      <c r="M278" s="4">
        <f>(((M14+('Plan parameters'!B7*M206))+('Plan parameters'!B8*M230))+('Plan parameters'!B9*((M182-M206)-M230)))</f>
        <v>0</v>
      </c>
      <c r="N278" s="4">
        <f>(((N14+('Plan parameters'!B7*N206))+('Plan parameters'!B8*N230))+('Plan parameters'!B9*((N182-N206)-N230)))</f>
        <v>0</v>
      </c>
      <c r="O278" s="4">
        <f>(((O14+('Plan parameters'!B7*O206))+('Plan parameters'!B8*O230))+('Plan parameters'!B9*((O182-O206)-O230)))</f>
        <v>148600</v>
      </c>
      <c r="P278" s="4">
        <f>(((P14+('Plan parameters'!B7*P206))+('Plan parameters'!B8*P230))+('Plan parameters'!B9*((P182-P206)-P230)))</f>
        <v>108100</v>
      </c>
      <c r="Q278" s="4">
        <f>(((Q14+('Plan parameters'!B7*Q206))+('Plan parameters'!B8*Q230))+('Plan parameters'!B9*((Q182-Q206)-Q230)))</f>
        <v>200300</v>
      </c>
      <c r="R278" s="4">
        <f>(((R14+('Plan parameters'!B7*R206))+('Plan parameters'!B8*R230))+('Plan parameters'!B9*((R182-R206)-R230)))</f>
        <v>0</v>
      </c>
      <c r="S278" s="4">
        <f>(((S14+('Plan parameters'!B7*S206))+('Plan parameters'!B8*S230))+('Plan parameters'!B9*((S182-S206)-S230)))</f>
        <v>0</v>
      </c>
      <c r="T278" s="4">
        <f>(((T14+('Plan parameters'!B7*T206))+('Plan parameters'!B8*T230))+('Plan parameters'!B9*((T182-T206)-T230)))</f>
        <v>495890</v>
      </c>
      <c r="U278" s="4">
        <f>(((U14+('Plan parameters'!B7*U206))+('Plan parameters'!B8*U230))+('Plan parameters'!B9*((U182-U206)-U230)))</f>
        <v>136390</v>
      </c>
      <c r="V278" s="4">
        <f>(((V14+('Plan parameters'!B7*V206))+('Plan parameters'!B8*V230))+('Plan parameters'!B9*((V182-V206)-V230)))</f>
        <v>9660</v>
      </c>
      <c r="W278" s="4">
        <f>(((W14+('Plan parameters'!B7*W206))+('Plan parameters'!B8*W230))+('Plan parameters'!B9*((W182-W206)-W230)))</f>
        <v>74180</v>
      </c>
    </row>
    <row r="279">
      <c r="A279" s="0" t="inlineStr">
        <is>
          <t xml:space="preserve">Forecast</t>
        </is>
      </c>
      <c r="B279" s="0" t="inlineStr">
        <is>
          <t xml:space="preserve">Wei Novak</t>
        </is>
      </c>
      <c r="C279" s="4">
        <f>(((C15+('Plan parameters'!B7*C207))+('Plan parameters'!B8*C231))+('Plan parameters'!B9*((C183-C207)-C231)))</f>
        <v>0</v>
      </c>
      <c r="D279" s="4">
        <f>(((D15+('Plan parameters'!B7*D207))+('Plan parameters'!B8*D231))+('Plan parameters'!B9*((D183-D207)-D231)))</f>
        <v>0</v>
      </c>
      <c r="E279" s="4">
        <f>(((E15+('Plan parameters'!B7*E207))+('Plan parameters'!B8*E231))+('Plan parameters'!B9*((E183-E207)-E231)))</f>
        <v>0</v>
      </c>
      <c r="F279" s="4">
        <f>(((F15+('Plan parameters'!B7*F207))+('Plan parameters'!B8*F231))+('Plan parameters'!B9*((F183-F207)-F231)))</f>
        <v>0</v>
      </c>
      <c r="G279" s="4">
        <f>(((G15+('Plan parameters'!B7*G207))+('Plan parameters'!B8*G231))+('Plan parameters'!B9*((G183-G207)-G231)))</f>
        <v>0</v>
      </c>
      <c r="H279" s="4">
        <f>(((H15+('Plan parameters'!B7*H207))+('Plan parameters'!B8*H231))+('Plan parameters'!B9*((H183-H207)-H231)))</f>
        <v>0</v>
      </c>
      <c r="I279" s="4">
        <f>(((I15+('Plan parameters'!B7*I207))+('Plan parameters'!B8*I231))+('Plan parameters'!B9*((I183-I207)-I231)))</f>
        <v>0</v>
      </c>
      <c r="J279" s="4">
        <f>(((J15+('Plan parameters'!B7*J207))+('Plan parameters'!B8*J231))+('Plan parameters'!B9*((J183-J207)-J231)))</f>
        <v>0</v>
      </c>
      <c r="K279" s="4">
        <f>(((K15+('Plan parameters'!B7*K207))+('Plan parameters'!B8*K231))+('Plan parameters'!B9*((K183-K207)-K231)))</f>
        <v>0</v>
      </c>
      <c r="L279" s="4">
        <f>(((L15+('Plan parameters'!B7*L207))+('Plan parameters'!B8*L231))+('Plan parameters'!B9*((L183-L207)-L231)))</f>
        <v>0</v>
      </c>
      <c r="M279" s="4">
        <f>(((M15+('Plan parameters'!B7*M207))+('Plan parameters'!B8*M231))+('Plan parameters'!B9*((M183-M207)-M231)))</f>
        <v>0</v>
      </c>
      <c r="N279" s="4">
        <f>(((N15+('Plan parameters'!B7*N207))+('Plan parameters'!B8*N231))+('Plan parameters'!B9*((N183-N207)-N231)))</f>
        <v>22800</v>
      </c>
      <c r="O279" s="4">
        <f>(((O15+('Plan parameters'!B7*O207))+('Plan parameters'!B8*O231))+('Plan parameters'!B9*((O183-O207)-O231)))</f>
        <v>0</v>
      </c>
      <c r="P279" s="4">
        <f>(((P15+('Plan parameters'!B7*P207))+('Plan parameters'!B8*P231))+('Plan parameters'!B9*((P183-P207)-P231)))</f>
        <v>0</v>
      </c>
      <c r="Q279" s="4">
        <f>(((Q15+('Plan parameters'!B7*Q207))+('Plan parameters'!B8*Q231))+('Plan parameters'!B9*((Q183-Q207)-Q231)))</f>
        <v>60000</v>
      </c>
      <c r="R279" s="4">
        <f>(((R15+('Plan parameters'!B7*R207))+('Plan parameters'!B8*R231))+('Plan parameters'!B9*((R183-R207)-R231)))</f>
        <v>0</v>
      </c>
      <c r="S279" s="4">
        <f>(((S15+('Plan parameters'!B7*S207))+('Plan parameters'!B8*S231))+('Plan parameters'!B9*((S183-S207)-S231)))</f>
        <v>92900</v>
      </c>
      <c r="T279" s="4">
        <f>(((T15+('Plan parameters'!B7*T207))+('Plan parameters'!B8*T231))+('Plan parameters'!B9*((T183-T207)-T231)))</f>
        <v>0</v>
      </c>
      <c r="U279" s="4">
        <f>(((U15+('Plan parameters'!B7*U207))+('Plan parameters'!B8*U231))+('Plan parameters'!B9*((U183-U207)-U231)))</f>
        <v>81230</v>
      </c>
      <c r="V279" s="4">
        <f>(((V15+('Plan parameters'!B7*V207))+('Plan parameters'!B8*V231))+('Plan parameters'!B9*((V183-V207)-V231)))</f>
        <v>12140</v>
      </c>
      <c r="W279" s="4">
        <f>(((W15+('Plan parameters'!B7*W207))+('Plan parameters'!B8*W231))+('Plan parameters'!B9*((W183-W207)-W231)))</f>
        <v>0</v>
      </c>
    </row>
    <row r="280">
      <c r="A280" s="0" t="inlineStr">
        <is>
          <t xml:space="preserve">Forecast</t>
        </is>
      </c>
      <c r="B280" s="0" t="inlineStr">
        <is>
          <t xml:space="preserve">Nikolai Kim</t>
        </is>
      </c>
      <c r="C280" s="4">
        <f>(((C16+('Plan parameters'!B7*C208))+('Plan parameters'!B8*C232))+('Plan parameters'!B9*((C184-C208)-C232)))</f>
        <v>0</v>
      </c>
      <c r="D280" s="4">
        <f>(((D16+('Plan parameters'!B7*D208))+('Plan parameters'!B8*D232))+('Plan parameters'!B9*((D184-D208)-D232)))</f>
        <v>39000</v>
      </c>
      <c r="E280" s="4">
        <f>(((E16+('Plan parameters'!B7*E208))+('Plan parameters'!B8*E232))+('Plan parameters'!B9*((E184-E208)-E232)))</f>
        <v>222600</v>
      </c>
      <c r="F280" s="4">
        <f>(((F16+('Plan parameters'!B7*F208))+('Plan parameters'!B8*F232))+('Plan parameters'!B9*((F184-F208)-F232)))</f>
        <v>151000</v>
      </c>
      <c r="G280" s="4">
        <f>(((G16+('Plan parameters'!B7*G208))+('Plan parameters'!B8*G232))+('Plan parameters'!B9*((G184-G208)-G232)))</f>
        <v>0</v>
      </c>
      <c r="H280" s="4">
        <f>(((H16+('Plan parameters'!B7*H208))+('Plan parameters'!B8*H232))+('Plan parameters'!B9*((H184-H208)-H232)))</f>
        <v>165500</v>
      </c>
      <c r="I280" s="4">
        <f>(((I16+('Plan parameters'!B7*I208))+('Plan parameters'!B8*I232))+('Plan parameters'!B9*((I184-I208)-I232)))</f>
        <v>126400</v>
      </c>
      <c r="J280" s="4">
        <f>(((J16+('Plan parameters'!B7*J208))+('Plan parameters'!B8*J232))+('Plan parameters'!B9*((J184-J208)-J232)))</f>
        <v>104600</v>
      </c>
      <c r="K280" s="4">
        <f>(((K16+('Plan parameters'!B7*K208))+('Plan parameters'!B8*K232))+('Plan parameters'!B9*((K184-K208)-K232)))</f>
        <v>73700</v>
      </c>
      <c r="L280" s="4">
        <f>(((L16+('Plan parameters'!B7*L208))+('Plan parameters'!B8*L232))+('Plan parameters'!B9*((L184-L208)-L232)))</f>
        <v>72400</v>
      </c>
      <c r="M280" s="4">
        <f>(((M16+('Plan parameters'!B7*M208))+('Plan parameters'!B8*M232))+('Plan parameters'!B9*((M184-M208)-M232)))</f>
        <v>33700</v>
      </c>
      <c r="N280" s="4">
        <f>(((N16+('Plan parameters'!B7*N208))+('Plan parameters'!B8*N232))+('Plan parameters'!B9*((N184-N208)-N232)))</f>
        <v>56400</v>
      </c>
      <c r="O280" s="4">
        <f>(((O16+('Plan parameters'!B7*O208))+('Plan parameters'!B8*O232))+('Plan parameters'!B9*((O184-O208)-O232)))</f>
        <v>123800</v>
      </c>
      <c r="P280" s="4">
        <f>(((P16+('Plan parameters'!B7*P208))+('Plan parameters'!B8*P232))+('Plan parameters'!B9*((P184-P208)-P232)))</f>
        <v>63200</v>
      </c>
      <c r="Q280" s="4">
        <f>(((Q16+('Plan parameters'!B7*Q208))+('Plan parameters'!B8*Q232))+('Plan parameters'!B9*((Q184-Q208)-Q232)))</f>
        <v>44600</v>
      </c>
      <c r="R280" s="4">
        <f>(((R16+('Plan parameters'!B7*R208))+('Plan parameters'!B8*R232))+('Plan parameters'!B9*((R184-R208)-R232)))</f>
        <v>35700</v>
      </c>
      <c r="S280" s="4">
        <f>(((S16+('Plan parameters'!B7*S208))+('Plan parameters'!B8*S232))+('Plan parameters'!B9*((S184-S208)-S232)))</f>
        <v>0</v>
      </c>
      <c r="T280" s="4">
        <f>(((T16+('Plan parameters'!B7*T208))+('Plan parameters'!B8*T232))+('Plan parameters'!B9*((T184-T208)-T232)))</f>
        <v>133480</v>
      </c>
      <c r="U280" s="4">
        <f>(((U16+('Plan parameters'!B7*U208))+('Plan parameters'!B8*U232))+('Plan parameters'!B9*((U184-U208)-U232)))</f>
        <v>7800</v>
      </c>
      <c r="V280" s="4">
        <f>(((V16+('Plan parameters'!B7*V208))+('Plan parameters'!B8*V232))+('Plan parameters'!B9*((V184-V208)-V232)))</f>
        <v>0</v>
      </c>
      <c r="W280" s="4">
        <f>(((W16+('Plan parameters'!B7*W208))+('Plan parameters'!B8*W232))+('Plan parameters'!B9*((W184-W208)-W232)))</f>
        <v>4100</v>
      </c>
    </row>
    <row r="281">
      <c r="A281" s="0" t="inlineStr">
        <is>
          <t xml:space="preserve">Forecast</t>
        </is>
      </c>
      <c r="B281" s="0" t="inlineStr">
        <is>
          <t xml:space="preserve">Wei Nair</t>
        </is>
      </c>
      <c r="C281" s="4">
        <f>(((C17+('Plan parameters'!B7*C209))+('Plan parameters'!B8*C233))+('Plan parameters'!B9*((C185-C209)-C233)))</f>
        <v>0</v>
      </c>
      <c r="D281" s="4">
        <f>(((D17+('Plan parameters'!B7*D209))+('Plan parameters'!B8*D233))+('Plan parameters'!B9*((D185-D209)-D233)))</f>
        <v>6300</v>
      </c>
      <c r="E281" s="4">
        <f>(((E17+('Plan parameters'!B7*E209))+('Plan parameters'!B8*E233))+('Plan parameters'!B9*((E185-E209)-E233)))</f>
        <v>124300</v>
      </c>
      <c r="F281" s="4">
        <f>(((F17+('Plan parameters'!B7*F209))+('Plan parameters'!B8*F233))+('Plan parameters'!B9*((F185-F209)-F233)))</f>
        <v>4300</v>
      </c>
      <c r="G281" s="4">
        <f>(((G17+('Plan parameters'!B7*G209))+('Plan parameters'!B8*G233))+('Plan parameters'!B9*((G185-G209)-G233)))</f>
        <v>28100</v>
      </c>
      <c r="H281" s="4">
        <f>(((H17+('Plan parameters'!B7*H209))+('Plan parameters'!B8*H233))+('Plan parameters'!B9*((H185-H209)-H233)))</f>
        <v>80300</v>
      </c>
      <c r="I281" s="4">
        <f>(((I17+('Plan parameters'!B7*I209))+('Plan parameters'!B8*I233))+('Plan parameters'!B9*((I185-I209)-I233)))</f>
        <v>0</v>
      </c>
      <c r="J281" s="4">
        <f>(((J17+('Plan parameters'!B7*J209))+('Plan parameters'!B8*J233))+('Plan parameters'!B9*((J185-J209)-J233)))</f>
        <v>23200</v>
      </c>
      <c r="K281" s="4">
        <f>(((K17+('Plan parameters'!B7*K209))+('Plan parameters'!B8*K233))+('Plan parameters'!B9*((K185-K209)-K233)))</f>
        <v>164600</v>
      </c>
      <c r="L281" s="4">
        <f>(((L17+('Plan parameters'!B7*L209))+('Plan parameters'!B8*L233))+('Plan parameters'!B9*((L185-L209)-L233)))</f>
        <v>66800</v>
      </c>
      <c r="M281" s="4">
        <f>(((M17+('Plan parameters'!B7*M209))+('Plan parameters'!B8*M233))+('Plan parameters'!B9*((M185-M209)-M233)))</f>
        <v>0</v>
      </c>
      <c r="N281" s="4">
        <f>(((N17+('Plan parameters'!B7*N209))+('Plan parameters'!B8*N233))+('Plan parameters'!B9*((N185-N209)-N233)))</f>
        <v>86300</v>
      </c>
      <c r="O281" s="4">
        <f>(((O17+('Plan parameters'!B7*O209))+('Plan parameters'!B8*O233))+('Plan parameters'!B9*((O185-O209)-O233)))</f>
        <v>36400</v>
      </c>
      <c r="P281" s="4">
        <f>(((P17+('Plan parameters'!B7*P209))+('Plan parameters'!B8*P233))+('Plan parameters'!B9*((P185-P209)-P233)))</f>
        <v>26100</v>
      </c>
      <c r="Q281" s="4">
        <f>(((Q17+('Plan parameters'!B7*Q209))+('Plan parameters'!B8*Q233))+('Plan parameters'!B9*((Q185-Q209)-Q233)))</f>
        <v>0</v>
      </c>
      <c r="R281" s="4">
        <f>(((R17+('Plan parameters'!B7*R209))+('Plan parameters'!B8*R233))+('Plan parameters'!B9*((R185-R209)-R233)))</f>
        <v>107600</v>
      </c>
      <c r="S281" s="4">
        <f>(((S17+('Plan parameters'!B7*S209))+('Plan parameters'!B8*S233))+('Plan parameters'!B9*((S185-S209)-S233)))</f>
        <v>0</v>
      </c>
      <c r="T281" s="4">
        <f>(((T17+('Plan parameters'!B7*T209))+('Plan parameters'!B8*T233))+('Plan parameters'!B9*((T185-T209)-T233)))</f>
        <v>23450</v>
      </c>
      <c r="U281" s="4">
        <f>(((U17+('Plan parameters'!B7*U209))+('Plan parameters'!B8*U233))+('Plan parameters'!B9*((U185-U209)-U233)))</f>
        <v>4410</v>
      </c>
      <c r="V281" s="4">
        <f>(((V17+('Plan parameters'!B7*V209))+('Plan parameters'!B8*V233))+('Plan parameters'!B9*((V185-V209)-V233)))</f>
        <v>0</v>
      </c>
      <c r="W281" s="4">
        <f>(((W17+('Plan parameters'!B7*W209))+('Plan parameters'!B8*W233))+('Plan parameters'!B9*((W185-W209)-W233)))</f>
        <v>0</v>
      </c>
    </row>
    <row r="282">
      <c r="A282" s="0" t="inlineStr">
        <is>
          <t xml:space="preserve">Forecast</t>
        </is>
      </c>
      <c r="B282" s="0" t="inlineStr">
        <is>
          <t xml:space="preserve">Liam Silva</t>
        </is>
      </c>
      <c r="C282" s="4">
        <f>(((C18+('Plan parameters'!B7*C210))+('Plan parameters'!B8*C234))+('Plan parameters'!B9*((C186-C210)-C234)))</f>
        <v>0</v>
      </c>
      <c r="D282" s="4">
        <f>(((D18+('Plan parameters'!B7*D210))+('Plan parameters'!B8*D234))+('Plan parameters'!B9*((D186-D210)-D234)))</f>
        <v>3500</v>
      </c>
      <c r="E282" s="4">
        <f>(((E18+('Plan parameters'!B7*E210))+('Plan parameters'!B8*E234))+('Plan parameters'!B9*((E186-E210)-E234)))</f>
        <v>0</v>
      </c>
      <c r="F282" s="4">
        <f>(((F18+('Plan parameters'!B7*F210))+('Plan parameters'!B8*F234))+('Plan parameters'!B9*((F186-F210)-F234)))</f>
        <v>15600</v>
      </c>
      <c r="G282" s="4">
        <f>(((G18+('Plan parameters'!B7*G210))+('Plan parameters'!B8*G234))+('Plan parameters'!B9*((G186-G210)-G234)))</f>
        <v>19400</v>
      </c>
      <c r="H282" s="4">
        <f>(((H18+('Plan parameters'!B7*H210))+('Plan parameters'!B8*H234))+('Plan parameters'!B9*((H186-H210)-H234)))</f>
        <v>36500</v>
      </c>
      <c r="I282" s="4">
        <f>(((I18+('Plan parameters'!B7*I210))+('Plan parameters'!B8*I234))+('Plan parameters'!B9*((I186-I210)-I234)))</f>
        <v>18600</v>
      </c>
      <c r="J282" s="4">
        <f>(((J18+('Plan parameters'!B7*J210))+('Plan parameters'!B8*J234))+('Plan parameters'!B9*((J186-J210)-J234)))</f>
        <v>9300</v>
      </c>
      <c r="K282" s="4">
        <f>(((K18+('Plan parameters'!B7*K210))+('Plan parameters'!B8*K234))+('Plan parameters'!B9*((K186-K210)-K234)))</f>
        <v>73800</v>
      </c>
      <c r="L282" s="4">
        <f>(((L18+('Plan parameters'!B7*L210))+('Plan parameters'!B8*L234))+('Plan parameters'!B9*((L186-L210)-L234)))</f>
        <v>28100</v>
      </c>
      <c r="M282" s="4">
        <f>(((M18+('Plan parameters'!B7*M210))+('Plan parameters'!B8*M234))+('Plan parameters'!B9*((M186-M210)-M234)))</f>
        <v>9300</v>
      </c>
      <c r="N282" s="4">
        <f>(((N18+('Plan parameters'!B7*N210))+('Plan parameters'!B8*N234))+('Plan parameters'!B9*((N186-N210)-N234)))</f>
        <v>86500</v>
      </c>
      <c r="O282" s="4">
        <f>(((O18+('Plan parameters'!B7*O210))+('Plan parameters'!B8*O234))+('Plan parameters'!B9*((O186-O210)-O234)))</f>
        <v>35800</v>
      </c>
      <c r="P282" s="4">
        <f>(((P18+('Plan parameters'!B7*P210))+('Plan parameters'!B8*P234))+('Plan parameters'!B9*((P186-P210)-P234)))</f>
        <v>0</v>
      </c>
      <c r="Q282" s="4">
        <f>(((Q18+('Plan parameters'!B7*Q210))+('Plan parameters'!B8*Q234))+('Plan parameters'!B9*((Q186-Q210)-Q234)))</f>
        <v>8700</v>
      </c>
      <c r="R282" s="4">
        <f>(((R18+('Plan parameters'!B7*R210))+('Plan parameters'!B8*R234))+('Plan parameters'!B9*((R186-R210)-R234)))</f>
        <v>39700</v>
      </c>
      <c r="S282" s="4">
        <f>(((S18+('Plan parameters'!B7*S210))+('Plan parameters'!B8*S234))+('Plan parameters'!B9*((S186-S210)-S234)))</f>
        <v>17100</v>
      </c>
      <c r="T282" s="4">
        <f>(((T18+('Plan parameters'!B7*T210))+('Plan parameters'!B8*T234))+('Plan parameters'!B9*((T186-T210)-T234)))</f>
        <v>65690</v>
      </c>
      <c r="U282" s="4">
        <f>(((U18+('Plan parameters'!B7*U210))+('Plan parameters'!B8*U234))+('Plan parameters'!B9*((U186-U210)-U234)))</f>
        <v>32510</v>
      </c>
      <c r="V282" s="4">
        <f>(((V18+('Plan parameters'!B7*V210))+('Plan parameters'!B8*V234))+('Plan parameters'!B9*((V186-V210)-V234)))</f>
        <v>1250</v>
      </c>
      <c r="W282" s="4">
        <f>(((W18+('Plan parameters'!B7*W210))+('Plan parameters'!B8*W234))+('Plan parameters'!B9*((W186-W210)-W234)))</f>
        <v>42030</v>
      </c>
    </row>
    <row r="283">
      <c r="A283" s="0" t="inlineStr">
        <is>
          <t xml:space="preserve">Forecast</t>
        </is>
      </c>
      <c r="B283" s="0" t="inlineStr">
        <is>
          <t xml:space="preserve">Samuel Silva</t>
        </is>
      </c>
      <c r="C283" s="4">
        <f>(((C19+('Plan parameters'!B7*C211))+('Plan parameters'!B8*C235))+('Plan parameters'!B9*((C187-C211)-C235)))</f>
        <v>0</v>
      </c>
      <c r="D283" s="4">
        <f>(((D19+('Plan parameters'!B7*D211))+('Plan parameters'!B8*D235))+('Plan parameters'!B9*((D187-D211)-D235)))</f>
        <v>16900</v>
      </c>
      <c r="E283" s="4">
        <f>(((E19+('Plan parameters'!B7*E211))+('Plan parameters'!B8*E235))+('Plan parameters'!B9*((E187-E211)-E235)))</f>
        <v>17000</v>
      </c>
      <c r="F283" s="4">
        <f>(((F19+('Plan parameters'!B7*F211))+('Plan parameters'!B8*F235))+('Plan parameters'!B9*((F187-F211)-F235)))</f>
        <v>84300</v>
      </c>
      <c r="G283" s="4">
        <f>(((G19+('Plan parameters'!B7*G211))+('Plan parameters'!B8*G235))+('Plan parameters'!B9*((G187-G211)-G235)))</f>
        <v>10000</v>
      </c>
      <c r="H283" s="4">
        <f>(((H19+('Plan parameters'!B7*H211))+('Plan parameters'!B8*H235))+('Plan parameters'!B9*((H187-H211)-H235)))</f>
        <v>59800</v>
      </c>
      <c r="I283" s="4">
        <f>(((I19+('Plan parameters'!B7*I211))+('Plan parameters'!B8*I235))+('Plan parameters'!B9*((I187-I211)-I235)))</f>
        <v>21700</v>
      </c>
      <c r="J283" s="4">
        <f>(((J19+('Plan parameters'!B7*J211))+('Plan parameters'!B8*J235))+('Plan parameters'!B9*((J187-J211)-J235)))</f>
        <v>51900</v>
      </c>
      <c r="K283" s="4">
        <f>(((K19+('Plan parameters'!B7*K211))+('Plan parameters'!B8*K235))+('Plan parameters'!B9*((K187-K211)-K235)))</f>
        <v>23300</v>
      </c>
      <c r="L283" s="4">
        <f>(((L19+('Plan parameters'!B7*L211))+('Plan parameters'!B8*L235))+('Plan parameters'!B9*((L187-L211)-L235)))</f>
        <v>32000</v>
      </c>
      <c r="M283" s="4">
        <f>(((M19+('Plan parameters'!B7*M211))+('Plan parameters'!B8*M235))+('Plan parameters'!B9*((M187-M211)-M235)))</f>
        <v>69900</v>
      </c>
      <c r="N283" s="4">
        <f>(((N19+('Plan parameters'!B7*N211))+('Plan parameters'!B8*N235))+('Plan parameters'!B9*((N187-N211)-N235)))</f>
        <v>67500</v>
      </c>
      <c r="O283" s="4">
        <f>(((O19+('Plan parameters'!B7*O211))+('Plan parameters'!B8*O235))+('Plan parameters'!B9*((O187-O211)-O235)))</f>
        <v>31300</v>
      </c>
      <c r="P283" s="4">
        <f>(((P19+('Plan parameters'!B7*P211))+('Plan parameters'!B8*P235))+('Plan parameters'!B9*((P187-P211)-P235)))</f>
        <v>5400</v>
      </c>
      <c r="Q283" s="4">
        <f>(((Q19+('Plan parameters'!B7*Q211))+('Plan parameters'!B8*Q235))+('Plan parameters'!B9*((Q187-Q211)-Q235)))</f>
        <v>63400</v>
      </c>
      <c r="R283" s="4">
        <f>(((R19+('Plan parameters'!B7*R211))+('Plan parameters'!B8*R235))+('Plan parameters'!B9*((R187-R211)-R235)))</f>
        <v>27400</v>
      </c>
      <c r="S283" s="4">
        <f>(((S19+('Plan parameters'!B7*S211))+('Plan parameters'!B8*S235))+('Plan parameters'!B9*((S187-S211)-S235)))</f>
        <v>25200</v>
      </c>
      <c r="T283" s="4">
        <f>(((T19+('Plan parameters'!B7*T211))+('Plan parameters'!B8*T235))+('Plan parameters'!B9*((T187-T211)-T235)))</f>
        <v>24500</v>
      </c>
      <c r="U283" s="4">
        <f>(((U19+('Plan parameters'!B7*U211))+('Plan parameters'!B8*U235))+('Plan parameters'!B9*((U187-U211)-U235)))</f>
        <v>18100</v>
      </c>
      <c r="V283" s="4">
        <f>(((V19+('Plan parameters'!B7*V211))+('Plan parameters'!B8*V235))+('Plan parameters'!B9*((V187-V211)-V235)))</f>
        <v>0</v>
      </c>
      <c r="W283" s="4">
        <f>(((W19+('Plan parameters'!B7*W211))+('Plan parameters'!B8*W235))+('Plan parameters'!B9*((W187-W211)-W235)))</f>
        <v>8280</v>
      </c>
    </row>
    <row r="284">
      <c r="A284" s="0" t="inlineStr">
        <is>
          <t xml:space="preserve">Forecast</t>
        </is>
      </c>
      <c r="B284" s="0" t="inlineStr">
        <is>
          <t xml:space="preserve">Yuki Larsen</t>
        </is>
      </c>
      <c r="C284" s="4">
        <f>(((C20+('Plan parameters'!B7*C212))+('Plan parameters'!B8*C236))+('Plan parameters'!B9*((C188-C212)-C236)))</f>
        <v>0</v>
      </c>
      <c r="D284" s="4">
        <f>(((D20+('Plan parameters'!B7*D212))+('Plan parameters'!B8*D236))+('Plan parameters'!B9*((D188-D212)-D236)))</f>
        <v>0</v>
      </c>
      <c r="E284" s="4">
        <f>(((E20+('Plan parameters'!B7*E212))+('Plan parameters'!B8*E236))+('Plan parameters'!B9*((E188-E212)-E236)))</f>
        <v>0</v>
      </c>
      <c r="F284" s="4">
        <f>(((F20+('Plan parameters'!B7*F212))+('Plan parameters'!B8*F236))+('Plan parameters'!B9*((F188-F212)-F236)))</f>
        <v>0</v>
      </c>
      <c r="G284" s="4">
        <f>(((G20+('Plan parameters'!B7*G212))+('Plan parameters'!B8*G236))+('Plan parameters'!B9*((G188-G212)-G236)))</f>
        <v>82000</v>
      </c>
      <c r="H284" s="4">
        <f>(((H20+('Plan parameters'!B7*H212))+('Plan parameters'!B8*H236))+('Plan parameters'!B9*((H188-H212)-H236)))</f>
        <v>66500</v>
      </c>
      <c r="I284" s="4">
        <f>(((I20+('Plan parameters'!B7*I212))+('Plan parameters'!B8*I236))+('Plan parameters'!B9*((I188-I212)-I236)))</f>
        <v>0</v>
      </c>
      <c r="J284" s="4">
        <f>(((J20+('Plan parameters'!B7*J212))+('Plan parameters'!B8*J236))+('Plan parameters'!B9*((J188-J212)-J236)))</f>
        <v>0</v>
      </c>
      <c r="K284" s="4">
        <f>(((K20+('Plan parameters'!B7*K212))+('Plan parameters'!B8*K236))+('Plan parameters'!B9*((K188-K212)-K236)))</f>
        <v>0</v>
      </c>
      <c r="L284" s="4">
        <f>(((L20+('Plan parameters'!B7*L212))+('Plan parameters'!B8*L236))+('Plan parameters'!B9*((L188-L212)-L236)))</f>
        <v>0</v>
      </c>
      <c r="M284" s="4">
        <f>(((M20+('Plan parameters'!B7*M212))+('Plan parameters'!B8*M236))+('Plan parameters'!B9*((M188-M212)-M236)))</f>
        <v>0</v>
      </c>
      <c r="N284" s="4">
        <f>(((N20+('Plan parameters'!B7*N212))+('Plan parameters'!B8*N236))+('Plan parameters'!B9*((N188-N212)-N236)))</f>
        <v>0</v>
      </c>
      <c r="O284" s="4">
        <f>(((O20+('Plan parameters'!B7*O212))+('Plan parameters'!B8*O236))+('Plan parameters'!B9*((O188-O212)-O236)))</f>
        <v>188400</v>
      </c>
      <c r="P284" s="4">
        <f>(((P20+('Plan parameters'!B7*P212))+('Plan parameters'!B8*P236))+('Plan parameters'!B9*((P188-P212)-P236)))</f>
        <v>0</v>
      </c>
      <c r="Q284" s="4">
        <f>(((Q20+('Plan parameters'!B7*Q212))+('Plan parameters'!B8*Q236))+('Plan parameters'!B9*((Q188-Q212)-Q236)))</f>
        <v>0</v>
      </c>
      <c r="R284" s="4">
        <f>(((R20+('Plan parameters'!B7*R212))+('Plan parameters'!B8*R236))+('Plan parameters'!B9*((R188-R212)-R236)))</f>
        <v>0</v>
      </c>
      <c r="S284" s="4">
        <f>(((S20+('Plan parameters'!B7*S212))+('Plan parameters'!B8*S236))+('Plan parameters'!B9*((S188-S212)-S236)))</f>
        <v>157600</v>
      </c>
      <c r="T284" s="4">
        <f>(((T20+('Plan parameters'!B7*T212))+('Plan parameters'!B8*T236))+('Plan parameters'!B9*((T188-T212)-T236)))</f>
        <v>0</v>
      </c>
      <c r="U284" s="4">
        <f>(((U20+('Plan parameters'!B7*U212))+('Plan parameters'!B8*U236))+('Plan parameters'!B9*((U188-U212)-U236)))</f>
        <v>42600</v>
      </c>
      <c r="V284" s="4">
        <f>(((V20+('Plan parameters'!B7*V212))+('Plan parameters'!B8*V236))+('Plan parameters'!B9*((V188-V212)-V236)))</f>
        <v>46010</v>
      </c>
      <c r="W284" s="4">
        <f>(((W20+('Plan parameters'!B7*W212))+('Plan parameters'!B8*W236))+('Plan parameters'!B9*((W188-W212)-W236)))</f>
        <v>85980</v>
      </c>
    </row>
    <row r="285">
      <c r="A285" s="0" t="inlineStr">
        <is>
          <t xml:space="preserve">Forecast</t>
        </is>
      </c>
      <c r="B285" s="0" t="inlineStr">
        <is>
          <t xml:space="preserve">Nikolai Sato</t>
        </is>
      </c>
      <c r="C285" s="4">
        <f>(((C21+('Plan parameters'!B7*C213))+('Plan parameters'!B8*C237))+('Plan parameters'!B9*((C189-C213)-C237)))</f>
        <v>0</v>
      </c>
      <c r="D285" s="4">
        <f>(((D21+('Plan parameters'!B7*D213))+('Plan parameters'!B8*D237))+('Plan parameters'!B9*((D189-D213)-D237)))</f>
        <v>0</v>
      </c>
      <c r="E285" s="4">
        <f>(((E21+('Plan parameters'!B7*E213))+('Plan parameters'!B8*E237))+('Plan parameters'!B9*((E189-E213)-E237)))</f>
        <v>99700</v>
      </c>
      <c r="F285" s="4">
        <f>(((F21+('Plan parameters'!B7*F213))+('Plan parameters'!B8*F237))+('Plan parameters'!B9*((F189-F213)-F237)))</f>
        <v>0</v>
      </c>
      <c r="G285" s="4">
        <f>(((G21+('Plan parameters'!B7*G213))+('Plan parameters'!B8*G237))+('Plan parameters'!B9*((G189-G213)-G237)))</f>
        <v>0</v>
      </c>
      <c r="H285" s="4">
        <f>(((H21+('Plan parameters'!B7*H213))+('Plan parameters'!B8*H237))+('Plan parameters'!B9*((H189-H213)-H237)))</f>
        <v>278700</v>
      </c>
      <c r="I285" s="4">
        <f>(((I21+('Plan parameters'!B7*I213))+('Plan parameters'!B8*I237))+('Plan parameters'!B9*((I189-I213)-I237)))</f>
        <v>0</v>
      </c>
      <c r="J285" s="4">
        <f>(((J21+('Plan parameters'!B7*J213))+('Plan parameters'!B8*J237))+('Plan parameters'!B9*((J189-J213)-J237)))</f>
        <v>64300</v>
      </c>
      <c r="K285" s="4">
        <f>(((K21+('Plan parameters'!B7*K213))+('Plan parameters'!B8*K237))+('Plan parameters'!B9*((K189-K213)-K237)))</f>
        <v>0</v>
      </c>
      <c r="L285" s="4">
        <f>(((L21+('Plan parameters'!B7*L213))+('Plan parameters'!B8*L237))+('Plan parameters'!B9*((L189-L213)-L237)))</f>
        <v>0</v>
      </c>
      <c r="M285" s="4">
        <f>(((M21+('Plan parameters'!B7*M213))+('Plan parameters'!B8*M237))+('Plan parameters'!B9*((M189-M213)-M237)))</f>
        <v>89800</v>
      </c>
      <c r="N285" s="4">
        <f>(((N21+('Plan parameters'!B7*N213))+('Plan parameters'!B8*N237))+('Plan parameters'!B9*((N189-N213)-N237)))</f>
        <v>0</v>
      </c>
      <c r="O285" s="4">
        <f>(((O21+('Plan parameters'!B7*O213))+('Plan parameters'!B8*O237))+('Plan parameters'!B9*((O189-O213)-O237)))</f>
        <v>0</v>
      </c>
      <c r="P285" s="4">
        <f>(((P21+('Plan parameters'!B7*P213))+('Plan parameters'!B8*P237))+('Plan parameters'!B9*((P189-P213)-P237)))</f>
        <v>0</v>
      </c>
      <c r="Q285" s="4">
        <f>(((Q21+('Plan parameters'!B7*Q213))+('Plan parameters'!B8*Q237))+('Plan parameters'!B9*((Q189-Q213)-Q237)))</f>
        <v>0</v>
      </c>
      <c r="R285" s="4">
        <f>(((R21+('Plan parameters'!B7*R213))+('Plan parameters'!B8*R237))+('Plan parameters'!B9*((R189-R213)-R237)))</f>
        <v>0</v>
      </c>
      <c r="S285" s="4">
        <f>(((S21+('Plan parameters'!B7*S213))+('Plan parameters'!B8*S237))+('Plan parameters'!B9*((S189-S213)-S237)))</f>
        <v>103400</v>
      </c>
      <c r="T285" s="4">
        <f>(((T21+('Plan parameters'!B7*T213))+('Plan parameters'!B8*T237))+('Plan parameters'!B9*((T189-T213)-T237)))</f>
        <v>23690</v>
      </c>
      <c r="U285" s="4">
        <f>(((U21+('Plan parameters'!B7*U213))+('Plan parameters'!B8*U237))+('Plan parameters'!B9*((U189-U213)-U237)))</f>
        <v>91170</v>
      </c>
      <c r="V285" s="4">
        <f>(((V21+('Plan parameters'!B7*V213))+('Plan parameters'!B8*V237))+('Plan parameters'!B9*((V189-V213)-V237)))</f>
        <v>0</v>
      </c>
      <c r="W285" s="4">
        <f>(((W21+('Plan parameters'!B7*W213))+('Plan parameters'!B8*W237))+('Plan parameters'!B9*((W189-W213)-W237)))</f>
        <v>107530</v>
      </c>
    </row>
    <row r="286">
      <c r="A286" s="0" t="inlineStr">
        <is>
          <t xml:space="preserve">Forecast</t>
        </is>
      </c>
      <c r="B286" s="0" t="inlineStr">
        <is>
          <t xml:space="preserve">Elena Silva</t>
        </is>
      </c>
      <c r="C286" s="4">
        <f>(((C22+('Plan parameters'!B7*C214))+('Plan parameters'!B8*C238))+('Plan parameters'!B9*((C190-C214)-C238)))</f>
        <v>0</v>
      </c>
      <c r="D286" s="4">
        <f>(((D22+('Plan parameters'!B7*D214))+('Plan parameters'!B8*D238))+('Plan parameters'!B9*((D190-D214)-D238)))</f>
        <v>48300</v>
      </c>
      <c r="E286" s="4">
        <f>(((E22+('Plan parameters'!B7*E214))+('Plan parameters'!B8*E238))+('Plan parameters'!B9*((E190-E214)-E238)))</f>
        <v>62900</v>
      </c>
      <c r="F286" s="4">
        <f>(((F22+('Plan parameters'!B7*F214))+('Plan parameters'!B8*F238))+('Plan parameters'!B9*((F190-F214)-F238)))</f>
        <v>28300</v>
      </c>
      <c r="G286" s="4">
        <f>(((G22+('Plan parameters'!B7*G214))+('Plan parameters'!B8*G238))+('Plan parameters'!B9*((G190-G214)-G238)))</f>
        <v>29400</v>
      </c>
      <c r="H286" s="4">
        <f>(((H22+('Plan parameters'!B7*H214))+('Plan parameters'!B8*H238))+('Plan parameters'!B9*((H190-H214)-H238)))</f>
        <v>228400</v>
      </c>
      <c r="I286" s="4">
        <f>(((I22+('Plan parameters'!B7*I214))+('Plan parameters'!B8*I238))+('Plan parameters'!B9*((I190-I214)-I238)))</f>
        <v>32500</v>
      </c>
      <c r="J286" s="4">
        <f>(((J22+('Plan parameters'!B7*J214))+('Plan parameters'!B8*J238))+('Plan parameters'!B9*((J190-J214)-J238)))</f>
        <v>21900</v>
      </c>
      <c r="K286" s="4">
        <f>(((K22+('Plan parameters'!B7*K214))+('Plan parameters'!B8*K238))+('Plan parameters'!B9*((K190-K214)-K238)))</f>
        <v>176000</v>
      </c>
      <c r="L286" s="4">
        <f>(((L22+('Plan parameters'!B7*L214))+('Plan parameters'!B8*L238))+('Plan parameters'!B9*((L190-L214)-L238)))</f>
        <v>137200</v>
      </c>
      <c r="M286" s="4">
        <f>(((M22+('Plan parameters'!B7*M214))+('Plan parameters'!B8*M238))+('Plan parameters'!B9*((M190-M214)-M238)))</f>
        <v>0</v>
      </c>
      <c r="N286" s="4">
        <f>(((N22+('Plan parameters'!B7*N214))+('Plan parameters'!B8*N238))+('Plan parameters'!B9*((N190-N214)-N238)))</f>
        <v>0</v>
      </c>
      <c r="O286" s="4">
        <f>(((O22+('Plan parameters'!B7*O214))+('Plan parameters'!B8*O238))+('Plan parameters'!B9*((O190-O214)-O238)))</f>
        <v>12600</v>
      </c>
      <c r="P286" s="4">
        <f>(((P22+('Plan parameters'!B7*P214))+('Plan parameters'!B8*P238))+('Plan parameters'!B9*((P190-P214)-P238)))</f>
        <v>42600</v>
      </c>
      <c r="Q286" s="4">
        <f>(((Q22+('Plan parameters'!B7*Q214))+('Plan parameters'!B8*Q238))+('Plan parameters'!B9*((Q190-Q214)-Q238)))</f>
        <v>128700</v>
      </c>
      <c r="R286" s="4">
        <f>(((R22+('Plan parameters'!B7*R214))+('Plan parameters'!B8*R238))+('Plan parameters'!B9*((R190-R214)-R238)))</f>
        <v>61800</v>
      </c>
      <c r="S286" s="4">
        <f>(((S22+('Plan parameters'!B7*S214))+('Plan parameters'!B8*S238))+('Plan parameters'!B9*((S190-S214)-S238)))</f>
        <v>46700</v>
      </c>
      <c r="T286" s="4">
        <f>(((T22+('Plan parameters'!B7*T214))+('Plan parameters'!B8*T238))+('Plan parameters'!B9*((T190-T214)-T238)))</f>
        <v>141140</v>
      </c>
      <c r="U286" s="4">
        <f>(((U22+('Plan parameters'!B7*U214))+('Plan parameters'!B8*U238))+('Plan parameters'!B9*((U190-U214)-U238)))</f>
        <v>28670</v>
      </c>
      <c r="V286" s="4">
        <f>(((V22+('Plan parameters'!B7*V214))+('Plan parameters'!B8*V238))+('Plan parameters'!B9*((V190-V214)-V238)))</f>
        <v>30240</v>
      </c>
      <c r="W286" s="4">
        <f>(((W22+('Plan parameters'!B7*W214))+('Plan parameters'!B8*W238))+('Plan parameters'!B9*((W190-W214)-W238)))</f>
        <v>67810</v>
      </c>
    </row>
    <row r="287">
      <c r="A287" s="0" t="inlineStr">
        <is>
          <t xml:space="preserve">Forecast</t>
        </is>
      </c>
      <c r="B287" s="0" t="inlineStr">
        <is>
          <t xml:space="preserve">Arjun Müller</t>
        </is>
      </c>
      <c r="C287" s="4">
        <f>(((C23+('Plan parameters'!B7*C215))+('Plan parameters'!B8*C239))+('Plan parameters'!B9*((C191-C215)-C239)))</f>
        <v>0</v>
      </c>
      <c r="D287" s="4">
        <f>(((D23+('Plan parameters'!B7*D215))+('Plan parameters'!B8*D239))+('Plan parameters'!B9*((D191-D215)-D239)))</f>
        <v>25000</v>
      </c>
      <c r="E287" s="4">
        <f>(((E23+('Plan parameters'!B7*E215))+('Plan parameters'!B8*E239))+('Plan parameters'!B9*((E191-E215)-E239)))</f>
        <v>0</v>
      </c>
      <c r="F287" s="4">
        <f>(((F23+('Plan parameters'!B7*F215))+('Plan parameters'!B8*F239))+('Plan parameters'!B9*((F191-F215)-F239)))</f>
        <v>43500</v>
      </c>
      <c r="G287" s="4">
        <f>(((G23+('Plan parameters'!B7*G215))+('Plan parameters'!B8*G239))+('Plan parameters'!B9*((G191-G215)-G239)))</f>
        <v>34100</v>
      </c>
      <c r="H287" s="4">
        <f>(((H23+('Plan parameters'!B7*H215))+('Plan parameters'!B8*H239))+('Plan parameters'!B9*((H191-H215)-H239)))</f>
        <v>0</v>
      </c>
      <c r="I287" s="4">
        <f>(((I23+('Plan parameters'!B7*I215))+('Plan parameters'!B8*I239))+('Plan parameters'!B9*((I191-I215)-I239)))</f>
        <v>32000</v>
      </c>
      <c r="J287" s="4">
        <f>(((J23+('Plan parameters'!B7*J215))+('Plan parameters'!B8*J239))+('Plan parameters'!B9*((J191-J215)-J239)))</f>
        <v>23800</v>
      </c>
      <c r="K287" s="4">
        <f>(((K23+('Plan parameters'!B7*K215))+('Plan parameters'!B8*K239))+('Plan parameters'!B9*((K191-K215)-K239)))</f>
        <v>120000</v>
      </c>
      <c r="L287" s="4">
        <f>(((L23+('Plan parameters'!B7*L215))+('Plan parameters'!B8*L239))+('Plan parameters'!B9*((L191-L215)-L239)))</f>
        <v>0</v>
      </c>
      <c r="M287" s="4">
        <f>(((M23+('Plan parameters'!B7*M215))+('Plan parameters'!B8*M239))+('Plan parameters'!B9*((M191-M215)-M239)))</f>
        <v>0</v>
      </c>
      <c r="N287" s="4">
        <f>(((N23+('Plan parameters'!B7*N215))+('Plan parameters'!B8*N239))+('Plan parameters'!B9*((N191-N215)-N239)))</f>
        <v>0</v>
      </c>
      <c r="O287" s="4">
        <f>(((O23+('Plan parameters'!B7*O215))+('Plan parameters'!B8*O239))+('Plan parameters'!B9*((O191-O215)-O239)))</f>
        <v>27300</v>
      </c>
      <c r="P287" s="4">
        <f>(((P23+('Plan parameters'!B7*P215))+('Plan parameters'!B8*P239))+('Plan parameters'!B9*((P191-P215)-P239)))</f>
        <v>70100</v>
      </c>
      <c r="Q287" s="4">
        <f>(((Q23+('Plan parameters'!B7*Q215))+('Plan parameters'!B8*Q239))+('Plan parameters'!B9*((Q191-Q215)-Q239)))</f>
        <v>96500</v>
      </c>
      <c r="R287" s="4">
        <f>(((R23+('Plan parameters'!B7*R215))+('Plan parameters'!B8*R239))+('Plan parameters'!B9*((R191-R215)-R239)))</f>
        <v>86400</v>
      </c>
      <c r="S287" s="4">
        <f>(((S23+('Plan parameters'!B7*S215))+('Plan parameters'!B8*S239))+('Plan parameters'!B9*((S191-S215)-S239)))</f>
        <v>30500</v>
      </c>
      <c r="T287" s="4">
        <f>(((T23+('Plan parameters'!B7*T215))+('Plan parameters'!B8*T239))+('Plan parameters'!B9*((T191-T215)-T239)))</f>
        <v>47470</v>
      </c>
      <c r="U287" s="4">
        <f>(((U23+('Plan parameters'!B7*U215))+('Plan parameters'!B8*U239))+('Plan parameters'!B9*((U191-U215)-U239)))</f>
        <v>49760</v>
      </c>
      <c r="V287" s="4">
        <f>(((V23+('Plan parameters'!B7*V215))+('Plan parameters'!B8*V239))+('Plan parameters'!B9*((V191-V215)-V239)))</f>
        <v>0</v>
      </c>
      <c r="W287" s="4">
        <f>(((W23+('Plan parameters'!B7*W215))+('Plan parameters'!B8*W239))+('Plan parameters'!B9*((W191-W215)-W239)))</f>
        <v>33150</v>
      </c>
    </row>
    <row r="288">
      <c r="A288" s="0" t="inlineStr">
        <is>
          <t xml:space="preserve">Forecast</t>
        </is>
      </c>
      <c r="B288" s="0" t="inlineStr">
        <is>
          <t xml:space="preserve">Nikolai Park</t>
        </is>
      </c>
      <c r="C288" s="4">
        <f>(((C24+('Plan parameters'!B7*C216))+('Plan parameters'!B8*C240))+('Plan parameters'!B9*((C192-C216)-C240)))</f>
        <v>0</v>
      </c>
      <c r="D288" s="4">
        <f>(((D24+('Plan parameters'!B7*D216))+('Plan parameters'!B8*D240))+('Plan parameters'!B9*((D192-D216)-D240)))</f>
        <v>0</v>
      </c>
      <c r="E288" s="4">
        <f>(((E24+('Plan parameters'!B7*E216))+('Plan parameters'!B8*E240))+('Plan parameters'!B9*((E192-E216)-E240)))</f>
        <v>0</v>
      </c>
      <c r="F288" s="4">
        <f>(((F24+('Plan parameters'!B7*F216))+('Plan parameters'!B8*F240))+('Plan parameters'!B9*((F192-F216)-F240)))</f>
        <v>0</v>
      </c>
      <c r="G288" s="4">
        <f>(((G24+('Plan parameters'!B7*G216))+('Plan parameters'!B8*G240))+('Plan parameters'!B9*((G192-G216)-G240)))</f>
        <v>0</v>
      </c>
      <c r="H288" s="4">
        <f>(((H24+('Plan parameters'!B7*H216))+('Plan parameters'!B8*H240))+('Plan parameters'!B9*((H192-H216)-H240)))</f>
        <v>0</v>
      </c>
      <c r="I288" s="4">
        <f>(((I24+('Plan parameters'!B7*I216))+('Plan parameters'!B8*I240))+('Plan parameters'!B9*((I192-I216)-I240)))</f>
        <v>0</v>
      </c>
      <c r="J288" s="4">
        <f>(((J24+('Plan parameters'!B7*J216))+('Plan parameters'!B8*J240))+('Plan parameters'!B9*((J192-J216)-J240)))</f>
        <v>0</v>
      </c>
      <c r="K288" s="4">
        <f>(((K24+('Plan parameters'!B7*K216))+('Plan parameters'!B8*K240))+('Plan parameters'!B9*((K192-K216)-K240)))</f>
        <v>0</v>
      </c>
      <c r="L288" s="4">
        <f>(((L24+('Plan parameters'!B7*L216))+('Plan parameters'!B8*L240))+('Plan parameters'!B9*((L192-L216)-L240)))</f>
        <v>0</v>
      </c>
      <c r="M288" s="4">
        <f>(((M24+('Plan parameters'!B7*M216))+('Plan parameters'!B8*M240))+('Plan parameters'!B9*((M192-M216)-M240)))</f>
        <v>0</v>
      </c>
      <c r="N288" s="4">
        <f>(((N24+('Plan parameters'!B7*N216))+('Plan parameters'!B8*N240))+('Plan parameters'!B9*((N192-N216)-N240)))</f>
        <v>0</v>
      </c>
      <c r="O288" s="4">
        <f>(((O24+('Plan parameters'!B7*O216))+('Plan parameters'!B8*O240))+('Plan parameters'!B9*((O192-O216)-O240)))</f>
        <v>0</v>
      </c>
      <c r="P288" s="4">
        <f>(((P24+('Plan parameters'!B7*P216))+('Plan parameters'!B8*P240))+('Plan parameters'!B9*((P192-P216)-P240)))</f>
        <v>0</v>
      </c>
      <c r="Q288" s="4">
        <f>(((Q24+('Plan parameters'!B7*Q216))+('Plan parameters'!B8*Q240))+('Plan parameters'!B9*((Q192-Q216)-Q240)))</f>
        <v>11000</v>
      </c>
      <c r="R288" s="4">
        <f>(((R24+('Plan parameters'!B7*R216))+('Plan parameters'!B8*R240))+('Plan parameters'!B9*((R192-R216)-R240)))</f>
        <v>27800</v>
      </c>
      <c r="S288" s="4">
        <f>(((S24+('Plan parameters'!B7*S216))+('Plan parameters'!B8*S240))+('Plan parameters'!B9*((S192-S216)-S240)))</f>
        <v>0</v>
      </c>
      <c r="T288" s="4">
        <f>(((T24+('Plan parameters'!B7*T216))+('Plan parameters'!B8*T240))+('Plan parameters'!B9*((T192-T216)-T240)))</f>
        <v>7380</v>
      </c>
      <c r="U288" s="4">
        <f>(((U24+('Plan parameters'!B7*U216))+('Plan parameters'!B8*U240))+('Plan parameters'!B9*((U192-U216)-U240)))</f>
        <v>8240</v>
      </c>
      <c r="V288" s="4">
        <f>(((V24+('Plan parameters'!B7*V216))+('Plan parameters'!B8*V240))+('Plan parameters'!B9*((V192-V216)-V240)))</f>
        <v>0</v>
      </c>
      <c r="W288" s="4">
        <f>(((W24+('Plan parameters'!B7*W216))+('Plan parameters'!B8*W240))+('Plan parameters'!B9*((W192-W216)-W240)))</f>
        <v>1720</v>
      </c>
    </row>
    <row r="289">
      <c r="A289" s="0" t="inlineStr">
        <is>
          <t xml:space="preserve">Forecast</t>
        </is>
      </c>
      <c r="B289" s="0" t="inlineStr">
        <is>
          <t xml:space="preserve">Ingrid Dubois</t>
        </is>
      </c>
      <c r="C289" s="4">
        <f>(((C25+('Plan parameters'!B7*C217))+('Plan parameters'!B8*C241))+('Plan parameters'!B9*((C193-C217)-C241)))</f>
        <v>0</v>
      </c>
      <c r="D289" s="4">
        <f>(((D25+('Plan parameters'!B7*D217))+('Plan parameters'!B8*D241))+('Plan parameters'!B9*((D193-D217)-D241)))</f>
        <v>0</v>
      </c>
      <c r="E289" s="4">
        <f>(((E25+('Plan parameters'!B7*E217))+('Plan parameters'!B8*E241))+('Plan parameters'!B9*((E193-E217)-E241)))</f>
        <v>0</v>
      </c>
      <c r="F289" s="4">
        <f>(((F25+('Plan parameters'!B7*F217))+('Plan parameters'!B8*F241))+('Plan parameters'!B9*((F193-F217)-F241)))</f>
        <v>28000</v>
      </c>
      <c r="G289" s="4">
        <f>(((G25+('Plan parameters'!B7*G217))+('Plan parameters'!B8*G241))+('Plan parameters'!B9*((G193-G217)-G241)))</f>
        <v>9600</v>
      </c>
      <c r="H289" s="4">
        <f>(((H25+('Plan parameters'!B7*H217))+('Plan parameters'!B8*H241))+('Plan parameters'!B9*((H193-H217)-H241)))</f>
        <v>86700</v>
      </c>
      <c r="I289" s="4">
        <f>(((I25+('Plan parameters'!B7*I217))+('Plan parameters'!B8*I241))+('Plan parameters'!B9*((I193-I217)-I241)))</f>
        <v>15200</v>
      </c>
      <c r="J289" s="4">
        <f>(((J25+('Plan parameters'!B7*J217))+('Plan parameters'!B8*J241))+('Plan parameters'!B9*((J193-J217)-J241)))</f>
        <v>0</v>
      </c>
      <c r="K289" s="4">
        <f>(((K25+('Plan parameters'!B7*K217))+('Plan parameters'!B8*K241))+('Plan parameters'!B9*((K193-K217)-K241)))</f>
        <v>68200</v>
      </c>
      <c r="L289" s="4">
        <f>(((L25+('Plan parameters'!B7*L217))+('Plan parameters'!B8*L241))+('Plan parameters'!B9*((L193-L217)-L241)))</f>
        <v>15000</v>
      </c>
      <c r="M289" s="4">
        <f>(((M25+('Plan parameters'!B7*M217))+('Plan parameters'!B8*M241))+('Plan parameters'!B9*((M193-M217)-M241)))</f>
        <v>7000</v>
      </c>
      <c r="N289" s="4">
        <f>(((N25+('Plan parameters'!B7*N217))+('Plan parameters'!B8*N241))+('Plan parameters'!B9*((N193-N217)-N241)))</f>
        <v>8900</v>
      </c>
      <c r="O289" s="4">
        <f>(((O25+('Plan parameters'!B7*O217))+('Plan parameters'!B8*O241))+('Plan parameters'!B9*((O193-O217)-O241)))</f>
        <v>15400</v>
      </c>
      <c r="P289" s="4">
        <f>(((P25+('Plan parameters'!B7*P217))+('Plan parameters'!B8*P241))+('Plan parameters'!B9*((P193-P217)-P241)))</f>
        <v>24500</v>
      </c>
      <c r="Q289" s="4">
        <f>(((Q25+('Plan parameters'!B7*Q217))+('Plan parameters'!B8*Q241))+('Plan parameters'!B9*((Q193-Q217)-Q241)))</f>
        <v>80800</v>
      </c>
      <c r="R289" s="4">
        <f>(((R25+('Plan parameters'!B7*R217))+('Plan parameters'!B8*R241))+('Plan parameters'!B9*((R193-R217)-R241)))</f>
        <v>95100</v>
      </c>
      <c r="S289" s="4">
        <f>(((S25+('Plan parameters'!B7*S217))+('Plan parameters'!B8*S241))+('Plan parameters'!B9*((S193-S217)-S241)))</f>
        <v>15700</v>
      </c>
      <c r="T289" s="4">
        <f>(((T25+('Plan parameters'!B7*T217))+('Plan parameters'!B8*T241))+('Plan parameters'!B9*((T193-T217)-T241)))</f>
        <v>14290</v>
      </c>
      <c r="U289" s="4">
        <f>(((U25+('Plan parameters'!B7*U217))+('Plan parameters'!B8*U241))+('Plan parameters'!B9*((U193-U217)-U241)))</f>
        <v>6690</v>
      </c>
      <c r="V289" s="4">
        <f>(((V25+('Plan parameters'!B7*V217))+('Plan parameters'!B8*V241))+('Plan parameters'!B9*((V193-V217)-V241)))</f>
        <v>0</v>
      </c>
      <c r="W289" s="4">
        <f>(((W25+('Plan parameters'!B7*W217))+('Plan parameters'!B8*W241))+('Plan parameters'!B9*((W193-W217)-W241)))</f>
        <v>24340</v>
      </c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cols>
    <col min="1" max="1" width="18" customWidth="1"/>
    <col min="2" max="2" width="3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</cols>
  <sheetData>
    <row r="1">
      <c r="A1" s="1" t="inlineStr">
        <is>
          <t xml:space="preserve">line</t>
        </is>
      </c>
      <c r="B1" s="1" t="inlineStr">
        <is>
          <t xml:space="preserve">rep</t>
        </is>
      </c>
      <c r="C1" s="1" t="inlineStr">
        <is>
          <t xml:space="preserve">Q2 2025</t>
        </is>
      </c>
      <c r="D1" s="1" t="inlineStr">
        <is>
          <t xml:space="preserve">Q3 2025</t>
        </is>
      </c>
      <c r="E1" s="1" t="inlineStr">
        <is>
          <t xml:space="preserve">Q4 2025</t>
        </is>
      </c>
      <c r="F1" s="1" t="inlineStr">
        <is>
          <t xml:space="preserve">Q1 2026</t>
        </is>
      </c>
      <c r="G1" s="1" t="inlineStr">
        <is>
          <t xml:space="preserve">Q2 2026</t>
        </is>
      </c>
      <c r="H1" s="1" t="inlineStr">
        <is>
          <t xml:space="preserve">Q3 2026</t>
        </is>
      </c>
      <c r="I1" s="1" t="inlineStr">
        <is>
          <t xml:space="preserve">Q4 2026</t>
        </is>
      </c>
    </row>
    <row r="2">
      <c r="A2" s="0" t="inlineStr">
        <is>
          <t xml:space="preserve">Quota</t>
        </is>
      </c>
      <c r="B2" s="0" t="inlineStr">
        <is>
          <t xml:space="preserve">Noor Ortiz</t>
        </is>
      </c>
      <c r="C2" s="4">
        <f>'Quota plan'!C2</f>
        <v>375000</v>
      </c>
      <c r="D2" s="4">
        <f>'Quota plan'!D2</f>
        <v>375000</v>
      </c>
      <c r="E2" s="4">
        <f>'Quota plan'!E2</f>
        <v>375000</v>
      </c>
      <c r="F2" s="4">
        <f>'Quota plan'!F2</f>
        <v>375000</v>
      </c>
      <c r="G2" s="4">
        <f>'Quota plan'!G2</f>
        <v>375000</v>
      </c>
      <c r="H2" s="4">
        <f>'Quota plan'!H2</f>
        <v>375000</v>
      </c>
      <c r="I2" s="4">
        <f>'Quota plan'!I2</f>
        <v>375000</v>
      </c>
    </row>
    <row r="3">
      <c r="A3" s="0" t="inlineStr">
        <is>
          <t xml:space="preserve">Quota</t>
        </is>
      </c>
      <c r="B3" s="0" t="inlineStr">
        <is>
          <t xml:space="preserve">Priya Yilmaz</t>
        </is>
      </c>
      <c r="C3" s="4">
        <f>'Quota plan'!C3</f>
        <v>0</v>
      </c>
      <c r="D3" s="4">
        <f>'Quota plan'!D3</f>
        <v>0</v>
      </c>
      <c r="E3" s="4">
        <f>'Quota plan'!E3</f>
        <v>0</v>
      </c>
      <c r="F3" s="4">
        <f>'Quota plan'!F3</f>
        <v>0</v>
      </c>
      <c r="G3" s="4">
        <f>'Quota plan'!G3</f>
        <v>0</v>
      </c>
      <c r="H3" s="4">
        <f>'Quota plan'!H3</f>
        <v>94000</v>
      </c>
      <c r="I3" s="4">
        <f>'Quota plan'!I3</f>
        <v>188000</v>
      </c>
    </row>
    <row r="4">
      <c r="A4" s="0" t="inlineStr">
        <is>
          <t xml:space="preserve">Quota</t>
        </is>
      </c>
      <c r="B4" s="0" t="inlineStr">
        <is>
          <t xml:space="preserve">Marcus Schmidt</t>
        </is>
      </c>
      <c r="C4" s="4">
        <f>'Quota plan'!C4</f>
        <v>0</v>
      </c>
      <c r="D4" s="4">
        <f>'Quota plan'!D4</f>
        <v>53000</v>
      </c>
      <c r="E4" s="4">
        <f>'Quota plan'!E4</f>
        <v>106000</v>
      </c>
      <c r="F4" s="4">
        <f>'Quota plan'!F4</f>
        <v>159000</v>
      </c>
      <c r="G4" s="4">
        <f>'Quota plan'!G4</f>
        <v>212000</v>
      </c>
      <c r="H4" s="4">
        <f>'Quota plan'!H4</f>
        <v>212000</v>
      </c>
      <c r="I4" s="4">
        <f>'Quota plan'!I4</f>
        <v>212000</v>
      </c>
    </row>
    <row r="5">
      <c r="A5" s="0" t="inlineStr">
        <is>
          <t xml:space="preserve">Quota</t>
        </is>
      </c>
      <c r="B5" s="0" t="inlineStr">
        <is>
          <t xml:space="preserve">Amara Haddad</t>
        </is>
      </c>
      <c r="C5" s="4">
        <f>'Quota plan'!C5</f>
        <v>212000</v>
      </c>
      <c r="D5" s="4">
        <f>'Quota plan'!D5</f>
        <v>212000</v>
      </c>
      <c r="E5" s="4">
        <f>'Quota plan'!E5</f>
        <v>212000</v>
      </c>
      <c r="F5" s="4">
        <f>'Quota plan'!F5</f>
        <v>212000</v>
      </c>
      <c r="G5" s="4">
        <f>'Quota plan'!G5</f>
        <v>212000</v>
      </c>
      <c r="H5" s="4">
        <f>'Quota plan'!H5</f>
        <v>212000</v>
      </c>
      <c r="I5" s="4">
        <f>'Quota plan'!I5</f>
        <v>212000</v>
      </c>
    </row>
    <row r="6">
      <c r="A6" s="0" t="inlineStr">
        <is>
          <t xml:space="preserve">Quota</t>
        </is>
      </c>
      <c r="B6" s="0" t="inlineStr">
        <is>
          <t xml:space="preserve">Fatima Silva</t>
        </is>
      </c>
      <c r="C6" s="4">
        <f>'Quota plan'!C6</f>
        <v>112000</v>
      </c>
      <c r="D6" s="4">
        <f>'Quota plan'!D6</f>
        <v>112000</v>
      </c>
      <c r="E6" s="4">
        <f>'Quota plan'!E6</f>
        <v>112000</v>
      </c>
      <c r="F6" s="4">
        <f>'Quota plan'!F6</f>
        <v>112000</v>
      </c>
      <c r="G6" s="4">
        <f>'Quota plan'!G6</f>
        <v>112000</v>
      </c>
      <c r="H6" s="4">
        <f>'Quota plan'!H6</f>
        <v>112000</v>
      </c>
      <c r="I6" s="4">
        <f>'Quota plan'!I6</f>
        <v>112000</v>
      </c>
    </row>
    <row r="7">
      <c r="A7" s="0" t="inlineStr">
        <is>
          <t xml:space="preserve">Quota</t>
        </is>
      </c>
      <c r="B7" s="0" t="inlineStr">
        <is>
          <t xml:space="preserve">Ana Ortiz</t>
        </is>
      </c>
      <c r="C7" s="4">
        <f>'Quota plan'!C7</f>
        <v>28000</v>
      </c>
      <c r="D7" s="4">
        <f>'Quota plan'!D7</f>
        <v>56000</v>
      </c>
      <c r="E7" s="4">
        <f>'Quota plan'!E7</f>
        <v>84000</v>
      </c>
      <c r="F7" s="4">
        <f>'Quota plan'!F7</f>
        <v>112000</v>
      </c>
      <c r="G7" s="4">
        <f>'Quota plan'!G7</f>
        <v>112000</v>
      </c>
      <c r="H7" s="4">
        <f>'Quota plan'!H7</f>
        <v>112000</v>
      </c>
      <c r="I7" s="4">
        <f>'Quota plan'!I7</f>
        <v>112000</v>
      </c>
    </row>
    <row r="8">
      <c r="A8" s="0" t="inlineStr">
        <is>
          <t xml:space="preserve">Quota</t>
        </is>
      </c>
      <c r="B8" s="0" t="inlineStr">
        <is>
          <t xml:space="preserve">Tobias Silva</t>
        </is>
      </c>
      <c r="C8" s="4">
        <f>'Quota plan'!C8</f>
        <v>375000</v>
      </c>
      <c r="D8" s="4">
        <f>'Quota plan'!D8</f>
        <v>375000</v>
      </c>
      <c r="E8" s="4">
        <f>'Quota plan'!E8</f>
        <v>375000</v>
      </c>
      <c r="F8" s="4">
        <f>'Quota plan'!F8</f>
        <v>375000</v>
      </c>
      <c r="G8" s="4">
        <f>'Quota plan'!G8</f>
        <v>375000</v>
      </c>
      <c r="H8" s="4">
        <f>'Quota plan'!H8</f>
        <v>375000</v>
      </c>
      <c r="I8" s="4">
        <f>'Quota plan'!I8</f>
        <v>375000</v>
      </c>
    </row>
    <row r="9">
      <c r="A9" s="0" t="inlineStr">
        <is>
          <t xml:space="preserve">Quota</t>
        </is>
      </c>
      <c r="B9" s="0" t="inlineStr">
        <is>
          <t xml:space="preserve">Leila Osei</t>
        </is>
      </c>
      <c r="C9" s="4">
        <f>'Quota plan'!C9</f>
        <v>375000</v>
      </c>
      <c r="D9" s="4">
        <f>'Quota plan'!D9</f>
        <v>375000</v>
      </c>
      <c r="E9" s="4">
        <f>'Quota plan'!E9</f>
        <v>375000</v>
      </c>
      <c r="F9" s="4">
        <f>'Quota plan'!F9</f>
        <v>375000</v>
      </c>
      <c r="G9" s="4">
        <f>'Quota plan'!G9</f>
        <v>375000</v>
      </c>
      <c r="H9" s="4">
        <f>'Quota plan'!H9</f>
        <v>375000</v>
      </c>
      <c r="I9" s="4">
        <f>'Quota plan'!I9</f>
        <v>375000</v>
      </c>
    </row>
    <row r="10">
      <c r="A10" s="0" t="inlineStr">
        <is>
          <t xml:space="preserve">Quota</t>
        </is>
      </c>
      <c r="B10" s="0" t="inlineStr">
        <is>
          <t xml:space="preserve">Grace Costa</t>
        </is>
      </c>
      <c r="C10" s="4">
        <f>'Quota plan'!C10</f>
        <v>212000</v>
      </c>
      <c r="D10" s="4">
        <f>'Quota plan'!D10</f>
        <v>212000</v>
      </c>
      <c r="E10" s="4">
        <f>'Quota plan'!E10</f>
        <v>212000</v>
      </c>
      <c r="F10" s="4">
        <f>'Quota plan'!F10</f>
        <v>212000</v>
      </c>
      <c r="G10" s="4">
        <f>'Quota plan'!G10</f>
        <v>212000</v>
      </c>
      <c r="H10" s="4">
        <f>'Quota plan'!H10</f>
        <v>212000</v>
      </c>
      <c r="I10" s="4">
        <f>'Quota plan'!I10</f>
        <v>212000</v>
      </c>
    </row>
    <row r="11">
      <c r="A11" s="0" t="inlineStr">
        <is>
          <t xml:space="preserve">Quota</t>
        </is>
      </c>
      <c r="B11" s="0" t="inlineStr">
        <is>
          <t xml:space="preserve">Ingrid Müller</t>
        </is>
      </c>
      <c r="C11" s="4">
        <f>'Quota plan'!C11</f>
        <v>0</v>
      </c>
      <c r="D11" s="4">
        <f>'Quota plan'!D11</f>
        <v>0</v>
      </c>
      <c r="E11" s="4">
        <f>'Quota plan'!E11</f>
        <v>0</v>
      </c>
      <c r="F11" s="4">
        <f>'Quota plan'!F11</f>
        <v>0</v>
      </c>
      <c r="G11" s="4">
        <f>'Quota plan'!G11</f>
        <v>53000</v>
      </c>
      <c r="H11" s="4">
        <f>'Quota plan'!H11</f>
        <v>106000</v>
      </c>
      <c r="I11" s="4">
        <f>'Quota plan'!I11</f>
        <v>159000</v>
      </c>
    </row>
    <row r="12">
      <c r="A12" s="0" t="inlineStr">
        <is>
          <t xml:space="preserve">Quota</t>
        </is>
      </c>
      <c r="B12" s="0" t="inlineStr">
        <is>
          <t xml:space="preserve">Ingrid Kim</t>
        </is>
      </c>
      <c r="C12" s="4">
        <f>'Quota plan'!C12</f>
        <v>112000</v>
      </c>
      <c r="D12" s="4">
        <f>'Quota plan'!D12</f>
        <v>112000</v>
      </c>
      <c r="E12" s="4">
        <f>'Quota plan'!E12</f>
        <v>112000</v>
      </c>
      <c r="F12" s="4">
        <f>'Quota plan'!F12</f>
        <v>112000</v>
      </c>
      <c r="G12" s="4">
        <f>'Quota plan'!G12</f>
        <v>112000</v>
      </c>
      <c r="H12" s="4">
        <f>'Quota plan'!H12</f>
        <v>112000</v>
      </c>
      <c r="I12" s="4">
        <f>'Quota plan'!I12</f>
        <v>112000</v>
      </c>
    </row>
    <row r="13">
      <c r="A13" s="0" t="inlineStr">
        <is>
          <t xml:space="preserve">Quota</t>
        </is>
      </c>
      <c r="B13" s="0" t="inlineStr">
        <is>
          <t xml:space="preserve">Priya Nair</t>
        </is>
      </c>
      <c r="C13" s="4">
        <f>'Quota plan'!C13</f>
        <v>112000</v>
      </c>
      <c r="D13" s="4">
        <f>'Quota plan'!D13</f>
        <v>112000</v>
      </c>
      <c r="E13" s="4">
        <f>'Quota plan'!E13</f>
        <v>112000</v>
      </c>
      <c r="F13" s="4">
        <f>'Quota plan'!F13</f>
        <v>112000</v>
      </c>
      <c r="G13" s="4">
        <f>'Quota plan'!G13</f>
        <v>112000</v>
      </c>
      <c r="H13" s="4">
        <f>'Quota plan'!H13</f>
        <v>112000</v>
      </c>
      <c r="I13" s="4">
        <f>'Quota plan'!I13</f>
        <v>112000</v>
      </c>
    </row>
    <row r="14">
      <c r="A14" s="0" t="inlineStr">
        <is>
          <t xml:space="preserve">Quota</t>
        </is>
      </c>
      <c r="B14" s="0" t="inlineStr">
        <is>
          <t xml:space="preserve">Hugo Lindqvist</t>
        </is>
      </c>
      <c r="C14" s="4">
        <f>'Quota plan'!C14</f>
        <v>338000</v>
      </c>
      <c r="D14" s="4">
        <f>'Quota plan'!D14</f>
        <v>338000</v>
      </c>
      <c r="E14" s="4">
        <f>'Quota plan'!E14</f>
        <v>338000</v>
      </c>
      <c r="F14" s="4">
        <f>'Quota plan'!F14</f>
        <v>338000</v>
      </c>
      <c r="G14" s="4">
        <f>'Quota plan'!G14</f>
        <v>338000</v>
      </c>
      <c r="H14" s="4">
        <f>'Quota plan'!H14</f>
        <v>338000</v>
      </c>
      <c r="I14" s="4">
        <f>'Quota plan'!I14</f>
        <v>338000</v>
      </c>
    </row>
    <row r="15">
      <c r="A15" s="0" t="inlineStr">
        <is>
          <t xml:space="preserve">Quota</t>
        </is>
      </c>
      <c r="B15" s="0" t="inlineStr">
        <is>
          <t xml:space="preserve">Wei Novak</t>
        </is>
      </c>
      <c r="C15" s="4">
        <f>'Quota plan'!C15</f>
        <v>0</v>
      </c>
      <c r="D15" s="4">
        <f>'Quota plan'!D15</f>
        <v>0</v>
      </c>
      <c r="E15" s="4">
        <f>'Quota plan'!E15</f>
        <v>0</v>
      </c>
      <c r="F15" s="4">
        <f>'Quota plan'!F15</f>
        <v>84000</v>
      </c>
      <c r="G15" s="4">
        <f>'Quota plan'!G15</f>
        <v>169000</v>
      </c>
      <c r="H15" s="4">
        <f>'Quota plan'!H15</f>
        <v>253000</v>
      </c>
      <c r="I15" s="4">
        <f>'Quota plan'!I15</f>
        <v>338000</v>
      </c>
    </row>
    <row r="16">
      <c r="A16" s="0" t="inlineStr">
        <is>
          <t xml:space="preserve">Quota</t>
        </is>
      </c>
      <c r="B16" s="0" t="inlineStr">
        <is>
          <t xml:space="preserve">Nikolai Kim</t>
        </is>
      </c>
      <c r="C16" s="4">
        <f>'Quota plan'!C16</f>
        <v>190000</v>
      </c>
      <c r="D16" s="4">
        <f>'Quota plan'!D16</f>
        <v>190000</v>
      </c>
      <c r="E16" s="4">
        <f>'Quota plan'!E16</f>
        <v>190000</v>
      </c>
      <c r="F16" s="4">
        <f>'Quota plan'!F16</f>
        <v>190000</v>
      </c>
      <c r="G16" s="4">
        <f>'Quota plan'!G16</f>
        <v>190000</v>
      </c>
      <c r="H16" s="4">
        <f>'Quota plan'!H16</f>
        <v>190000</v>
      </c>
      <c r="I16" s="4">
        <f>'Quota plan'!I16</f>
        <v>190000</v>
      </c>
    </row>
    <row r="17">
      <c r="A17" s="0" t="inlineStr">
        <is>
          <t xml:space="preserve">Quota</t>
        </is>
      </c>
      <c r="B17" s="0" t="inlineStr">
        <is>
          <t xml:space="preserve">Wei Nair</t>
        </is>
      </c>
      <c r="C17" s="4">
        <f>'Quota plan'!C17</f>
        <v>190000</v>
      </c>
      <c r="D17" s="4">
        <f>'Quota plan'!D17</f>
        <v>190000</v>
      </c>
      <c r="E17" s="4">
        <f>'Quota plan'!E17</f>
        <v>190000</v>
      </c>
      <c r="F17" s="4">
        <f>'Quota plan'!F17</f>
        <v>190000</v>
      </c>
      <c r="G17" s="4">
        <f>'Quota plan'!G17</f>
        <v>190000</v>
      </c>
      <c r="H17" s="4">
        <f>'Quota plan'!H17</f>
        <v>190000</v>
      </c>
      <c r="I17" s="4">
        <f>'Quota plan'!I17</f>
        <v>190000</v>
      </c>
    </row>
    <row r="18">
      <c r="A18" s="0" t="inlineStr">
        <is>
          <t xml:space="preserve">Quota</t>
        </is>
      </c>
      <c r="B18" s="0" t="inlineStr">
        <is>
          <t xml:space="preserve">Liam Silva</t>
        </is>
      </c>
      <c r="C18" s="4">
        <f>'Quota plan'!C18</f>
        <v>25000</v>
      </c>
      <c r="D18" s="4">
        <f>'Quota plan'!D18</f>
        <v>50000</v>
      </c>
      <c r="E18" s="4">
        <f>'Quota plan'!E18</f>
        <v>75000</v>
      </c>
      <c r="F18" s="4">
        <f>'Quota plan'!F18</f>
        <v>100000</v>
      </c>
      <c r="G18" s="4">
        <f>'Quota plan'!G18</f>
        <v>100000</v>
      </c>
      <c r="H18" s="4">
        <f>'Quota plan'!H18</f>
        <v>100000</v>
      </c>
      <c r="I18" s="4">
        <f>'Quota plan'!I18</f>
        <v>100000</v>
      </c>
    </row>
    <row r="19">
      <c r="A19" s="0" t="inlineStr">
        <is>
          <t xml:space="preserve">Quota</t>
        </is>
      </c>
      <c r="B19" s="0" t="inlineStr">
        <is>
          <t xml:space="preserve">Samuel Silva</t>
        </is>
      </c>
      <c r="C19" s="4">
        <f>'Quota plan'!C19</f>
        <v>100000</v>
      </c>
      <c r="D19" s="4">
        <f>'Quota plan'!D19</f>
        <v>100000</v>
      </c>
      <c r="E19" s="4">
        <f>'Quota plan'!E19</f>
        <v>100000</v>
      </c>
      <c r="F19" s="4">
        <f>'Quota plan'!F19</f>
        <v>100000</v>
      </c>
      <c r="G19" s="4">
        <f>'Quota plan'!G19</f>
        <v>100000</v>
      </c>
      <c r="H19" s="4">
        <f>'Quota plan'!H19</f>
        <v>100000</v>
      </c>
      <c r="I19" s="4">
        <f>'Quota plan'!I19</f>
        <v>100000</v>
      </c>
    </row>
    <row r="20">
      <c r="A20" s="0" t="inlineStr">
        <is>
          <t xml:space="preserve">Quota</t>
        </is>
      </c>
      <c r="B20" s="0" t="inlineStr">
        <is>
          <t xml:space="preserve">Yuki Larsen</t>
        </is>
      </c>
      <c r="C20" s="4">
        <f>'Quota plan'!C20</f>
        <v>262000</v>
      </c>
      <c r="D20" s="4">
        <f>'Quota plan'!D20</f>
        <v>262000</v>
      </c>
      <c r="E20" s="4">
        <f>'Quota plan'!E20</f>
        <v>262000</v>
      </c>
      <c r="F20" s="4">
        <f>'Quota plan'!F20</f>
        <v>262000</v>
      </c>
      <c r="G20" s="4">
        <f>'Quota plan'!G20</f>
        <v>262000</v>
      </c>
      <c r="H20" s="4">
        <f>'Quota plan'!H20</f>
        <v>262000</v>
      </c>
      <c r="I20" s="4">
        <f>'Quota plan'!I20</f>
        <v>262000</v>
      </c>
    </row>
    <row r="21">
      <c r="A21" s="0" t="inlineStr">
        <is>
          <t xml:space="preserve">Quota</t>
        </is>
      </c>
      <c r="B21" s="0" t="inlineStr">
        <is>
          <t xml:space="preserve">Nikolai Sato</t>
        </is>
      </c>
      <c r="C21" s="4">
        <f>'Quota plan'!C21</f>
        <v>262000</v>
      </c>
      <c r="D21" s="4">
        <f>'Quota plan'!D21</f>
        <v>262000</v>
      </c>
      <c r="E21" s="4">
        <f>'Quota plan'!E21</f>
        <v>262000</v>
      </c>
      <c r="F21" s="4">
        <f>'Quota plan'!F21</f>
        <v>262000</v>
      </c>
      <c r="G21" s="4">
        <f>'Quota plan'!G21</f>
        <v>262000</v>
      </c>
      <c r="H21" s="4">
        <f>'Quota plan'!H21</f>
        <v>262000</v>
      </c>
      <c r="I21" s="4">
        <f>'Quota plan'!I21</f>
        <v>262000</v>
      </c>
    </row>
    <row r="22">
      <c r="A22" s="0" t="inlineStr">
        <is>
          <t xml:space="preserve">Quota</t>
        </is>
      </c>
      <c r="B22" s="0" t="inlineStr">
        <is>
          <t xml:space="preserve">Elena Silva</t>
        </is>
      </c>
      <c r="C22" s="4">
        <f>'Quota plan'!C22</f>
        <v>112000</v>
      </c>
      <c r="D22" s="4">
        <f>'Quota plan'!D22</f>
        <v>150000</v>
      </c>
      <c r="E22" s="4">
        <f>'Quota plan'!E22</f>
        <v>150000</v>
      </c>
      <c r="F22" s="4">
        <f>'Quota plan'!F22</f>
        <v>150000</v>
      </c>
      <c r="G22" s="4">
        <f>'Quota plan'!G22</f>
        <v>150000</v>
      </c>
      <c r="H22" s="4">
        <f>'Quota plan'!H22</f>
        <v>150000</v>
      </c>
      <c r="I22" s="4">
        <f>'Quota plan'!I22</f>
        <v>150000</v>
      </c>
    </row>
    <row r="23">
      <c r="A23" s="0" t="inlineStr">
        <is>
          <t xml:space="preserve">Quota</t>
        </is>
      </c>
      <c r="B23" s="0" t="inlineStr">
        <is>
          <t xml:space="preserve">Arjun Müller</t>
        </is>
      </c>
      <c r="C23" s="4">
        <f>'Quota plan'!C23</f>
        <v>150000</v>
      </c>
      <c r="D23" s="4">
        <f>'Quota plan'!D23</f>
        <v>150000</v>
      </c>
      <c r="E23" s="4">
        <f>'Quota plan'!E23</f>
        <v>150000</v>
      </c>
      <c r="F23" s="4">
        <f>'Quota plan'!F23</f>
        <v>150000</v>
      </c>
      <c r="G23" s="4">
        <f>'Quota plan'!G23</f>
        <v>150000</v>
      </c>
      <c r="H23" s="4">
        <f>'Quota plan'!H23</f>
        <v>150000</v>
      </c>
      <c r="I23" s="4">
        <f>'Quota plan'!I23</f>
        <v>150000</v>
      </c>
    </row>
    <row r="24">
      <c r="A24" s="0" t="inlineStr">
        <is>
          <t xml:space="preserve">Quota</t>
        </is>
      </c>
      <c r="B24" s="0" t="inlineStr">
        <is>
          <t xml:space="preserve">Nikolai Park</t>
        </is>
      </c>
      <c r="C24" s="4">
        <f>'Quota plan'!C24</f>
        <v>0</v>
      </c>
      <c r="D24" s="4">
        <f>'Quota plan'!D24</f>
        <v>0</v>
      </c>
      <c r="E24" s="4">
        <f>'Quota plan'!E24</f>
        <v>0</v>
      </c>
      <c r="F24" s="4">
        <f>'Quota plan'!F24</f>
        <v>0</v>
      </c>
      <c r="G24" s="4">
        <f>'Quota plan'!G24</f>
        <v>20000</v>
      </c>
      <c r="H24" s="4">
        <f>'Quota plan'!H24</f>
        <v>40000</v>
      </c>
      <c r="I24" s="4">
        <f>'Quota plan'!I24</f>
        <v>60000</v>
      </c>
    </row>
    <row r="25">
      <c r="A25" s="0" t="inlineStr">
        <is>
          <t xml:space="preserve">Quota</t>
        </is>
      </c>
      <c r="B25" s="0" t="inlineStr">
        <is>
          <t xml:space="preserve">Ingrid Dubois</t>
        </is>
      </c>
      <c r="C25" s="4">
        <f>'Quota plan'!C25</f>
        <v>80000</v>
      </c>
      <c r="D25" s="4">
        <f>'Quota plan'!D25</f>
        <v>80000</v>
      </c>
      <c r="E25" s="4">
        <f>'Quota plan'!E25</f>
        <v>80000</v>
      </c>
      <c r="F25" s="4">
        <f>'Quota plan'!F25</f>
        <v>80000</v>
      </c>
      <c r="G25" s="4">
        <f>'Quota plan'!G25</f>
        <v>80000</v>
      </c>
      <c r="H25" s="4">
        <f>'Quota plan'!H25</f>
        <v>80000</v>
      </c>
      <c r="I25" s="4">
        <f>'Quota plan'!I25</f>
        <v>80000</v>
      </c>
    </row>
    <row r="26">
      <c r="A26" s="0" t="inlineStr">
        <is>
          <t xml:space="preserve">Bookings</t>
        </is>
      </c>
      <c r="B26" s="0" t="inlineStr">
        <is>
          <t xml:space="preserve">Noor Ortiz</t>
        </is>
      </c>
      <c r="C26" s="4">
        <f>SUM('Rep monthly'!C2:E2)</f>
        <v>0</v>
      </c>
      <c r="D26" s="4">
        <f>SUM('Rep monthly'!F2:H2)</f>
        <v>0</v>
      </c>
      <c r="E26" s="4">
        <f>SUM('Rep monthly'!I2:K2)</f>
        <v>201200</v>
      </c>
      <c r="F26" s="4">
        <f>SUM('Rep monthly'!L2:N2)</f>
        <v>505900</v>
      </c>
      <c r="G26" s="4">
        <f>SUM('Rep monthly'!O2:Q2)</f>
        <v>436700</v>
      </c>
      <c r="H26" s="4">
        <f>SUM('Rep monthly'!R2:T2)</f>
        <v>138600</v>
      </c>
      <c r="I26" s="4">
        <f>SUM('Rep monthly'!U2:W2)</f>
        <v>0</v>
      </c>
    </row>
    <row r="27">
      <c r="A27" s="0" t="inlineStr">
        <is>
          <t xml:space="preserve">Bookings</t>
        </is>
      </c>
      <c r="B27" s="0" t="inlineStr">
        <is>
          <t xml:space="preserve">Priya Yilmaz</t>
        </is>
      </c>
      <c r="C27" s="4">
        <f>SUM('Rep monthly'!C3:E3)</f>
        <v>0</v>
      </c>
      <c r="D27" s="4">
        <f>SUM('Rep monthly'!F3:H3)</f>
        <v>0</v>
      </c>
      <c r="E27" s="4">
        <f>SUM('Rep monthly'!I3:K3)</f>
        <v>0</v>
      </c>
      <c r="F27" s="4">
        <f>SUM('Rep monthly'!L3:N3)</f>
        <v>0</v>
      </c>
      <c r="G27" s="4">
        <f>SUM('Rep monthly'!O3:Q3)</f>
        <v>0</v>
      </c>
      <c r="H27" s="4">
        <f>SUM('Rep monthly'!R3:T3)</f>
        <v>0</v>
      </c>
      <c r="I27" s="4">
        <f>SUM('Rep monthly'!U3:W3)</f>
        <v>0</v>
      </c>
    </row>
    <row r="28">
      <c r="A28" s="0" t="inlineStr">
        <is>
          <t xml:space="preserve">Bookings</t>
        </is>
      </c>
      <c r="B28" s="0" t="inlineStr">
        <is>
          <t xml:space="preserve">Marcus Schmidt</t>
        </is>
      </c>
      <c r="C28" s="4">
        <f>SUM('Rep monthly'!C4:E4)</f>
        <v>0</v>
      </c>
      <c r="D28" s="4">
        <f>SUM('Rep monthly'!F4:H4)</f>
        <v>87800</v>
      </c>
      <c r="E28" s="4">
        <f>SUM('Rep monthly'!I4:K4)</f>
        <v>190600</v>
      </c>
      <c r="F28" s="4">
        <f>SUM('Rep monthly'!L4:N4)</f>
        <v>399700</v>
      </c>
      <c r="G28" s="4">
        <f>SUM('Rep monthly'!O4:Q4)</f>
        <v>173900</v>
      </c>
      <c r="H28" s="4">
        <f>SUM('Rep monthly'!R4:T4)</f>
        <v>129800</v>
      </c>
      <c r="I28" s="4">
        <f>SUM('Rep monthly'!U4:W4)</f>
        <v>0</v>
      </c>
    </row>
    <row r="29">
      <c r="A29" s="0" t="inlineStr">
        <is>
          <t xml:space="preserve">Bookings</t>
        </is>
      </c>
      <c r="B29" s="0" t="inlineStr">
        <is>
          <t xml:space="preserve">Amara Haddad</t>
        </is>
      </c>
      <c r="C29" s="4">
        <f>SUM('Rep monthly'!C5:E5)</f>
        <v>207800</v>
      </c>
      <c r="D29" s="4">
        <f>SUM('Rep monthly'!F5:H5)</f>
        <v>261600</v>
      </c>
      <c r="E29" s="4">
        <f>SUM('Rep monthly'!I5:K5)</f>
        <v>138100</v>
      </c>
      <c r="F29" s="4">
        <f>SUM('Rep monthly'!L5:N5)</f>
        <v>50400</v>
      </c>
      <c r="G29" s="4">
        <f>SUM('Rep monthly'!O5:Q5)</f>
        <v>37700</v>
      </c>
      <c r="H29" s="4">
        <f>SUM('Rep monthly'!R5:T5)</f>
        <v>55300</v>
      </c>
      <c r="I29" s="4">
        <f>SUM('Rep monthly'!U5:W5)</f>
        <v>0</v>
      </c>
    </row>
    <row r="30">
      <c r="A30" s="0" t="inlineStr">
        <is>
          <t xml:space="preserve">Bookings</t>
        </is>
      </c>
      <c r="B30" s="0" t="inlineStr">
        <is>
          <t xml:space="preserve">Fatima Silva</t>
        </is>
      </c>
      <c r="C30" s="4">
        <f>SUM('Rep monthly'!C6:E6)</f>
        <v>107400</v>
      </c>
      <c r="D30" s="4">
        <f>SUM('Rep monthly'!F6:H6)</f>
        <v>110500</v>
      </c>
      <c r="E30" s="4">
        <f>SUM('Rep monthly'!I6:K6)</f>
        <v>121500</v>
      </c>
      <c r="F30" s="4">
        <f>SUM('Rep monthly'!L6:N6)</f>
        <v>62500</v>
      </c>
      <c r="G30" s="4">
        <f>SUM('Rep monthly'!O6:Q6)</f>
        <v>111600</v>
      </c>
      <c r="H30" s="4">
        <f>SUM('Rep monthly'!R6:T6)</f>
        <v>114200</v>
      </c>
      <c r="I30" s="4">
        <f>SUM('Rep monthly'!U6:W6)</f>
        <v>0</v>
      </c>
    </row>
    <row r="31">
      <c r="A31" s="0" t="inlineStr">
        <is>
          <t xml:space="preserve">Bookings</t>
        </is>
      </c>
      <c r="B31" s="0" t="inlineStr">
        <is>
          <t xml:space="preserve">Ana Ortiz</t>
        </is>
      </c>
      <c r="C31" s="4">
        <f>SUM('Rep monthly'!C7:E7)</f>
        <v>21000</v>
      </c>
      <c r="D31" s="4">
        <f>SUM('Rep monthly'!F7:H7)</f>
        <v>97000</v>
      </c>
      <c r="E31" s="4">
        <f>SUM('Rep monthly'!I7:K7)</f>
        <v>35000</v>
      </c>
      <c r="F31" s="4">
        <f>SUM('Rep monthly'!L7:N7)</f>
        <v>57000</v>
      </c>
      <c r="G31" s="4">
        <f>SUM('Rep monthly'!O7:Q7)</f>
        <v>109000</v>
      </c>
      <c r="H31" s="4">
        <f>SUM('Rep monthly'!R7:T7)</f>
        <v>68700</v>
      </c>
      <c r="I31" s="4">
        <f>SUM('Rep monthly'!U7:W7)</f>
        <v>0</v>
      </c>
    </row>
    <row r="32">
      <c r="A32" s="0" t="inlineStr">
        <is>
          <t xml:space="preserve">Bookings</t>
        </is>
      </c>
      <c r="B32" s="0" t="inlineStr">
        <is>
          <t xml:space="preserve">Tobias Silva</t>
        </is>
      </c>
      <c r="C32" s="4">
        <f>SUM('Rep monthly'!C8:E8)</f>
        <v>0</v>
      </c>
      <c r="D32" s="4">
        <f>SUM('Rep monthly'!F8:H8)</f>
        <v>146800</v>
      </c>
      <c r="E32" s="4">
        <f>SUM('Rep monthly'!I8:K8)</f>
        <v>0</v>
      </c>
      <c r="F32" s="4">
        <f>SUM('Rep monthly'!L8:N8)</f>
        <v>1412300</v>
      </c>
      <c r="G32" s="4">
        <f>SUM('Rep monthly'!O8:Q8)</f>
        <v>53000</v>
      </c>
      <c r="H32" s="4">
        <f>SUM('Rep monthly'!R8:T8)</f>
        <v>496300</v>
      </c>
      <c r="I32" s="4">
        <f>SUM('Rep monthly'!U8:W8)</f>
        <v>0</v>
      </c>
    </row>
    <row r="33">
      <c r="A33" s="0" t="inlineStr">
        <is>
          <t xml:space="preserve">Bookings</t>
        </is>
      </c>
      <c r="B33" s="0" t="inlineStr">
        <is>
          <t xml:space="preserve">Leila Osei</t>
        </is>
      </c>
      <c r="C33" s="4">
        <f>SUM('Rep monthly'!C9:E9)</f>
        <v>0</v>
      </c>
      <c r="D33" s="4">
        <f>SUM('Rep monthly'!F9:H9)</f>
        <v>0</v>
      </c>
      <c r="E33" s="4">
        <f>SUM('Rep monthly'!I9:K9)</f>
        <v>0</v>
      </c>
      <c r="F33" s="4">
        <f>SUM('Rep monthly'!L9:N9)</f>
        <v>35500</v>
      </c>
      <c r="G33" s="4">
        <f>SUM('Rep monthly'!O9:Q9)</f>
        <v>355000</v>
      </c>
      <c r="H33" s="4">
        <f>SUM('Rep monthly'!R9:T9)</f>
        <v>698000</v>
      </c>
      <c r="I33" s="4">
        <f>SUM('Rep monthly'!U9:W9)</f>
        <v>0</v>
      </c>
    </row>
    <row r="34">
      <c r="A34" s="0" t="inlineStr">
        <is>
          <t xml:space="preserve">Bookings</t>
        </is>
      </c>
      <c r="B34" s="0" t="inlineStr">
        <is>
          <t xml:space="preserve">Grace Costa</t>
        </is>
      </c>
      <c r="C34" s="4">
        <f>SUM('Rep monthly'!C10:E10)</f>
        <v>72300</v>
      </c>
      <c r="D34" s="4">
        <f>SUM('Rep monthly'!F10:H10)</f>
        <v>114000</v>
      </c>
      <c r="E34" s="4">
        <f>SUM('Rep monthly'!I10:K10)</f>
        <v>345900</v>
      </c>
      <c r="F34" s="4">
        <f>SUM('Rep monthly'!L10:N10)</f>
        <v>323600</v>
      </c>
      <c r="G34" s="4">
        <f>SUM('Rep monthly'!O10:Q10)</f>
        <v>647700</v>
      </c>
      <c r="H34" s="4">
        <f>SUM('Rep monthly'!R10:T10)</f>
        <v>382600</v>
      </c>
      <c r="I34" s="4">
        <f>SUM('Rep monthly'!U10:W10)</f>
        <v>0</v>
      </c>
    </row>
    <row r="35">
      <c r="A35" s="0" t="inlineStr">
        <is>
          <t xml:space="preserve">Bookings</t>
        </is>
      </c>
      <c r="B35" s="0" t="inlineStr">
        <is>
          <t xml:space="preserve">Ingrid Müller</t>
        </is>
      </c>
      <c r="C35" s="4">
        <f>SUM('Rep monthly'!C11:E11)</f>
        <v>0</v>
      </c>
      <c r="D35" s="4">
        <f>SUM('Rep monthly'!F11:H11)</f>
        <v>0</v>
      </c>
      <c r="E35" s="4">
        <f>SUM('Rep monthly'!I11:K11)</f>
        <v>0</v>
      </c>
      <c r="F35" s="4">
        <f>SUM('Rep monthly'!L11:N11)</f>
        <v>0</v>
      </c>
      <c r="G35" s="4">
        <f>SUM('Rep monthly'!O11:Q11)</f>
        <v>146700</v>
      </c>
      <c r="H35" s="4">
        <f>SUM('Rep monthly'!R11:T11)</f>
        <v>245700</v>
      </c>
      <c r="I35" s="4">
        <f>SUM('Rep monthly'!U11:W11)</f>
        <v>0</v>
      </c>
    </row>
    <row r="36">
      <c r="A36" s="0" t="inlineStr">
        <is>
          <t xml:space="preserve">Bookings</t>
        </is>
      </c>
      <c r="B36" s="0" t="inlineStr">
        <is>
          <t xml:space="preserve">Ingrid Kim</t>
        </is>
      </c>
      <c r="C36" s="4">
        <f>SUM('Rep monthly'!C12:E12)</f>
        <v>80600</v>
      </c>
      <c r="D36" s="4">
        <f>SUM('Rep monthly'!F12:H12)</f>
        <v>86600</v>
      </c>
      <c r="E36" s="4">
        <f>SUM('Rep monthly'!I12:K12)</f>
        <v>125800</v>
      </c>
      <c r="F36" s="4">
        <f>SUM('Rep monthly'!L12:N12)</f>
        <v>106500</v>
      </c>
      <c r="G36" s="4">
        <f>SUM('Rep monthly'!O12:Q12)</f>
        <v>26500</v>
      </c>
      <c r="H36" s="4">
        <f>SUM('Rep monthly'!R12:T12)</f>
        <v>89100</v>
      </c>
      <c r="I36" s="4">
        <f>SUM('Rep monthly'!U12:W12)</f>
        <v>0</v>
      </c>
    </row>
    <row r="37">
      <c r="A37" s="0" t="inlineStr">
        <is>
          <t xml:space="preserve">Bookings</t>
        </is>
      </c>
      <c r="B37" s="0" t="inlineStr">
        <is>
          <t xml:space="preserve">Priya Nair</t>
        </is>
      </c>
      <c r="C37" s="4">
        <f>SUM('Rep monthly'!C13:E13)</f>
        <v>70600</v>
      </c>
      <c r="D37" s="4">
        <f>SUM('Rep monthly'!F13:H13)</f>
        <v>101000</v>
      </c>
      <c r="E37" s="4">
        <f>SUM('Rep monthly'!I13:K13)</f>
        <v>111600</v>
      </c>
      <c r="F37" s="4">
        <f>SUM('Rep monthly'!L13:N13)</f>
        <v>75700</v>
      </c>
      <c r="G37" s="4">
        <f>SUM('Rep monthly'!O13:Q13)</f>
        <v>103600</v>
      </c>
      <c r="H37" s="4">
        <f>SUM('Rep monthly'!R13:T13)</f>
        <v>37200</v>
      </c>
      <c r="I37" s="4">
        <f>SUM('Rep monthly'!U13:W13)</f>
        <v>0</v>
      </c>
    </row>
    <row r="38">
      <c r="A38" s="0" t="inlineStr">
        <is>
          <t xml:space="preserve">Bookings</t>
        </is>
      </c>
      <c r="B38" s="0" t="inlineStr">
        <is>
          <t xml:space="preserve">Hugo Lindqvist</t>
        </is>
      </c>
      <c r="C38" s="4">
        <f>SUM('Rep monthly'!C14:E14)</f>
        <v>245800</v>
      </c>
      <c r="D38" s="4">
        <f>SUM('Rep monthly'!F14:H14)</f>
        <v>732500</v>
      </c>
      <c r="E38" s="4">
        <f>SUM('Rep monthly'!I14:K14)</f>
        <v>271600</v>
      </c>
      <c r="F38" s="4">
        <f>SUM('Rep monthly'!L14:N14)</f>
        <v>543300</v>
      </c>
      <c r="G38" s="4">
        <f>SUM('Rep monthly'!O14:Q14)</f>
        <v>457000</v>
      </c>
      <c r="H38" s="4">
        <f>SUM('Rep monthly'!R14:T14)</f>
        <v>376600</v>
      </c>
      <c r="I38" s="4">
        <f>SUM('Rep monthly'!U14:W14)</f>
        <v>0</v>
      </c>
    </row>
    <row r="39">
      <c r="A39" s="0" t="inlineStr">
        <is>
          <t xml:space="preserve">Bookings</t>
        </is>
      </c>
      <c r="B39" s="0" t="inlineStr">
        <is>
          <t xml:space="preserve">Wei Novak</t>
        </is>
      </c>
      <c r="C39" s="4">
        <f>SUM('Rep monthly'!C15:E15)</f>
        <v>0</v>
      </c>
      <c r="D39" s="4">
        <f>SUM('Rep monthly'!F15:H15)</f>
        <v>0</v>
      </c>
      <c r="E39" s="4">
        <f>SUM('Rep monthly'!I15:K15)</f>
        <v>0</v>
      </c>
      <c r="F39" s="4">
        <f>SUM('Rep monthly'!L15:N15)</f>
        <v>22800</v>
      </c>
      <c r="G39" s="4">
        <f>SUM('Rep monthly'!O15:Q15)</f>
        <v>60000</v>
      </c>
      <c r="H39" s="4">
        <f>SUM('Rep monthly'!R15:T15)</f>
        <v>92900</v>
      </c>
      <c r="I39" s="4">
        <f>SUM('Rep monthly'!U15:W15)</f>
        <v>0</v>
      </c>
    </row>
    <row r="40">
      <c r="A40" s="0" t="inlineStr">
        <is>
          <t xml:space="preserve">Bookings</t>
        </is>
      </c>
      <c r="B40" s="0" t="inlineStr">
        <is>
          <t xml:space="preserve">Nikolai Kim</t>
        </is>
      </c>
      <c r="C40" s="4">
        <f>SUM('Rep monthly'!C16:E16)</f>
        <v>261600</v>
      </c>
      <c r="D40" s="4">
        <f>SUM('Rep monthly'!F16:H16)</f>
        <v>316500</v>
      </c>
      <c r="E40" s="4">
        <f>SUM('Rep monthly'!I16:K16)</f>
        <v>304700</v>
      </c>
      <c r="F40" s="4">
        <f>SUM('Rep monthly'!L16:N16)</f>
        <v>162500</v>
      </c>
      <c r="G40" s="4">
        <f>SUM('Rep monthly'!O16:Q16)</f>
        <v>231600</v>
      </c>
      <c r="H40" s="4">
        <f>SUM('Rep monthly'!R16:T16)</f>
        <v>136400</v>
      </c>
      <c r="I40" s="4">
        <f>SUM('Rep monthly'!U16:W16)</f>
        <v>0</v>
      </c>
    </row>
    <row r="41">
      <c r="A41" s="0" t="inlineStr">
        <is>
          <t xml:space="preserve">Bookings</t>
        </is>
      </c>
      <c r="B41" s="0" t="inlineStr">
        <is>
          <t xml:space="preserve">Wei Nair</t>
        </is>
      </c>
      <c r="C41" s="4">
        <f>SUM('Rep monthly'!C17:E17)</f>
        <v>130600</v>
      </c>
      <c r="D41" s="4">
        <f>SUM('Rep monthly'!F17:H17)</f>
        <v>112700</v>
      </c>
      <c r="E41" s="4">
        <f>SUM('Rep monthly'!I17:K17)</f>
        <v>187800</v>
      </c>
      <c r="F41" s="4">
        <f>SUM('Rep monthly'!L17:N17)</f>
        <v>153100</v>
      </c>
      <c r="G41" s="4">
        <f>SUM('Rep monthly'!O17:Q17)</f>
        <v>62500</v>
      </c>
      <c r="H41" s="4">
        <f>SUM('Rep monthly'!R17:T17)</f>
        <v>107600</v>
      </c>
      <c r="I41" s="4">
        <f>SUM('Rep monthly'!U17:W17)</f>
        <v>0</v>
      </c>
    </row>
    <row r="42">
      <c r="A42" s="0" t="inlineStr">
        <is>
          <t xml:space="preserve">Bookings</t>
        </is>
      </c>
      <c r="B42" s="0" t="inlineStr">
        <is>
          <t xml:space="preserve">Liam Silva</t>
        </is>
      </c>
      <c r="C42" s="4">
        <f>SUM('Rep monthly'!C18:E18)</f>
        <v>3500</v>
      </c>
      <c r="D42" s="4">
        <f>SUM('Rep monthly'!F18:H18)</f>
        <v>71500</v>
      </c>
      <c r="E42" s="4">
        <f>SUM('Rep monthly'!I18:K18)</f>
        <v>101700</v>
      </c>
      <c r="F42" s="4">
        <f>SUM('Rep monthly'!L18:N18)</f>
        <v>123900</v>
      </c>
      <c r="G42" s="4">
        <f>SUM('Rep monthly'!O18:Q18)</f>
        <v>44500</v>
      </c>
      <c r="H42" s="4">
        <f>SUM('Rep monthly'!R18:T18)</f>
        <v>103000</v>
      </c>
      <c r="I42" s="4">
        <f>SUM('Rep monthly'!U18:W18)</f>
        <v>0</v>
      </c>
    </row>
    <row r="43">
      <c r="A43" s="0" t="inlineStr">
        <is>
          <t xml:space="preserve">Bookings</t>
        </is>
      </c>
      <c r="B43" s="0" t="inlineStr">
        <is>
          <t xml:space="preserve">Samuel Silva</t>
        </is>
      </c>
      <c r="C43" s="4">
        <f>SUM('Rep monthly'!C19:E19)</f>
        <v>33900</v>
      </c>
      <c r="D43" s="4">
        <f>SUM('Rep monthly'!F19:H19)</f>
        <v>154100</v>
      </c>
      <c r="E43" s="4">
        <f>SUM('Rep monthly'!I19:K19)</f>
        <v>96900</v>
      </c>
      <c r="F43" s="4">
        <f>SUM('Rep monthly'!L19:N19)</f>
        <v>169400</v>
      </c>
      <c r="G43" s="4">
        <f>SUM('Rep monthly'!O19:Q19)</f>
        <v>100100</v>
      </c>
      <c r="H43" s="4">
        <f>SUM('Rep monthly'!R19:T19)</f>
        <v>71300</v>
      </c>
      <c r="I43" s="4">
        <f>SUM('Rep monthly'!U19:W19)</f>
        <v>0</v>
      </c>
    </row>
    <row r="44">
      <c r="A44" s="0" t="inlineStr">
        <is>
          <t xml:space="preserve">Bookings</t>
        </is>
      </c>
      <c r="B44" s="0" t="inlineStr">
        <is>
          <t xml:space="preserve">Yuki Larsen</t>
        </is>
      </c>
      <c r="C44" s="4">
        <f>SUM('Rep monthly'!C20:E20)</f>
        <v>0</v>
      </c>
      <c r="D44" s="4">
        <f>SUM('Rep monthly'!F20:H20)</f>
        <v>148500</v>
      </c>
      <c r="E44" s="4">
        <f>SUM('Rep monthly'!I20:K20)</f>
        <v>0</v>
      </c>
      <c r="F44" s="4">
        <f>SUM('Rep monthly'!L20:N20)</f>
        <v>0</v>
      </c>
      <c r="G44" s="4">
        <f>SUM('Rep monthly'!O20:Q20)</f>
        <v>188400</v>
      </c>
      <c r="H44" s="4">
        <f>SUM('Rep monthly'!R20:T20)</f>
        <v>157600</v>
      </c>
      <c r="I44" s="4">
        <f>SUM('Rep monthly'!U20:W20)</f>
        <v>0</v>
      </c>
    </row>
    <row r="45">
      <c r="A45" s="0" t="inlineStr">
        <is>
          <t xml:space="preserve">Bookings</t>
        </is>
      </c>
      <c r="B45" s="0" t="inlineStr">
        <is>
          <t xml:space="preserve">Nikolai Sato</t>
        </is>
      </c>
      <c r="C45" s="4">
        <f>SUM('Rep monthly'!C21:E21)</f>
        <v>99700</v>
      </c>
      <c r="D45" s="4">
        <f>SUM('Rep monthly'!F21:H21)</f>
        <v>278700</v>
      </c>
      <c r="E45" s="4">
        <f>SUM('Rep monthly'!I21:K21)</f>
        <v>64300</v>
      </c>
      <c r="F45" s="4">
        <f>SUM('Rep monthly'!L21:N21)</f>
        <v>89800</v>
      </c>
      <c r="G45" s="4">
        <f>SUM('Rep monthly'!O21:Q21)</f>
        <v>0</v>
      </c>
      <c r="H45" s="4">
        <f>SUM('Rep monthly'!R21:T21)</f>
        <v>103400</v>
      </c>
      <c r="I45" s="4">
        <f>SUM('Rep monthly'!U21:W21)</f>
        <v>0</v>
      </c>
    </row>
    <row r="46">
      <c r="A46" s="0" t="inlineStr">
        <is>
          <t xml:space="preserve">Bookings</t>
        </is>
      </c>
      <c r="B46" s="0" t="inlineStr">
        <is>
          <t xml:space="preserve">Elena Silva</t>
        </is>
      </c>
      <c r="C46" s="4">
        <f>SUM('Rep monthly'!C22:E22)</f>
        <v>111200</v>
      </c>
      <c r="D46" s="4">
        <f>SUM('Rep monthly'!F22:H22)</f>
        <v>286100</v>
      </c>
      <c r="E46" s="4">
        <f>SUM('Rep monthly'!I22:K22)</f>
        <v>230400</v>
      </c>
      <c r="F46" s="4">
        <f>SUM('Rep monthly'!L22:N22)</f>
        <v>137200</v>
      </c>
      <c r="G46" s="4">
        <f>SUM('Rep monthly'!O22:Q22)</f>
        <v>183900</v>
      </c>
      <c r="H46" s="4">
        <f>SUM('Rep monthly'!R22:T22)</f>
        <v>191600</v>
      </c>
      <c r="I46" s="4">
        <f>SUM('Rep monthly'!U22:W22)</f>
        <v>0</v>
      </c>
    </row>
    <row r="47">
      <c r="A47" s="0" t="inlineStr">
        <is>
          <t xml:space="preserve">Bookings</t>
        </is>
      </c>
      <c r="B47" s="0" t="inlineStr">
        <is>
          <t xml:space="preserve">Arjun Müller</t>
        </is>
      </c>
      <c r="C47" s="4">
        <f>SUM('Rep monthly'!C23:E23)</f>
        <v>25000</v>
      </c>
      <c r="D47" s="4">
        <f>SUM('Rep monthly'!F23:H23)</f>
        <v>77600</v>
      </c>
      <c r="E47" s="4">
        <f>SUM('Rep monthly'!I23:K23)</f>
        <v>175800</v>
      </c>
      <c r="F47" s="4">
        <f>SUM('Rep monthly'!L23:N23)</f>
        <v>0</v>
      </c>
      <c r="G47" s="4">
        <f>SUM('Rep monthly'!O23:Q23)</f>
        <v>193900</v>
      </c>
      <c r="H47" s="4">
        <f>SUM('Rep monthly'!R23:T23)</f>
        <v>162200</v>
      </c>
      <c r="I47" s="4">
        <f>SUM('Rep monthly'!U23:W23)</f>
        <v>0</v>
      </c>
    </row>
    <row r="48">
      <c r="A48" s="0" t="inlineStr">
        <is>
          <t xml:space="preserve">Bookings</t>
        </is>
      </c>
      <c r="B48" s="0" t="inlineStr">
        <is>
          <t xml:space="preserve">Nikolai Park</t>
        </is>
      </c>
      <c r="C48" s="4">
        <f>SUM('Rep monthly'!C24:E24)</f>
        <v>0</v>
      </c>
      <c r="D48" s="4">
        <f>SUM('Rep monthly'!F24:H24)</f>
        <v>0</v>
      </c>
      <c r="E48" s="4">
        <f>SUM('Rep monthly'!I24:K24)</f>
        <v>0</v>
      </c>
      <c r="F48" s="4">
        <f>SUM('Rep monthly'!L24:N24)</f>
        <v>0</v>
      </c>
      <c r="G48" s="4">
        <f>SUM('Rep monthly'!O24:Q24)</f>
        <v>11000</v>
      </c>
      <c r="H48" s="4">
        <f>SUM('Rep monthly'!R24:T24)</f>
        <v>27800</v>
      </c>
      <c r="I48" s="4">
        <f>SUM('Rep monthly'!U24:W24)</f>
        <v>0</v>
      </c>
    </row>
    <row r="49">
      <c r="A49" s="0" t="inlineStr">
        <is>
          <t xml:space="preserve">Bookings</t>
        </is>
      </c>
      <c r="B49" s="0" t="inlineStr">
        <is>
          <t xml:space="preserve">Ingrid Dubois</t>
        </is>
      </c>
      <c r="C49" s="4">
        <f>SUM('Rep monthly'!C25:E25)</f>
        <v>0</v>
      </c>
      <c r="D49" s="4">
        <f>SUM('Rep monthly'!F25:H25)</f>
        <v>124300</v>
      </c>
      <c r="E49" s="4">
        <f>SUM('Rep monthly'!I25:K25)</f>
        <v>83400</v>
      </c>
      <c r="F49" s="4">
        <f>SUM('Rep monthly'!L25:N25)</f>
        <v>30900</v>
      </c>
      <c r="G49" s="4">
        <f>SUM('Rep monthly'!O25:Q25)</f>
        <v>120700</v>
      </c>
      <c r="H49" s="4">
        <f>SUM('Rep monthly'!R25:T25)</f>
        <v>117900</v>
      </c>
      <c r="I49" s="4">
        <f>SUM('Rep monthly'!U25:W25)</f>
        <v>0</v>
      </c>
    </row>
    <row r="50">
      <c r="A50" s="0" t="inlineStr">
        <is>
          <t xml:space="preserve">Attainment</t>
        </is>
      </c>
      <c r="B50" s="0" t="inlineStr">
        <is>
          <t xml:space="preserve">Noor Ortiz</t>
        </is>
      </c>
      <c r="C50" s="12">
        <f>IF((0=1),"",IFERROR((C26/C2),0))</f>
        <v>0</v>
      </c>
      <c r="D50" s="12">
        <f>IF((0=1),"",IFERROR((D26/D2),0))</f>
        <v>0</v>
      </c>
      <c r="E50" s="12">
        <f>IF((0=1),"",IFERROR((E26/E2),0))</f>
        <v>0.5365333333333333</v>
      </c>
      <c r="F50" s="12">
        <f>IF((0=1),"",IFERROR((F26/F2),0))</f>
        <v>1.3490666666666666</v>
      </c>
      <c r="G50" s="12">
        <f>IF((0=1),"",IFERROR((G26/G2),0))</f>
        <v>1.1645333333333334</v>
      </c>
      <c r="H50" s="12">
        <f>IF((0=1),"",IFERROR((H26/H2),0))</f>
        <v>0.3696</v>
      </c>
      <c r="I50" s="12">
        <f>IF((1=1),"",IFERROR((I26/I2),0))</f>
      </c>
    </row>
    <row r="51">
      <c r="A51" s="0" t="inlineStr">
        <is>
          <t xml:space="preserve">Attainment</t>
        </is>
      </c>
      <c r="B51" s="0" t="inlineStr">
        <is>
          <t xml:space="preserve">Priya Yilmaz</t>
        </is>
      </c>
      <c r="C51" s="12">
        <f>IF((0=1),"",IFERROR((C27/C3),0))</f>
        <v>0</v>
      </c>
      <c r="D51" s="12">
        <f>IF((0=1),"",IFERROR((D27/D3),0))</f>
        <v>0</v>
      </c>
      <c r="E51" s="12">
        <f>IF((0=1),"",IFERROR((E27/E3),0))</f>
        <v>0</v>
      </c>
      <c r="F51" s="12">
        <f>IF((0=1),"",IFERROR((F27/F3),0))</f>
        <v>0</v>
      </c>
      <c r="G51" s="12">
        <f>IF((0=1),"",IFERROR((G27/G3),0))</f>
        <v>0</v>
      </c>
      <c r="H51" s="12">
        <f>IF((0=1),"",IFERROR((H27/H3),0))</f>
        <v>0</v>
      </c>
      <c r="I51" s="12">
        <f>IF((1=1),"",IFERROR((I27/I3),0))</f>
      </c>
    </row>
    <row r="52">
      <c r="A52" s="0" t="inlineStr">
        <is>
          <t xml:space="preserve">Attainment</t>
        </is>
      </c>
      <c r="B52" s="0" t="inlineStr">
        <is>
          <t xml:space="preserve">Marcus Schmidt</t>
        </is>
      </c>
      <c r="C52" s="12">
        <f>IF((0=1),"",IFERROR((C28/C4),0))</f>
        <v>0</v>
      </c>
      <c r="D52" s="12">
        <f>IF((0=1),"",IFERROR((D28/D4),0))</f>
        <v>1.6566037735849057</v>
      </c>
      <c r="E52" s="12">
        <f>IF((0=1),"",IFERROR((E28/E4),0))</f>
        <v>1.7981132075471697</v>
      </c>
      <c r="F52" s="12">
        <f>IF((0=1),"",IFERROR((F28/F4),0))</f>
        <v>2.5138364779874216</v>
      </c>
      <c r="G52" s="12">
        <f>IF((0=1),"",IFERROR((G28/G4),0))</f>
        <v>0.8202830188679245</v>
      </c>
      <c r="H52" s="12">
        <f>IF((0=1),"",IFERROR((H28/H4),0))</f>
        <v>0.6122641509433963</v>
      </c>
      <c r="I52" s="12">
        <f>IF((1=1),"",IFERROR((I28/I4),0))</f>
      </c>
    </row>
    <row r="53">
      <c r="A53" s="0" t="inlineStr">
        <is>
          <t xml:space="preserve">Attainment</t>
        </is>
      </c>
      <c r="B53" s="0" t="inlineStr">
        <is>
          <t xml:space="preserve">Amara Haddad</t>
        </is>
      </c>
      <c r="C53" s="12">
        <f>IF((0=1),"",IFERROR((C29/C5),0))</f>
        <v>0.980188679245283</v>
      </c>
      <c r="D53" s="12">
        <f>IF((0=1),"",IFERROR((D29/D5),0))</f>
        <v>1.2339622641509433</v>
      </c>
      <c r="E53" s="12">
        <f>IF((0=1),"",IFERROR((E29/E5),0))</f>
        <v>0.6514150943396226</v>
      </c>
      <c r="F53" s="12">
        <f>IF((0=1),"",IFERROR((F29/F5),0))</f>
        <v>0.23773584905660378</v>
      </c>
      <c r="G53" s="12">
        <f>IF((0=1),"",IFERROR((G29/G5),0))</f>
        <v>0.17783018867924527</v>
      </c>
      <c r="H53" s="12">
        <f>IF((0=1),"",IFERROR((H29/H5),0))</f>
        <v>0.2608490566037736</v>
      </c>
      <c r="I53" s="12">
        <f>IF((1=1),"",IFERROR((I29/I5),0))</f>
      </c>
    </row>
    <row r="54">
      <c r="A54" s="0" t="inlineStr">
        <is>
          <t xml:space="preserve">Attainment</t>
        </is>
      </c>
      <c r="B54" s="0" t="inlineStr">
        <is>
          <t xml:space="preserve">Fatima Silva</t>
        </is>
      </c>
      <c r="C54" s="12">
        <f>IF((0=1),"",IFERROR((C30/C6),0))</f>
        <v>0.9589285714285715</v>
      </c>
      <c r="D54" s="12">
        <f>IF((0=1),"",IFERROR((D30/D6),0))</f>
        <v>0.9866071428571429</v>
      </c>
      <c r="E54" s="12">
        <f>IF((0=1),"",IFERROR((E30/E6),0))</f>
        <v>1.0848214285714286</v>
      </c>
      <c r="F54" s="12">
        <f>IF((0=1),"",IFERROR((F30/F6),0))</f>
        <v>0.5580357142857143</v>
      </c>
      <c r="G54" s="12">
        <f>IF((0=1),"",IFERROR((G30/G6),0))</f>
        <v>0.9964285714285714</v>
      </c>
      <c r="H54" s="12">
        <f>IF((0=1),"",IFERROR((H30/H6),0))</f>
        <v>1.019642857142857</v>
      </c>
      <c r="I54" s="12">
        <f>IF((1=1),"",IFERROR((I30/I6),0))</f>
      </c>
    </row>
    <row r="55">
      <c r="A55" s="0" t="inlineStr">
        <is>
          <t xml:space="preserve">Attainment</t>
        </is>
      </c>
      <c r="B55" s="0" t="inlineStr">
        <is>
          <t xml:space="preserve">Ana Ortiz</t>
        </is>
      </c>
      <c r="C55" s="12">
        <f>IF((0=1),"",IFERROR((C31/C7),0))</f>
        <v>0.75</v>
      </c>
      <c r="D55" s="12">
        <f>IF((0=1),"",IFERROR((D31/D7),0))</f>
        <v>1.7321428571428572</v>
      </c>
      <c r="E55" s="12">
        <f>IF((0=1),"",IFERROR((E31/E7),0))</f>
        <v>0.4166666666666667</v>
      </c>
      <c r="F55" s="12">
        <f>IF((0=1),"",IFERROR((F31/F7),0))</f>
        <v>0.5089285714285714</v>
      </c>
      <c r="G55" s="12">
        <f>IF((0=1),"",IFERROR((G31/G7),0))</f>
        <v>0.9732142857142857</v>
      </c>
      <c r="H55" s="12">
        <f>IF((0=1),"",IFERROR((H31/H7),0))</f>
        <v>0.6133928571428572</v>
      </c>
      <c r="I55" s="12">
        <f>IF((1=1),"",IFERROR((I31/I7),0))</f>
      </c>
    </row>
    <row r="56">
      <c r="A56" s="0" t="inlineStr">
        <is>
          <t xml:space="preserve">Attainment</t>
        </is>
      </c>
      <c r="B56" s="0" t="inlineStr">
        <is>
          <t xml:space="preserve">Tobias Silva</t>
        </is>
      </c>
      <c r="C56" s="12">
        <f>IF((0=1),"",IFERROR((C32/C8),0))</f>
        <v>0</v>
      </c>
      <c r="D56" s="12">
        <f>IF((0=1),"",IFERROR((D32/D8),0))</f>
        <v>0.3914666666666667</v>
      </c>
      <c r="E56" s="12">
        <f>IF((0=1),"",IFERROR((E32/E8),0))</f>
        <v>0</v>
      </c>
      <c r="F56" s="12">
        <f>IF((0=1),"",IFERROR((F32/F8),0))</f>
        <v>3.7661333333333333</v>
      </c>
      <c r="G56" s="12">
        <f>IF((0=1),"",IFERROR((G32/G8),0))</f>
        <v>0.14133333333333334</v>
      </c>
      <c r="H56" s="12">
        <f>IF((0=1),"",IFERROR((H32/H8),0))</f>
        <v>1.3234666666666666</v>
      </c>
      <c r="I56" s="12">
        <f>IF((1=1),"",IFERROR((I32/I8),0))</f>
      </c>
    </row>
    <row r="57">
      <c r="A57" s="0" t="inlineStr">
        <is>
          <t xml:space="preserve">Attainment</t>
        </is>
      </c>
      <c r="B57" s="0" t="inlineStr">
        <is>
          <t xml:space="preserve">Leila Osei</t>
        </is>
      </c>
      <c r="C57" s="12">
        <f>IF((0=1),"",IFERROR((C33/C9),0))</f>
        <v>0</v>
      </c>
      <c r="D57" s="12">
        <f>IF((0=1),"",IFERROR((D33/D9),0))</f>
        <v>0</v>
      </c>
      <c r="E57" s="12">
        <f>IF((0=1),"",IFERROR((E33/E9),0))</f>
        <v>0</v>
      </c>
      <c r="F57" s="12">
        <f>IF((0=1),"",IFERROR((F33/F9),0))</f>
        <v>0.09466666666666666</v>
      </c>
      <c r="G57" s="12">
        <f>IF((0=1),"",IFERROR((G33/G9),0))</f>
        <v>0.9466666666666667</v>
      </c>
      <c r="H57" s="12">
        <f>IF((0=1),"",IFERROR((H33/H9),0))</f>
        <v>1.8613333333333333</v>
      </c>
      <c r="I57" s="12">
        <f>IF((1=1),"",IFERROR((I33/I9),0))</f>
      </c>
    </row>
    <row r="58">
      <c r="A58" s="0" t="inlineStr">
        <is>
          <t xml:space="preserve">Attainment</t>
        </is>
      </c>
      <c r="B58" s="0" t="inlineStr">
        <is>
          <t xml:space="preserve">Grace Costa</t>
        </is>
      </c>
      <c r="C58" s="12">
        <f>IF((0=1),"",IFERROR((C34/C10),0))</f>
        <v>0.3410377358490566</v>
      </c>
      <c r="D58" s="12">
        <f>IF((0=1),"",IFERROR((D34/D10),0))</f>
        <v>0.5377358490566038</v>
      </c>
      <c r="E58" s="12">
        <f>IF((0=1),"",IFERROR((E34/E10),0))</f>
        <v>1.6316037735849056</v>
      </c>
      <c r="F58" s="12">
        <f>IF((0=1),"",IFERROR((F34/F10),0))</f>
        <v>1.5264150943396226</v>
      </c>
      <c r="G58" s="12">
        <f>IF((0=1),"",IFERROR((G34/G10),0))</f>
        <v>3.055188679245283</v>
      </c>
      <c r="H58" s="12">
        <f>IF((0=1),"",IFERROR((H34/H10),0))</f>
        <v>1.8047169811320756</v>
      </c>
      <c r="I58" s="12">
        <f>IF((1=1),"",IFERROR((I34/I10),0))</f>
      </c>
    </row>
    <row r="59">
      <c r="A59" s="0" t="inlineStr">
        <is>
          <t xml:space="preserve">Attainment</t>
        </is>
      </c>
      <c r="B59" s="0" t="inlineStr">
        <is>
          <t xml:space="preserve">Ingrid Müller</t>
        </is>
      </c>
      <c r="C59" s="12">
        <f>IF((0=1),"",IFERROR((C35/C11),0))</f>
        <v>0</v>
      </c>
      <c r="D59" s="12">
        <f>IF((0=1),"",IFERROR((D35/D11),0))</f>
        <v>0</v>
      </c>
      <c r="E59" s="12">
        <f>IF((0=1),"",IFERROR((E35/E11),0))</f>
        <v>0</v>
      </c>
      <c r="F59" s="12">
        <f>IF((0=1),"",IFERROR((F35/F11),0))</f>
        <v>0</v>
      </c>
      <c r="G59" s="12">
        <f>IF((0=1),"",IFERROR((G35/G11),0))</f>
        <v>2.767924528301887</v>
      </c>
      <c r="H59" s="12">
        <f>IF((0=1),"",IFERROR((H35/H11),0))</f>
        <v>2.3179245283018868</v>
      </c>
      <c r="I59" s="12">
        <f>IF((1=1),"",IFERROR((I35/I11),0))</f>
      </c>
    </row>
    <row r="60">
      <c r="A60" s="0" t="inlineStr">
        <is>
          <t xml:space="preserve">Attainment</t>
        </is>
      </c>
      <c r="B60" s="0" t="inlineStr">
        <is>
          <t xml:space="preserve">Ingrid Kim</t>
        </is>
      </c>
      <c r="C60" s="12">
        <f>IF((0=1),"",IFERROR((C36/C12),0))</f>
        <v>0.7196428571428571</v>
      </c>
      <c r="D60" s="12">
        <f>IF((0=1),"",IFERROR((D36/D12),0))</f>
        <v>0.7732142857142857</v>
      </c>
      <c r="E60" s="12">
        <f>IF((0=1),"",IFERROR((E36/E12),0))</f>
        <v>1.1232142857142857</v>
      </c>
      <c r="F60" s="12">
        <f>IF((0=1),"",IFERROR((F36/F12),0))</f>
        <v>0.9508928571428571</v>
      </c>
      <c r="G60" s="12">
        <f>IF((0=1),"",IFERROR((G36/G12),0))</f>
        <v>0.23660714285714285</v>
      </c>
      <c r="H60" s="12">
        <f>IF((0=1),"",IFERROR((H36/H12),0))</f>
        <v>0.7955357142857142</v>
      </c>
      <c r="I60" s="12">
        <f>IF((1=1),"",IFERROR((I36/I12),0))</f>
      </c>
    </row>
    <row r="61">
      <c r="A61" s="0" t="inlineStr">
        <is>
          <t xml:space="preserve">Attainment</t>
        </is>
      </c>
      <c r="B61" s="0" t="inlineStr">
        <is>
          <t xml:space="preserve">Priya Nair</t>
        </is>
      </c>
      <c r="C61" s="12">
        <f>IF((0=1),"",IFERROR((C37/C13),0))</f>
        <v>0.6303571428571428</v>
      </c>
      <c r="D61" s="12">
        <f>IF((0=1),"",IFERROR((D37/D13),0))</f>
        <v>0.9017857142857143</v>
      </c>
      <c r="E61" s="12">
        <f>IF((0=1),"",IFERROR((E37/E13),0))</f>
        <v>0.9964285714285714</v>
      </c>
      <c r="F61" s="12">
        <f>IF((0=1),"",IFERROR((F37/F13),0))</f>
        <v>0.6758928571428572</v>
      </c>
      <c r="G61" s="12">
        <f>IF((0=1),"",IFERROR((G37/G13),0))</f>
        <v>0.925</v>
      </c>
      <c r="H61" s="12">
        <f>IF((0=1),"",IFERROR((H37/H13),0))</f>
        <v>0.33214285714285713</v>
      </c>
      <c r="I61" s="12">
        <f>IF((1=1),"",IFERROR((I37/I13),0))</f>
      </c>
    </row>
    <row r="62">
      <c r="A62" s="0" t="inlineStr">
        <is>
          <t xml:space="preserve">Attainment</t>
        </is>
      </c>
      <c r="B62" s="0" t="inlineStr">
        <is>
          <t xml:space="preserve">Hugo Lindqvist</t>
        </is>
      </c>
      <c r="C62" s="12">
        <f>IF((0=1),"",IFERROR((C38/C14),0))</f>
        <v>0.7272189349112426</v>
      </c>
      <c r="D62" s="12">
        <f>IF((0=1),"",IFERROR((D38/D14),0))</f>
        <v>2.1671597633136095</v>
      </c>
      <c r="E62" s="12">
        <f>IF((0=1),"",IFERROR((E38/E14),0))</f>
        <v>0.8035502958579882</v>
      </c>
      <c r="F62" s="12">
        <f>IF((0=1),"",IFERROR((F38/F14),0))</f>
        <v>1.607396449704142</v>
      </c>
      <c r="G62" s="12">
        <f>IF((0=1),"",IFERROR((G38/G14),0))</f>
        <v>1.3520710059171597</v>
      </c>
      <c r="H62" s="12">
        <f>IF((0=1),"",IFERROR((H38/H14),0))</f>
        <v>1.1142011834319527</v>
      </c>
      <c r="I62" s="12">
        <f>IF((1=1),"",IFERROR((I38/I14),0))</f>
      </c>
    </row>
    <row r="63">
      <c r="A63" s="0" t="inlineStr">
        <is>
          <t xml:space="preserve">Attainment</t>
        </is>
      </c>
      <c r="B63" s="0" t="inlineStr">
        <is>
          <t xml:space="preserve">Wei Novak</t>
        </is>
      </c>
      <c r="C63" s="12">
        <f>IF((0=1),"",IFERROR((C39/C15),0))</f>
        <v>0</v>
      </c>
      <c r="D63" s="12">
        <f>IF((0=1),"",IFERROR((D39/D15),0))</f>
        <v>0</v>
      </c>
      <c r="E63" s="12">
        <f>IF((0=1),"",IFERROR((E39/E15),0))</f>
        <v>0</v>
      </c>
      <c r="F63" s="12">
        <f>IF((0=1),"",IFERROR((F39/F15),0))</f>
        <v>0.2714285714285714</v>
      </c>
      <c r="G63" s="12">
        <f>IF((0=1),"",IFERROR((G39/G15),0))</f>
        <v>0.35502958579881655</v>
      </c>
      <c r="H63" s="12">
        <f>IF((0=1),"",IFERROR((H39/H15),0))</f>
        <v>0.36719367588932805</v>
      </c>
      <c r="I63" s="12">
        <f>IF((1=1),"",IFERROR((I39/I15),0))</f>
      </c>
    </row>
    <row r="64">
      <c r="A64" s="0" t="inlineStr">
        <is>
          <t xml:space="preserve">Attainment</t>
        </is>
      </c>
      <c r="B64" s="0" t="inlineStr">
        <is>
          <t xml:space="preserve">Nikolai Kim</t>
        </is>
      </c>
      <c r="C64" s="12">
        <f>IF((0=1),"",IFERROR((C40/C16),0))</f>
        <v>1.3768421052631579</v>
      </c>
      <c r="D64" s="12">
        <f>IF((0=1),"",IFERROR((D40/D16),0))</f>
        <v>1.6657894736842105</v>
      </c>
      <c r="E64" s="12">
        <f>IF((0=1),"",IFERROR((E40/E16),0))</f>
        <v>1.6036842105263158</v>
      </c>
      <c r="F64" s="12">
        <f>IF((0=1),"",IFERROR((F40/F16),0))</f>
        <v>0.8552631578947368</v>
      </c>
      <c r="G64" s="12">
        <f>IF((0=1),"",IFERROR((G40/G16),0))</f>
        <v>1.2189473684210526</v>
      </c>
      <c r="H64" s="12">
        <f>IF((0=1),"",IFERROR((H40/H16),0))</f>
        <v>0.7178947368421053</v>
      </c>
      <c r="I64" s="12">
        <f>IF((1=1),"",IFERROR((I40/I16),0))</f>
      </c>
    </row>
    <row r="65">
      <c r="A65" s="0" t="inlineStr">
        <is>
          <t xml:space="preserve">Attainment</t>
        </is>
      </c>
      <c r="B65" s="0" t="inlineStr">
        <is>
          <t xml:space="preserve">Wei Nair</t>
        </is>
      </c>
      <c r="C65" s="12">
        <f>IF((0=1),"",IFERROR((C41/C17),0))</f>
        <v>0.6873684210526316</v>
      </c>
      <c r="D65" s="12">
        <f>IF((0=1),"",IFERROR((D41/D17),0))</f>
        <v>0.5931578947368421</v>
      </c>
      <c r="E65" s="12">
        <f>IF((0=1),"",IFERROR((E41/E17),0))</f>
        <v>0.988421052631579</v>
      </c>
      <c r="F65" s="12">
        <f>IF((0=1),"",IFERROR((F41/F17),0))</f>
        <v>0.8057894736842105</v>
      </c>
      <c r="G65" s="12">
        <f>IF((0=1),"",IFERROR((G41/G17),0))</f>
        <v>0.32894736842105265</v>
      </c>
      <c r="H65" s="12">
        <f>IF((0=1),"",IFERROR((H41/H17),0))</f>
        <v>0.5663157894736842</v>
      </c>
      <c r="I65" s="12">
        <f>IF((1=1),"",IFERROR((I41/I17),0))</f>
      </c>
    </row>
    <row r="66">
      <c r="A66" s="0" t="inlineStr">
        <is>
          <t xml:space="preserve">Attainment</t>
        </is>
      </c>
      <c r="B66" s="0" t="inlineStr">
        <is>
          <t xml:space="preserve">Liam Silva</t>
        </is>
      </c>
      <c r="C66" s="12">
        <f>IF((0=1),"",IFERROR((C42/C18),0))</f>
        <v>0.14</v>
      </c>
      <c r="D66" s="12">
        <f>IF((0=1),"",IFERROR((D42/D18),0))</f>
        <v>1.43</v>
      </c>
      <c r="E66" s="12">
        <f>IF((0=1),"",IFERROR((E42/E18),0))</f>
        <v>1.356</v>
      </c>
      <c r="F66" s="12">
        <f>IF((0=1),"",IFERROR((F42/F18),0))</f>
        <v>1.239</v>
      </c>
      <c r="G66" s="12">
        <f>IF((0=1),"",IFERROR((G42/G18),0))</f>
        <v>0.445</v>
      </c>
      <c r="H66" s="12">
        <f>IF((0=1),"",IFERROR((H42/H18),0))</f>
        <v>1.03</v>
      </c>
      <c r="I66" s="12">
        <f>IF((1=1),"",IFERROR((I42/I18),0))</f>
      </c>
    </row>
    <row r="67">
      <c r="A67" s="0" t="inlineStr">
        <is>
          <t xml:space="preserve">Attainment</t>
        </is>
      </c>
      <c r="B67" s="0" t="inlineStr">
        <is>
          <t xml:space="preserve">Samuel Silva</t>
        </is>
      </c>
      <c r="C67" s="12">
        <f>IF((0=1),"",IFERROR((C43/C19),0))</f>
        <v>0.339</v>
      </c>
      <c r="D67" s="12">
        <f>IF((0=1),"",IFERROR((D43/D19),0))</f>
        <v>1.541</v>
      </c>
      <c r="E67" s="12">
        <f>IF((0=1),"",IFERROR((E43/E19),0))</f>
        <v>0.969</v>
      </c>
      <c r="F67" s="12">
        <f>IF((0=1),"",IFERROR((F43/F19),0))</f>
        <v>1.694</v>
      </c>
      <c r="G67" s="12">
        <f>IF((0=1),"",IFERROR((G43/G19),0))</f>
        <v>1.001</v>
      </c>
      <c r="H67" s="12">
        <f>IF((0=1),"",IFERROR((H43/H19),0))</f>
        <v>0.713</v>
      </c>
      <c r="I67" s="12">
        <f>IF((1=1),"",IFERROR((I43/I19),0))</f>
      </c>
    </row>
    <row r="68">
      <c r="A68" s="0" t="inlineStr">
        <is>
          <t xml:space="preserve">Attainment</t>
        </is>
      </c>
      <c r="B68" s="0" t="inlineStr">
        <is>
          <t xml:space="preserve">Yuki Larsen</t>
        </is>
      </c>
      <c r="C68" s="12">
        <f>IF((0=1),"",IFERROR((C44/C20),0))</f>
        <v>0</v>
      </c>
      <c r="D68" s="12">
        <f>IF((0=1),"",IFERROR((D44/D20),0))</f>
        <v>0.566793893129771</v>
      </c>
      <c r="E68" s="12">
        <f>IF((0=1),"",IFERROR((E44/E20),0))</f>
        <v>0</v>
      </c>
      <c r="F68" s="12">
        <f>IF((0=1),"",IFERROR((F44/F20),0))</f>
        <v>0</v>
      </c>
      <c r="G68" s="12">
        <f>IF((0=1),"",IFERROR((G44/G20),0))</f>
        <v>0.7190839694656489</v>
      </c>
      <c r="H68" s="12">
        <f>IF((0=1),"",IFERROR((H44/H20),0))</f>
        <v>0.601526717557252</v>
      </c>
      <c r="I68" s="12">
        <f>IF((1=1),"",IFERROR((I44/I20),0))</f>
      </c>
    </row>
    <row r="69">
      <c r="A69" s="0" t="inlineStr">
        <is>
          <t xml:space="preserve">Attainment</t>
        </is>
      </c>
      <c r="B69" s="0" t="inlineStr">
        <is>
          <t xml:space="preserve">Nikolai Sato</t>
        </is>
      </c>
      <c r="C69" s="12">
        <f>IF((0=1),"",IFERROR((C45/C21),0))</f>
        <v>0.38053435114503814</v>
      </c>
      <c r="D69" s="12">
        <f>IF((0=1),"",IFERROR((D45/D21),0))</f>
        <v>1.0637404580152672</v>
      </c>
      <c r="E69" s="12">
        <f>IF((0=1),"",IFERROR((E45/E21),0))</f>
        <v>0.24541984732824426</v>
      </c>
      <c r="F69" s="12">
        <f>IF((0=1),"",IFERROR((F45/F21),0))</f>
        <v>0.3427480916030534</v>
      </c>
      <c r="G69" s="12">
        <f>IF((0=1),"",IFERROR((G45/G21),0))</f>
        <v>0</v>
      </c>
      <c r="H69" s="12">
        <f>IF((0=1),"",IFERROR((H45/H21),0))</f>
        <v>0.3946564885496183</v>
      </c>
      <c r="I69" s="12">
        <f>IF((1=1),"",IFERROR((I45/I21),0))</f>
      </c>
    </row>
    <row r="70">
      <c r="A70" s="0" t="inlineStr">
        <is>
          <t xml:space="preserve">Attainment</t>
        </is>
      </c>
      <c r="B70" s="0" t="inlineStr">
        <is>
          <t xml:space="preserve">Elena Silva</t>
        </is>
      </c>
      <c r="C70" s="12">
        <f>IF((0=1),"",IFERROR((C46/C22),0))</f>
        <v>0.9928571428571429</v>
      </c>
      <c r="D70" s="12">
        <f>IF((0=1),"",IFERROR((D46/D22),0))</f>
        <v>1.9073333333333333</v>
      </c>
      <c r="E70" s="12">
        <f>IF((0=1),"",IFERROR((E46/E22),0))</f>
        <v>1.536</v>
      </c>
      <c r="F70" s="12">
        <f>IF((0=1),"",IFERROR((F46/F22),0))</f>
        <v>0.9146666666666666</v>
      </c>
      <c r="G70" s="12">
        <f>IF((0=1),"",IFERROR((G46/G22),0))</f>
        <v>1.226</v>
      </c>
      <c r="H70" s="12">
        <f>IF((0=1),"",IFERROR((H46/H22),0))</f>
        <v>1.2773333333333334</v>
      </c>
      <c r="I70" s="12">
        <f>IF((1=1),"",IFERROR((I46/I22),0))</f>
      </c>
    </row>
    <row r="71">
      <c r="A71" s="0" t="inlineStr">
        <is>
          <t xml:space="preserve">Attainment</t>
        </is>
      </c>
      <c r="B71" s="0" t="inlineStr">
        <is>
          <t xml:space="preserve">Arjun Müller</t>
        </is>
      </c>
      <c r="C71" s="12">
        <f>IF((0=1),"",IFERROR((C47/C23),0))</f>
        <v>0.16666666666666666</v>
      </c>
      <c r="D71" s="12">
        <f>IF((0=1),"",IFERROR((D47/D23),0))</f>
        <v>0.5173333333333333</v>
      </c>
      <c r="E71" s="12">
        <f>IF((0=1),"",IFERROR((E47/E23),0))</f>
        <v>1.172</v>
      </c>
      <c r="F71" s="12">
        <f>IF((0=1),"",IFERROR((F47/F23),0))</f>
        <v>0</v>
      </c>
      <c r="G71" s="12">
        <f>IF((0=1),"",IFERROR((G47/G23),0))</f>
        <v>1.2926666666666666</v>
      </c>
      <c r="H71" s="12">
        <f>IF((0=1),"",IFERROR((H47/H23),0))</f>
        <v>1.0813333333333333</v>
      </c>
      <c r="I71" s="12">
        <f>IF((1=1),"",IFERROR((I47/I23),0))</f>
      </c>
    </row>
    <row r="72">
      <c r="A72" s="0" t="inlineStr">
        <is>
          <t xml:space="preserve">Attainment</t>
        </is>
      </c>
      <c r="B72" s="0" t="inlineStr">
        <is>
          <t xml:space="preserve">Nikolai Park</t>
        </is>
      </c>
      <c r="C72" s="12">
        <f>IF((0=1),"",IFERROR((C48/C24),0))</f>
        <v>0</v>
      </c>
      <c r="D72" s="12">
        <f>IF((0=1),"",IFERROR((D48/D24),0))</f>
        <v>0</v>
      </c>
      <c r="E72" s="12">
        <f>IF((0=1),"",IFERROR((E48/E24),0))</f>
        <v>0</v>
      </c>
      <c r="F72" s="12">
        <f>IF((0=1),"",IFERROR((F48/F24),0))</f>
        <v>0</v>
      </c>
      <c r="G72" s="12">
        <f>IF((0=1),"",IFERROR((G48/G24),0))</f>
        <v>0.55</v>
      </c>
      <c r="H72" s="12">
        <f>IF((0=1),"",IFERROR((H48/H24),0))</f>
        <v>0.695</v>
      </c>
      <c r="I72" s="12">
        <f>IF((1=1),"",IFERROR((I48/I24),0))</f>
      </c>
    </row>
    <row r="73">
      <c r="A73" s="0" t="inlineStr">
        <is>
          <t xml:space="preserve">Attainment</t>
        </is>
      </c>
      <c r="B73" s="0" t="inlineStr">
        <is>
          <t xml:space="preserve">Ingrid Dubois</t>
        </is>
      </c>
      <c r="C73" s="12">
        <f>IF((0=1),"",IFERROR((C49/C25),0))</f>
        <v>0</v>
      </c>
      <c r="D73" s="12">
        <f>IF((0=1),"",IFERROR((D49/D25),0))</f>
        <v>1.55375</v>
      </c>
      <c r="E73" s="12">
        <f>IF((0=1),"",IFERROR((E49/E25),0))</f>
        <v>1.0425</v>
      </c>
      <c r="F73" s="12">
        <f>IF((0=1),"",IFERROR((F49/F25),0))</f>
        <v>0.38625</v>
      </c>
      <c r="G73" s="12">
        <f>IF((0=1),"",IFERROR((G49/G25),0))</f>
        <v>1.50875</v>
      </c>
      <c r="H73" s="12">
        <f>IF((0=1),"",IFERROR((H49/H25),0))</f>
        <v>1.47375</v>
      </c>
      <c r="I73" s="12">
        <f>IF((1=1),"",IFERROR((I49/I25),0))</f>
      </c>
    </row>
    <row r="74">
      <c r="A74" s="0" t="inlineStr">
        <is>
          <t xml:space="preserve">Gap to quota</t>
        </is>
      </c>
      <c r="B74" s="0" t="inlineStr">
        <is>
          <t xml:space="preserve">Noor Ortiz</t>
        </is>
      </c>
      <c r="C74" s="4">
        <f>(C2-C26)</f>
        <v>375000</v>
      </c>
      <c r="D74" s="4">
        <f>(D2-D26)</f>
        <v>375000</v>
      </c>
      <c r="E74" s="4">
        <f>(E2-E26)</f>
        <v>173800</v>
      </c>
      <c r="F74" s="4">
        <f>(F2-F26)</f>
        <v>-130900</v>
      </c>
      <c r="G74" s="4">
        <f>(G2-G26)</f>
        <v>-61700</v>
      </c>
      <c r="H74" s="4">
        <f>(H2-H26)</f>
        <v>236400</v>
      </c>
      <c r="I74" s="4">
        <f>(I2-I26)</f>
        <v>375000</v>
      </c>
    </row>
    <row r="75">
      <c r="A75" s="0" t="inlineStr">
        <is>
          <t xml:space="preserve">Gap to quota</t>
        </is>
      </c>
      <c r="B75" s="0" t="inlineStr">
        <is>
          <t xml:space="preserve">Priya Yilmaz</t>
        </is>
      </c>
      <c r="C75" s="4">
        <f>(C3-C27)</f>
        <v>0</v>
      </c>
      <c r="D75" s="4">
        <f>(D3-D27)</f>
        <v>0</v>
      </c>
      <c r="E75" s="4">
        <f>(E3-E27)</f>
        <v>0</v>
      </c>
      <c r="F75" s="4">
        <f>(F3-F27)</f>
        <v>0</v>
      </c>
      <c r="G75" s="4">
        <f>(G3-G27)</f>
        <v>0</v>
      </c>
      <c r="H75" s="4">
        <f>(H3-H27)</f>
        <v>94000</v>
      </c>
      <c r="I75" s="4">
        <f>(I3-I27)</f>
        <v>188000</v>
      </c>
    </row>
    <row r="76">
      <c r="A76" s="0" t="inlineStr">
        <is>
          <t xml:space="preserve">Gap to quota</t>
        </is>
      </c>
      <c r="B76" s="0" t="inlineStr">
        <is>
          <t xml:space="preserve">Marcus Schmidt</t>
        </is>
      </c>
      <c r="C76" s="4">
        <f>(C4-C28)</f>
        <v>0</v>
      </c>
      <c r="D76" s="4">
        <f>(D4-D28)</f>
        <v>-34800</v>
      </c>
      <c r="E76" s="4">
        <f>(E4-E28)</f>
        <v>-84600</v>
      </c>
      <c r="F76" s="4">
        <f>(F4-F28)</f>
        <v>-240700</v>
      </c>
      <c r="G76" s="4">
        <f>(G4-G28)</f>
        <v>38100</v>
      </c>
      <c r="H76" s="4">
        <f>(H4-H28)</f>
        <v>82200</v>
      </c>
      <c r="I76" s="4">
        <f>(I4-I28)</f>
        <v>212000</v>
      </c>
    </row>
    <row r="77">
      <c r="A77" s="0" t="inlineStr">
        <is>
          <t xml:space="preserve">Gap to quota</t>
        </is>
      </c>
      <c r="B77" s="0" t="inlineStr">
        <is>
          <t xml:space="preserve">Amara Haddad</t>
        </is>
      </c>
      <c r="C77" s="4">
        <f>(C5-C29)</f>
        <v>4200</v>
      </c>
      <c r="D77" s="4">
        <f>(D5-D29)</f>
        <v>-49600</v>
      </c>
      <c r="E77" s="4">
        <f>(E5-E29)</f>
        <v>73900</v>
      </c>
      <c r="F77" s="4">
        <f>(F5-F29)</f>
        <v>161600</v>
      </c>
      <c r="G77" s="4">
        <f>(G5-G29)</f>
        <v>174300</v>
      </c>
      <c r="H77" s="4">
        <f>(H5-H29)</f>
        <v>156700</v>
      </c>
      <c r="I77" s="4">
        <f>(I5-I29)</f>
        <v>212000</v>
      </c>
    </row>
    <row r="78">
      <c r="A78" s="0" t="inlineStr">
        <is>
          <t xml:space="preserve">Gap to quota</t>
        </is>
      </c>
      <c r="B78" s="0" t="inlineStr">
        <is>
          <t xml:space="preserve">Fatima Silva</t>
        </is>
      </c>
      <c r="C78" s="4">
        <f>(C6-C30)</f>
        <v>4600</v>
      </c>
      <c r="D78" s="4">
        <f>(D6-D30)</f>
        <v>1500</v>
      </c>
      <c r="E78" s="4">
        <f>(E6-E30)</f>
        <v>-9500</v>
      </c>
      <c r="F78" s="4">
        <f>(F6-F30)</f>
        <v>49500</v>
      </c>
      <c r="G78" s="4">
        <f>(G6-G30)</f>
        <v>400</v>
      </c>
      <c r="H78" s="4">
        <f>(H6-H30)</f>
        <v>-2200</v>
      </c>
      <c r="I78" s="4">
        <f>(I6-I30)</f>
        <v>112000</v>
      </c>
    </row>
    <row r="79">
      <c r="A79" s="0" t="inlineStr">
        <is>
          <t xml:space="preserve">Gap to quota</t>
        </is>
      </c>
      <c r="B79" s="0" t="inlineStr">
        <is>
          <t xml:space="preserve">Ana Ortiz</t>
        </is>
      </c>
      <c r="C79" s="4">
        <f>(C7-C31)</f>
        <v>7000</v>
      </c>
      <c r="D79" s="4">
        <f>(D7-D31)</f>
        <v>-41000</v>
      </c>
      <c r="E79" s="4">
        <f>(E7-E31)</f>
        <v>49000</v>
      </c>
      <c r="F79" s="4">
        <f>(F7-F31)</f>
        <v>55000</v>
      </c>
      <c r="G79" s="4">
        <f>(G7-G31)</f>
        <v>3000</v>
      </c>
      <c r="H79" s="4">
        <f>(H7-H31)</f>
        <v>43300</v>
      </c>
      <c r="I79" s="4">
        <f>(I7-I31)</f>
        <v>112000</v>
      </c>
    </row>
    <row r="80">
      <c r="A80" s="0" t="inlineStr">
        <is>
          <t xml:space="preserve">Gap to quota</t>
        </is>
      </c>
      <c r="B80" s="0" t="inlineStr">
        <is>
          <t xml:space="preserve">Tobias Silva</t>
        </is>
      </c>
      <c r="C80" s="4">
        <f>(C8-C32)</f>
        <v>375000</v>
      </c>
      <c r="D80" s="4">
        <f>(D8-D32)</f>
        <v>228200</v>
      </c>
      <c r="E80" s="4">
        <f>(E8-E32)</f>
        <v>375000</v>
      </c>
      <c r="F80" s="4">
        <f>(F8-F32)</f>
        <v>-1037300</v>
      </c>
      <c r="G80" s="4">
        <f>(G8-G32)</f>
        <v>322000</v>
      </c>
      <c r="H80" s="4">
        <f>(H8-H32)</f>
        <v>-121300</v>
      </c>
      <c r="I80" s="4">
        <f>(I8-I32)</f>
        <v>375000</v>
      </c>
    </row>
    <row r="81">
      <c r="A81" s="0" t="inlineStr">
        <is>
          <t xml:space="preserve">Gap to quota</t>
        </is>
      </c>
      <c r="B81" s="0" t="inlineStr">
        <is>
          <t xml:space="preserve">Leila Osei</t>
        </is>
      </c>
      <c r="C81" s="4">
        <f>(C9-C33)</f>
        <v>375000</v>
      </c>
      <c r="D81" s="4">
        <f>(D9-D33)</f>
        <v>375000</v>
      </c>
      <c r="E81" s="4">
        <f>(E9-E33)</f>
        <v>375000</v>
      </c>
      <c r="F81" s="4">
        <f>(F9-F33)</f>
        <v>339500</v>
      </c>
      <c r="G81" s="4">
        <f>(G9-G33)</f>
        <v>20000</v>
      </c>
      <c r="H81" s="4">
        <f>(H9-H33)</f>
        <v>-323000</v>
      </c>
      <c r="I81" s="4">
        <f>(I9-I33)</f>
        <v>375000</v>
      </c>
    </row>
    <row r="82">
      <c r="A82" s="0" t="inlineStr">
        <is>
          <t xml:space="preserve">Gap to quota</t>
        </is>
      </c>
      <c r="B82" s="0" t="inlineStr">
        <is>
          <t xml:space="preserve">Grace Costa</t>
        </is>
      </c>
      <c r="C82" s="4">
        <f>(C10-C34)</f>
        <v>139700</v>
      </c>
      <c r="D82" s="4">
        <f>(D10-D34)</f>
        <v>98000</v>
      </c>
      <c r="E82" s="4">
        <f>(E10-E34)</f>
        <v>-133900</v>
      </c>
      <c r="F82" s="4">
        <f>(F10-F34)</f>
        <v>-111600</v>
      </c>
      <c r="G82" s="4">
        <f>(G10-G34)</f>
        <v>-435700</v>
      </c>
      <c r="H82" s="4">
        <f>(H10-H34)</f>
        <v>-170600</v>
      </c>
      <c r="I82" s="4">
        <f>(I10-I34)</f>
        <v>212000</v>
      </c>
    </row>
    <row r="83">
      <c r="A83" s="0" t="inlineStr">
        <is>
          <t xml:space="preserve">Gap to quota</t>
        </is>
      </c>
      <c r="B83" s="0" t="inlineStr">
        <is>
          <t xml:space="preserve">Ingrid Müller</t>
        </is>
      </c>
      <c r="C83" s="4">
        <f>(C11-C35)</f>
        <v>0</v>
      </c>
      <c r="D83" s="4">
        <f>(D11-D35)</f>
        <v>0</v>
      </c>
      <c r="E83" s="4">
        <f>(E11-E35)</f>
        <v>0</v>
      </c>
      <c r="F83" s="4">
        <f>(F11-F35)</f>
        <v>0</v>
      </c>
      <c r="G83" s="4">
        <f>(G11-G35)</f>
        <v>-93700</v>
      </c>
      <c r="H83" s="4">
        <f>(H11-H35)</f>
        <v>-139700</v>
      </c>
      <c r="I83" s="4">
        <f>(I11-I35)</f>
        <v>159000</v>
      </c>
    </row>
    <row r="84">
      <c r="A84" s="0" t="inlineStr">
        <is>
          <t xml:space="preserve">Gap to quota</t>
        </is>
      </c>
      <c r="B84" s="0" t="inlineStr">
        <is>
          <t xml:space="preserve">Ingrid Kim</t>
        </is>
      </c>
      <c r="C84" s="4">
        <f>(C12-C36)</f>
        <v>31400</v>
      </c>
      <c r="D84" s="4">
        <f>(D12-D36)</f>
        <v>25400</v>
      </c>
      <c r="E84" s="4">
        <f>(E12-E36)</f>
        <v>-13800</v>
      </c>
      <c r="F84" s="4">
        <f>(F12-F36)</f>
        <v>5500</v>
      </c>
      <c r="G84" s="4">
        <f>(G12-G36)</f>
        <v>85500</v>
      </c>
      <c r="H84" s="4">
        <f>(H12-H36)</f>
        <v>22900</v>
      </c>
      <c r="I84" s="4">
        <f>(I12-I36)</f>
        <v>112000</v>
      </c>
    </row>
    <row r="85">
      <c r="A85" s="0" t="inlineStr">
        <is>
          <t xml:space="preserve">Gap to quota</t>
        </is>
      </c>
      <c r="B85" s="0" t="inlineStr">
        <is>
          <t xml:space="preserve">Priya Nair</t>
        </is>
      </c>
      <c r="C85" s="4">
        <f>(C13-C37)</f>
        <v>41400</v>
      </c>
      <c r="D85" s="4">
        <f>(D13-D37)</f>
        <v>11000</v>
      </c>
      <c r="E85" s="4">
        <f>(E13-E37)</f>
        <v>400</v>
      </c>
      <c r="F85" s="4">
        <f>(F13-F37)</f>
        <v>36300</v>
      </c>
      <c r="G85" s="4">
        <f>(G13-G37)</f>
        <v>8400</v>
      </c>
      <c r="H85" s="4">
        <f>(H13-H37)</f>
        <v>74800</v>
      </c>
      <c r="I85" s="4">
        <f>(I13-I37)</f>
        <v>112000</v>
      </c>
    </row>
    <row r="86">
      <c r="A86" s="0" t="inlineStr">
        <is>
          <t xml:space="preserve">Gap to quota</t>
        </is>
      </c>
      <c r="B86" s="0" t="inlineStr">
        <is>
          <t xml:space="preserve">Hugo Lindqvist</t>
        </is>
      </c>
      <c r="C86" s="4">
        <f>(C14-C38)</f>
        <v>92200</v>
      </c>
      <c r="D86" s="4">
        <f>(D14-D38)</f>
        <v>-394500</v>
      </c>
      <c r="E86" s="4">
        <f>(E14-E38)</f>
        <v>66400</v>
      </c>
      <c r="F86" s="4">
        <f>(F14-F38)</f>
        <v>-205300</v>
      </c>
      <c r="G86" s="4">
        <f>(G14-G38)</f>
        <v>-119000</v>
      </c>
      <c r="H86" s="4">
        <f>(H14-H38)</f>
        <v>-38600</v>
      </c>
      <c r="I86" s="4">
        <f>(I14-I38)</f>
        <v>338000</v>
      </c>
    </row>
    <row r="87">
      <c r="A87" s="0" t="inlineStr">
        <is>
          <t xml:space="preserve">Gap to quota</t>
        </is>
      </c>
      <c r="B87" s="0" t="inlineStr">
        <is>
          <t xml:space="preserve">Wei Novak</t>
        </is>
      </c>
      <c r="C87" s="4">
        <f>(C15-C39)</f>
        <v>0</v>
      </c>
      <c r="D87" s="4">
        <f>(D15-D39)</f>
        <v>0</v>
      </c>
      <c r="E87" s="4">
        <f>(E15-E39)</f>
        <v>0</v>
      </c>
      <c r="F87" s="4">
        <f>(F15-F39)</f>
        <v>61200</v>
      </c>
      <c r="G87" s="4">
        <f>(G15-G39)</f>
        <v>109000</v>
      </c>
      <c r="H87" s="4">
        <f>(H15-H39)</f>
        <v>160100</v>
      </c>
      <c r="I87" s="4">
        <f>(I15-I39)</f>
        <v>338000</v>
      </c>
    </row>
    <row r="88">
      <c r="A88" s="0" t="inlineStr">
        <is>
          <t xml:space="preserve">Gap to quota</t>
        </is>
      </c>
      <c r="B88" s="0" t="inlineStr">
        <is>
          <t xml:space="preserve">Nikolai Kim</t>
        </is>
      </c>
      <c r="C88" s="4">
        <f>(C16-C40)</f>
        <v>-71600</v>
      </c>
      <c r="D88" s="4">
        <f>(D16-D40)</f>
        <v>-126500</v>
      </c>
      <c r="E88" s="4">
        <f>(E16-E40)</f>
        <v>-114700</v>
      </c>
      <c r="F88" s="4">
        <f>(F16-F40)</f>
        <v>27500</v>
      </c>
      <c r="G88" s="4">
        <f>(G16-G40)</f>
        <v>-41600</v>
      </c>
      <c r="H88" s="4">
        <f>(H16-H40)</f>
        <v>53600</v>
      </c>
      <c r="I88" s="4">
        <f>(I16-I40)</f>
        <v>190000</v>
      </c>
    </row>
    <row r="89">
      <c r="A89" s="0" t="inlineStr">
        <is>
          <t xml:space="preserve">Gap to quota</t>
        </is>
      </c>
      <c r="B89" s="0" t="inlineStr">
        <is>
          <t xml:space="preserve">Wei Nair</t>
        </is>
      </c>
      <c r="C89" s="4">
        <f>(C17-C41)</f>
        <v>59400</v>
      </c>
      <c r="D89" s="4">
        <f>(D17-D41)</f>
        <v>77300</v>
      </c>
      <c r="E89" s="4">
        <f>(E17-E41)</f>
        <v>2200</v>
      </c>
      <c r="F89" s="4">
        <f>(F17-F41)</f>
        <v>36900</v>
      </c>
      <c r="G89" s="4">
        <f>(G17-G41)</f>
        <v>127500</v>
      </c>
      <c r="H89" s="4">
        <f>(H17-H41)</f>
        <v>82400</v>
      </c>
      <c r="I89" s="4">
        <f>(I17-I41)</f>
        <v>190000</v>
      </c>
    </row>
    <row r="90">
      <c r="A90" s="0" t="inlineStr">
        <is>
          <t xml:space="preserve">Gap to quota</t>
        </is>
      </c>
      <c r="B90" s="0" t="inlineStr">
        <is>
          <t xml:space="preserve">Liam Silva</t>
        </is>
      </c>
      <c r="C90" s="4">
        <f>(C18-C42)</f>
        <v>21500</v>
      </c>
      <c r="D90" s="4">
        <f>(D18-D42)</f>
        <v>-21500</v>
      </c>
      <c r="E90" s="4">
        <f>(E18-E42)</f>
        <v>-26700</v>
      </c>
      <c r="F90" s="4">
        <f>(F18-F42)</f>
        <v>-23900</v>
      </c>
      <c r="G90" s="4">
        <f>(G18-G42)</f>
        <v>55500</v>
      </c>
      <c r="H90" s="4">
        <f>(H18-H42)</f>
        <v>-3000</v>
      </c>
      <c r="I90" s="4">
        <f>(I18-I42)</f>
        <v>100000</v>
      </c>
    </row>
    <row r="91">
      <c r="A91" s="0" t="inlineStr">
        <is>
          <t xml:space="preserve">Gap to quota</t>
        </is>
      </c>
      <c r="B91" s="0" t="inlineStr">
        <is>
          <t xml:space="preserve">Samuel Silva</t>
        </is>
      </c>
      <c r="C91" s="4">
        <f>(C19-C43)</f>
        <v>66100</v>
      </c>
      <c r="D91" s="4">
        <f>(D19-D43)</f>
        <v>-54100</v>
      </c>
      <c r="E91" s="4">
        <f>(E19-E43)</f>
        <v>3100</v>
      </c>
      <c r="F91" s="4">
        <f>(F19-F43)</f>
        <v>-69400</v>
      </c>
      <c r="G91" s="4">
        <f>(G19-G43)</f>
        <v>-100</v>
      </c>
      <c r="H91" s="4">
        <f>(H19-H43)</f>
        <v>28700</v>
      </c>
      <c r="I91" s="4">
        <f>(I19-I43)</f>
        <v>100000</v>
      </c>
    </row>
    <row r="92">
      <c r="A92" s="0" t="inlineStr">
        <is>
          <t xml:space="preserve">Gap to quota</t>
        </is>
      </c>
      <c r="B92" s="0" t="inlineStr">
        <is>
          <t xml:space="preserve">Yuki Larsen</t>
        </is>
      </c>
      <c r="C92" s="4">
        <f>(C20-C44)</f>
        <v>262000</v>
      </c>
      <c r="D92" s="4">
        <f>(D20-D44)</f>
        <v>113500</v>
      </c>
      <c r="E92" s="4">
        <f>(E20-E44)</f>
        <v>262000</v>
      </c>
      <c r="F92" s="4">
        <f>(F20-F44)</f>
        <v>262000</v>
      </c>
      <c r="G92" s="4">
        <f>(G20-G44)</f>
        <v>73600</v>
      </c>
      <c r="H92" s="4">
        <f>(H20-H44)</f>
        <v>104400</v>
      </c>
      <c r="I92" s="4">
        <f>(I20-I44)</f>
        <v>262000</v>
      </c>
    </row>
    <row r="93">
      <c r="A93" s="0" t="inlineStr">
        <is>
          <t xml:space="preserve">Gap to quota</t>
        </is>
      </c>
      <c r="B93" s="0" t="inlineStr">
        <is>
          <t xml:space="preserve">Nikolai Sato</t>
        </is>
      </c>
      <c r="C93" s="4">
        <f>(C21-C45)</f>
        <v>162300</v>
      </c>
      <c r="D93" s="4">
        <f>(D21-D45)</f>
        <v>-16700</v>
      </c>
      <c r="E93" s="4">
        <f>(E21-E45)</f>
        <v>197700</v>
      </c>
      <c r="F93" s="4">
        <f>(F21-F45)</f>
        <v>172200</v>
      </c>
      <c r="G93" s="4">
        <f>(G21-G45)</f>
        <v>262000</v>
      </c>
      <c r="H93" s="4">
        <f>(H21-H45)</f>
        <v>158600</v>
      </c>
      <c r="I93" s="4">
        <f>(I21-I45)</f>
        <v>262000</v>
      </c>
    </row>
    <row r="94">
      <c r="A94" s="0" t="inlineStr">
        <is>
          <t xml:space="preserve">Gap to quota</t>
        </is>
      </c>
      <c r="B94" s="0" t="inlineStr">
        <is>
          <t xml:space="preserve">Elena Silva</t>
        </is>
      </c>
      <c r="C94" s="4">
        <f>(C22-C46)</f>
        <v>800</v>
      </c>
      <c r="D94" s="4">
        <f>(D22-D46)</f>
        <v>-136100</v>
      </c>
      <c r="E94" s="4">
        <f>(E22-E46)</f>
        <v>-80400</v>
      </c>
      <c r="F94" s="4">
        <f>(F22-F46)</f>
        <v>12800</v>
      </c>
      <c r="G94" s="4">
        <f>(G22-G46)</f>
        <v>-33900</v>
      </c>
      <c r="H94" s="4">
        <f>(H22-H46)</f>
        <v>-41600</v>
      </c>
      <c r="I94" s="4">
        <f>(I22-I46)</f>
        <v>150000</v>
      </c>
    </row>
    <row r="95">
      <c r="A95" s="0" t="inlineStr">
        <is>
          <t xml:space="preserve">Gap to quota</t>
        </is>
      </c>
      <c r="B95" s="0" t="inlineStr">
        <is>
          <t xml:space="preserve">Arjun Müller</t>
        </is>
      </c>
      <c r="C95" s="4">
        <f>(C23-C47)</f>
        <v>125000</v>
      </c>
      <c r="D95" s="4">
        <f>(D23-D47)</f>
        <v>72400</v>
      </c>
      <c r="E95" s="4">
        <f>(E23-E47)</f>
        <v>-25800</v>
      </c>
      <c r="F95" s="4">
        <f>(F23-F47)</f>
        <v>150000</v>
      </c>
      <c r="G95" s="4">
        <f>(G23-G47)</f>
        <v>-43900</v>
      </c>
      <c r="H95" s="4">
        <f>(H23-H47)</f>
        <v>-12200</v>
      </c>
      <c r="I95" s="4">
        <f>(I23-I47)</f>
        <v>150000</v>
      </c>
    </row>
    <row r="96">
      <c r="A96" s="0" t="inlineStr">
        <is>
          <t xml:space="preserve">Gap to quota</t>
        </is>
      </c>
      <c r="B96" s="0" t="inlineStr">
        <is>
          <t xml:space="preserve">Nikolai Park</t>
        </is>
      </c>
      <c r="C96" s="4">
        <f>(C24-C48)</f>
        <v>0</v>
      </c>
      <c r="D96" s="4">
        <f>(D24-D48)</f>
        <v>0</v>
      </c>
      <c r="E96" s="4">
        <f>(E24-E48)</f>
        <v>0</v>
      </c>
      <c r="F96" s="4">
        <f>(F24-F48)</f>
        <v>0</v>
      </c>
      <c r="G96" s="4">
        <f>(G24-G48)</f>
        <v>9000</v>
      </c>
      <c r="H96" s="4">
        <f>(H24-H48)</f>
        <v>12200</v>
      </c>
      <c r="I96" s="4">
        <f>(I24-I48)</f>
        <v>60000</v>
      </c>
    </row>
    <row r="97">
      <c r="A97" s="0" t="inlineStr">
        <is>
          <t xml:space="preserve">Gap to quota</t>
        </is>
      </c>
      <c r="B97" s="0" t="inlineStr">
        <is>
          <t xml:space="preserve">Ingrid Dubois</t>
        </is>
      </c>
      <c r="C97" s="4">
        <f>(C25-C49)</f>
        <v>80000</v>
      </c>
      <c r="D97" s="4">
        <f>(D25-D49)</f>
        <v>-44300</v>
      </c>
      <c r="E97" s="4">
        <f>(E25-E49)</f>
        <v>-3400</v>
      </c>
      <c r="F97" s="4">
        <f>(F25-F49)</f>
        <v>49100</v>
      </c>
      <c r="G97" s="4">
        <f>(G25-G49)</f>
        <v>-40700</v>
      </c>
      <c r="H97" s="4">
        <f>(H25-H49)</f>
        <v>-37900</v>
      </c>
      <c r="I97" s="4">
        <f>(I25-I49)</f>
        <v>80000</v>
      </c>
    </row>
    <row r="98">
      <c r="A98" s="0" t="inlineStr">
        <is>
          <t xml:space="preserve">Deals won</t>
        </is>
      </c>
      <c r="B98" s="0" t="inlineStr">
        <is>
          <t xml:space="preserve">Noor Ortiz</t>
        </is>
      </c>
      <c r="C98" s="4">
        <f>SUM('Rep monthly'!C26:E26)</f>
        <v>0</v>
      </c>
      <c r="D98" s="4">
        <f>SUM('Rep monthly'!F26:H26)</f>
        <v>0</v>
      </c>
      <c r="E98" s="4">
        <f>SUM('Rep monthly'!I26:K26)</f>
        <v>2</v>
      </c>
      <c r="F98" s="4">
        <f>SUM('Rep monthly'!L26:N26)</f>
        <v>2</v>
      </c>
      <c r="G98" s="4">
        <f>SUM('Rep monthly'!O26:Q26)</f>
        <v>4</v>
      </c>
      <c r="H98" s="4">
        <f>SUM('Rep monthly'!R26:T26)</f>
        <v>3</v>
      </c>
      <c r="I98" s="4">
        <f>SUM('Rep monthly'!U26:W26)</f>
        <v>0</v>
      </c>
    </row>
    <row r="99">
      <c r="A99" s="0" t="inlineStr">
        <is>
          <t xml:space="preserve">Deals won</t>
        </is>
      </c>
      <c r="B99" s="0" t="inlineStr">
        <is>
          <t xml:space="preserve">Priya Yilmaz</t>
        </is>
      </c>
      <c r="C99" s="4">
        <f>SUM('Rep monthly'!C27:E27)</f>
        <v>0</v>
      </c>
      <c r="D99" s="4">
        <f>SUM('Rep monthly'!F27:H27)</f>
        <v>0</v>
      </c>
      <c r="E99" s="4">
        <f>SUM('Rep monthly'!I27:K27)</f>
        <v>0</v>
      </c>
      <c r="F99" s="4">
        <f>SUM('Rep monthly'!L27:N27)</f>
        <v>0</v>
      </c>
      <c r="G99" s="4">
        <f>SUM('Rep monthly'!O27:Q27)</f>
        <v>0</v>
      </c>
      <c r="H99" s="4">
        <f>SUM('Rep monthly'!R27:T27)</f>
        <v>0</v>
      </c>
      <c r="I99" s="4">
        <f>SUM('Rep monthly'!U27:W27)</f>
        <v>0</v>
      </c>
    </row>
    <row r="100">
      <c r="A100" s="0" t="inlineStr">
        <is>
          <t xml:space="preserve">Deals won</t>
        </is>
      </c>
      <c r="B100" s="0" t="inlineStr">
        <is>
          <t xml:space="preserve">Marcus Schmidt</t>
        </is>
      </c>
      <c r="C100" s="4">
        <f>SUM('Rep monthly'!C28:E28)</f>
        <v>0</v>
      </c>
      <c r="D100" s="4">
        <f>SUM('Rep monthly'!F28:H28)</f>
        <v>1</v>
      </c>
      <c r="E100" s="4">
        <f>SUM('Rep monthly'!I28:K28)</f>
        <v>5</v>
      </c>
      <c r="F100" s="4">
        <f>SUM('Rep monthly'!L28:N28)</f>
        <v>9</v>
      </c>
      <c r="G100" s="4">
        <f>SUM('Rep monthly'!O28:Q28)</f>
        <v>5</v>
      </c>
      <c r="H100" s="4">
        <f>SUM('Rep monthly'!R28:T28)</f>
        <v>5</v>
      </c>
      <c r="I100" s="4">
        <f>SUM('Rep monthly'!U28:W28)</f>
        <v>0</v>
      </c>
    </row>
    <row r="101">
      <c r="A101" s="0" t="inlineStr">
        <is>
          <t xml:space="preserve">Deals won</t>
        </is>
      </c>
      <c r="B101" s="0" t="inlineStr">
        <is>
          <t xml:space="preserve">Amara Haddad</t>
        </is>
      </c>
      <c r="C101" s="4">
        <f>SUM('Rep monthly'!C29:E29)</f>
        <v>4</v>
      </c>
      <c r="D101" s="4">
        <f>SUM('Rep monthly'!F29:H29)</f>
        <v>6</v>
      </c>
      <c r="E101" s="4">
        <f>SUM('Rep monthly'!I29:K29)</f>
        <v>5</v>
      </c>
      <c r="F101" s="4">
        <f>SUM('Rep monthly'!L29:N29)</f>
        <v>2</v>
      </c>
      <c r="G101" s="4">
        <f>SUM('Rep monthly'!O29:Q29)</f>
        <v>1</v>
      </c>
      <c r="H101" s="4">
        <f>SUM('Rep monthly'!R29:T29)</f>
        <v>1</v>
      </c>
      <c r="I101" s="4">
        <f>SUM('Rep monthly'!U29:W29)</f>
        <v>0</v>
      </c>
    </row>
    <row r="102">
      <c r="A102" s="0" t="inlineStr">
        <is>
          <t xml:space="preserve">Deals won</t>
        </is>
      </c>
      <c r="B102" s="0" t="inlineStr">
        <is>
          <t xml:space="preserve">Fatima Silva</t>
        </is>
      </c>
      <c r="C102" s="4">
        <f>SUM('Rep monthly'!C30:E30)</f>
        <v>8</v>
      </c>
      <c r="D102" s="4">
        <f>SUM('Rep monthly'!F30:H30)</f>
        <v>11</v>
      </c>
      <c r="E102" s="4">
        <f>SUM('Rep monthly'!I30:K30)</f>
        <v>8</v>
      </c>
      <c r="F102" s="4">
        <f>SUM('Rep monthly'!L30:N30)</f>
        <v>5</v>
      </c>
      <c r="G102" s="4">
        <f>SUM('Rep monthly'!O30:Q30)</f>
        <v>9</v>
      </c>
      <c r="H102" s="4">
        <f>SUM('Rep monthly'!R30:T30)</f>
        <v>11</v>
      </c>
      <c r="I102" s="4">
        <f>SUM('Rep monthly'!U30:W30)</f>
        <v>0</v>
      </c>
    </row>
    <row r="103">
      <c r="A103" s="0" t="inlineStr">
        <is>
          <t xml:space="preserve">Deals won</t>
        </is>
      </c>
      <c r="B103" s="0" t="inlineStr">
        <is>
          <t xml:space="preserve">Ana Ortiz</t>
        </is>
      </c>
      <c r="C103" s="4">
        <f>SUM('Rep monthly'!C31:E31)</f>
        <v>3</v>
      </c>
      <c r="D103" s="4">
        <f>SUM('Rep monthly'!F31:H31)</f>
        <v>10</v>
      </c>
      <c r="E103" s="4">
        <f>SUM('Rep monthly'!I31:K31)</f>
        <v>5</v>
      </c>
      <c r="F103" s="4">
        <f>SUM('Rep monthly'!L31:N31)</f>
        <v>6</v>
      </c>
      <c r="G103" s="4">
        <f>SUM('Rep monthly'!O31:Q31)</f>
        <v>10</v>
      </c>
      <c r="H103" s="4">
        <f>SUM('Rep monthly'!R31:T31)</f>
        <v>6</v>
      </c>
      <c r="I103" s="4">
        <f>SUM('Rep monthly'!U31:W31)</f>
        <v>0</v>
      </c>
    </row>
    <row r="104">
      <c r="A104" s="0" t="inlineStr">
        <is>
          <t xml:space="preserve">Deals won</t>
        </is>
      </c>
      <c r="B104" s="0" t="inlineStr">
        <is>
          <t xml:space="preserve">Tobias Silva</t>
        </is>
      </c>
      <c r="C104" s="4">
        <f>SUM('Rep monthly'!C32:E32)</f>
        <v>0</v>
      </c>
      <c r="D104" s="4">
        <f>SUM('Rep monthly'!F32:H32)</f>
        <v>1</v>
      </c>
      <c r="E104" s="4">
        <f>SUM('Rep monthly'!I32:K32)</f>
        <v>0</v>
      </c>
      <c r="F104" s="4">
        <f>SUM('Rep monthly'!L32:N32)</f>
        <v>3</v>
      </c>
      <c r="G104" s="4">
        <f>SUM('Rep monthly'!O32:Q32)</f>
        <v>1</v>
      </c>
      <c r="H104" s="4">
        <f>SUM('Rep monthly'!R32:T32)</f>
        <v>2</v>
      </c>
      <c r="I104" s="4">
        <f>SUM('Rep monthly'!U32:W32)</f>
        <v>0</v>
      </c>
    </row>
    <row r="105">
      <c r="A105" s="0" t="inlineStr">
        <is>
          <t xml:space="preserve">Deals won</t>
        </is>
      </c>
      <c r="B105" s="0" t="inlineStr">
        <is>
          <t xml:space="preserve">Leila Osei</t>
        </is>
      </c>
      <c r="C105" s="4">
        <f>SUM('Rep monthly'!C33:E33)</f>
        <v>0</v>
      </c>
      <c r="D105" s="4">
        <f>SUM('Rep monthly'!F33:H33)</f>
        <v>0</v>
      </c>
      <c r="E105" s="4">
        <f>SUM('Rep monthly'!I33:K33)</f>
        <v>0</v>
      </c>
      <c r="F105" s="4">
        <f>SUM('Rep monthly'!L33:N33)</f>
        <v>1</v>
      </c>
      <c r="G105" s="4">
        <f>SUM('Rep monthly'!O33:Q33)</f>
        <v>3</v>
      </c>
      <c r="H105" s="4">
        <f>SUM('Rep monthly'!R33:T33)</f>
        <v>4</v>
      </c>
      <c r="I105" s="4">
        <f>SUM('Rep monthly'!U33:W33)</f>
        <v>0</v>
      </c>
    </row>
    <row r="106">
      <c r="A106" s="0" t="inlineStr">
        <is>
          <t xml:space="preserve">Deals won</t>
        </is>
      </c>
      <c r="B106" s="0" t="inlineStr">
        <is>
          <t xml:space="preserve">Grace Costa</t>
        </is>
      </c>
      <c r="C106" s="4">
        <f>SUM('Rep monthly'!C34:E34)</f>
        <v>3</v>
      </c>
      <c r="D106" s="4">
        <f>SUM('Rep monthly'!F34:H34)</f>
        <v>4</v>
      </c>
      <c r="E106" s="4">
        <f>SUM('Rep monthly'!I34:K34)</f>
        <v>8</v>
      </c>
      <c r="F106" s="4">
        <f>SUM('Rep monthly'!L34:N34)</f>
        <v>9</v>
      </c>
      <c r="G106" s="4">
        <f>SUM('Rep monthly'!O34:Q34)</f>
        <v>13</v>
      </c>
      <c r="H106" s="4">
        <f>SUM('Rep monthly'!R34:T34)</f>
        <v>9</v>
      </c>
      <c r="I106" s="4">
        <f>SUM('Rep monthly'!U34:W34)</f>
        <v>0</v>
      </c>
    </row>
    <row r="107">
      <c r="A107" s="0" t="inlineStr">
        <is>
          <t xml:space="preserve">Deals won</t>
        </is>
      </c>
      <c r="B107" s="0" t="inlineStr">
        <is>
          <t xml:space="preserve">Ingrid Müller</t>
        </is>
      </c>
      <c r="C107" s="4">
        <f>SUM('Rep monthly'!C35:E35)</f>
        <v>0</v>
      </c>
      <c r="D107" s="4">
        <f>SUM('Rep monthly'!F35:H35)</f>
        <v>0</v>
      </c>
      <c r="E107" s="4">
        <f>SUM('Rep monthly'!I35:K35)</f>
        <v>0</v>
      </c>
      <c r="F107" s="4">
        <f>SUM('Rep monthly'!L35:N35)</f>
        <v>0</v>
      </c>
      <c r="G107" s="4">
        <f>SUM('Rep monthly'!O35:Q35)</f>
        <v>3</v>
      </c>
      <c r="H107" s="4">
        <f>SUM('Rep monthly'!R35:T35)</f>
        <v>6</v>
      </c>
      <c r="I107" s="4">
        <f>SUM('Rep monthly'!U35:W35)</f>
        <v>0</v>
      </c>
    </row>
    <row r="108">
      <c r="A108" s="0" t="inlineStr">
        <is>
          <t xml:space="preserve">Deals won</t>
        </is>
      </c>
      <c r="B108" s="0" t="inlineStr">
        <is>
          <t xml:space="preserve">Ingrid Kim</t>
        </is>
      </c>
      <c r="C108" s="4">
        <f>SUM('Rep monthly'!C36:E36)</f>
        <v>7</v>
      </c>
      <c r="D108" s="4">
        <f>SUM('Rep monthly'!F36:H36)</f>
        <v>8</v>
      </c>
      <c r="E108" s="4">
        <f>SUM('Rep monthly'!I36:K36)</f>
        <v>6</v>
      </c>
      <c r="F108" s="4">
        <f>SUM('Rep monthly'!L36:N36)</f>
        <v>11</v>
      </c>
      <c r="G108" s="4">
        <f>SUM('Rep monthly'!O36:Q36)</f>
        <v>2</v>
      </c>
      <c r="H108" s="4">
        <f>SUM('Rep monthly'!R36:T36)</f>
        <v>5</v>
      </c>
      <c r="I108" s="4">
        <f>SUM('Rep monthly'!U36:W36)</f>
        <v>0</v>
      </c>
    </row>
    <row r="109">
      <c r="A109" s="0" t="inlineStr">
        <is>
          <t xml:space="preserve">Deals won</t>
        </is>
      </c>
      <c r="B109" s="0" t="inlineStr">
        <is>
          <t xml:space="preserve">Priya Nair</t>
        </is>
      </c>
      <c r="C109" s="4">
        <f>SUM('Rep monthly'!C37:E37)</f>
        <v>7</v>
      </c>
      <c r="D109" s="4">
        <f>SUM('Rep monthly'!F37:H37)</f>
        <v>7</v>
      </c>
      <c r="E109" s="4">
        <f>SUM('Rep monthly'!I37:K37)</f>
        <v>8</v>
      </c>
      <c r="F109" s="4">
        <f>SUM('Rep monthly'!L37:N37)</f>
        <v>4</v>
      </c>
      <c r="G109" s="4">
        <f>SUM('Rep monthly'!O37:Q37)</f>
        <v>10</v>
      </c>
      <c r="H109" s="4">
        <f>SUM('Rep monthly'!R37:T37)</f>
        <v>3</v>
      </c>
      <c r="I109" s="4">
        <f>SUM('Rep monthly'!U37:W37)</f>
        <v>0</v>
      </c>
    </row>
    <row r="110">
      <c r="A110" s="0" t="inlineStr">
        <is>
          <t xml:space="preserve">Deals won</t>
        </is>
      </c>
      <c r="B110" s="0" t="inlineStr">
        <is>
          <t xml:space="preserve">Hugo Lindqvist</t>
        </is>
      </c>
      <c r="C110" s="4">
        <f>SUM('Rep monthly'!C38:E38)</f>
        <v>1</v>
      </c>
      <c r="D110" s="4">
        <f>SUM('Rep monthly'!F38:H38)</f>
        <v>6</v>
      </c>
      <c r="E110" s="4">
        <f>SUM('Rep monthly'!I38:K38)</f>
        <v>3</v>
      </c>
      <c r="F110" s="4">
        <f>SUM('Rep monthly'!L38:N38)</f>
        <v>2</v>
      </c>
      <c r="G110" s="4">
        <f>SUM('Rep monthly'!O38:Q38)</f>
        <v>5</v>
      </c>
      <c r="H110" s="4">
        <f>SUM('Rep monthly'!R38:T38)</f>
        <v>2</v>
      </c>
      <c r="I110" s="4">
        <f>SUM('Rep monthly'!U38:W38)</f>
        <v>0</v>
      </c>
    </row>
    <row r="111">
      <c r="A111" s="0" t="inlineStr">
        <is>
          <t xml:space="preserve">Deals won</t>
        </is>
      </c>
      <c r="B111" s="0" t="inlineStr">
        <is>
          <t xml:space="preserve">Wei Novak</t>
        </is>
      </c>
      <c r="C111" s="4">
        <f>SUM('Rep monthly'!C39:E39)</f>
        <v>0</v>
      </c>
      <c r="D111" s="4">
        <f>SUM('Rep monthly'!F39:H39)</f>
        <v>0</v>
      </c>
      <c r="E111" s="4">
        <f>SUM('Rep monthly'!I39:K39)</f>
        <v>0</v>
      </c>
      <c r="F111" s="4">
        <f>SUM('Rep monthly'!L39:N39)</f>
        <v>1</v>
      </c>
      <c r="G111" s="4">
        <f>SUM('Rep monthly'!O39:Q39)</f>
        <v>1</v>
      </c>
      <c r="H111" s="4">
        <f>SUM('Rep monthly'!R39:T39)</f>
        <v>1</v>
      </c>
      <c r="I111" s="4">
        <f>SUM('Rep monthly'!U39:W39)</f>
        <v>0</v>
      </c>
    </row>
    <row r="112">
      <c r="A112" s="0" t="inlineStr">
        <is>
          <t xml:space="preserve">Deals won</t>
        </is>
      </c>
      <c r="B112" s="0" t="inlineStr">
        <is>
          <t xml:space="preserve">Nikolai Kim</t>
        </is>
      </c>
      <c r="C112" s="4">
        <f>SUM('Rep monthly'!C40:E40)</f>
        <v>5</v>
      </c>
      <c r="D112" s="4">
        <f>SUM('Rep monthly'!F40:H40)</f>
        <v>6</v>
      </c>
      <c r="E112" s="4">
        <f>SUM('Rep monthly'!I40:K40)</f>
        <v>7</v>
      </c>
      <c r="F112" s="4">
        <f>SUM('Rep monthly'!L40:N40)</f>
        <v>4</v>
      </c>
      <c r="G112" s="4">
        <f>SUM('Rep monthly'!O40:Q40)</f>
        <v>7</v>
      </c>
      <c r="H112" s="4">
        <f>SUM('Rep monthly'!R40:T40)</f>
        <v>4</v>
      </c>
      <c r="I112" s="4">
        <f>SUM('Rep monthly'!U40:W40)</f>
        <v>0</v>
      </c>
    </row>
    <row r="113">
      <c r="A113" s="0" t="inlineStr">
        <is>
          <t xml:space="preserve">Deals won</t>
        </is>
      </c>
      <c r="B113" s="0" t="inlineStr">
        <is>
          <t xml:space="preserve">Wei Nair</t>
        </is>
      </c>
      <c r="C113" s="4">
        <f>SUM('Rep monthly'!C41:E41)</f>
        <v>4</v>
      </c>
      <c r="D113" s="4">
        <f>SUM('Rep monthly'!F41:H41)</f>
        <v>5</v>
      </c>
      <c r="E113" s="4">
        <f>SUM('Rep monthly'!I41:K41)</f>
        <v>4</v>
      </c>
      <c r="F113" s="4">
        <f>SUM('Rep monthly'!L41:N41)</f>
        <v>4</v>
      </c>
      <c r="G113" s="4">
        <f>SUM('Rep monthly'!O41:Q41)</f>
        <v>3</v>
      </c>
      <c r="H113" s="4">
        <f>SUM('Rep monthly'!R41:T41)</f>
        <v>2</v>
      </c>
      <c r="I113" s="4">
        <f>SUM('Rep monthly'!U41:W41)</f>
        <v>0</v>
      </c>
    </row>
    <row r="114">
      <c r="A114" s="0" t="inlineStr">
        <is>
          <t xml:space="preserve">Deals won</t>
        </is>
      </c>
      <c r="B114" s="0" t="inlineStr">
        <is>
          <t xml:space="preserve">Liam Silva</t>
        </is>
      </c>
      <c r="C114" s="4">
        <f>SUM('Rep monthly'!C42:E42)</f>
        <v>1</v>
      </c>
      <c r="D114" s="4">
        <f>SUM('Rep monthly'!F42:H42)</f>
        <v>7</v>
      </c>
      <c r="E114" s="4">
        <f>SUM('Rep monthly'!I42:K42)</f>
        <v>10</v>
      </c>
      <c r="F114" s="4">
        <f>SUM('Rep monthly'!L42:N42)</f>
        <v>9</v>
      </c>
      <c r="G114" s="4">
        <f>SUM('Rep monthly'!O42:Q42)</f>
        <v>3</v>
      </c>
      <c r="H114" s="4">
        <f>SUM('Rep monthly'!R42:T42)</f>
        <v>7</v>
      </c>
      <c r="I114" s="4">
        <f>SUM('Rep monthly'!U42:W42)</f>
        <v>0</v>
      </c>
    </row>
    <row r="115">
      <c r="A115" s="0" t="inlineStr">
        <is>
          <t xml:space="preserve">Deals won</t>
        </is>
      </c>
      <c r="B115" s="0" t="inlineStr">
        <is>
          <t xml:space="preserve">Samuel Silva</t>
        </is>
      </c>
      <c r="C115" s="4">
        <f>SUM('Rep monthly'!C43:E43)</f>
        <v>3</v>
      </c>
      <c r="D115" s="4">
        <f>SUM('Rep monthly'!F43:H43)</f>
        <v>8</v>
      </c>
      <c r="E115" s="4">
        <f>SUM('Rep monthly'!I43:K43)</f>
        <v>6</v>
      </c>
      <c r="F115" s="4">
        <f>SUM('Rep monthly'!L43:N43)</f>
        <v>14</v>
      </c>
      <c r="G115" s="4">
        <f>SUM('Rep monthly'!O43:Q43)</f>
        <v>7</v>
      </c>
      <c r="H115" s="4">
        <f>SUM('Rep monthly'!R43:T43)</f>
        <v>7</v>
      </c>
      <c r="I115" s="4">
        <f>SUM('Rep monthly'!U43:W43)</f>
        <v>0</v>
      </c>
    </row>
    <row r="116">
      <c r="A116" s="0" t="inlineStr">
        <is>
          <t xml:space="preserve">Deals won</t>
        </is>
      </c>
      <c r="B116" s="0" t="inlineStr">
        <is>
          <t xml:space="preserve">Yuki Larsen</t>
        </is>
      </c>
      <c r="C116" s="4">
        <f>SUM('Rep monthly'!C44:E44)</f>
        <v>0</v>
      </c>
      <c r="D116" s="4">
        <f>SUM('Rep monthly'!F44:H44)</f>
        <v>2</v>
      </c>
      <c r="E116" s="4">
        <f>SUM('Rep monthly'!I44:K44)</f>
        <v>0</v>
      </c>
      <c r="F116" s="4">
        <f>SUM('Rep monthly'!L44:N44)</f>
        <v>0</v>
      </c>
      <c r="G116" s="4">
        <f>SUM('Rep monthly'!O44:Q44)</f>
        <v>1</v>
      </c>
      <c r="H116" s="4">
        <f>SUM('Rep monthly'!R44:T44)</f>
        <v>1</v>
      </c>
      <c r="I116" s="4">
        <f>SUM('Rep monthly'!U44:W44)</f>
        <v>0</v>
      </c>
    </row>
    <row r="117">
      <c r="A117" s="0" t="inlineStr">
        <is>
          <t xml:space="preserve">Deals won</t>
        </is>
      </c>
      <c r="B117" s="0" t="inlineStr">
        <is>
          <t xml:space="preserve">Nikolai Sato</t>
        </is>
      </c>
      <c r="C117" s="4">
        <f>SUM('Rep monthly'!C45:E45)</f>
        <v>1</v>
      </c>
      <c r="D117" s="4">
        <f>SUM('Rep monthly'!F45:H45)</f>
        <v>2</v>
      </c>
      <c r="E117" s="4">
        <f>SUM('Rep monthly'!I45:K45)</f>
        <v>1</v>
      </c>
      <c r="F117" s="4">
        <f>SUM('Rep monthly'!L45:N45)</f>
        <v>1</v>
      </c>
      <c r="G117" s="4">
        <f>SUM('Rep monthly'!O45:Q45)</f>
        <v>0</v>
      </c>
      <c r="H117" s="4">
        <f>SUM('Rep monthly'!R45:T45)</f>
        <v>1</v>
      </c>
      <c r="I117" s="4">
        <f>SUM('Rep monthly'!U45:W45)</f>
        <v>0</v>
      </c>
    </row>
    <row r="118">
      <c r="A118" s="0" t="inlineStr">
        <is>
          <t xml:space="preserve">Deals won</t>
        </is>
      </c>
      <c r="B118" s="0" t="inlineStr">
        <is>
          <t xml:space="preserve">Elena Silva</t>
        </is>
      </c>
      <c r="C118" s="4">
        <f>SUM('Rep monthly'!C46:E46)</f>
        <v>3</v>
      </c>
      <c r="D118" s="4">
        <f>SUM('Rep monthly'!F46:H46)</f>
        <v>6</v>
      </c>
      <c r="E118" s="4">
        <f>SUM('Rep monthly'!I46:K46)</f>
        <v>6</v>
      </c>
      <c r="F118" s="4">
        <f>SUM('Rep monthly'!L46:N46)</f>
        <v>2</v>
      </c>
      <c r="G118" s="4">
        <f>SUM('Rep monthly'!O46:Q46)</f>
        <v>5</v>
      </c>
      <c r="H118" s="4">
        <f>SUM('Rep monthly'!R46:T46)</f>
        <v>7</v>
      </c>
      <c r="I118" s="4">
        <f>SUM('Rep monthly'!U46:W46)</f>
        <v>0</v>
      </c>
    </row>
    <row r="119">
      <c r="A119" s="0" t="inlineStr">
        <is>
          <t xml:space="preserve">Deals won</t>
        </is>
      </c>
      <c r="B119" s="0" t="inlineStr">
        <is>
          <t xml:space="preserve">Arjun Müller</t>
        </is>
      </c>
      <c r="C119" s="4">
        <f>SUM('Rep monthly'!C47:E47)</f>
        <v>1</v>
      </c>
      <c r="D119" s="4">
        <f>SUM('Rep monthly'!F47:H47)</f>
        <v>3</v>
      </c>
      <c r="E119" s="4">
        <f>SUM('Rep monthly'!I47:K47)</f>
        <v>4</v>
      </c>
      <c r="F119" s="4">
        <f>SUM('Rep monthly'!L47:N47)</f>
        <v>0</v>
      </c>
      <c r="G119" s="4">
        <f>SUM('Rep monthly'!O47:Q47)</f>
        <v>7</v>
      </c>
      <c r="H119" s="4">
        <f>SUM('Rep monthly'!R47:T47)</f>
        <v>4</v>
      </c>
      <c r="I119" s="4">
        <f>SUM('Rep monthly'!U47:W47)</f>
        <v>0</v>
      </c>
    </row>
    <row r="120">
      <c r="A120" s="0" t="inlineStr">
        <is>
          <t xml:space="preserve">Deals won</t>
        </is>
      </c>
      <c r="B120" s="0" t="inlineStr">
        <is>
          <t xml:space="preserve">Nikolai Park</t>
        </is>
      </c>
      <c r="C120" s="4">
        <f>SUM('Rep monthly'!C48:E48)</f>
        <v>0</v>
      </c>
      <c r="D120" s="4">
        <f>SUM('Rep monthly'!F48:H48)</f>
        <v>0</v>
      </c>
      <c r="E120" s="4">
        <f>SUM('Rep monthly'!I48:K48)</f>
        <v>0</v>
      </c>
      <c r="F120" s="4">
        <f>SUM('Rep monthly'!L48:N48)</f>
        <v>0</v>
      </c>
      <c r="G120" s="4">
        <f>SUM('Rep monthly'!O48:Q48)</f>
        <v>1</v>
      </c>
      <c r="H120" s="4">
        <f>SUM('Rep monthly'!R48:T48)</f>
        <v>2</v>
      </c>
      <c r="I120" s="4">
        <f>SUM('Rep monthly'!U48:W48)</f>
        <v>0</v>
      </c>
    </row>
    <row r="121">
      <c r="A121" s="0" t="inlineStr">
        <is>
          <t xml:space="preserve">Deals won</t>
        </is>
      </c>
      <c r="B121" s="0" t="inlineStr">
        <is>
          <t xml:space="preserve">Ingrid Dubois</t>
        </is>
      </c>
      <c r="C121" s="4">
        <f>SUM('Rep monthly'!C49:E49)</f>
        <v>0</v>
      </c>
      <c r="D121" s="4">
        <f>SUM('Rep monthly'!F49:H49)</f>
        <v>9</v>
      </c>
      <c r="E121" s="4">
        <f>SUM('Rep monthly'!I49:K49)</f>
        <v>6</v>
      </c>
      <c r="F121" s="4">
        <f>SUM('Rep monthly'!L49:N49)</f>
        <v>3</v>
      </c>
      <c r="G121" s="4">
        <f>SUM('Rep monthly'!O49:Q49)</f>
        <v>8</v>
      </c>
      <c r="H121" s="4">
        <f>SUM('Rep monthly'!R49:T49)</f>
        <v>7</v>
      </c>
      <c r="I121" s="4">
        <f>SUM('Rep monthly'!U49:W49)</f>
        <v>0</v>
      </c>
    </row>
    <row r="122">
      <c r="A122" s="0" t="inlineStr">
        <is>
          <t xml:space="preserve">Deals lost</t>
        </is>
      </c>
      <c r="B122" s="0" t="inlineStr">
        <is>
          <t xml:space="preserve">Noor Ortiz</t>
        </is>
      </c>
      <c r="C122" s="4">
        <f>SUM('Rep monthly'!C50:E50)</f>
        <v>0</v>
      </c>
      <c r="D122" s="4">
        <f>SUM('Rep monthly'!F50:H50)</f>
        <v>9</v>
      </c>
      <c r="E122" s="4">
        <f>SUM('Rep monthly'!I50:K50)</f>
        <v>9</v>
      </c>
      <c r="F122" s="4">
        <f>SUM('Rep monthly'!L50:N50)</f>
        <v>9</v>
      </c>
      <c r="G122" s="4">
        <f>SUM('Rep monthly'!O50:Q50)</f>
        <v>11</v>
      </c>
      <c r="H122" s="4">
        <f>SUM('Rep monthly'!R50:T50)</f>
        <v>9</v>
      </c>
      <c r="I122" s="4">
        <f>SUM('Rep monthly'!U50:W50)</f>
        <v>0</v>
      </c>
    </row>
    <row r="123">
      <c r="A123" s="0" t="inlineStr">
        <is>
          <t xml:space="preserve">Deals lost</t>
        </is>
      </c>
      <c r="B123" s="0" t="inlineStr">
        <is>
          <t xml:space="preserve">Priya Yilmaz</t>
        </is>
      </c>
      <c r="C123" s="4">
        <f>SUM('Rep monthly'!C51:E51)</f>
        <v>0</v>
      </c>
      <c r="D123" s="4">
        <f>SUM('Rep monthly'!F51:H51)</f>
        <v>0</v>
      </c>
      <c r="E123" s="4">
        <f>SUM('Rep monthly'!I51:K51)</f>
        <v>0</v>
      </c>
      <c r="F123" s="4">
        <f>SUM('Rep monthly'!L51:N51)</f>
        <v>0</v>
      </c>
      <c r="G123" s="4">
        <f>SUM('Rep monthly'!O51:Q51)</f>
        <v>0</v>
      </c>
      <c r="H123" s="4">
        <f>SUM('Rep monthly'!R51:T51)</f>
        <v>0</v>
      </c>
      <c r="I123" s="4">
        <f>SUM('Rep monthly'!U51:W51)</f>
        <v>0</v>
      </c>
    </row>
    <row r="124">
      <c r="A124" s="0" t="inlineStr">
        <is>
          <t xml:space="preserve">Deals lost</t>
        </is>
      </c>
      <c r="B124" s="0" t="inlineStr">
        <is>
          <t xml:space="preserve">Marcus Schmidt</t>
        </is>
      </c>
      <c r="C124" s="4">
        <f>SUM('Rep monthly'!C52:E52)</f>
        <v>0</v>
      </c>
      <c r="D124" s="4">
        <f>SUM('Rep monthly'!F52:H52)</f>
        <v>1</v>
      </c>
      <c r="E124" s="4">
        <f>SUM('Rep monthly'!I52:K52)</f>
        <v>4</v>
      </c>
      <c r="F124" s="4">
        <f>SUM('Rep monthly'!L52:N52)</f>
        <v>11</v>
      </c>
      <c r="G124" s="4">
        <f>SUM('Rep monthly'!O52:Q52)</f>
        <v>15</v>
      </c>
      <c r="H124" s="4">
        <f>SUM('Rep monthly'!R52:T52)</f>
        <v>9</v>
      </c>
      <c r="I124" s="4">
        <f>SUM('Rep monthly'!U52:W52)</f>
        <v>0</v>
      </c>
    </row>
    <row r="125">
      <c r="A125" s="0" t="inlineStr">
        <is>
          <t xml:space="preserve">Deals lost</t>
        </is>
      </c>
      <c r="B125" s="0" t="inlineStr">
        <is>
          <t xml:space="preserve">Amara Haddad</t>
        </is>
      </c>
      <c r="C125" s="4">
        <f>SUM('Rep monthly'!C53:E53)</f>
        <v>15</v>
      </c>
      <c r="D125" s="4">
        <f>SUM('Rep monthly'!F53:H53)</f>
        <v>24</v>
      </c>
      <c r="E125" s="4">
        <f>SUM('Rep monthly'!I53:K53)</f>
        <v>7</v>
      </c>
      <c r="F125" s="4">
        <f>SUM('Rep monthly'!L53:N53)</f>
        <v>12</v>
      </c>
      <c r="G125" s="4">
        <f>SUM('Rep monthly'!O53:Q53)</f>
        <v>9</v>
      </c>
      <c r="H125" s="4">
        <f>SUM('Rep monthly'!R53:T53)</f>
        <v>8</v>
      </c>
      <c r="I125" s="4">
        <f>SUM('Rep monthly'!U53:W53)</f>
        <v>0</v>
      </c>
    </row>
    <row r="126">
      <c r="A126" s="0" t="inlineStr">
        <is>
          <t xml:space="preserve">Deals lost</t>
        </is>
      </c>
      <c r="B126" s="0" t="inlineStr">
        <is>
          <t xml:space="preserve">Fatima Silva</t>
        </is>
      </c>
      <c r="C126" s="4">
        <f>SUM('Rep monthly'!C54:E54)</f>
        <v>22</v>
      </c>
      <c r="D126" s="4">
        <f>SUM('Rep monthly'!F54:H54)</f>
        <v>23</v>
      </c>
      <c r="E126" s="4">
        <f>SUM('Rep monthly'!I54:K54)</f>
        <v>7</v>
      </c>
      <c r="F126" s="4">
        <f>SUM('Rep monthly'!L54:N54)</f>
        <v>12</v>
      </c>
      <c r="G126" s="4">
        <f>SUM('Rep monthly'!O54:Q54)</f>
        <v>23</v>
      </c>
      <c r="H126" s="4">
        <f>SUM('Rep monthly'!R54:T54)</f>
        <v>9</v>
      </c>
      <c r="I126" s="4">
        <f>SUM('Rep monthly'!U54:W54)</f>
        <v>0</v>
      </c>
    </row>
    <row r="127">
      <c r="A127" s="0" t="inlineStr">
        <is>
          <t xml:space="preserve">Deals lost</t>
        </is>
      </c>
      <c r="B127" s="0" t="inlineStr">
        <is>
          <t xml:space="preserve">Ana Ortiz</t>
        </is>
      </c>
      <c r="C127" s="4">
        <f>SUM('Rep monthly'!C55:E55)</f>
        <v>3</v>
      </c>
      <c r="D127" s="4">
        <f>SUM('Rep monthly'!F55:H55)</f>
        <v>13</v>
      </c>
      <c r="E127" s="4">
        <f>SUM('Rep monthly'!I55:K55)</f>
        <v>9</v>
      </c>
      <c r="F127" s="4">
        <f>SUM('Rep monthly'!L55:N55)</f>
        <v>6</v>
      </c>
      <c r="G127" s="4">
        <f>SUM('Rep monthly'!O55:Q55)</f>
        <v>17</v>
      </c>
      <c r="H127" s="4">
        <f>SUM('Rep monthly'!R55:T55)</f>
        <v>19</v>
      </c>
      <c r="I127" s="4">
        <f>SUM('Rep monthly'!U55:W55)</f>
        <v>0</v>
      </c>
    </row>
    <row r="128">
      <c r="A128" s="0" t="inlineStr">
        <is>
          <t xml:space="preserve">Deals lost</t>
        </is>
      </c>
      <c r="B128" s="0" t="inlineStr">
        <is>
          <t xml:space="preserve">Tobias Silva</t>
        </is>
      </c>
      <c r="C128" s="4">
        <f>SUM('Rep monthly'!C56:E56)</f>
        <v>0</v>
      </c>
      <c r="D128" s="4">
        <f>SUM('Rep monthly'!F56:H56)</f>
        <v>3</v>
      </c>
      <c r="E128" s="4">
        <f>SUM('Rep monthly'!I56:K56)</f>
        <v>3</v>
      </c>
      <c r="F128" s="4">
        <f>SUM('Rep monthly'!L56:N56)</f>
        <v>4</v>
      </c>
      <c r="G128" s="4">
        <f>SUM('Rep monthly'!O56:Q56)</f>
        <v>4</v>
      </c>
      <c r="H128" s="4">
        <f>SUM('Rep monthly'!R56:T56)</f>
        <v>1</v>
      </c>
      <c r="I128" s="4">
        <f>SUM('Rep monthly'!U56:W56)</f>
        <v>0</v>
      </c>
    </row>
    <row r="129">
      <c r="A129" s="0" t="inlineStr">
        <is>
          <t xml:space="preserve">Deals lost</t>
        </is>
      </c>
      <c r="B129" s="0" t="inlineStr">
        <is>
          <t xml:space="preserve">Leila Osei</t>
        </is>
      </c>
      <c r="C129" s="4">
        <f>SUM('Rep monthly'!C57:E57)</f>
        <v>0</v>
      </c>
      <c r="D129" s="4">
        <f>SUM('Rep monthly'!F57:H57)</f>
        <v>1</v>
      </c>
      <c r="E129" s="4">
        <f>SUM('Rep monthly'!I57:K57)</f>
        <v>1</v>
      </c>
      <c r="F129" s="4">
        <f>SUM('Rep monthly'!L57:N57)</f>
        <v>5</v>
      </c>
      <c r="G129" s="4">
        <f>SUM('Rep monthly'!O57:Q57)</f>
        <v>5</v>
      </c>
      <c r="H129" s="4">
        <f>SUM('Rep monthly'!R57:T57)</f>
        <v>3</v>
      </c>
      <c r="I129" s="4">
        <f>SUM('Rep monthly'!U57:W57)</f>
        <v>0</v>
      </c>
    </row>
    <row r="130">
      <c r="A130" s="0" t="inlineStr">
        <is>
          <t xml:space="preserve">Deals lost</t>
        </is>
      </c>
      <c r="B130" s="0" t="inlineStr">
        <is>
          <t xml:space="preserve">Grace Costa</t>
        </is>
      </c>
      <c r="C130" s="4">
        <f>SUM('Rep monthly'!C58:E58)</f>
        <v>5</v>
      </c>
      <c r="D130" s="4">
        <f>SUM('Rep monthly'!F58:H58)</f>
        <v>24</v>
      </c>
      <c r="E130" s="4">
        <f>SUM('Rep monthly'!I58:K58)</f>
        <v>18</v>
      </c>
      <c r="F130" s="4">
        <f>SUM('Rep monthly'!L58:N58)</f>
        <v>26</v>
      </c>
      <c r="G130" s="4">
        <f>SUM('Rep monthly'!O58:Q58)</f>
        <v>10</v>
      </c>
      <c r="H130" s="4">
        <f>SUM('Rep monthly'!R58:T58)</f>
        <v>16</v>
      </c>
      <c r="I130" s="4">
        <f>SUM('Rep monthly'!U58:W58)</f>
        <v>0</v>
      </c>
    </row>
    <row r="131">
      <c r="A131" s="0" t="inlineStr">
        <is>
          <t xml:space="preserve">Deals lost</t>
        </is>
      </c>
      <c r="B131" s="0" t="inlineStr">
        <is>
          <t xml:space="preserve">Ingrid Müller</t>
        </is>
      </c>
      <c r="C131" s="4">
        <f>SUM('Rep monthly'!C59:E59)</f>
        <v>0</v>
      </c>
      <c r="D131" s="4">
        <f>SUM('Rep monthly'!F59:H59)</f>
        <v>0</v>
      </c>
      <c r="E131" s="4">
        <f>SUM('Rep monthly'!I59:K59)</f>
        <v>0</v>
      </c>
      <c r="F131" s="4">
        <f>SUM('Rep monthly'!L59:N59)</f>
        <v>1</v>
      </c>
      <c r="G131" s="4">
        <f>SUM('Rep monthly'!O59:Q59)</f>
        <v>6</v>
      </c>
      <c r="H131" s="4">
        <f>SUM('Rep monthly'!R59:T59)</f>
        <v>1</v>
      </c>
      <c r="I131" s="4">
        <f>SUM('Rep monthly'!U59:W59)</f>
        <v>0</v>
      </c>
    </row>
    <row r="132">
      <c r="A132" s="0" t="inlineStr">
        <is>
          <t xml:space="preserve">Deals lost</t>
        </is>
      </c>
      <c r="B132" s="0" t="inlineStr">
        <is>
          <t xml:space="preserve">Ingrid Kim</t>
        </is>
      </c>
      <c r="C132" s="4">
        <f>SUM('Rep monthly'!C60:E60)</f>
        <v>8</v>
      </c>
      <c r="D132" s="4">
        <f>SUM('Rep monthly'!F60:H60)</f>
        <v>11</v>
      </c>
      <c r="E132" s="4">
        <f>SUM('Rep monthly'!I60:K60)</f>
        <v>10</v>
      </c>
      <c r="F132" s="4">
        <f>SUM('Rep monthly'!L60:N60)</f>
        <v>10</v>
      </c>
      <c r="G132" s="4">
        <f>SUM('Rep monthly'!O60:Q60)</f>
        <v>10</v>
      </c>
      <c r="H132" s="4">
        <f>SUM('Rep monthly'!R60:T60)</f>
        <v>10</v>
      </c>
      <c r="I132" s="4">
        <f>SUM('Rep monthly'!U60:W60)</f>
        <v>0</v>
      </c>
    </row>
    <row r="133">
      <c r="A133" s="0" t="inlineStr">
        <is>
          <t xml:space="preserve">Deals lost</t>
        </is>
      </c>
      <c r="B133" s="0" t="inlineStr">
        <is>
          <t xml:space="preserve">Priya Nair</t>
        </is>
      </c>
      <c r="C133" s="4">
        <f>SUM('Rep monthly'!C61:E61)</f>
        <v>15</v>
      </c>
      <c r="D133" s="4">
        <f>SUM('Rep monthly'!F61:H61)</f>
        <v>14</v>
      </c>
      <c r="E133" s="4">
        <f>SUM('Rep monthly'!I61:K61)</f>
        <v>14</v>
      </c>
      <c r="F133" s="4">
        <f>SUM('Rep monthly'!L61:N61)</f>
        <v>11</v>
      </c>
      <c r="G133" s="4">
        <f>SUM('Rep monthly'!O61:Q61)</f>
        <v>9</v>
      </c>
      <c r="H133" s="4">
        <f>SUM('Rep monthly'!R61:T61)</f>
        <v>11</v>
      </c>
      <c r="I133" s="4">
        <f>SUM('Rep monthly'!U61:W61)</f>
        <v>0</v>
      </c>
    </row>
    <row r="134">
      <c r="A134" s="0" t="inlineStr">
        <is>
          <t xml:space="preserve">Deals lost</t>
        </is>
      </c>
      <c r="B134" s="0" t="inlineStr">
        <is>
          <t xml:space="preserve">Hugo Lindqvist</t>
        </is>
      </c>
      <c r="C134" s="4">
        <f>SUM('Rep monthly'!C62:E62)</f>
        <v>0</v>
      </c>
      <c r="D134" s="4">
        <f>SUM('Rep monthly'!F62:H62)</f>
        <v>11</v>
      </c>
      <c r="E134" s="4">
        <f>SUM('Rep monthly'!I62:K62)</f>
        <v>10</v>
      </c>
      <c r="F134" s="4">
        <f>SUM('Rep monthly'!L62:N62)</f>
        <v>5</v>
      </c>
      <c r="G134" s="4">
        <f>SUM('Rep monthly'!O62:Q62)</f>
        <v>7</v>
      </c>
      <c r="H134" s="4">
        <f>SUM('Rep monthly'!R62:T62)</f>
        <v>3</v>
      </c>
      <c r="I134" s="4">
        <f>SUM('Rep monthly'!U62:W62)</f>
        <v>0</v>
      </c>
    </row>
    <row r="135">
      <c r="A135" s="0" t="inlineStr">
        <is>
          <t xml:space="preserve">Deals lost</t>
        </is>
      </c>
      <c r="B135" s="0" t="inlineStr">
        <is>
          <t xml:space="preserve">Wei Novak</t>
        </is>
      </c>
      <c r="C135" s="4">
        <f>SUM('Rep monthly'!C63:E63)</f>
        <v>0</v>
      </c>
      <c r="D135" s="4">
        <f>SUM('Rep monthly'!F63:H63)</f>
        <v>0</v>
      </c>
      <c r="E135" s="4">
        <f>SUM('Rep monthly'!I63:K63)</f>
        <v>0</v>
      </c>
      <c r="F135" s="4">
        <f>SUM('Rep monthly'!L63:N63)</f>
        <v>0</v>
      </c>
      <c r="G135" s="4">
        <f>SUM('Rep monthly'!O63:Q63)</f>
        <v>1</v>
      </c>
      <c r="H135" s="4">
        <f>SUM('Rep monthly'!R63:T63)</f>
        <v>6</v>
      </c>
      <c r="I135" s="4">
        <f>SUM('Rep monthly'!U63:W63)</f>
        <v>0</v>
      </c>
    </row>
    <row r="136">
      <c r="A136" s="0" t="inlineStr">
        <is>
          <t xml:space="preserve">Deals lost</t>
        </is>
      </c>
      <c r="B136" s="0" t="inlineStr">
        <is>
          <t xml:space="preserve">Nikolai Kim</t>
        </is>
      </c>
      <c r="C136" s="4">
        <f>SUM('Rep monthly'!C64:E64)</f>
        <v>1</v>
      </c>
      <c r="D136" s="4">
        <f>SUM('Rep monthly'!F64:H64)</f>
        <v>12</v>
      </c>
      <c r="E136" s="4">
        <f>SUM('Rep monthly'!I64:K64)</f>
        <v>10</v>
      </c>
      <c r="F136" s="4">
        <f>SUM('Rep monthly'!L64:N64)</f>
        <v>7</v>
      </c>
      <c r="G136" s="4">
        <f>SUM('Rep monthly'!O64:Q64)</f>
        <v>10</v>
      </c>
      <c r="H136" s="4">
        <f>SUM('Rep monthly'!R64:T64)</f>
        <v>6</v>
      </c>
      <c r="I136" s="4">
        <f>SUM('Rep monthly'!U64:W64)</f>
        <v>0</v>
      </c>
    </row>
    <row r="137">
      <c r="A137" s="0" t="inlineStr">
        <is>
          <t xml:space="preserve">Deals lost</t>
        </is>
      </c>
      <c r="B137" s="0" t="inlineStr">
        <is>
          <t xml:space="preserve">Wei Nair</t>
        </is>
      </c>
      <c r="C137" s="4">
        <f>SUM('Rep monthly'!C65:E65)</f>
        <v>6</v>
      </c>
      <c r="D137" s="4">
        <f>SUM('Rep monthly'!F65:H65)</f>
        <v>9</v>
      </c>
      <c r="E137" s="4">
        <f>SUM('Rep monthly'!I65:K65)</f>
        <v>3</v>
      </c>
      <c r="F137" s="4">
        <f>SUM('Rep monthly'!L65:N65)</f>
        <v>5</v>
      </c>
      <c r="G137" s="4">
        <f>SUM('Rep monthly'!O65:Q65)</f>
        <v>9</v>
      </c>
      <c r="H137" s="4">
        <f>SUM('Rep monthly'!R65:T65)</f>
        <v>8</v>
      </c>
      <c r="I137" s="4">
        <f>SUM('Rep monthly'!U65:W65)</f>
        <v>0</v>
      </c>
    </row>
    <row r="138">
      <c r="A138" s="0" t="inlineStr">
        <is>
          <t xml:space="preserve">Deals lost</t>
        </is>
      </c>
      <c r="B138" s="0" t="inlineStr">
        <is>
          <t xml:space="preserve">Liam Silva</t>
        </is>
      </c>
      <c r="C138" s="4">
        <f>SUM('Rep monthly'!C66:E66)</f>
        <v>4</v>
      </c>
      <c r="D138" s="4">
        <f>SUM('Rep monthly'!F66:H66)</f>
        <v>7</v>
      </c>
      <c r="E138" s="4">
        <f>SUM('Rep monthly'!I66:K66)</f>
        <v>11</v>
      </c>
      <c r="F138" s="4">
        <f>SUM('Rep monthly'!L66:N66)</f>
        <v>9</v>
      </c>
      <c r="G138" s="4">
        <f>SUM('Rep monthly'!O66:Q66)</f>
        <v>11</v>
      </c>
      <c r="H138" s="4">
        <f>SUM('Rep monthly'!R66:T66)</f>
        <v>9</v>
      </c>
      <c r="I138" s="4">
        <f>SUM('Rep monthly'!U66:W66)</f>
        <v>0</v>
      </c>
    </row>
    <row r="139">
      <c r="A139" s="0" t="inlineStr">
        <is>
          <t xml:space="preserve">Deals lost</t>
        </is>
      </c>
      <c r="B139" s="0" t="inlineStr">
        <is>
          <t xml:space="preserve">Samuel Silva</t>
        </is>
      </c>
      <c r="C139" s="4">
        <f>SUM('Rep monthly'!C67:E67)</f>
        <v>15</v>
      </c>
      <c r="D139" s="4">
        <f>SUM('Rep monthly'!F67:H67)</f>
        <v>13</v>
      </c>
      <c r="E139" s="4">
        <f>SUM('Rep monthly'!I67:K67)</f>
        <v>9</v>
      </c>
      <c r="F139" s="4">
        <f>SUM('Rep monthly'!L67:N67)</f>
        <v>13</v>
      </c>
      <c r="G139" s="4">
        <f>SUM('Rep monthly'!O67:Q67)</f>
        <v>14</v>
      </c>
      <c r="H139" s="4">
        <f>SUM('Rep monthly'!R67:T67)</f>
        <v>8</v>
      </c>
      <c r="I139" s="4">
        <f>SUM('Rep monthly'!U67:W67)</f>
        <v>0</v>
      </c>
    </row>
    <row r="140">
      <c r="A140" s="0" t="inlineStr">
        <is>
          <t xml:space="preserve">Deals lost</t>
        </is>
      </c>
      <c r="B140" s="0" t="inlineStr">
        <is>
          <t xml:space="preserve">Yuki Larsen</t>
        </is>
      </c>
      <c r="C140" s="4">
        <f>SUM('Rep monthly'!C68:E68)</f>
        <v>0</v>
      </c>
      <c r="D140" s="4">
        <f>SUM('Rep monthly'!F68:H68)</f>
        <v>0</v>
      </c>
      <c r="E140" s="4">
        <f>SUM('Rep monthly'!I68:K68)</f>
        <v>1</v>
      </c>
      <c r="F140" s="4">
        <f>SUM('Rep monthly'!L68:N68)</f>
        <v>2</v>
      </c>
      <c r="G140" s="4">
        <f>SUM('Rep monthly'!O68:Q68)</f>
        <v>1</v>
      </c>
      <c r="H140" s="4">
        <f>SUM('Rep monthly'!R68:T68)</f>
        <v>5</v>
      </c>
      <c r="I140" s="4">
        <f>SUM('Rep monthly'!U68:W68)</f>
        <v>0</v>
      </c>
    </row>
    <row r="141">
      <c r="A141" s="0" t="inlineStr">
        <is>
          <t xml:space="preserve">Deals lost</t>
        </is>
      </c>
      <c r="B141" s="0" t="inlineStr">
        <is>
          <t xml:space="preserve">Nikolai Sato</t>
        </is>
      </c>
      <c r="C141" s="4">
        <f>SUM('Rep monthly'!C69:E69)</f>
        <v>0</v>
      </c>
      <c r="D141" s="4">
        <f>SUM('Rep monthly'!F69:H69)</f>
        <v>6</v>
      </c>
      <c r="E141" s="4">
        <f>SUM('Rep monthly'!I69:K69)</f>
        <v>1</v>
      </c>
      <c r="F141" s="4">
        <f>SUM('Rep monthly'!L69:N69)</f>
        <v>1</v>
      </c>
      <c r="G141" s="4">
        <f>SUM('Rep monthly'!O69:Q69)</f>
        <v>2</v>
      </c>
      <c r="H141" s="4">
        <f>SUM('Rep monthly'!R69:T69)</f>
        <v>3</v>
      </c>
      <c r="I141" s="4">
        <f>SUM('Rep monthly'!U69:W69)</f>
        <v>0</v>
      </c>
    </row>
    <row r="142">
      <c r="A142" s="0" t="inlineStr">
        <is>
          <t xml:space="preserve">Deals lost</t>
        </is>
      </c>
      <c r="B142" s="0" t="inlineStr">
        <is>
          <t xml:space="preserve">Elena Silva</t>
        </is>
      </c>
      <c r="C142" s="4">
        <f>SUM('Rep monthly'!C70:E70)</f>
        <v>3</v>
      </c>
      <c r="D142" s="4">
        <f>SUM('Rep monthly'!F70:H70)</f>
        <v>9</v>
      </c>
      <c r="E142" s="4">
        <f>SUM('Rep monthly'!I70:K70)</f>
        <v>7</v>
      </c>
      <c r="F142" s="4">
        <f>SUM('Rep monthly'!L70:N70)</f>
        <v>2</v>
      </c>
      <c r="G142" s="4">
        <f>SUM('Rep monthly'!O70:Q70)</f>
        <v>12</v>
      </c>
      <c r="H142" s="4">
        <f>SUM('Rep monthly'!R70:T70)</f>
        <v>3</v>
      </c>
      <c r="I142" s="4">
        <f>SUM('Rep monthly'!U70:W70)</f>
        <v>0</v>
      </c>
    </row>
    <row r="143">
      <c r="A143" s="0" t="inlineStr">
        <is>
          <t xml:space="preserve">Deals lost</t>
        </is>
      </c>
      <c r="B143" s="0" t="inlineStr">
        <is>
          <t xml:space="preserve">Arjun Müller</t>
        </is>
      </c>
      <c r="C143" s="4">
        <f>SUM('Rep monthly'!C71:E71)</f>
        <v>2</v>
      </c>
      <c r="D143" s="4">
        <f>SUM('Rep monthly'!F71:H71)</f>
        <v>5</v>
      </c>
      <c r="E143" s="4">
        <f>SUM('Rep monthly'!I71:K71)</f>
        <v>11</v>
      </c>
      <c r="F143" s="4">
        <f>SUM('Rep monthly'!L71:N71)</f>
        <v>4</v>
      </c>
      <c r="G143" s="4">
        <f>SUM('Rep monthly'!O71:Q71)</f>
        <v>6</v>
      </c>
      <c r="H143" s="4">
        <f>SUM('Rep monthly'!R71:T71)</f>
        <v>9</v>
      </c>
      <c r="I143" s="4">
        <f>SUM('Rep monthly'!U71:W71)</f>
        <v>0</v>
      </c>
    </row>
    <row r="144">
      <c r="A144" s="0" t="inlineStr">
        <is>
          <t xml:space="preserve">Deals lost</t>
        </is>
      </c>
      <c r="B144" s="0" t="inlineStr">
        <is>
          <t xml:space="preserve">Nikolai Park</t>
        </is>
      </c>
      <c r="C144" s="4">
        <f>SUM('Rep monthly'!C72:E72)</f>
        <v>0</v>
      </c>
      <c r="D144" s="4">
        <f>SUM('Rep monthly'!F72:H72)</f>
        <v>0</v>
      </c>
      <c r="E144" s="4">
        <f>SUM('Rep monthly'!I72:K72)</f>
        <v>0</v>
      </c>
      <c r="F144" s="4">
        <f>SUM('Rep monthly'!L72:N72)</f>
        <v>0</v>
      </c>
      <c r="G144" s="4">
        <f>SUM('Rep monthly'!O72:Q72)</f>
        <v>1</v>
      </c>
      <c r="H144" s="4">
        <f>SUM('Rep monthly'!R72:T72)</f>
        <v>1</v>
      </c>
      <c r="I144" s="4">
        <f>SUM('Rep monthly'!U72:W72)</f>
        <v>0</v>
      </c>
    </row>
    <row r="145">
      <c r="A145" s="0" t="inlineStr">
        <is>
          <t xml:space="preserve">Deals lost</t>
        </is>
      </c>
      <c r="B145" s="0" t="inlineStr">
        <is>
          <t xml:space="preserve">Ingrid Dubois</t>
        </is>
      </c>
      <c r="C145" s="4">
        <f>SUM('Rep monthly'!C73:E73)</f>
        <v>8</v>
      </c>
      <c r="D145" s="4">
        <f>SUM('Rep monthly'!F73:H73)</f>
        <v>9</v>
      </c>
      <c r="E145" s="4">
        <f>SUM('Rep monthly'!I73:K73)</f>
        <v>14</v>
      </c>
      <c r="F145" s="4">
        <f>SUM('Rep monthly'!L73:N73)</f>
        <v>11</v>
      </c>
      <c r="G145" s="4">
        <f>SUM('Rep monthly'!O73:Q73)</f>
        <v>15</v>
      </c>
      <c r="H145" s="4">
        <f>SUM('Rep monthly'!R73:T73)</f>
        <v>7</v>
      </c>
      <c r="I145" s="4">
        <f>SUM('Rep monthly'!U73:W73)</f>
        <v>0</v>
      </c>
    </row>
    <row r="146">
      <c r="A146" s="0" t="inlineStr">
        <is>
          <t xml:space="preserve">Win rate</t>
        </is>
      </c>
      <c r="B146" s="0" t="inlineStr">
        <is>
          <t xml:space="preserve">Noor Ortiz</t>
        </is>
      </c>
      <c r="C146" s="12">
        <f>IF((0=1),"",IFERROR((C98/(C98+C122)),0))</f>
        <v>0</v>
      </c>
      <c r="D146" s="12">
        <f>IF((0=1),"",IFERROR((D98/(D98+D122)),0))</f>
        <v>0</v>
      </c>
      <c r="E146" s="12">
        <f>IF((0=1),"",IFERROR((E98/(E98+E122)),0))</f>
        <v>0.18181818181818182</v>
      </c>
      <c r="F146" s="12">
        <f>IF((0=1),"",IFERROR((F98/(F98+F122)),0))</f>
        <v>0.18181818181818182</v>
      </c>
      <c r="G146" s="12">
        <f>IF((0=1),"",IFERROR((G98/(G98+G122)),0))</f>
        <v>0.26666666666666666</v>
      </c>
      <c r="H146" s="12">
        <f>IF((0=1),"",IFERROR((H98/(H98+H122)),0))</f>
        <v>0.25</v>
      </c>
      <c r="I146" s="12">
        <f>IF((1=1),"",IFERROR((I98/(I98+I122)),0))</f>
      </c>
    </row>
    <row r="147">
      <c r="A147" s="0" t="inlineStr">
        <is>
          <t xml:space="preserve">Win rate</t>
        </is>
      </c>
      <c r="B147" s="0" t="inlineStr">
        <is>
          <t xml:space="preserve">Priya Yilmaz</t>
        </is>
      </c>
      <c r="C147" s="12">
        <f>IF((0=1),"",IFERROR((C99/(C99+C123)),0))</f>
        <v>0</v>
      </c>
      <c r="D147" s="12">
        <f>IF((0=1),"",IFERROR((D99/(D99+D123)),0))</f>
        <v>0</v>
      </c>
      <c r="E147" s="12">
        <f>IF((0=1),"",IFERROR((E99/(E99+E123)),0))</f>
        <v>0</v>
      </c>
      <c r="F147" s="12">
        <f>IF((0=1),"",IFERROR((F99/(F99+F123)),0))</f>
        <v>0</v>
      </c>
      <c r="G147" s="12">
        <f>IF((0=1),"",IFERROR((G99/(G99+G123)),0))</f>
        <v>0</v>
      </c>
      <c r="H147" s="12">
        <f>IF((0=1),"",IFERROR((H99/(H99+H123)),0))</f>
        <v>0</v>
      </c>
      <c r="I147" s="12">
        <f>IF((1=1),"",IFERROR((I99/(I99+I123)),0))</f>
      </c>
    </row>
    <row r="148">
      <c r="A148" s="0" t="inlineStr">
        <is>
          <t xml:space="preserve">Win rate</t>
        </is>
      </c>
      <c r="B148" s="0" t="inlineStr">
        <is>
          <t xml:space="preserve">Marcus Schmidt</t>
        </is>
      </c>
      <c r="C148" s="12">
        <f>IF((0=1),"",IFERROR((C100/(C100+C124)),0))</f>
        <v>0</v>
      </c>
      <c r="D148" s="12">
        <f>IF((0=1),"",IFERROR((D100/(D100+D124)),0))</f>
        <v>0.5</v>
      </c>
      <c r="E148" s="12">
        <f>IF((0=1),"",IFERROR((E100/(E100+E124)),0))</f>
        <v>0.5555555555555556</v>
      </c>
      <c r="F148" s="12">
        <f>IF((0=1),"",IFERROR((F100/(F100+F124)),0))</f>
        <v>0.45</v>
      </c>
      <c r="G148" s="12">
        <f>IF((0=1),"",IFERROR((G100/(G100+G124)),0))</f>
        <v>0.25</v>
      </c>
      <c r="H148" s="12">
        <f>IF((0=1),"",IFERROR((H100/(H100+H124)),0))</f>
        <v>0.35714285714285715</v>
      </c>
      <c r="I148" s="12">
        <f>IF((1=1),"",IFERROR((I100/(I100+I124)),0))</f>
      </c>
    </row>
    <row r="149">
      <c r="A149" s="0" t="inlineStr">
        <is>
          <t xml:space="preserve">Win rate</t>
        </is>
      </c>
      <c r="B149" s="0" t="inlineStr">
        <is>
          <t xml:space="preserve">Amara Haddad</t>
        </is>
      </c>
      <c r="C149" s="12">
        <f>IF((0=1),"",IFERROR((C101/(C101+C125)),0))</f>
        <v>0.21052631578947367</v>
      </c>
      <c r="D149" s="12">
        <f>IF((0=1),"",IFERROR((D101/(D101+D125)),0))</f>
        <v>0.2</v>
      </c>
      <c r="E149" s="12">
        <f>IF((0=1),"",IFERROR((E101/(E101+E125)),0))</f>
        <v>0.4166666666666667</v>
      </c>
      <c r="F149" s="12">
        <f>IF((0=1),"",IFERROR((F101/(F101+F125)),0))</f>
        <v>0.14285714285714285</v>
      </c>
      <c r="G149" s="12">
        <f>IF((0=1),"",IFERROR((G101/(G101+G125)),0))</f>
        <v>0.1</v>
      </c>
      <c r="H149" s="12">
        <f>IF((0=1),"",IFERROR((H101/(H101+H125)),0))</f>
        <v>0.1111111111111111</v>
      </c>
      <c r="I149" s="12">
        <f>IF((1=1),"",IFERROR((I101/(I101+I125)),0))</f>
      </c>
    </row>
    <row r="150">
      <c r="A150" s="0" t="inlineStr">
        <is>
          <t xml:space="preserve">Win rate</t>
        </is>
      </c>
      <c r="B150" s="0" t="inlineStr">
        <is>
          <t xml:space="preserve">Fatima Silva</t>
        </is>
      </c>
      <c r="C150" s="12">
        <f>IF((0=1),"",IFERROR((C102/(C102+C126)),0))</f>
        <v>0.26666666666666666</v>
      </c>
      <c r="D150" s="12">
        <f>IF((0=1),"",IFERROR((D102/(D102+D126)),0))</f>
        <v>0.3235294117647059</v>
      </c>
      <c r="E150" s="12">
        <f>IF((0=1),"",IFERROR((E102/(E102+E126)),0))</f>
        <v>0.5333333333333333</v>
      </c>
      <c r="F150" s="12">
        <f>IF((0=1),"",IFERROR((F102/(F102+F126)),0))</f>
        <v>0.29411764705882354</v>
      </c>
      <c r="G150" s="12">
        <f>IF((0=1),"",IFERROR((G102/(G102+G126)),0))</f>
        <v>0.28125</v>
      </c>
      <c r="H150" s="12">
        <f>IF((0=1),"",IFERROR((H102/(H102+H126)),0))</f>
        <v>0.55</v>
      </c>
      <c r="I150" s="12">
        <f>IF((1=1),"",IFERROR((I102/(I102+I126)),0))</f>
      </c>
    </row>
    <row r="151">
      <c r="A151" s="0" t="inlineStr">
        <is>
          <t xml:space="preserve">Win rate</t>
        </is>
      </c>
      <c r="B151" s="0" t="inlineStr">
        <is>
          <t xml:space="preserve">Ana Ortiz</t>
        </is>
      </c>
      <c r="C151" s="12">
        <f>IF((0=1),"",IFERROR((C103/(C103+C127)),0))</f>
        <v>0.5</v>
      </c>
      <c r="D151" s="12">
        <f>IF((0=1),"",IFERROR((D103/(D103+D127)),0))</f>
        <v>0.43478260869565216</v>
      </c>
      <c r="E151" s="12">
        <f>IF((0=1),"",IFERROR((E103/(E103+E127)),0))</f>
        <v>0.35714285714285715</v>
      </c>
      <c r="F151" s="12">
        <f>IF((0=1),"",IFERROR((F103/(F103+F127)),0))</f>
        <v>0.5</v>
      </c>
      <c r="G151" s="12">
        <f>IF((0=1),"",IFERROR((G103/(G103+G127)),0))</f>
        <v>0.37037037037037035</v>
      </c>
      <c r="H151" s="12">
        <f>IF((0=1),"",IFERROR((H103/(H103+H127)),0))</f>
        <v>0.24</v>
      </c>
      <c r="I151" s="12">
        <f>IF((1=1),"",IFERROR((I103/(I103+I127)),0))</f>
      </c>
    </row>
    <row r="152">
      <c r="A152" s="0" t="inlineStr">
        <is>
          <t xml:space="preserve">Win rate</t>
        </is>
      </c>
      <c r="B152" s="0" t="inlineStr">
        <is>
          <t xml:space="preserve">Tobias Silva</t>
        </is>
      </c>
      <c r="C152" s="12">
        <f>IF((0=1),"",IFERROR((C104/(C104+C128)),0))</f>
        <v>0</v>
      </c>
      <c r="D152" s="12">
        <f>IF((0=1),"",IFERROR((D104/(D104+D128)),0))</f>
        <v>0.25</v>
      </c>
      <c r="E152" s="12">
        <f>IF((0=1),"",IFERROR((E104/(E104+E128)),0))</f>
        <v>0</v>
      </c>
      <c r="F152" s="12">
        <f>IF((0=1),"",IFERROR((F104/(F104+F128)),0))</f>
        <v>0.42857142857142855</v>
      </c>
      <c r="G152" s="12">
        <f>IF((0=1),"",IFERROR((G104/(G104+G128)),0))</f>
        <v>0.2</v>
      </c>
      <c r="H152" s="12">
        <f>IF((0=1),"",IFERROR((H104/(H104+H128)),0))</f>
        <v>0.6666666666666666</v>
      </c>
      <c r="I152" s="12">
        <f>IF((1=1),"",IFERROR((I104/(I104+I128)),0))</f>
      </c>
    </row>
    <row r="153">
      <c r="A153" s="0" t="inlineStr">
        <is>
          <t xml:space="preserve">Win rate</t>
        </is>
      </c>
      <c r="B153" s="0" t="inlineStr">
        <is>
          <t xml:space="preserve">Leila Osei</t>
        </is>
      </c>
      <c r="C153" s="12">
        <f>IF((0=1),"",IFERROR((C105/(C105+C129)),0))</f>
        <v>0</v>
      </c>
      <c r="D153" s="12">
        <f>IF((0=1),"",IFERROR((D105/(D105+D129)),0))</f>
        <v>0</v>
      </c>
      <c r="E153" s="12">
        <f>IF((0=1),"",IFERROR((E105/(E105+E129)),0))</f>
        <v>0</v>
      </c>
      <c r="F153" s="12">
        <f>IF((0=1),"",IFERROR((F105/(F105+F129)),0))</f>
        <v>0.16666666666666666</v>
      </c>
      <c r="G153" s="12">
        <f>IF((0=1),"",IFERROR((G105/(G105+G129)),0))</f>
        <v>0.375</v>
      </c>
      <c r="H153" s="12">
        <f>IF((0=1),"",IFERROR((H105/(H105+H129)),0))</f>
        <v>0.5714285714285714</v>
      </c>
      <c r="I153" s="12">
        <f>IF((1=1),"",IFERROR((I105/(I105+I129)),0))</f>
      </c>
    </row>
    <row r="154">
      <c r="A154" s="0" t="inlineStr">
        <is>
          <t xml:space="preserve">Win rate</t>
        </is>
      </c>
      <c r="B154" s="0" t="inlineStr">
        <is>
          <t xml:space="preserve">Grace Costa</t>
        </is>
      </c>
      <c r="C154" s="12">
        <f>IF((0=1),"",IFERROR((C106/(C106+C130)),0))</f>
        <v>0.375</v>
      </c>
      <c r="D154" s="12">
        <f>IF((0=1),"",IFERROR((D106/(D106+D130)),0))</f>
        <v>0.14285714285714285</v>
      </c>
      <c r="E154" s="12">
        <f>IF((0=1),"",IFERROR((E106/(E106+E130)),0))</f>
        <v>0.3076923076923077</v>
      </c>
      <c r="F154" s="12">
        <f>IF((0=1),"",IFERROR((F106/(F106+F130)),0))</f>
        <v>0.2571428571428571</v>
      </c>
      <c r="G154" s="12">
        <f>IF((0=1),"",IFERROR((G106/(G106+G130)),0))</f>
        <v>0.5652173913043478</v>
      </c>
      <c r="H154" s="12">
        <f>IF((0=1),"",IFERROR((H106/(H106+H130)),0))</f>
        <v>0.36</v>
      </c>
      <c r="I154" s="12">
        <f>IF((1=1),"",IFERROR((I106/(I106+I130)),0))</f>
      </c>
    </row>
    <row r="155">
      <c r="A155" s="0" t="inlineStr">
        <is>
          <t xml:space="preserve">Win rate</t>
        </is>
      </c>
      <c r="B155" s="0" t="inlineStr">
        <is>
          <t xml:space="preserve">Ingrid Müller</t>
        </is>
      </c>
      <c r="C155" s="12">
        <f>IF((0=1),"",IFERROR((C107/(C107+C131)),0))</f>
        <v>0</v>
      </c>
      <c r="D155" s="12">
        <f>IF((0=1),"",IFERROR((D107/(D107+D131)),0))</f>
        <v>0</v>
      </c>
      <c r="E155" s="12">
        <f>IF((0=1),"",IFERROR((E107/(E107+E131)),0))</f>
        <v>0</v>
      </c>
      <c r="F155" s="12">
        <f>IF((0=1),"",IFERROR((F107/(F107+F131)),0))</f>
        <v>0</v>
      </c>
      <c r="G155" s="12">
        <f>IF((0=1),"",IFERROR((G107/(G107+G131)),0))</f>
        <v>0.3333333333333333</v>
      </c>
      <c r="H155" s="12">
        <f>IF((0=1),"",IFERROR((H107/(H107+H131)),0))</f>
        <v>0.8571428571428571</v>
      </c>
      <c r="I155" s="12">
        <f>IF((1=1),"",IFERROR((I107/(I107+I131)),0))</f>
      </c>
    </row>
    <row r="156">
      <c r="A156" s="0" t="inlineStr">
        <is>
          <t xml:space="preserve">Win rate</t>
        </is>
      </c>
      <c r="B156" s="0" t="inlineStr">
        <is>
          <t xml:space="preserve">Ingrid Kim</t>
        </is>
      </c>
      <c r="C156" s="12">
        <f>IF((0=1),"",IFERROR((C108/(C108+C132)),0))</f>
        <v>0.4666666666666667</v>
      </c>
      <c r="D156" s="12">
        <f>IF((0=1),"",IFERROR((D108/(D108+D132)),0))</f>
        <v>0.42105263157894735</v>
      </c>
      <c r="E156" s="12">
        <f>IF((0=1),"",IFERROR((E108/(E108+E132)),0))</f>
        <v>0.375</v>
      </c>
      <c r="F156" s="12">
        <f>IF((0=1),"",IFERROR((F108/(F108+F132)),0))</f>
        <v>0.5238095238095238</v>
      </c>
      <c r="G156" s="12">
        <f>IF((0=1),"",IFERROR((G108/(G108+G132)),0))</f>
        <v>0.16666666666666666</v>
      </c>
      <c r="H156" s="12">
        <f>IF((0=1),"",IFERROR((H108/(H108+H132)),0))</f>
        <v>0.3333333333333333</v>
      </c>
      <c r="I156" s="12">
        <f>IF((1=1),"",IFERROR((I108/(I108+I132)),0))</f>
      </c>
    </row>
    <row r="157">
      <c r="A157" s="0" t="inlineStr">
        <is>
          <t xml:space="preserve">Win rate</t>
        </is>
      </c>
      <c r="B157" s="0" t="inlineStr">
        <is>
          <t xml:space="preserve">Priya Nair</t>
        </is>
      </c>
      <c r="C157" s="12">
        <f>IF((0=1),"",IFERROR((C109/(C109+C133)),0))</f>
        <v>0.3181818181818182</v>
      </c>
      <c r="D157" s="12">
        <f>IF((0=1),"",IFERROR((D109/(D109+D133)),0))</f>
        <v>0.3333333333333333</v>
      </c>
      <c r="E157" s="12">
        <f>IF((0=1),"",IFERROR((E109/(E109+E133)),0))</f>
        <v>0.36363636363636365</v>
      </c>
      <c r="F157" s="12">
        <f>IF((0=1),"",IFERROR((F109/(F109+F133)),0))</f>
        <v>0.26666666666666666</v>
      </c>
      <c r="G157" s="12">
        <f>IF((0=1),"",IFERROR((G109/(G109+G133)),0))</f>
        <v>0.5263157894736842</v>
      </c>
      <c r="H157" s="12">
        <f>IF((0=1),"",IFERROR((H109/(H109+H133)),0))</f>
        <v>0.21428571428571427</v>
      </c>
      <c r="I157" s="12">
        <f>IF((1=1),"",IFERROR((I109/(I109+I133)),0))</f>
      </c>
    </row>
    <row r="158">
      <c r="A158" s="0" t="inlineStr">
        <is>
          <t xml:space="preserve">Win rate</t>
        </is>
      </c>
      <c r="B158" s="0" t="inlineStr">
        <is>
          <t xml:space="preserve">Hugo Lindqvist</t>
        </is>
      </c>
      <c r="C158" s="12">
        <f>IF((0=1),"",IFERROR((C110/(C110+C134)),0))</f>
        <v>1</v>
      </c>
      <c r="D158" s="12">
        <f>IF((0=1),"",IFERROR((D110/(D110+D134)),0))</f>
        <v>0.35294117647058826</v>
      </c>
      <c r="E158" s="12">
        <f>IF((0=1),"",IFERROR((E110/(E110+E134)),0))</f>
        <v>0.23076923076923078</v>
      </c>
      <c r="F158" s="12">
        <f>IF((0=1),"",IFERROR((F110/(F110+F134)),0))</f>
        <v>0.2857142857142857</v>
      </c>
      <c r="G158" s="12">
        <f>IF((0=1),"",IFERROR((G110/(G110+G134)),0))</f>
        <v>0.4166666666666667</v>
      </c>
      <c r="H158" s="12">
        <f>IF((0=1),"",IFERROR((H110/(H110+H134)),0))</f>
        <v>0.4</v>
      </c>
      <c r="I158" s="12">
        <f>IF((1=1),"",IFERROR((I110/(I110+I134)),0))</f>
      </c>
    </row>
    <row r="159">
      <c r="A159" s="0" t="inlineStr">
        <is>
          <t xml:space="preserve">Win rate</t>
        </is>
      </c>
      <c r="B159" s="0" t="inlineStr">
        <is>
          <t xml:space="preserve">Wei Novak</t>
        </is>
      </c>
      <c r="C159" s="12">
        <f>IF((0=1),"",IFERROR((C111/(C111+C135)),0))</f>
        <v>0</v>
      </c>
      <c r="D159" s="12">
        <f>IF((0=1),"",IFERROR((D111/(D111+D135)),0))</f>
        <v>0</v>
      </c>
      <c r="E159" s="12">
        <f>IF((0=1),"",IFERROR((E111/(E111+E135)),0))</f>
        <v>0</v>
      </c>
      <c r="F159" s="12">
        <f>IF((0=1),"",IFERROR((F111/(F111+F135)),0))</f>
        <v>1</v>
      </c>
      <c r="G159" s="12">
        <f>IF((0=1),"",IFERROR((G111/(G111+G135)),0))</f>
        <v>0.5</v>
      </c>
      <c r="H159" s="12">
        <f>IF((0=1),"",IFERROR((H111/(H111+H135)),0))</f>
        <v>0.14285714285714285</v>
      </c>
      <c r="I159" s="12">
        <f>IF((1=1),"",IFERROR((I111/(I111+I135)),0))</f>
      </c>
    </row>
    <row r="160">
      <c r="A160" s="0" t="inlineStr">
        <is>
          <t xml:space="preserve">Win rate</t>
        </is>
      </c>
      <c r="B160" s="0" t="inlineStr">
        <is>
          <t xml:space="preserve">Nikolai Kim</t>
        </is>
      </c>
      <c r="C160" s="12">
        <f>IF((0=1),"",IFERROR((C112/(C112+C136)),0))</f>
        <v>0.8333333333333334</v>
      </c>
      <c r="D160" s="12">
        <f>IF((0=1),"",IFERROR((D112/(D112+D136)),0))</f>
        <v>0.3333333333333333</v>
      </c>
      <c r="E160" s="12">
        <f>IF((0=1),"",IFERROR((E112/(E112+E136)),0))</f>
        <v>0.4117647058823529</v>
      </c>
      <c r="F160" s="12">
        <f>IF((0=1),"",IFERROR((F112/(F112+F136)),0))</f>
        <v>0.36363636363636365</v>
      </c>
      <c r="G160" s="12">
        <f>IF((0=1),"",IFERROR((G112/(G112+G136)),0))</f>
        <v>0.4117647058823529</v>
      </c>
      <c r="H160" s="12">
        <f>IF((0=1),"",IFERROR((H112/(H112+H136)),0))</f>
        <v>0.4</v>
      </c>
      <c r="I160" s="12">
        <f>IF((1=1),"",IFERROR((I112/(I112+I136)),0))</f>
      </c>
    </row>
    <row r="161">
      <c r="A161" s="0" t="inlineStr">
        <is>
          <t xml:space="preserve">Win rate</t>
        </is>
      </c>
      <c r="B161" s="0" t="inlineStr">
        <is>
          <t xml:space="preserve">Wei Nair</t>
        </is>
      </c>
      <c r="C161" s="12">
        <f>IF((0=1),"",IFERROR((C113/(C113+C137)),0))</f>
        <v>0.4</v>
      </c>
      <c r="D161" s="12">
        <f>IF((0=1),"",IFERROR((D113/(D113+D137)),0))</f>
        <v>0.35714285714285715</v>
      </c>
      <c r="E161" s="12">
        <f>IF((0=1),"",IFERROR((E113/(E113+E137)),0))</f>
        <v>0.5714285714285714</v>
      </c>
      <c r="F161" s="12">
        <f>IF((0=1),"",IFERROR((F113/(F113+F137)),0))</f>
        <v>0.4444444444444444</v>
      </c>
      <c r="G161" s="12">
        <f>IF((0=1),"",IFERROR((G113/(G113+G137)),0))</f>
        <v>0.25</v>
      </c>
      <c r="H161" s="12">
        <f>IF((0=1),"",IFERROR((H113/(H113+H137)),0))</f>
        <v>0.2</v>
      </c>
      <c r="I161" s="12">
        <f>IF((1=1),"",IFERROR((I113/(I113+I137)),0))</f>
      </c>
    </row>
    <row r="162">
      <c r="A162" s="0" t="inlineStr">
        <is>
          <t xml:space="preserve">Win rate</t>
        </is>
      </c>
      <c r="B162" s="0" t="inlineStr">
        <is>
          <t xml:space="preserve">Liam Silva</t>
        </is>
      </c>
      <c r="C162" s="12">
        <f>IF((0=1),"",IFERROR((C114/(C114+C138)),0))</f>
        <v>0.2</v>
      </c>
      <c r="D162" s="12">
        <f>IF((0=1),"",IFERROR((D114/(D114+D138)),0))</f>
        <v>0.5</v>
      </c>
      <c r="E162" s="12">
        <f>IF((0=1),"",IFERROR((E114/(E114+E138)),0))</f>
        <v>0.47619047619047616</v>
      </c>
      <c r="F162" s="12">
        <f>IF((0=1),"",IFERROR((F114/(F114+F138)),0))</f>
        <v>0.5</v>
      </c>
      <c r="G162" s="12">
        <f>IF((0=1),"",IFERROR((G114/(G114+G138)),0))</f>
        <v>0.21428571428571427</v>
      </c>
      <c r="H162" s="12">
        <f>IF((0=1),"",IFERROR((H114/(H114+H138)),0))</f>
        <v>0.4375</v>
      </c>
      <c r="I162" s="12">
        <f>IF((1=1),"",IFERROR((I114/(I114+I138)),0))</f>
      </c>
    </row>
    <row r="163">
      <c r="A163" s="0" t="inlineStr">
        <is>
          <t xml:space="preserve">Win rate</t>
        </is>
      </c>
      <c r="B163" s="0" t="inlineStr">
        <is>
          <t xml:space="preserve">Samuel Silva</t>
        </is>
      </c>
      <c r="C163" s="12">
        <f>IF((0=1),"",IFERROR((C115/(C115+C139)),0))</f>
        <v>0.16666666666666666</v>
      </c>
      <c r="D163" s="12">
        <f>IF((0=1),"",IFERROR((D115/(D115+D139)),0))</f>
        <v>0.38095238095238093</v>
      </c>
      <c r="E163" s="12">
        <f>IF((0=1),"",IFERROR((E115/(E115+E139)),0))</f>
        <v>0.4</v>
      </c>
      <c r="F163" s="12">
        <f>IF((0=1),"",IFERROR((F115/(F115+F139)),0))</f>
        <v>0.5185185185185185</v>
      </c>
      <c r="G163" s="12">
        <f>IF((0=1),"",IFERROR((G115/(G115+G139)),0))</f>
        <v>0.3333333333333333</v>
      </c>
      <c r="H163" s="12">
        <f>IF((0=1),"",IFERROR((H115/(H115+H139)),0))</f>
        <v>0.4666666666666667</v>
      </c>
      <c r="I163" s="12">
        <f>IF((1=1),"",IFERROR((I115/(I115+I139)),0))</f>
      </c>
    </row>
    <row r="164">
      <c r="A164" s="0" t="inlineStr">
        <is>
          <t xml:space="preserve">Win rate</t>
        </is>
      </c>
      <c r="B164" s="0" t="inlineStr">
        <is>
          <t xml:space="preserve">Yuki Larsen</t>
        </is>
      </c>
      <c r="C164" s="12">
        <f>IF((0=1),"",IFERROR((C116/(C116+C140)),0))</f>
        <v>0</v>
      </c>
      <c r="D164" s="12">
        <f>IF((0=1),"",IFERROR((D116/(D116+D140)),0))</f>
        <v>1</v>
      </c>
      <c r="E164" s="12">
        <f>IF((0=1),"",IFERROR((E116/(E116+E140)),0))</f>
        <v>0</v>
      </c>
      <c r="F164" s="12">
        <f>IF((0=1),"",IFERROR((F116/(F116+F140)),0))</f>
        <v>0</v>
      </c>
      <c r="G164" s="12">
        <f>IF((0=1),"",IFERROR((G116/(G116+G140)),0))</f>
        <v>0.5</v>
      </c>
      <c r="H164" s="12">
        <f>IF((0=1),"",IFERROR((H116/(H116+H140)),0))</f>
        <v>0.16666666666666666</v>
      </c>
      <c r="I164" s="12">
        <f>IF((1=1),"",IFERROR((I116/(I116+I140)),0))</f>
      </c>
    </row>
    <row r="165">
      <c r="A165" s="0" t="inlineStr">
        <is>
          <t xml:space="preserve">Win rate</t>
        </is>
      </c>
      <c r="B165" s="0" t="inlineStr">
        <is>
          <t xml:space="preserve">Nikolai Sato</t>
        </is>
      </c>
      <c r="C165" s="12">
        <f>IF((0=1),"",IFERROR((C117/(C117+C141)),0))</f>
        <v>1</v>
      </c>
      <c r="D165" s="12">
        <f>IF((0=1),"",IFERROR((D117/(D117+D141)),0))</f>
        <v>0.25</v>
      </c>
      <c r="E165" s="12">
        <f>IF((0=1),"",IFERROR((E117/(E117+E141)),0))</f>
        <v>0.5</v>
      </c>
      <c r="F165" s="12">
        <f>IF((0=1),"",IFERROR((F117/(F117+F141)),0))</f>
        <v>0.5</v>
      </c>
      <c r="G165" s="12">
        <f>IF((0=1),"",IFERROR((G117/(G117+G141)),0))</f>
        <v>0</v>
      </c>
      <c r="H165" s="12">
        <f>IF((0=1),"",IFERROR((H117/(H117+H141)),0))</f>
        <v>0.25</v>
      </c>
      <c r="I165" s="12">
        <f>IF((1=1),"",IFERROR((I117/(I117+I141)),0))</f>
      </c>
    </row>
    <row r="166">
      <c r="A166" s="0" t="inlineStr">
        <is>
          <t xml:space="preserve">Win rate</t>
        </is>
      </c>
      <c r="B166" s="0" t="inlineStr">
        <is>
          <t xml:space="preserve">Elena Silva</t>
        </is>
      </c>
      <c r="C166" s="12">
        <f>IF((0=1),"",IFERROR((C118/(C118+C142)),0))</f>
        <v>0.5</v>
      </c>
      <c r="D166" s="12">
        <f>IF((0=1),"",IFERROR((D118/(D118+D142)),0))</f>
        <v>0.4</v>
      </c>
      <c r="E166" s="12">
        <f>IF((0=1),"",IFERROR((E118/(E118+E142)),0))</f>
        <v>0.46153846153846156</v>
      </c>
      <c r="F166" s="12">
        <f>IF((0=1),"",IFERROR((F118/(F118+F142)),0))</f>
        <v>0.5</v>
      </c>
      <c r="G166" s="12">
        <f>IF((0=1),"",IFERROR((G118/(G118+G142)),0))</f>
        <v>0.29411764705882354</v>
      </c>
      <c r="H166" s="12">
        <f>IF((0=1),"",IFERROR((H118/(H118+H142)),0))</f>
        <v>0.7</v>
      </c>
      <c r="I166" s="12">
        <f>IF((1=1),"",IFERROR((I118/(I118+I142)),0))</f>
      </c>
    </row>
    <row r="167">
      <c r="A167" s="0" t="inlineStr">
        <is>
          <t xml:space="preserve">Win rate</t>
        </is>
      </c>
      <c r="B167" s="0" t="inlineStr">
        <is>
          <t xml:space="preserve">Arjun Müller</t>
        </is>
      </c>
      <c r="C167" s="12">
        <f>IF((0=1),"",IFERROR((C119/(C119+C143)),0))</f>
        <v>0.3333333333333333</v>
      </c>
      <c r="D167" s="12">
        <f>IF((0=1),"",IFERROR((D119/(D119+D143)),0))</f>
        <v>0.375</v>
      </c>
      <c r="E167" s="12">
        <f>IF((0=1),"",IFERROR((E119/(E119+E143)),0))</f>
        <v>0.26666666666666666</v>
      </c>
      <c r="F167" s="12">
        <f>IF((0=1),"",IFERROR((F119/(F119+F143)),0))</f>
        <v>0</v>
      </c>
      <c r="G167" s="12">
        <f>IF((0=1),"",IFERROR((G119/(G119+G143)),0))</f>
        <v>0.5384615384615384</v>
      </c>
      <c r="H167" s="12">
        <f>IF((0=1),"",IFERROR((H119/(H119+H143)),0))</f>
        <v>0.3076923076923077</v>
      </c>
      <c r="I167" s="12">
        <f>IF((1=1),"",IFERROR((I119/(I119+I143)),0))</f>
      </c>
    </row>
    <row r="168">
      <c r="A168" s="0" t="inlineStr">
        <is>
          <t xml:space="preserve">Win rate</t>
        </is>
      </c>
      <c r="B168" s="0" t="inlineStr">
        <is>
          <t xml:space="preserve">Nikolai Park</t>
        </is>
      </c>
      <c r="C168" s="12">
        <f>IF((0=1),"",IFERROR((C120/(C120+C144)),0))</f>
        <v>0</v>
      </c>
      <c r="D168" s="12">
        <f>IF((0=1),"",IFERROR((D120/(D120+D144)),0))</f>
        <v>0</v>
      </c>
      <c r="E168" s="12">
        <f>IF((0=1),"",IFERROR((E120/(E120+E144)),0))</f>
        <v>0</v>
      </c>
      <c r="F168" s="12">
        <f>IF((0=1),"",IFERROR((F120/(F120+F144)),0))</f>
        <v>0</v>
      </c>
      <c r="G168" s="12">
        <f>IF((0=1),"",IFERROR((G120/(G120+G144)),0))</f>
        <v>0.5</v>
      </c>
      <c r="H168" s="12">
        <f>IF((0=1),"",IFERROR((H120/(H120+H144)),0))</f>
        <v>0.6666666666666666</v>
      </c>
      <c r="I168" s="12">
        <f>IF((1=1),"",IFERROR((I120/(I120+I144)),0))</f>
      </c>
    </row>
    <row r="169">
      <c r="A169" s="0" t="inlineStr">
        <is>
          <t xml:space="preserve">Win rate</t>
        </is>
      </c>
      <c r="B169" s="0" t="inlineStr">
        <is>
          <t xml:space="preserve">Ingrid Dubois</t>
        </is>
      </c>
      <c r="C169" s="12">
        <f>IF((0=1),"",IFERROR((C121/(C121+C145)),0))</f>
        <v>0</v>
      </c>
      <c r="D169" s="12">
        <f>IF((0=1),"",IFERROR((D121/(D121+D145)),0))</f>
        <v>0.5</v>
      </c>
      <c r="E169" s="12">
        <f>IF((0=1),"",IFERROR((E121/(E121+E145)),0))</f>
        <v>0.3</v>
      </c>
      <c r="F169" s="12">
        <f>IF((0=1),"",IFERROR((F121/(F121+F145)),0))</f>
        <v>0.21428571428571427</v>
      </c>
      <c r="G169" s="12">
        <f>IF((0=1),"",IFERROR((G121/(G121+G145)),0))</f>
        <v>0.34782608695652173</v>
      </c>
      <c r="H169" s="12">
        <f>IF((0=1),"",IFERROR((H121/(H121+H145)),0))</f>
        <v>0.5</v>
      </c>
      <c r="I169" s="12">
        <f>IF((1=1),"",IFERROR((I121/(I121+I145)),0))</f>
      </c>
    </row>
    <row r="170">
      <c r="A170" s="0" t="inlineStr">
        <is>
          <t xml:space="preserve">Average deal</t>
        </is>
      </c>
      <c r="B170" s="0" t="inlineStr">
        <is>
          <t xml:space="preserve">Noor Ortiz</t>
        </is>
      </c>
      <c r="C170" s="4">
        <f>IF((0=1),"",IFERROR((C26/C98),0))</f>
        <v>0</v>
      </c>
      <c r="D170" s="4">
        <f>IF((0=1),"",IFERROR((D26/D98),0))</f>
        <v>0</v>
      </c>
      <c r="E170" s="4">
        <f>IF((0=1),"",IFERROR((E26/E98),0))</f>
        <v>100600</v>
      </c>
      <c r="F170" s="4">
        <f>IF((0=1),"",IFERROR((F26/F98),0))</f>
        <v>252950</v>
      </c>
      <c r="G170" s="4">
        <f>IF((0=1),"",IFERROR((G26/G98),0))</f>
        <v>109175</v>
      </c>
      <c r="H170" s="4">
        <f>IF((0=1),"",IFERROR((H26/H98),0))</f>
        <v>46200</v>
      </c>
      <c r="I170" s="4">
        <f>IF((1=1),"",IFERROR((I26/I98),0))</f>
      </c>
    </row>
    <row r="171">
      <c r="A171" s="0" t="inlineStr">
        <is>
          <t xml:space="preserve">Average deal</t>
        </is>
      </c>
      <c r="B171" s="0" t="inlineStr">
        <is>
          <t xml:space="preserve">Priya Yilmaz</t>
        </is>
      </c>
      <c r="C171" s="4">
        <f>IF((0=1),"",IFERROR((C27/C99),0))</f>
        <v>0</v>
      </c>
      <c r="D171" s="4">
        <f>IF((0=1),"",IFERROR((D27/D99),0))</f>
        <v>0</v>
      </c>
      <c r="E171" s="4">
        <f>IF((0=1),"",IFERROR((E27/E99),0))</f>
        <v>0</v>
      </c>
      <c r="F171" s="4">
        <f>IF((0=1),"",IFERROR((F27/F99),0))</f>
        <v>0</v>
      </c>
      <c r="G171" s="4">
        <f>IF((0=1),"",IFERROR((G27/G99),0))</f>
        <v>0</v>
      </c>
      <c r="H171" s="4">
        <f>IF((0=1),"",IFERROR((H27/H99),0))</f>
        <v>0</v>
      </c>
      <c r="I171" s="4">
        <f>IF((1=1),"",IFERROR((I27/I99),0))</f>
      </c>
    </row>
    <row r="172">
      <c r="A172" s="0" t="inlineStr">
        <is>
          <t xml:space="preserve">Average deal</t>
        </is>
      </c>
      <c r="B172" s="0" t="inlineStr">
        <is>
          <t xml:space="preserve">Marcus Schmidt</t>
        </is>
      </c>
      <c r="C172" s="8">
        <f>IF((0=1),"",IFERROR((C28/C100),0))</f>
        <v>0</v>
      </c>
      <c r="D172" s="8">
        <f>IF((0=1),"",IFERROR((D28/D100),0))</f>
        <v>87800</v>
      </c>
      <c r="E172" s="8">
        <f>IF((0=1),"",IFERROR((E28/E100),0))</f>
        <v>38120</v>
      </c>
      <c r="F172" s="8">
        <f>IF((0=1),"",IFERROR((F28/F100),0))</f>
        <v>44411.11111111111</v>
      </c>
      <c r="G172" s="8">
        <f>IF((0=1),"",IFERROR((G28/G100),0))</f>
        <v>34780</v>
      </c>
      <c r="H172" s="8">
        <f>IF((0=1),"",IFERROR((H28/H100),0))</f>
        <v>25960</v>
      </c>
      <c r="I172" s="8">
        <f>IF((1=1),"",IFERROR((I28/I100),0))</f>
      </c>
    </row>
    <row r="173">
      <c r="A173" s="0" t="inlineStr">
        <is>
          <t xml:space="preserve">Average deal</t>
        </is>
      </c>
      <c r="B173" s="0" t="inlineStr">
        <is>
          <t xml:space="preserve">Amara Haddad</t>
        </is>
      </c>
      <c r="C173" s="4">
        <f>IF((0=1),"",IFERROR((C29/C101),0))</f>
        <v>51950</v>
      </c>
      <c r="D173" s="4">
        <f>IF((0=1),"",IFERROR((D29/D101),0))</f>
        <v>43600</v>
      </c>
      <c r="E173" s="4">
        <f>IF((0=1),"",IFERROR((E29/E101),0))</f>
        <v>27620</v>
      </c>
      <c r="F173" s="4">
        <f>IF((0=1),"",IFERROR((F29/F101),0))</f>
        <v>25200</v>
      </c>
      <c r="G173" s="4">
        <f>IF((0=1),"",IFERROR((G29/G101),0))</f>
        <v>37700</v>
      </c>
      <c r="H173" s="4">
        <f>IF((0=1),"",IFERROR((H29/H101),0))</f>
        <v>55300</v>
      </c>
      <c r="I173" s="4">
        <f>IF((1=1),"",IFERROR((I29/I101),0))</f>
      </c>
    </row>
    <row r="174">
      <c r="A174" s="0" t="inlineStr">
        <is>
          <t xml:space="preserve">Average deal</t>
        </is>
      </c>
      <c r="B174" s="0" t="inlineStr">
        <is>
          <t xml:space="preserve">Fatima Silva</t>
        </is>
      </c>
      <c r="C174" s="8">
        <f>IF((0=1),"",IFERROR((C30/C102),0))</f>
        <v>13425</v>
      </c>
      <c r="D174" s="8">
        <f>IF((0=1),"",IFERROR((D30/D102),0))</f>
        <v>10045.454545454546</v>
      </c>
      <c r="E174" s="8">
        <f>IF((0=1),"",IFERROR((E30/E102),0))</f>
        <v>15187.5</v>
      </c>
      <c r="F174" s="8">
        <f>IF((0=1),"",IFERROR((F30/F102),0))</f>
        <v>12500</v>
      </c>
      <c r="G174" s="8">
        <f>IF((0=1),"",IFERROR((G30/G102),0))</f>
        <v>12400</v>
      </c>
      <c r="H174" s="8">
        <f>IF((0=1),"",IFERROR((H30/H102),0))</f>
        <v>10381.818181818182</v>
      </c>
      <c r="I174" s="8">
        <f>IF((1=1),"",IFERROR((I30/I102),0))</f>
      </c>
    </row>
    <row r="175">
      <c r="A175" s="0" t="inlineStr">
        <is>
          <t xml:space="preserve">Average deal</t>
        </is>
      </c>
      <c r="B175" s="0" t="inlineStr">
        <is>
          <t xml:space="preserve">Ana Ortiz</t>
        </is>
      </c>
      <c r="C175" s="4">
        <f>IF((0=1),"",IFERROR((C31/C103),0))</f>
        <v>7000</v>
      </c>
      <c r="D175" s="4">
        <f>IF((0=1),"",IFERROR((D31/D103),0))</f>
        <v>9700</v>
      </c>
      <c r="E175" s="4">
        <f>IF((0=1),"",IFERROR((E31/E103),0))</f>
        <v>7000</v>
      </c>
      <c r="F175" s="4">
        <f>IF((0=1),"",IFERROR((F31/F103),0))</f>
        <v>9500</v>
      </c>
      <c r="G175" s="4">
        <f>IF((0=1),"",IFERROR((G31/G103),0))</f>
        <v>10900</v>
      </c>
      <c r="H175" s="4">
        <f>IF((0=1),"",IFERROR((H31/H103),0))</f>
        <v>11450</v>
      </c>
      <c r="I175" s="4">
        <f>IF((1=1),"",IFERROR((I31/I103),0))</f>
      </c>
    </row>
    <row r="176">
      <c r="A176" s="0" t="inlineStr">
        <is>
          <t xml:space="preserve">Average deal</t>
        </is>
      </c>
      <c r="B176" s="0" t="inlineStr">
        <is>
          <t xml:space="preserve">Tobias Silva</t>
        </is>
      </c>
      <c r="C176" s="8">
        <f>IF((0=1),"",IFERROR((C32/C104),0))</f>
        <v>0</v>
      </c>
      <c r="D176" s="8">
        <f>IF((0=1),"",IFERROR((D32/D104),0))</f>
        <v>146800</v>
      </c>
      <c r="E176" s="8">
        <f>IF((0=1),"",IFERROR((E32/E104),0))</f>
        <v>0</v>
      </c>
      <c r="F176" s="8">
        <f>IF((0=1),"",IFERROR((F32/F104),0))</f>
        <v>470766.6666666667</v>
      </c>
      <c r="G176" s="8">
        <f>IF((0=1),"",IFERROR((G32/G104),0))</f>
        <v>53000</v>
      </c>
      <c r="H176" s="8">
        <f>IF((0=1),"",IFERROR((H32/H104),0))</f>
        <v>248150</v>
      </c>
      <c r="I176" s="8">
        <f>IF((1=1),"",IFERROR((I32/I104),0))</f>
      </c>
    </row>
    <row r="177">
      <c r="A177" s="0" t="inlineStr">
        <is>
          <t xml:space="preserve">Average deal</t>
        </is>
      </c>
      <c r="B177" s="0" t="inlineStr">
        <is>
          <t xml:space="preserve">Leila Osei</t>
        </is>
      </c>
      <c r="C177" s="8">
        <f>IF((0=1),"",IFERROR((C33/C105),0))</f>
        <v>0</v>
      </c>
      <c r="D177" s="8">
        <f>IF((0=1),"",IFERROR((D33/D105),0))</f>
        <v>0</v>
      </c>
      <c r="E177" s="8">
        <f>IF((0=1),"",IFERROR((E33/E105),0))</f>
        <v>0</v>
      </c>
      <c r="F177" s="8">
        <f>IF((0=1),"",IFERROR((F33/F105),0))</f>
        <v>35500</v>
      </c>
      <c r="G177" s="8">
        <f>IF((0=1),"",IFERROR((G33/G105),0))</f>
        <v>118333.33333333333</v>
      </c>
      <c r="H177" s="8">
        <f>IF((0=1),"",IFERROR((H33/H105),0))</f>
        <v>174500</v>
      </c>
      <c r="I177" s="8">
        <f>IF((1=1),"",IFERROR((I33/I105),0))</f>
      </c>
    </row>
    <row r="178">
      <c r="A178" s="0" t="inlineStr">
        <is>
          <t xml:space="preserve">Average deal</t>
        </is>
      </c>
      <c r="B178" s="0" t="inlineStr">
        <is>
          <t xml:space="preserve">Grace Costa</t>
        </is>
      </c>
      <c r="C178" s="8">
        <f>IF((0=1),"",IFERROR((C34/C106),0))</f>
        <v>24100</v>
      </c>
      <c r="D178" s="8">
        <f>IF((0=1),"",IFERROR((D34/D106),0))</f>
        <v>28500</v>
      </c>
      <c r="E178" s="8">
        <f>IF((0=1),"",IFERROR((E34/E106),0))</f>
        <v>43237.5</v>
      </c>
      <c r="F178" s="8">
        <f>IF((0=1),"",IFERROR((F34/F106),0))</f>
        <v>35955.555555555555</v>
      </c>
      <c r="G178" s="8">
        <f>IF((0=1),"",IFERROR((G34/G106),0))</f>
        <v>49823.07692307692</v>
      </c>
      <c r="H178" s="8">
        <f>IF((0=1),"",IFERROR((H34/H106),0))</f>
        <v>42511.11111111111</v>
      </c>
      <c r="I178" s="8">
        <f>IF((1=1),"",IFERROR((I34/I106),0))</f>
      </c>
    </row>
    <row r="179">
      <c r="A179" s="0" t="inlineStr">
        <is>
          <t xml:space="preserve">Average deal</t>
        </is>
      </c>
      <c r="B179" s="0" t="inlineStr">
        <is>
          <t xml:space="preserve">Ingrid Müller</t>
        </is>
      </c>
      <c r="C179" s="4">
        <f>IF((0=1),"",IFERROR((C35/C107),0))</f>
        <v>0</v>
      </c>
      <c r="D179" s="4">
        <f>IF((0=1),"",IFERROR((D35/D107),0))</f>
        <v>0</v>
      </c>
      <c r="E179" s="4">
        <f>IF((0=1),"",IFERROR((E35/E107),0))</f>
        <v>0</v>
      </c>
      <c r="F179" s="4">
        <f>IF((0=1),"",IFERROR((F35/F107),0))</f>
        <v>0</v>
      </c>
      <c r="G179" s="4">
        <f>IF((0=1),"",IFERROR((G35/G107),0))</f>
        <v>48900</v>
      </c>
      <c r="H179" s="4">
        <f>IF((0=1),"",IFERROR((H35/H107),0))</f>
        <v>40950</v>
      </c>
      <c r="I179" s="4">
        <f>IF((1=1),"",IFERROR((I35/I107),0))</f>
      </c>
    </row>
    <row r="180">
      <c r="A180" s="0" t="inlineStr">
        <is>
          <t xml:space="preserve">Average deal</t>
        </is>
      </c>
      <c r="B180" s="0" t="inlineStr">
        <is>
          <t xml:space="preserve">Ingrid Kim</t>
        </is>
      </c>
      <c r="C180" s="8">
        <f>IF((0=1),"",IFERROR((C36/C108),0))</f>
        <v>11514.285714285714</v>
      </c>
      <c r="D180" s="8">
        <f>IF((0=1),"",IFERROR((D36/D108),0))</f>
        <v>10825</v>
      </c>
      <c r="E180" s="8">
        <f>IF((0=1),"",IFERROR((E36/E108),0))</f>
        <v>20966.666666666668</v>
      </c>
      <c r="F180" s="8">
        <f>IF((0=1),"",IFERROR((F36/F108),0))</f>
        <v>9681.818181818182</v>
      </c>
      <c r="G180" s="8">
        <f>IF((0=1),"",IFERROR((G36/G108),0))</f>
        <v>13250</v>
      </c>
      <c r="H180" s="8">
        <f>IF((0=1),"",IFERROR((H36/H108),0))</f>
        <v>17820</v>
      </c>
      <c r="I180" s="8">
        <f>IF((1=1),"",IFERROR((I36/I108),0))</f>
      </c>
    </row>
    <row r="181">
      <c r="A181" s="0" t="inlineStr">
        <is>
          <t xml:space="preserve">Average deal</t>
        </is>
      </c>
      <c r="B181" s="0" t="inlineStr">
        <is>
          <t xml:space="preserve">Priya Nair</t>
        </is>
      </c>
      <c r="C181" s="8">
        <f>IF((0=1),"",IFERROR((C37/C109),0))</f>
        <v>10085.714285714286</v>
      </c>
      <c r="D181" s="8">
        <f>IF((0=1),"",IFERROR((D37/D109),0))</f>
        <v>14428.57142857143</v>
      </c>
      <c r="E181" s="8">
        <f>IF((0=1),"",IFERROR((E37/E109),0))</f>
        <v>13950</v>
      </c>
      <c r="F181" s="8">
        <f>IF((0=1),"",IFERROR((F37/F109),0))</f>
        <v>18925</v>
      </c>
      <c r="G181" s="8">
        <f>IF((0=1),"",IFERROR((G37/G109),0))</f>
        <v>10360</v>
      </c>
      <c r="H181" s="8">
        <f>IF((0=1),"",IFERROR((H37/H109),0))</f>
        <v>12400</v>
      </c>
      <c r="I181" s="8">
        <f>IF((1=1),"",IFERROR((I37/I109),0))</f>
      </c>
    </row>
    <row r="182">
      <c r="A182" s="0" t="inlineStr">
        <is>
          <t xml:space="preserve">Average deal</t>
        </is>
      </c>
      <c r="B182" s="0" t="inlineStr">
        <is>
          <t xml:space="preserve">Hugo Lindqvist</t>
        </is>
      </c>
      <c r="C182" s="8">
        <f>IF((0=1),"",IFERROR((C38/C110),0))</f>
        <v>245800</v>
      </c>
      <c r="D182" s="8">
        <f>IF((0=1),"",IFERROR((D38/D110),0))</f>
        <v>122083.33333333333</v>
      </c>
      <c r="E182" s="8">
        <f>IF((0=1),"",IFERROR((E38/E110),0))</f>
        <v>90533.33333333333</v>
      </c>
      <c r="F182" s="8">
        <f>IF((0=1),"",IFERROR((F38/F110),0))</f>
        <v>271650</v>
      </c>
      <c r="G182" s="8">
        <f>IF((0=1),"",IFERROR((G38/G110),0))</f>
        <v>91400</v>
      </c>
      <c r="H182" s="8">
        <f>IF((0=1),"",IFERROR((H38/H110),0))</f>
        <v>188300</v>
      </c>
      <c r="I182" s="8">
        <f>IF((1=1),"",IFERROR((I38/I110),0))</f>
      </c>
    </row>
    <row r="183">
      <c r="A183" s="0" t="inlineStr">
        <is>
          <t xml:space="preserve">Average deal</t>
        </is>
      </c>
      <c r="B183" s="0" t="inlineStr">
        <is>
          <t xml:space="preserve">Wei Novak</t>
        </is>
      </c>
      <c r="C183" s="4">
        <f>IF((0=1),"",IFERROR((C39/C111),0))</f>
        <v>0</v>
      </c>
      <c r="D183" s="4">
        <f>IF((0=1),"",IFERROR((D39/D111),0))</f>
        <v>0</v>
      </c>
      <c r="E183" s="4">
        <f>IF((0=1),"",IFERROR((E39/E111),0))</f>
        <v>0</v>
      </c>
      <c r="F183" s="4">
        <f>IF((0=1),"",IFERROR((F39/F111),0))</f>
        <v>22800</v>
      </c>
      <c r="G183" s="4">
        <f>IF((0=1),"",IFERROR((G39/G111),0))</f>
        <v>60000</v>
      </c>
      <c r="H183" s="4">
        <f>IF((0=1),"",IFERROR((H39/H111),0))</f>
        <v>92900</v>
      </c>
      <c r="I183" s="4">
        <f>IF((1=1),"",IFERROR((I39/I111),0))</f>
      </c>
    </row>
    <row r="184">
      <c r="A184" s="0" t="inlineStr">
        <is>
          <t xml:space="preserve">Average deal</t>
        </is>
      </c>
      <c r="B184" s="0" t="inlineStr">
        <is>
          <t xml:space="preserve">Nikolai Kim</t>
        </is>
      </c>
      <c r="C184" s="8">
        <f>IF((0=1),"",IFERROR((C40/C112),0))</f>
        <v>52320</v>
      </c>
      <c r="D184" s="8">
        <f>IF((0=1),"",IFERROR((D40/D112),0))</f>
        <v>52750</v>
      </c>
      <c r="E184" s="8">
        <f>IF((0=1),"",IFERROR((E40/E112),0))</f>
        <v>43528.57142857143</v>
      </c>
      <c r="F184" s="8">
        <f>IF((0=1),"",IFERROR((F40/F112),0))</f>
        <v>40625</v>
      </c>
      <c r="G184" s="8">
        <f>IF((0=1),"",IFERROR((G40/G112),0))</f>
        <v>33085.71428571428</v>
      </c>
      <c r="H184" s="8">
        <f>IF((0=1),"",IFERROR((H40/H112),0))</f>
        <v>34100</v>
      </c>
      <c r="I184" s="8">
        <f>IF((1=1),"",IFERROR((I40/I112),0))</f>
      </c>
    </row>
    <row r="185">
      <c r="A185" s="0" t="inlineStr">
        <is>
          <t xml:space="preserve">Average deal</t>
        </is>
      </c>
      <c r="B185" s="0" t="inlineStr">
        <is>
          <t xml:space="preserve">Wei Nair</t>
        </is>
      </c>
      <c r="C185" s="8">
        <f>IF((0=1),"",IFERROR((C41/C113),0))</f>
        <v>32650</v>
      </c>
      <c r="D185" s="8">
        <f>IF((0=1),"",IFERROR((D41/D113),0))</f>
        <v>22540</v>
      </c>
      <c r="E185" s="8">
        <f>IF((0=1),"",IFERROR((E41/E113),0))</f>
        <v>46950</v>
      </c>
      <c r="F185" s="8">
        <f>IF((0=1),"",IFERROR((F41/F113),0))</f>
        <v>38275</v>
      </c>
      <c r="G185" s="8">
        <f>IF((0=1),"",IFERROR((G41/G113),0))</f>
        <v>20833.333333333332</v>
      </c>
      <c r="H185" s="8">
        <f>IF((0=1),"",IFERROR((H41/H113),0))</f>
        <v>53800</v>
      </c>
      <c r="I185" s="8">
        <f>IF((1=1),"",IFERROR((I41/I113),0))</f>
      </c>
    </row>
    <row r="186">
      <c r="A186" s="0" t="inlineStr">
        <is>
          <t xml:space="preserve">Average deal</t>
        </is>
      </c>
      <c r="B186" s="0" t="inlineStr">
        <is>
          <t xml:space="preserve">Liam Silva</t>
        </is>
      </c>
      <c r="C186" s="8">
        <f>IF((0=1),"",IFERROR((C42/C114),0))</f>
        <v>3500</v>
      </c>
      <c r="D186" s="8">
        <f>IF((0=1),"",IFERROR((D42/D114),0))</f>
        <v>10214.285714285714</v>
      </c>
      <c r="E186" s="8">
        <f>IF((0=1),"",IFERROR((E42/E114),0))</f>
        <v>10170</v>
      </c>
      <c r="F186" s="8">
        <f>IF((0=1),"",IFERROR((F42/F114),0))</f>
        <v>13766.666666666666</v>
      </c>
      <c r="G186" s="8">
        <f>IF((0=1),"",IFERROR((G42/G114),0))</f>
        <v>14833.333333333334</v>
      </c>
      <c r="H186" s="8">
        <f>IF((0=1),"",IFERROR((H42/H114),0))</f>
        <v>14714.285714285714</v>
      </c>
      <c r="I186" s="8">
        <f>IF((1=1),"",IFERROR((I42/I114),0))</f>
      </c>
    </row>
    <row r="187">
      <c r="A187" s="0" t="inlineStr">
        <is>
          <t xml:space="preserve">Average deal</t>
        </is>
      </c>
      <c r="B187" s="0" t="inlineStr">
        <is>
          <t xml:space="preserve">Samuel Silva</t>
        </is>
      </c>
      <c r="C187" s="8">
        <f>IF((0=1),"",IFERROR((C43/C115),0))</f>
        <v>11300</v>
      </c>
      <c r="D187" s="8">
        <f>IF((0=1),"",IFERROR((D43/D115),0))</f>
        <v>19262.5</v>
      </c>
      <c r="E187" s="8">
        <f>IF((0=1),"",IFERROR((E43/E115),0))</f>
        <v>16150</v>
      </c>
      <c r="F187" s="8">
        <f>IF((0=1),"",IFERROR((F43/F115),0))</f>
        <v>12100</v>
      </c>
      <c r="G187" s="8">
        <f>IF((0=1),"",IFERROR((G43/G115),0))</f>
        <v>14300</v>
      </c>
      <c r="H187" s="8">
        <f>IF((0=1),"",IFERROR((H43/H115),0))</f>
        <v>10185.714285714286</v>
      </c>
      <c r="I187" s="8">
        <f>IF((1=1),"",IFERROR((I43/I115),0))</f>
      </c>
    </row>
    <row r="188">
      <c r="A188" s="0" t="inlineStr">
        <is>
          <t xml:space="preserve">Average deal</t>
        </is>
      </c>
      <c r="B188" s="0" t="inlineStr">
        <is>
          <t xml:space="preserve">Yuki Larsen</t>
        </is>
      </c>
      <c r="C188" s="4">
        <f>IF((0=1),"",IFERROR((C44/C116),0))</f>
        <v>0</v>
      </c>
      <c r="D188" s="4">
        <f>IF((0=1),"",IFERROR((D44/D116),0))</f>
        <v>74250</v>
      </c>
      <c r="E188" s="4">
        <f>IF((0=1),"",IFERROR((E44/E116),0))</f>
        <v>0</v>
      </c>
      <c r="F188" s="4">
        <f>IF((0=1),"",IFERROR((F44/F116),0))</f>
        <v>0</v>
      </c>
      <c r="G188" s="4">
        <f>IF((0=1),"",IFERROR((G44/G116),0))</f>
        <v>188400</v>
      </c>
      <c r="H188" s="4">
        <f>IF((0=1),"",IFERROR((H44/H116),0))</f>
        <v>157600</v>
      </c>
      <c r="I188" s="4">
        <f>IF((1=1),"",IFERROR((I44/I116),0))</f>
      </c>
    </row>
    <row r="189">
      <c r="A189" s="0" t="inlineStr">
        <is>
          <t xml:space="preserve">Average deal</t>
        </is>
      </c>
      <c r="B189" s="0" t="inlineStr">
        <is>
          <t xml:space="preserve">Nikolai Sato</t>
        </is>
      </c>
      <c r="C189" s="4">
        <f>IF((0=1),"",IFERROR((C45/C117),0))</f>
        <v>99700</v>
      </c>
      <c r="D189" s="4">
        <f>IF((0=1),"",IFERROR((D45/D117),0))</f>
        <v>139350</v>
      </c>
      <c r="E189" s="4">
        <f>IF((0=1),"",IFERROR((E45/E117),0))</f>
        <v>64300</v>
      </c>
      <c r="F189" s="4">
        <f>IF((0=1),"",IFERROR((F45/F117),0))</f>
        <v>89800</v>
      </c>
      <c r="G189" s="4">
        <f>IF((0=1),"",IFERROR((G45/G117),0))</f>
        <v>0</v>
      </c>
      <c r="H189" s="4">
        <f>IF((0=1),"",IFERROR((H45/H117),0))</f>
        <v>103400</v>
      </c>
      <c r="I189" s="4">
        <f>IF((1=1),"",IFERROR((I45/I117),0))</f>
      </c>
    </row>
    <row r="190">
      <c r="A190" s="0" t="inlineStr">
        <is>
          <t xml:space="preserve">Average deal</t>
        </is>
      </c>
      <c r="B190" s="0" t="inlineStr">
        <is>
          <t xml:space="preserve">Elena Silva</t>
        </is>
      </c>
      <c r="C190" s="8">
        <f>IF((0=1),"",IFERROR((C46/C118),0))</f>
        <v>37066.666666666664</v>
      </c>
      <c r="D190" s="8">
        <f>IF((0=1),"",IFERROR((D46/D118),0))</f>
        <v>47683.333333333336</v>
      </c>
      <c r="E190" s="8">
        <f>IF((0=1),"",IFERROR((E46/E118),0))</f>
        <v>38400</v>
      </c>
      <c r="F190" s="8">
        <f>IF((0=1),"",IFERROR((F46/F118),0))</f>
        <v>68600</v>
      </c>
      <c r="G190" s="8">
        <f>IF((0=1),"",IFERROR((G46/G118),0))</f>
        <v>36780</v>
      </c>
      <c r="H190" s="8">
        <f>IF((0=1),"",IFERROR((H46/H118),0))</f>
        <v>27371.428571428572</v>
      </c>
      <c r="I190" s="8">
        <f>IF((1=1),"",IFERROR((I46/I118),0))</f>
      </c>
    </row>
    <row r="191">
      <c r="A191" s="0" t="inlineStr">
        <is>
          <t xml:space="preserve">Average deal</t>
        </is>
      </c>
      <c r="B191" s="0" t="inlineStr">
        <is>
          <t xml:space="preserve">Arjun Müller</t>
        </is>
      </c>
      <c r="C191" s="8">
        <f>IF((0=1),"",IFERROR((C47/C119),0))</f>
        <v>25000</v>
      </c>
      <c r="D191" s="8">
        <f>IF((0=1),"",IFERROR((D47/D119),0))</f>
        <v>25866.666666666668</v>
      </c>
      <c r="E191" s="8">
        <f>IF((0=1),"",IFERROR((E47/E119),0))</f>
        <v>43950</v>
      </c>
      <c r="F191" s="8">
        <f>IF((0=1),"",IFERROR((F47/F119),0))</f>
        <v>0</v>
      </c>
      <c r="G191" s="8">
        <f>IF((0=1),"",IFERROR((G47/G119),0))</f>
        <v>27700</v>
      </c>
      <c r="H191" s="8">
        <f>IF((0=1),"",IFERROR((H47/H119),0))</f>
        <v>40550</v>
      </c>
      <c r="I191" s="8">
        <f>IF((1=1),"",IFERROR((I47/I119),0))</f>
      </c>
    </row>
    <row r="192">
      <c r="A192" s="0" t="inlineStr">
        <is>
          <t xml:space="preserve">Average deal</t>
        </is>
      </c>
      <c r="B192" s="0" t="inlineStr">
        <is>
          <t xml:space="preserve">Nikolai Park</t>
        </is>
      </c>
      <c r="C192" s="4">
        <f>IF((0=1),"",IFERROR((C48/C120),0))</f>
        <v>0</v>
      </c>
      <c r="D192" s="4">
        <f>IF((0=1),"",IFERROR((D48/D120),0))</f>
        <v>0</v>
      </c>
      <c r="E192" s="4">
        <f>IF((0=1),"",IFERROR((E48/E120),0))</f>
        <v>0</v>
      </c>
      <c r="F192" s="4">
        <f>IF((0=1),"",IFERROR((F48/F120),0))</f>
        <v>0</v>
      </c>
      <c r="G192" s="4">
        <f>IF((0=1),"",IFERROR((G48/G120),0))</f>
        <v>11000</v>
      </c>
      <c r="H192" s="4">
        <f>IF((0=1),"",IFERROR((H48/H120),0))</f>
        <v>13900</v>
      </c>
      <c r="I192" s="4">
        <f>IF((1=1),"",IFERROR((I48/I120),0))</f>
      </c>
    </row>
    <row r="193">
      <c r="A193" s="0" t="inlineStr">
        <is>
          <t xml:space="preserve">Average deal</t>
        </is>
      </c>
      <c r="B193" s="0" t="inlineStr">
        <is>
          <t xml:space="preserve">Ingrid Dubois</t>
        </is>
      </c>
      <c r="C193" s="8">
        <f>IF((0=1),"",IFERROR((C49/C121),0))</f>
        <v>0</v>
      </c>
      <c r="D193" s="8">
        <f>IF((0=1),"",IFERROR((D49/D121),0))</f>
        <v>13811.111111111111</v>
      </c>
      <c r="E193" s="8">
        <f>IF((0=1),"",IFERROR((E49/E121),0))</f>
        <v>13900</v>
      </c>
      <c r="F193" s="8">
        <f>IF((0=1),"",IFERROR((F49/F121),0))</f>
        <v>10300</v>
      </c>
      <c r="G193" s="8">
        <f>IF((0=1),"",IFERROR((G49/G121),0))</f>
        <v>15087.5</v>
      </c>
      <c r="H193" s="8">
        <f>IF((0=1),"",IFERROR((H49/H121),0))</f>
        <v>16842.85714285714</v>
      </c>
      <c r="I193" s="8">
        <f>IF((1=1),"",IFERROR((I49/I121),0))</f>
      </c>
    </row>
    <row r="194">
      <c r="A194" s="0" t="inlineStr">
        <is>
          <t xml:space="preserve">New logos</t>
        </is>
      </c>
      <c r="B194" s="0" t="inlineStr">
        <is>
          <t xml:space="preserve">Noor Ortiz</t>
        </is>
      </c>
      <c r="C194" s="4">
        <f>COUNTIFS('Opportunities'!$C$2:$C$1775,"=r01",'Opportunities'!$P$2:$P$1775,"=1",'Opportunities'!$G$2:$G$1775,"=1",'Opportunities'!$X$2:$X$1775,"=q2_2025",'Opportunities'!$H$2:$H$1775,"&lt;&gt;")</f>
        <v>0</v>
      </c>
      <c r="D194" s="4">
        <f>COUNTIFS('Opportunities'!$C$2:$C$1775,"=r01",'Opportunities'!$P$2:$P$1775,"=1",'Opportunities'!$G$2:$G$1775,"=1",'Opportunities'!$X$2:$X$1775,"=q3_2025",'Opportunities'!$H$2:$H$1775,"&lt;&gt;")</f>
        <v>0</v>
      </c>
      <c r="E194" s="4">
        <f>COUNTIFS('Opportunities'!$C$2:$C$1775,"=r01",'Opportunities'!$P$2:$P$1775,"=1",'Opportunities'!$G$2:$G$1775,"=1",'Opportunities'!$X$2:$X$1775,"=q4_2025",'Opportunities'!$H$2:$H$1775,"&lt;&gt;")</f>
        <v>2</v>
      </c>
      <c r="F194" s="4">
        <f>COUNTIFS('Opportunities'!$C$2:$C$1775,"=r01",'Opportunities'!$P$2:$P$1775,"=1",'Opportunities'!$G$2:$G$1775,"=1",'Opportunities'!$X$2:$X$1775,"=q1_2026",'Opportunities'!$H$2:$H$1775,"&lt;&gt;")</f>
        <v>2</v>
      </c>
      <c r="G194" s="4">
        <f>COUNTIFS('Opportunities'!$C$2:$C$1775,"=r01",'Opportunities'!$P$2:$P$1775,"=1",'Opportunities'!$G$2:$G$1775,"=1",'Opportunities'!$X$2:$X$1775,"=q2_2026",'Opportunities'!$H$2:$H$1775,"&lt;&gt;")</f>
        <v>2</v>
      </c>
      <c r="H194" s="4">
        <f>COUNTIFS('Opportunities'!$C$2:$C$1775,"=r01",'Opportunities'!$P$2:$P$1775,"=1",'Opportunities'!$G$2:$G$1775,"=1",'Opportunities'!$X$2:$X$1775,"=q3_2026",'Opportunities'!$H$2:$H$1775,"&lt;&gt;")</f>
        <v>2</v>
      </c>
      <c r="I194" s="4">
        <f>COUNTIFS('Opportunities'!$C$2:$C$1775,"=r01",'Opportunities'!$P$2:$P$1775,"=1",'Opportunities'!$G$2:$G$1775,"=1",'Opportunities'!$X$2:$X$1775,"=q4_2026",'Opportunities'!$H$2:$H$1775,"&lt;&gt;")</f>
        <v>0</v>
      </c>
    </row>
    <row r="195">
      <c r="A195" s="0" t="inlineStr">
        <is>
          <t xml:space="preserve">New logos</t>
        </is>
      </c>
      <c r="B195" s="0" t="inlineStr">
        <is>
          <t xml:space="preserve">Priya Yilmaz</t>
        </is>
      </c>
      <c r="C195" s="4">
        <f>COUNTIFS('Opportunities'!$C$2:$C$1775,"=r02",'Opportunities'!$P$2:$P$1775,"=1",'Opportunities'!$G$2:$G$1775,"=1",'Opportunities'!$X$2:$X$1775,"=q2_2025",'Opportunities'!$H$2:$H$1775,"&lt;&gt;")</f>
        <v>0</v>
      </c>
      <c r="D195" s="4">
        <f>COUNTIFS('Opportunities'!$C$2:$C$1775,"=r02",'Opportunities'!$P$2:$P$1775,"=1",'Opportunities'!$G$2:$G$1775,"=1",'Opportunities'!$X$2:$X$1775,"=q3_2025",'Opportunities'!$H$2:$H$1775,"&lt;&gt;")</f>
        <v>0</v>
      </c>
      <c r="E195" s="4">
        <f>COUNTIFS('Opportunities'!$C$2:$C$1775,"=r02",'Opportunities'!$P$2:$P$1775,"=1",'Opportunities'!$G$2:$G$1775,"=1",'Opportunities'!$X$2:$X$1775,"=q4_2025",'Opportunities'!$H$2:$H$1775,"&lt;&gt;")</f>
        <v>0</v>
      </c>
      <c r="F195" s="4">
        <f>COUNTIFS('Opportunities'!$C$2:$C$1775,"=r02",'Opportunities'!$P$2:$P$1775,"=1",'Opportunities'!$G$2:$G$1775,"=1",'Opportunities'!$X$2:$X$1775,"=q1_2026",'Opportunities'!$H$2:$H$1775,"&lt;&gt;")</f>
        <v>0</v>
      </c>
      <c r="G195" s="4">
        <f>COUNTIFS('Opportunities'!$C$2:$C$1775,"=r02",'Opportunities'!$P$2:$P$1775,"=1",'Opportunities'!$G$2:$G$1775,"=1",'Opportunities'!$X$2:$X$1775,"=q2_2026",'Opportunities'!$H$2:$H$1775,"&lt;&gt;")</f>
        <v>0</v>
      </c>
      <c r="H195" s="4">
        <f>COUNTIFS('Opportunities'!$C$2:$C$1775,"=r02",'Opportunities'!$P$2:$P$1775,"=1",'Opportunities'!$G$2:$G$1775,"=1",'Opportunities'!$X$2:$X$1775,"=q3_2026",'Opportunities'!$H$2:$H$1775,"&lt;&gt;")</f>
        <v>0</v>
      </c>
      <c r="I195" s="4">
        <f>COUNTIFS('Opportunities'!$C$2:$C$1775,"=r02",'Opportunities'!$P$2:$P$1775,"=1",'Opportunities'!$G$2:$G$1775,"=1",'Opportunities'!$X$2:$X$1775,"=q4_2026",'Opportunities'!$H$2:$H$1775,"&lt;&gt;")</f>
        <v>0</v>
      </c>
    </row>
    <row r="196">
      <c r="A196" s="0" t="inlineStr">
        <is>
          <t xml:space="preserve">New logos</t>
        </is>
      </c>
      <c r="B196" s="0" t="inlineStr">
        <is>
          <t xml:space="preserve">Marcus Schmidt</t>
        </is>
      </c>
      <c r="C196" s="4">
        <f>COUNTIFS('Opportunities'!$C$2:$C$1775,"=r03",'Opportunities'!$P$2:$P$1775,"=1",'Opportunities'!$G$2:$G$1775,"=1",'Opportunities'!$X$2:$X$1775,"=q2_2025",'Opportunities'!$H$2:$H$1775,"&lt;&gt;")</f>
        <v>0</v>
      </c>
      <c r="D196" s="4">
        <f>COUNTIFS('Opportunities'!$C$2:$C$1775,"=r03",'Opportunities'!$P$2:$P$1775,"=1",'Opportunities'!$G$2:$G$1775,"=1",'Opportunities'!$X$2:$X$1775,"=q3_2025",'Opportunities'!$H$2:$H$1775,"&lt;&gt;")</f>
        <v>1</v>
      </c>
      <c r="E196" s="4">
        <f>COUNTIFS('Opportunities'!$C$2:$C$1775,"=r03",'Opportunities'!$P$2:$P$1775,"=1",'Opportunities'!$G$2:$G$1775,"=1",'Opportunities'!$X$2:$X$1775,"=q4_2025",'Opportunities'!$H$2:$H$1775,"&lt;&gt;")</f>
        <v>4</v>
      </c>
      <c r="F196" s="4">
        <f>COUNTIFS('Opportunities'!$C$2:$C$1775,"=r03",'Opportunities'!$P$2:$P$1775,"=1",'Opportunities'!$G$2:$G$1775,"=1",'Opportunities'!$X$2:$X$1775,"=q1_2026",'Opportunities'!$H$2:$H$1775,"&lt;&gt;")</f>
        <v>4</v>
      </c>
      <c r="G196" s="4">
        <f>COUNTIFS('Opportunities'!$C$2:$C$1775,"=r03",'Opportunities'!$P$2:$P$1775,"=1",'Opportunities'!$G$2:$G$1775,"=1",'Opportunities'!$X$2:$X$1775,"=q2_2026",'Opportunities'!$H$2:$H$1775,"&lt;&gt;")</f>
        <v>4</v>
      </c>
      <c r="H196" s="4">
        <f>COUNTIFS('Opportunities'!$C$2:$C$1775,"=r03",'Opportunities'!$P$2:$P$1775,"=1",'Opportunities'!$G$2:$G$1775,"=1",'Opportunities'!$X$2:$X$1775,"=q3_2026",'Opportunities'!$H$2:$H$1775,"&lt;&gt;")</f>
        <v>2</v>
      </c>
      <c r="I196" s="4">
        <f>COUNTIFS('Opportunities'!$C$2:$C$1775,"=r03",'Opportunities'!$P$2:$P$1775,"=1",'Opportunities'!$G$2:$G$1775,"=1",'Opportunities'!$X$2:$X$1775,"=q4_2026",'Opportunities'!$H$2:$H$1775,"&lt;&gt;")</f>
        <v>0</v>
      </c>
    </row>
    <row r="197">
      <c r="A197" s="0" t="inlineStr">
        <is>
          <t xml:space="preserve">New logos</t>
        </is>
      </c>
      <c r="B197" s="0" t="inlineStr">
        <is>
          <t xml:space="preserve">Amara Haddad</t>
        </is>
      </c>
      <c r="C197" s="4">
        <f>COUNTIFS('Opportunities'!$C$2:$C$1775,"=r04",'Opportunities'!$P$2:$P$1775,"=1",'Opportunities'!$G$2:$G$1775,"=1",'Opportunities'!$X$2:$X$1775,"=q2_2025",'Opportunities'!$H$2:$H$1775,"&lt;&gt;")</f>
        <v>3</v>
      </c>
      <c r="D197" s="4">
        <f>COUNTIFS('Opportunities'!$C$2:$C$1775,"=r04",'Opportunities'!$P$2:$P$1775,"=1",'Opportunities'!$G$2:$G$1775,"=1",'Opportunities'!$X$2:$X$1775,"=q3_2025",'Opportunities'!$H$2:$H$1775,"&lt;&gt;")</f>
        <v>3</v>
      </c>
      <c r="E197" s="4">
        <f>COUNTIFS('Opportunities'!$C$2:$C$1775,"=r04",'Opportunities'!$P$2:$P$1775,"=1",'Opportunities'!$G$2:$G$1775,"=1",'Opportunities'!$X$2:$X$1775,"=q4_2025",'Opportunities'!$H$2:$H$1775,"&lt;&gt;")</f>
        <v>2</v>
      </c>
      <c r="F197" s="4">
        <f>COUNTIFS('Opportunities'!$C$2:$C$1775,"=r04",'Opportunities'!$P$2:$P$1775,"=1",'Opportunities'!$G$2:$G$1775,"=1",'Opportunities'!$X$2:$X$1775,"=q1_2026",'Opportunities'!$H$2:$H$1775,"&lt;&gt;")</f>
        <v>0</v>
      </c>
      <c r="G197" s="4">
        <f>COUNTIFS('Opportunities'!$C$2:$C$1775,"=r04",'Opportunities'!$P$2:$P$1775,"=1",'Opportunities'!$G$2:$G$1775,"=1",'Opportunities'!$X$2:$X$1775,"=q2_2026",'Opportunities'!$H$2:$H$1775,"&lt;&gt;")</f>
        <v>1</v>
      </c>
      <c r="H197" s="4">
        <f>COUNTIFS('Opportunities'!$C$2:$C$1775,"=r04",'Opportunities'!$P$2:$P$1775,"=1",'Opportunities'!$G$2:$G$1775,"=1",'Opportunities'!$X$2:$X$1775,"=q3_2026",'Opportunities'!$H$2:$H$1775,"&lt;&gt;")</f>
        <v>1</v>
      </c>
      <c r="I197" s="4">
        <f>COUNTIFS('Opportunities'!$C$2:$C$1775,"=r04",'Opportunities'!$P$2:$P$1775,"=1",'Opportunities'!$G$2:$G$1775,"=1",'Opportunities'!$X$2:$X$1775,"=q4_2026",'Opportunities'!$H$2:$H$1775,"&lt;&gt;")</f>
        <v>0</v>
      </c>
    </row>
    <row r="198">
      <c r="A198" s="0" t="inlineStr">
        <is>
          <t xml:space="preserve">New logos</t>
        </is>
      </c>
      <c r="B198" s="0" t="inlineStr">
        <is>
          <t xml:space="preserve">Fatima Silva</t>
        </is>
      </c>
      <c r="C198" s="4">
        <f>COUNTIFS('Opportunities'!$C$2:$C$1775,"=r05",'Opportunities'!$P$2:$P$1775,"=1",'Opportunities'!$G$2:$G$1775,"=1",'Opportunities'!$X$2:$X$1775,"=q2_2025",'Opportunities'!$H$2:$H$1775,"&lt;&gt;")</f>
        <v>5</v>
      </c>
      <c r="D198" s="4">
        <f>COUNTIFS('Opportunities'!$C$2:$C$1775,"=r05",'Opportunities'!$P$2:$P$1775,"=1",'Opportunities'!$G$2:$G$1775,"=1",'Opportunities'!$X$2:$X$1775,"=q3_2025",'Opportunities'!$H$2:$H$1775,"&lt;&gt;")</f>
        <v>7</v>
      </c>
      <c r="E198" s="4">
        <f>COUNTIFS('Opportunities'!$C$2:$C$1775,"=r05",'Opportunities'!$P$2:$P$1775,"=1",'Opportunities'!$G$2:$G$1775,"=1",'Opportunities'!$X$2:$X$1775,"=q4_2025",'Opportunities'!$H$2:$H$1775,"&lt;&gt;")</f>
        <v>6</v>
      </c>
      <c r="F198" s="4">
        <f>COUNTIFS('Opportunities'!$C$2:$C$1775,"=r05",'Opportunities'!$P$2:$P$1775,"=1",'Opportunities'!$G$2:$G$1775,"=1",'Opportunities'!$X$2:$X$1775,"=q1_2026",'Opportunities'!$H$2:$H$1775,"&lt;&gt;")</f>
        <v>3</v>
      </c>
      <c r="G198" s="4">
        <f>COUNTIFS('Opportunities'!$C$2:$C$1775,"=r05",'Opportunities'!$P$2:$P$1775,"=1",'Opportunities'!$G$2:$G$1775,"=1",'Opportunities'!$X$2:$X$1775,"=q2_2026",'Opportunities'!$H$2:$H$1775,"&lt;&gt;")</f>
        <v>4</v>
      </c>
      <c r="H198" s="4">
        <f>COUNTIFS('Opportunities'!$C$2:$C$1775,"=r05",'Opportunities'!$P$2:$P$1775,"=1",'Opportunities'!$G$2:$G$1775,"=1",'Opportunities'!$X$2:$X$1775,"=q3_2026",'Opportunities'!$H$2:$H$1775,"&lt;&gt;")</f>
        <v>6</v>
      </c>
      <c r="I198" s="4">
        <f>COUNTIFS('Opportunities'!$C$2:$C$1775,"=r05",'Opportunities'!$P$2:$P$1775,"=1",'Opportunities'!$G$2:$G$1775,"=1",'Opportunities'!$X$2:$X$1775,"=q4_2026",'Opportunities'!$H$2:$H$1775,"&lt;&gt;")</f>
        <v>0</v>
      </c>
    </row>
    <row r="199">
      <c r="A199" s="0" t="inlineStr">
        <is>
          <t xml:space="preserve">New logos</t>
        </is>
      </c>
      <c r="B199" s="0" t="inlineStr">
        <is>
          <t xml:space="preserve">Ana Ortiz</t>
        </is>
      </c>
      <c r="C199" s="4">
        <f>COUNTIFS('Opportunities'!$C$2:$C$1775,"=r06",'Opportunities'!$P$2:$P$1775,"=1",'Opportunities'!$G$2:$G$1775,"=1",'Opportunities'!$X$2:$X$1775,"=q2_2025",'Opportunities'!$H$2:$H$1775,"&lt;&gt;")</f>
        <v>2</v>
      </c>
      <c r="D199" s="4">
        <f>COUNTIFS('Opportunities'!$C$2:$C$1775,"=r06",'Opportunities'!$P$2:$P$1775,"=1",'Opportunities'!$G$2:$G$1775,"=1",'Opportunities'!$X$2:$X$1775,"=q3_2025",'Opportunities'!$H$2:$H$1775,"&lt;&gt;")</f>
        <v>5</v>
      </c>
      <c r="E199" s="4">
        <f>COUNTIFS('Opportunities'!$C$2:$C$1775,"=r06",'Opportunities'!$P$2:$P$1775,"=1",'Opportunities'!$G$2:$G$1775,"=1",'Opportunities'!$X$2:$X$1775,"=q4_2025",'Opportunities'!$H$2:$H$1775,"&lt;&gt;")</f>
        <v>2</v>
      </c>
      <c r="F199" s="4">
        <f>COUNTIFS('Opportunities'!$C$2:$C$1775,"=r06",'Opportunities'!$P$2:$P$1775,"=1",'Opportunities'!$G$2:$G$1775,"=1",'Opportunities'!$X$2:$X$1775,"=q1_2026",'Opportunities'!$H$2:$H$1775,"&lt;&gt;")</f>
        <v>4</v>
      </c>
      <c r="G199" s="4">
        <f>COUNTIFS('Opportunities'!$C$2:$C$1775,"=r06",'Opportunities'!$P$2:$P$1775,"=1",'Opportunities'!$G$2:$G$1775,"=1",'Opportunities'!$X$2:$X$1775,"=q2_2026",'Opportunities'!$H$2:$H$1775,"&lt;&gt;")</f>
        <v>6</v>
      </c>
      <c r="H199" s="4">
        <f>COUNTIFS('Opportunities'!$C$2:$C$1775,"=r06",'Opportunities'!$P$2:$P$1775,"=1",'Opportunities'!$G$2:$G$1775,"=1",'Opportunities'!$X$2:$X$1775,"=q3_2026",'Opportunities'!$H$2:$H$1775,"&lt;&gt;")</f>
        <v>4</v>
      </c>
      <c r="I199" s="4">
        <f>COUNTIFS('Opportunities'!$C$2:$C$1775,"=r06",'Opportunities'!$P$2:$P$1775,"=1",'Opportunities'!$G$2:$G$1775,"=1",'Opportunities'!$X$2:$X$1775,"=q4_2026",'Opportunities'!$H$2:$H$1775,"&lt;&gt;")</f>
        <v>0</v>
      </c>
    </row>
    <row r="200">
      <c r="A200" s="0" t="inlineStr">
        <is>
          <t xml:space="preserve">New logos</t>
        </is>
      </c>
      <c r="B200" s="0" t="inlineStr">
        <is>
          <t xml:space="preserve">Tobias Silva</t>
        </is>
      </c>
      <c r="C200" s="4">
        <f>COUNTIFS('Opportunities'!$C$2:$C$1775,"=r07",'Opportunities'!$P$2:$P$1775,"=1",'Opportunities'!$G$2:$G$1775,"=1",'Opportunities'!$X$2:$X$1775,"=q2_2025",'Opportunities'!$H$2:$H$1775,"&lt;&gt;")</f>
        <v>0</v>
      </c>
      <c r="D200" s="4">
        <f>COUNTIFS('Opportunities'!$C$2:$C$1775,"=r07",'Opportunities'!$P$2:$P$1775,"=1",'Opportunities'!$G$2:$G$1775,"=1",'Opportunities'!$X$2:$X$1775,"=q3_2025",'Opportunities'!$H$2:$H$1775,"&lt;&gt;")</f>
        <v>1</v>
      </c>
      <c r="E200" s="4">
        <f>COUNTIFS('Opportunities'!$C$2:$C$1775,"=r07",'Opportunities'!$P$2:$P$1775,"=1",'Opportunities'!$G$2:$G$1775,"=1",'Opportunities'!$X$2:$X$1775,"=q4_2025",'Opportunities'!$H$2:$H$1775,"&lt;&gt;")</f>
        <v>0</v>
      </c>
      <c r="F200" s="4">
        <f>COUNTIFS('Opportunities'!$C$2:$C$1775,"=r07",'Opportunities'!$P$2:$P$1775,"=1",'Opportunities'!$G$2:$G$1775,"=1",'Opportunities'!$X$2:$X$1775,"=q1_2026",'Opportunities'!$H$2:$H$1775,"&lt;&gt;")</f>
        <v>3</v>
      </c>
      <c r="G200" s="4">
        <f>COUNTIFS('Opportunities'!$C$2:$C$1775,"=r07",'Opportunities'!$P$2:$P$1775,"=1",'Opportunities'!$G$2:$G$1775,"=1",'Opportunities'!$X$2:$X$1775,"=q2_2026",'Opportunities'!$H$2:$H$1775,"&lt;&gt;")</f>
        <v>1</v>
      </c>
      <c r="H200" s="4">
        <f>COUNTIFS('Opportunities'!$C$2:$C$1775,"=r07",'Opportunities'!$P$2:$P$1775,"=1",'Opportunities'!$G$2:$G$1775,"=1",'Opportunities'!$X$2:$X$1775,"=q3_2026",'Opportunities'!$H$2:$H$1775,"&lt;&gt;")</f>
        <v>2</v>
      </c>
      <c r="I200" s="4">
        <f>COUNTIFS('Opportunities'!$C$2:$C$1775,"=r07",'Opportunities'!$P$2:$P$1775,"=1",'Opportunities'!$G$2:$G$1775,"=1",'Opportunities'!$X$2:$X$1775,"=q4_2026",'Opportunities'!$H$2:$H$1775,"&lt;&gt;")</f>
        <v>0</v>
      </c>
    </row>
    <row r="201">
      <c r="A201" s="0" t="inlineStr">
        <is>
          <t xml:space="preserve">New logos</t>
        </is>
      </c>
      <c r="B201" s="0" t="inlineStr">
        <is>
          <t xml:space="preserve">Leila Osei</t>
        </is>
      </c>
      <c r="C201" s="4">
        <f>COUNTIFS('Opportunities'!$C$2:$C$1775,"=r08",'Opportunities'!$P$2:$P$1775,"=1",'Opportunities'!$G$2:$G$1775,"=1",'Opportunities'!$X$2:$X$1775,"=q2_2025",'Opportunities'!$H$2:$H$1775,"&lt;&gt;")</f>
        <v>0</v>
      </c>
      <c r="D201" s="4">
        <f>COUNTIFS('Opportunities'!$C$2:$C$1775,"=r08",'Opportunities'!$P$2:$P$1775,"=1",'Opportunities'!$G$2:$G$1775,"=1",'Opportunities'!$X$2:$X$1775,"=q3_2025",'Opportunities'!$H$2:$H$1775,"&lt;&gt;")</f>
        <v>0</v>
      </c>
      <c r="E201" s="4">
        <f>COUNTIFS('Opportunities'!$C$2:$C$1775,"=r08",'Opportunities'!$P$2:$P$1775,"=1",'Opportunities'!$G$2:$G$1775,"=1",'Opportunities'!$X$2:$X$1775,"=q4_2025",'Opportunities'!$H$2:$H$1775,"&lt;&gt;")</f>
        <v>0</v>
      </c>
      <c r="F201" s="4">
        <f>COUNTIFS('Opportunities'!$C$2:$C$1775,"=r08",'Opportunities'!$P$2:$P$1775,"=1",'Opportunities'!$G$2:$G$1775,"=1",'Opportunities'!$X$2:$X$1775,"=q1_2026",'Opportunities'!$H$2:$H$1775,"&lt;&gt;")</f>
        <v>0</v>
      </c>
      <c r="G201" s="4">
        <f>COUNTIFS('Opportunities'!$C$2:$C$1775,"=r08",'Opportunities'!$P$2:$P$1775,"=1",'Opportunities'!$G$2:$G$1775,"=1",'Opportunities'!$X$2:$X$1775,"=q2_2026",'Opportunities'!$H$2:$H$1775,"&lt;&gt;")</f>
        <v>2</v>
      </c>
      <c r="H201" s="4">
        <f>COUNTIFS('Opportunities'!$C$2:$C$1775,"=r08",'Opportunities'!$P$2:$P$1775,"=1",'Opportunities'!$G$2:$G$1775,"=1",'Opportunities'!$X$2:$X$1775,"=q3_2026",'Opportunities'!$H$2:$H$1775,"&lt;&gt;")</f>
        <v>3</v>
      </c>
      <c r="I201" s="4">
        <f>COUNTIFS('Opportunities'!$C$2:$C$1775,"=r08",'Opportunities'!$P$2:$P$1775,"=1",'Opportunities'!$G$2:$G$1775,"=1",'Opportunities'!$X$2:$X$1775,"=q4_2026",'Opportunities'!$H$2:$H$1775,"&lt;&gt;")</f>
        <v>0</v>
      </c>
    </row>
    <row r="202">
      <c r="A202" s="0" t="inlineStr">
        <is>
          <t xml:space="preserve">New logos</t>
        </is>
      </c>
      <c r="B202" s="0" t="inlineStr">
        <is>
          <t xml:space="preserve">Grace Costa</t>
        </is>
      </c>
      <c r="C202" s="4">
        <f>COUNTIFS('Opportunities'!$C$2:$C$1775,"=r09",'Opportunities'!$P$2:$P$1775,"=1",'Opportunities'!$G$2:$G$1775,"=1",'Opportunities'!$X$2:$X$1775,"=q2_2025",'Opportunities'!$H$2:$H$1775,"&lt;&gt;")</f>
        <v>2</v>
      </c>
      <c r="D202" s="4">
        <f>COUNTIFS('Opportunities'!$C$2:$C$1775,"=r09",'Opportunities'!$P$2:$P$1775,"=1",'Opportunities'!$G$2:$G$1775,"=1",'Opportunities'!$X$2:$X$1775,"=q3_2025",'Opportunities'!$H$2:$H$1775,"&lt;&gt;")</f>
        <v>3</v>
      </c>
      <c r="E202" s="4">
        <f>COUNTIFS('Opportunities'!$C$2:$C$1775,"=r09",'Opportunities'!$P$2:$P$1775,"=1",'Opportunities'!$G$2:$G$1775,"=1",'Opportunities'!$X$2:$X$1775,"=q4_2025",'Opportunities'!$H$2:$H$1775,"&lt;&gt;")</f>
        <v>6</v>
      </c>
      <c r="F202" s="4">
        <f>COUNTIFS('Opportunities'!$C$2:$C$1775,"=r09",'Opportunities'!$P$2:$P$1775,"=1",'Opportunities'!$G$2:$G$1775,"=1",'Opportunities'!$X$2:$X$1775,"=q1_2026",'Opportunities'!$H$2:$H$1775,"&lt;&gt;")</f>
        <v>7</v>
      </c>
      <c r="G202" s="4">
        <f>COUNTIFS('Opportunities'!$C$2:$C$1775,"=r09",'Opportunities'!$P$2:$P$1775,"=1",'Opportunities'!$G$2:$G$1775,"=1",'Opportunities'!$X$2:$X$1775,"=q2_2026",'Opportunities'!$H$2:$H$1775,"&lt;&gt;")</f>
        <v>10</v>
      </c>
      <c r="H202" s="4">
        <f>COUNTIFS('Opportunities'!$C$2:$C$1775,"=r09",'Opportunities'!$P$2:$P$1775,"=1",'Opportunities'!$G$2:$G$1775,"=1",'Opportunities'!$X$2:$X$1775,"=q3_2026",'Opportunities'!$H$2:$H$1775,"&lt;&gt;")</f>
        <v>7</v>
      </c>
      <c r="I202" s="4">
        <f>COUNTIFS('Opportunities'!$C$2:$C$1775,"=r09",'Opportunities'!$P$2:$P$1775,"=1",'Opportunities'!$G$2:$G$1775,"=1",'Opportunities'!$X$2:$X$1775,"=q4_2026",'Opportunities'!$H$2:$H$1775,"&lt;&gt;")</f>
        <v>0</v>
      </c>
    </row>
    <row r="203">
      <c r="A203" s="0" t="inlineStr">
        <is>
          <t xml:space="preserve">New logos</t>
        </is>
      </c>
      <c r="B203" s="0" t="inlineStr">
        <is>
          <t xml:space="preserve">Ingrid Müller</t>
        </is>
      </c>
      <c r="C203" s="4">
        <f>COUNTIFS('Opportunities'!$C$2:$C$1775,"=r10",'Opportunities'!$P$2:$P$1775,"=1",'Opportunities'!$G$2:$G$1775,"=1",'Opportunities'!$X$2:$X$1775,"=q2_2025",'Opportunities'!$H$2:$H$1775,"&lt;&gt;")</f>
        <v>0</v>
      </c>
      <c r="D203" s="4">
        <f>COUNTIFS('Opportunities'!$C$2:$C$1775,"=r10",'Opportunities'!$P$2:$P$1775,"=1",'Opportunities'!$G$2:$G$1775,"=1",'Opportunities'!$X$2:$X$1775,"=q3_2025",'Opportunities'!$H$2:$H$1775,"&lt;&gt;")</f>
        <v>0</v>
      </c>
      <c r="E203" s="4">
        <f>COUNTIFS('Opportunities'!$C$2:$C$1775,"=r10",'Opportunities'!$P$2:$P$1775,"=1",'Opportunities'!$G$2:$G$1775,"=1",'Opportunities'!$X$2:$X$1775,"=q4_2025",'Opportunities'!$H$2:$H$1775,"&lt;&gt;")</f>
        <v>0</v>
      </c>
      <c r="F203" s="4">
        <f>COUNTIFS('Opportunities'!$C$2:$C$1775,"=r10",'Opportunities'!$P$2:$P$1775,"=1",'Opportunities'!$G$2:$G$1775,"=1",'Opportunities'!$X$2:$X$1775,"=q1_2026",'Opportunities'!$H$2:$H$1775,"&lt;&gt;")</f>
        <v>0</v>
      </c>
      <c r="G203" s="4">
        <f>COUNTIFS('Opportunities'!$C$2:$C$1775,"=r10",'Opportunities'!$P$2:$P$1775,"=1",'Opportunities'!$G$2:$G$1775,"=1",'Opportunities'!$X$2:$X$1775,"=q2_2026",'Opportunities'!$H$2:$H$1775,"&lt;&gt;")</f>
        <v>3</v>
      </c>
      <c r="H203" s="4">
        <f>COUNTIFS('Opportunities'!$C$2:$C$1775,"=r10",'Opportunities'!$P$2:$P$1775,"=1",'Opportunities'!$G$2:$G$1775,"=1",'Opportunities'!$X$2:$X$1775,"=q3_2026",'Opportunities'!$H$2:$H$1775,"&lt;&gt;")</f>
        <v>4</v>
      </c>
      <c r="I203" s="4">
        <f>COUNTIFS('Opportunities'!$C$2:$C$1775,"=r10",'Opportunities'!$P$2:$P$1775,"=1",'Opportunities'!$G$2:$G$1775,"=1",'Opportunities'!$X$2:$X$1775,"=q4_2026",'Opportunities'!$H$2:$H$1775,"&lt;&gt;")</f>
        <v>0</v>
      </c>
    </row>
    <row r="204">
      <c r="A204" s="0" t="inlineStr">
        <is>
          <t xml:space="preserve">New logos</t>
        </is>
      </c>
      <c r="B204" s="0" t="inlineStr">
        <is>
          <t xml:space="preserve">Ingrid Kim</t>
        </is>
      </c>
      <c r="C204" s="4">
        <f>COUNTIFS('Opportunities'!$C$2:$C$1775,"=r11",'Opportunities'!$P$2:$P$1775,"=1",'Opportunities'!$G$2:$G$1775,"=1",'Opportunities'!$X$2:$X$1775,"=q2_2025",'Opportunities'!$H$2:$H$1775,"&lt;&gt;")</f>
        <v>4</v>
      </c>
      <c r="D204" s="4">
        <f>COUNTIFS('Opportunities'!$C$2:$C$1775,"=r11",'Opportunities'!$P$2:$P$1775,"=1",'Opportunities'!$G$2:$G$1775,"=1",'Opportunities'!$X$2:$X$1775,"=q3_2025",'Opportunities'!$H$2:$H$1775,"&lt;&gt;")</f>
        <v>5</v>
      </c>
      <c r="E204" s="4">
        <f>COUNTIFS('Opportunities'!$C$2:$C$1775,"=r11",'Opportunities'!$P$2:$P$1775,"=1",'Opportunities'!$G$2:$G$1775,"=1",'Opportunities'!$X$2:$X$1775,"=q4_2025",'Opportunities'!$H$2:$H$1775,"&lt;&gt;")</f>
        <v>4</v>
      </c>
      <c r="F204" s="4">
        <f>COUNTIFS('Opportunities'!$C$2:$C$1775,"=r11",'Opportunities'!$P$2:$P$1775,"=1",'Opportunities'!$G$2:$G$1775,"=1",'Opportunities'!$X$2:$X$1775,"=q1_2026",'Opportunities'!$H$2:$H$1775,"&lt;&gt;")</f>
        <v>5</v>
      </c>
      <c r="G204" s="4">
        <f>COUNTIFS('Opportunities'!$C$2:$C$1775,"=r11",'Opportunities'!$P$2:$P$1775,"=1",'Opportunities'!$G$2:$G$1775,"=1",'Opportunities'!$X$2:$X$1775,"=q2_2026",'Opportunities'!$H$2:$H$1775,"&lt;&gt;")</f>
        <v>1</v>
      </c>
      <c r="H204" s="4">
        <f>COUNTIFS('Opportunities'!$C$2:$C$1775,"=r11",'Opportunities'!$P$2:$P$1775,"=1",'Opportunities'!$G$2:$G$1775,"=1",'Opportunities'!$X$2:$X$1775,"=q3_2026",'Opportunities'!$H$2:$H$1775,"&lt;&gt;")</f>
        <v>4</v>
      </c>
      <c r="I204" s="4">
        <f>COUNTIFS('Opportunities'!$C$2:$C$1775,"=r11",'Opportunities'!$P$2:$P$1775,"=1",'Opportunities'!$G$2:$G$1775,"=1",'Opportunities'!$X$2:$X$1775,"=q4_2026",'Opportunities'!$H$2:$H$1775,"&lt;&gt;")</f>
        <v>0</v>
      </c>
    </row>
    <row r="205">
      <c r="A205" s="0" t="inlineStr">
        <is>
          <t xml:space="preserve">New logos</t>
        </is>
      </c>
      <c r="B205" s="0" t="inlineStr">
        <is>
          <t xml:space="preserve">Priya Nair</t>
        </is>
      </c>
      <c r="C205" s="4">
        <f>COUNTIFS('Opportunities'!$C$2:$C$1775,"=r12",'Opportunities'!$P$2:$P$1775,"=1",'Opportunities'!$G$2:$G$1775,"=1",'Opportunities'!$X$2:$X$1775,"=q2_2025",'Opportunities'!$H$2:$H$1775,"&lt;&gt;")</f>
        <v>3</v>
      </c>
      <c r="D205" s="4">
        <f>COUNTIFS('Opportunities'!$C$2:$C$1775,"=r12",'Opportunities'!$P$2:$P$1775,"=1",'Opportunities'!$G$2:$G$1775,"=1",'Opportunities'!$X$2:$X$1775,"=q3_2025",'Opportunities'!$H$2:$H$1775,"&lt;&gt;")</f>
        <v>5</v>
      </c>
      <c r="E205" s="4">
        <f>COUNTIFS('Opportunities'!$C$2:$C$1775,"=r12",'Opportunities'!$P$2:$P$1775,"=1",'Opportunities'!$G$2:$G$1775,"=1",'Opportunities'!$X$2:$X$1775,"=q4_2025",'Opportunities'!$H$2:$H$1775,"&lt;&gt;")</f>
        <v>7</v>
      </c>
      <c r="F205" s="4">
        <f>COUNTIFS('Opportunities'!$C$2:$C$1775,"=r12",'Opportunities'!$P$2:$P$1775,"=1",'Opportunities'!$G$2:$G$1775,"=1",'Opportunities'!$X$2:$X$1775,"=q1_2026",'Opportunities'!$H$2:$H$1775,"&lt;&gt;")</f>
        <v>3</v>
      </c>
      <c r="G205" s="4">
        <f>COUNTIFS('Opportunities'!$C$2:$C$1775,"=r12",'Opportunities'!$P$2:$P$1775,"=1",'Opportunities'!$G$2:$G$1775,"=1",'Opportunities'!$X$2:$X$1775,"=q2_2026",'Opportunities'!$H$2:$H$1775,"&lt;&gt;")</f>
        <v>6</v>
      </c>
      <c r="H205" s="4">
        <f>COUNTIFS('Opportunities'!$C$2:$C$1775,"=r12",'Opportunities'!$P$2:$P$1775,"=1",'Opportunities'!$G$2:$G$1775,"=1",'Opportunities'!$X$2:$X$1775,"=q3_2026",'Opportunities'!$H$2:$H$1775,"&lt;&gt;")</f>
        <v>2</v>
      </c>
      <c r="I205" s="4">
        <f>COUNTIFS('Opportunities'!$C$2:$C$1775,"=r12",'Opportunities'!$P$2:$P$1775,"=1",'Opportunities'!$G$2:$G$1775,"=1",'Opportunities'!$X$2:$X$1775,"=q4_2026",'Opportunities'!$H$2:$H$1775,"&lt;&gt;")</f>
        <v>0</v>
      </c>
    </row>
    <row r="206">
      <c r="A206" s="0" t="inlineStr">
        <is>
          <t xml:space="preserve">New logos</t>
        </is>
      </c>
      <c r="B206" s="0" t="inlineStr">
        <is>
          <t xml:space="preserve">Hugo Lindqvist</t>
        </is>
      </c>
      <c r="C206" s="4">
        <f>COUNTIFS('Opportunities'!$C$2:$C$1775,"=r13",'Opportunities'!$P$2:$P$1775,"=1",'Opportunities'!$G$2:$G$1775,"=1",'Opportunities'!$X$2:$X$1775,"=q2_2025",'Opportunities'!$H$2:$H$1775,"&lt;&gt;")</f>
        <v>1</v>
      </c>
      <c r="D206" s="4">
        <f>COUNTIFS('Opportunities'!$C$2:$C$1775,"=r13",'Opportunities'!$P$2:$P$1775,"=1",'Opportunities'!$G$2:$G$1775,"=1",'Opportunities'!$X$2:$X$1775,"=q3_2025",'Opportunities'!$H$2:$H$1775,"&lt;&gt;")</f>
        <v>3</v>
      </c>
      <c r="E206" s="4">
        <f>COUNTIFS('Opportunities'!$C$2:$C$1775,"=r13",'Opportunities'!$P$2:$P$1775,"=1",'Opportunities'!$G$2:$G$1775,"=1",'Opportunities'!$X$2:$X$1775,"=q4_2025",'Opportunities'!$H$2:$H$1775,"&lt;&gt;")</f>
        <v>2</v>
      </c>
      <c r="F206" s="4">
        <f>COUNTIFS('Opportunities'!$C$2:$C$1775,"=r13",'Opportunities'!$P$2:$P$1775,"=1",'Opportunities'!$G$2:$G$1775,"=1",'Opportunities'!$X$2:$X$1775,"=q1_2026",'Opportunities'!$H$2:$H$1775,"&lt;&gt;")</f>
        <v>2</v>
      </c>
      <c r="G206" s="4">
        <f>COUNTIFS('Opportunities'!$C$2:$C$1775,"=r13",'Opportunities'!$P$2:$P$1775,"=1",'Opportunities'!$G$2:$G$1775,"=1",'Opportunities'!$X$2:$X$1775,"=q2_2026",'Opportunities'!$H$2:$H$1775,"&lt;&gt;")</f>
        <v>4</v>
      </c>
      <c r="H206" s="4">
        <f>COUNTIFS('Opportunities'!$C$2:$C$1775,"=r13",'Opportunities'!$P$2:$P$1775,"=1",'Opportunities'!$G$2:$G$1775,"=1",'Opportunities'!$X$2:$X$1775,"=q3_2026",'Opportunities'!$H$2:$H$1775,"&lt;&gt;")</f>
        <v>2</v>
      </c>
      <c r="I206" s="4">
        <f>COUNTIFS('Opportunities'!$C$2:$C$1775,"=r13",'Opportunities'!$P$2:$P$1775,"=1",'Opportunities'!$G$2:$G$1775,"=1",'Opportunities'!$X$2:$X$1775,"=q4_2026",'Opportunities'!$H$2:$H$1775,"&lt;&gt;")</f>
        <v>0</v>
      </c>
    </row>
    <row r="207">
      <c r="A207" s="0" t="inlineStr">
        <is>
          <t xml:space="preserve">New logos</t>
        </is>
      </c>
      <c r="B207" s="0" t="inlineStr">
        <is>
          <t xml:space="preserve">Wei Novak</t>
        </is>
      </c>
      <c r="C207" s="4">
        <f>COUNTIFS('Opportunities'!$C$2:$C$1775,"=r14",'Opportunities'!$P$2:$P$1775,"=1",'Opportunities'!$G$2:$G$1775,"=1",'Opportunities'!$X$2:$X$1775,"=q2_2025",'Opportunities'!$H$2:$H$1775,"&lt;&gt;")</f>
        <v>0</v>
      </c>
      <c r="D207" s="4">
        <f>COUNTIFS('Opportunities'!$C$2:$C$1775,"=r14",'Opportunities'!$P$2:$P$1775,"=1",'Opportunities'!$G$2:$G$1775,"=1",'Opportunities'!$X$2:$X$1775,"=q3_2025",'Opportunities'!$H$2:$H$1775,"&lt;&gt;")</f>
        <v>0</v>
      </c>
      <c r="E207" s="4">
        <f>COUNTIFS('Opportunities'!$C$2:$C$1775,"=r14",'Opportunities'!$P$2:$P$1775,"=1",'Opportunities'!$G$2:$G$1775,"=1",'Opportunities'!$X$2:$X$1775,"=q4_2025",'Opportunities'!$H$2:$H$1775,"&lt;&gt;")</f>
        <v>0</v>
      </c>
      <c r="F207" s="4">
        <f>COUNTIFS('Opportunities'!$C$2:$C$1775,"=r14",'Opportunities'!$P$2:$P$1775,"=1",'Opportunities'!$G$2:$G$1775,"=1",'Opportunities'!$X$2:$X$1775,"=q1_2026",'Opportunities'!$H$2:$H$1775,"&lt;&gt;")</f>
        <v>0</v>
      </c>
      <c r="G207" s="4">
        <f>COUNTIFS('Opportunities'!$C$2:$C$1775,"=r14",'Opportunities'!$P$2:$P$1775,"=1",'Opportunities'!$G$2:$G$1775,"=1",'Opportunities'!$X$2:$X$1775,"=q2_2026",'Opportunities'!$H$2:$H$1775,"&lt;&gt;")</f>
        <v>0</v>
      </c>
      <c r="H207" s="4">
        <f>COUNTIFS('Opportunities'!$C$2:$C$1775,"=r14",'Opportunities'!$P$2:$P$1775,"=1",'Opportunities'!$G$2:$G$1775,"=1",'Opportunities'!$X$2:$X$1775,"=q3_2026",'Opportunities'!$H$2:$H$1775,"&lt;&gt;")</f>
        <v>1</v>
      </c>
      <c r="I207" s="4">
        <f>COUNTIFS('Opportunities'!$C$2:$C$1775,"=r14",'Opportunities'!$P$2:$P$1775,"=1",'Opportunities'!$G$2:$G$1775,"=1",'Opportunities'!$X$2:$X$1775,"=q4_2026",'Opportunities'!$H$2:$H$1775,"&lt;&gt;")</f>
        <v>0</v>
      </c>
    </row>
    <row r="208">
      <c r="A208" s="0" t="inlineStr">
        <is>
          <t xml:space="preserve">New logos</t>
        </is>
      </c>
      <c r="B208" s="0" t="inlineStr">
        <is>
          <t xml:space="preserve">Nikolai Kim</t>
        </is>
      </c>
      <c r="C208" s="4">
        <f>COUNTIFS('Opportunities'!$C$2:$C$1775,"=r15",'Opportunities'!$P$2:$P$1775,"=1",'Opportunities'!$G$2:$G$1775,"=1",'Opportunities'!$X$2:$X$1775,"=q2_2025",'Opportunities'!$H$2:$H$1775,"&lt;&gt;")</f>
        <v>3</v>
      </c>
      <c r="D208" s="4">
        <f>COUNTIFS('Opportunities'!$C$2:$C$1775,"=r15",'Opportunities'!$P$2:$P$1775,"=1",'Opportunities'!$G$2:$G$1775,"=1",'Opportunities'!$X$2:$X$1775,"=q3_2025",'Opportunities'!$H$2:$H$1775,"&lt;&gt;")</f>
        <v>4</v>
      </c>
      <c r="E208" s="4">
        <f>COUNTIFS('Opportunities'!$C$2:$C$1775,"=r15",'Opportunities'!$P$2:$P$1775,"=1",'Opportunities'!$G$2:$G$1775,"=1",'Opportunities'!$X$2:$X$1775,"=q4_2025",'Opportunities'!$H$2:$H$1775,"&lt;&gt;")</f>
        <v>3</v>
      </c>
      <c r="F208" s="4">
        <f>COUNTIFS('Opportunities'!$C$2:$C$1775,"=r15",'Opportunities'!$P$2:$P$1775,"=1",'Opportunities'!$G$2:$G$1775,"=1",'Opportunities'!$X$2:$X$1775,"=q1_2026",'Opportunities'!$H$2:$H$1775,"&lt;&gt;")</f>
        <v>2</v>
      </c>
      <c r="G208" s="4">
        <f>COUNTIFS('Opportunities'!$C$2:$C$1775,"=r15",'Opportunities'!$P$2:$P$1775,"=1",'Opportunities'!$G$2:$G$1775,"=1",'Opportunities'!$X$2:$X$1775,"=q2_2026",'Opportunities'!$H$2:$H$1775,"&lt;&gt;")</f>
        <v>3</v>
      </c>
      <c r="H208" s="4">
        <f>COUNTIFS('Opportunities'!$C$2:$C$1775,"=r15",'Opportunities'!$P$2:$P$1775,"=1",'Opportunities'!$G$2:$G$1775,"=1",'Opportunities'!$X$2:$X$1775,"=q3_2026",'Opportunities'!$H$2:$H$1775,"&lt;&gt;")</f>
        <v>2</v>
      </c>
      <c r="I208" s="4">
        <f>COUNTIFS('Opportunities'!$C$2:$C$1775,"=r15",'Opportunities'!$P$2:$P$1775,"=1",'Opportunities'!$G$2:$G$1775,"=1",'Opportunities'!$X$2:$X$1775,"=q4_2026",'Opportunities'!$H$2:$H$1775,"&lt;&gt;")</f>
        <v>0</v>
      </c>
    </row>
    <row r="209">
      <c r="A209" s="0" t="inlineStr">
        <is>
          <t xml:space="preserve">New logos</t>
        </is>
      </c>
      <c r="B209" s="0" t="inlineStr">
        <is>
          <t xml:space="preserve">Wei Nair</t>
        </is>
      </c>
      <c r="C209" s="4">
        <f>COUNTIFS('Opportunities'!$C$2:$C$1775,"=r16",'Opportunities'!$P$2:$P$1775,"=1",'Opportunities'!$G$2:$G$1775,"=1",'Opportunities'!$X$2:$X$1775,"=q2_2025",'Opportunities'!$H$2:$H$1775,"&lt;&gt;")</f>
        <v>2</v>
      </c>
      <c r="D209" s="4">
        <f>COUNTIFS('Opportunities'!$C$2:$C$1775,"=r16",'Opportunities'!$P$2:$P$1775,"=1",'Opportunities'!$G$2:$G$1775,"=1",'Opportunities'!$X$2:$X$1775,"=q3_2025",'Opportunities'!$H$2:$H$1775,"&lt;&gt;")</f>
        <v>2</v>
      </c>
      <c r="E209" s="4">
        <f>COUNTIFS('Opportunities'!$C$2:$C$1775,"=r16",'Opportunities'!$P$2:$P$1775,"=1",'Opportunities'!$G$2:$G$1775,"=1",'Opportunities'!$X$2:$X$1775,"=q4_2025",'Opportunities'!$H$2:$H$1775,"&lt;&gt;")</f>
        <v>3</v>
      </c>
      <c r="F209" s="4">
        <f>COUNTIFS('Opportunities'!$C$2:$C$1775,"=r16",'Opportunities'!$P$2:$P$1775,"=1",'Opportunities'!$G$2:$G$1775,"=1",'Opportunities'!$X$2:$X$1775,"=q1_2026",'Opportunities'!$H$2:$H$1775,"&lt;&gt;")</f>
        <v>2</v>
      </c>
      <c r="G209" s="4">
        <f>COUNTIFS('Opportunities'!$C$2:$C$1775,"=r16",'Opportunities'!$P$2:$P$1775,"=1",'Opportunities'!$G$2:$G$1775,"=1",'Opportunities'!$X$2:$X$1775,"=q2_2026",'Opportunities'!$H$2:$H$1775,"&lt;&gt;")</f>
        <v>2</v>
      </c>
      <c r="H209" s="4">
        <f>COUNTIFS('Opportunities'!$C$2:$C$1775,"=r16",'Opportunities'!$P$2:$P$1775,"=1",'Opportunities'!$G$2:$G$1775,"=1",'Opportunities'!$X$2:$X$1775,"=q3_2026",'Opportunities'!$H$2:$H$1775,"&lt;&gt;")</f>
        <v>2</v>
      </c>
      <c r="I209" s="4">
        <f>COUNTIFS('Opportunities'!$C$2:$C$1775,"=r16",'Opportunities'!$P$2:$P$1775,"=1",'Opportunities'!$G$2:$G$1775,"=1",'Opportunities'!$X$2:$X$1775,"=q4_2026",'Opportunities'!$H$2:$H$1775,"&lt;&gt;")</f>
        <v>0</v>
      </c>
    </row>
    <row r="210">
      <c r="A210" s="0" t="inlineStr">
        <is>
          <t xml:space="preserve">New logos</t>
        </is>
      </c>
      <c r="B210" s="0" t="inlineStr">
        <is>
          <t xml:space="preserve">Liam Silva</t>
        </is>
      </c>
      <c r="C210" s="4">
        <f>COUNTIFS('Opportunities'!$C$2:$C$1775,"=r17",'Opportunities'!$P$2:$P$1775,"=1",'Opportunities'!$G$2:$G$1775,"=1",'Opportunities'!$X$2:$X$1775,"=q2_2025",'Opportunities'!$H$2:$H$1775,"&lt;&gt;")</f>
        <v>0</v>
      </c>
      <c r="D210" s="4">
        <f>COUNTIFS('Opportunities'!$C$2:$C$1775,"=r17",'Opportunities'!$P$2:$P$1775,"=1",'Opportunities'!$G$2:$G$1775,"=1",'Opportunities'!$X$2:$X$1775,"=q3_2025",'Opportunities'!$H$2:$H$1775,"&lt;&gt;")</f>
        <v>5</v>
      </c>
      <c r="E210" s="4">
        <f>COUNTIFS('Opportunities'!$C$2:$C$1775,"=r17",'Opportunities'!$P$2:$P$1775,"=1",'Opportunities'!$G$2:$G$1775,"=1",'Opportunities'!$X$2:$X$1775,"=q4_2025",'Opportunities'!$H$2:$H$1775,"&lt;&gt;")</f>
        <v>5</v>
      </c>
      <c r="F210" s="4">
        <f>COUNTIFS('Opportunities'!$C$2:$C$1775,"=r17",'Opportunities'!$P$2:$P$1775,"=1",'Opportunities'!$G$2:$G$1775,"=1",'Opportunities'!$X$2:$X$1775,"=q1_2026",'Opportunities'!$H$2:$H$1775,"&lt;&gt;")</f>
        <v>7</v>
      </c>
      <c r="G210" s="4">
        <f>COUNTIFS('Opportunities'!$C$2:$C$1775,"=r17",'Opportunities'!$P$2:$P$1775,"=1",'Opportunities'!$G$2:$G$1775,"=1",'Opportunities'!$X$2:$X$1775,"=q2_2026",'Opportunities'!$H$2:$H$1775,"&lt;&gt;")</f>
        <v>2</v>
      </c>
      <c r="H210" s="4">
        <f>COUNTIFS('Opportunities'!$C$2:$C$1775,"=r17",'Opportunities'!$P$2:$P$1775,"=1",'Opportunities'!$G$2:$G$1775,"=1",'Opportunities'!$X$2:$X$1775,"=q3_2026",'Opportunities'!$H$2:$H$1775,"&lt;&gt;")</f>
        <v>5</v>
      </c>
      <c r="I210" s="4">
        <f>COUNTIFS('Opportunities'!$C$2:$C$1775,"=r17",'Opportunities'!$P$2:$P$1775,"=1",'Opportunities'!$G$2:$G$1775,"=1",'Opportunities'!$X$2:$X$1775,"=q4_2026",'Opportunities'!$H$2:$H$1775,"&lt;&gt;")</f>
        <v>0</v>
      </c>
    </row>
    <row r="211">
      <c r="A211" s="0" t="inlineStr">
        <is>
          <t xml:space="preserve">New logos</t>
        </is>
      </c>
      <c r="B211" s="0" t="inlineStr">
        <is>
          <t xml:space="preserve">Samuel Silva</t>
        </is>
      </c>
      <c r="C211" s="4">
        <f>COUNTIFS('Opportunities'!$C$2:$C$1775,"=r18",'Opportunities'!$P$2:$P$1775,"=1",'Opportunities'!$G$2:$G$1775,"=1",'Opportunities'!$X$2:$X$1775,"=q2_2025",'Opportunities'!$H$2:$H$1775,"&lt;&gt;")</f>
        <v>2</v>
      </c>
      <c r="D211" s="4">
        <f>COUNTIFS('Opportunities'!$C$2:$C$1775,"=r18",'Opportunities'!$P$2:$P$1775,"=1",'Opportunities'!$G$2:$G$1775,"=1",'Opportunities'!$X$2:$X$1775,"=q3_2025",'Opportunities'!$H$2:$H$1775,"&lt;&gt;")</f>
        <v>7</v>
      </c>
      <c r="E211" s="4">
        <f>COUNTIFS('Opportunities'!$C$2:$C$1775,"=r18",'Opportunities'!$P$2:$P$1775,"=1",'Opportunities'!$G$2:$G$1775,"=1",'Opportunities'!$X$2:$X$1775,"=q4_2025",'Opportunities'!$H$2:$H$1775,"&lt;&gt;")</f>
        <v>5</v>
      </c>
      <c r="F211" s="4">
        <f>COUNTIFS('Opportunities'!$C$2:$C$1775,"=r18",'Opportunities'!$P$2:$P$1775,"=1",'Opportunities'!$G$2:$G$1775,"=1",'Opportunities'!$X$2:$X$1775,"=q1_2026",'Opportunities'!$H$2:$H$1775,"&lt;&gt;")</f>
        <v>9</v>
      </c>
      <c r="G211" s="4">
        <f>COUNTIFS('Opportunities'!$C$2:$C$1775,"=r18",'Opportunities'!$P$2:$P$1775,"=1",'Opportunities'!$G$2:$G$1775,"=1",'Opportunities'!$X$2:$X$1775,"=q2_2026",'Opportunities'!$H$2:$H$1775,"&lt;&gt;")</f>
        <v>6</v>
      </c>
      <c r="H211" s="4">
        <f>COUNTIFS('Opportunities'!$C$2:$C$1775,"=r18",'Opportunities'!$P$2:$P$1775,"=1",'Opportunities'!$G$2:$G$1775,"=1",'Opportunities'!$X$2:$X$1775,"=q3_2026",'Opportunities'!$H$2:$H$1775,"&lt;&gt;")</f>
        <v>5</v>
      </c>
      <c r="I211" s="4">
        <f>COUNTIFS('Opportunities'!$C$2:$C$1775,"=r18",'Opportunities'!$P$2:$P$1775,"=1",'Opportunities'!$G$2:$G$1775,"=1",'Opportunities'!$X$2:$X$1775,"=q4_2026",'Opportunities'!$H$2:$H$1775,"&lt;&gt;")</f>
        <v>0</v>
      </c>
    </row>
    <row r="212">
      <c r="A212" s="0" t="inlineStr">
        <is>
          <t xml:space="preserve">New logos</t>
        </is>
      </c>
      <c r="B212" s="0" t="inlineStr">
        <is>
          <t xml:space="preserve">Yuki Larsen</t>
        </is>
      </c>
      <c r="C212" s="4">
        <f>COUNTIFS('Opportunities'!$C$2:$C$1775,"=r19",'Opportunities'!$P$2:$P$1775,"=1",'Opportunities'!$G$2:$G$1775,"=1",'Opportunities'!$X$2:$X$1775,"=q2_2025",'Opportunities'!$H$2:$H$1775,"&lt;&gt;")</f>
        <v>0</v>
      </c>
      <c r="D212" s="4">
        <f>COUNTIFS('Opportunities'!$C$2:$C$1775,"=r19",'Opportunities'!$P$2:$P$1775,"=1",'Opportunities'!$G$2:$G$1775,"=1",'Opportunities'!$X$2:$X$1775,"=q3_2025",'Opportunities'!$H$2:$H$1775,"&lt;&gt;")</f>
        <v>1</v>
      </c>
      <c r="E212" s="4">
        <f>COUNTIFS('Opportunities'!$C$2:$C$1775,"=r19",'Opportunities'!$P$2:$P$1775,"=1",'Opportunities'!$G$2:$G$1775,"=1",'Opportunities'!$X$2:$X$1775,"=q4_2025",'Opportunities'!$H$2:$H$1775,"&lt;&gt;")</f>
        <v>0</v>
      </c>
      <c r="F212" s="4">
        <f>COUNTIFS('Opportunities'!$C$2:$C$1775,"=r19",'Opportunities'!$P$2:$P$1775,"=1",'Opportunities'!$G$2:$G$1775,"=1",'Opportunities'!$X$2:$X$1775,"=q1_2026",'Opportunities'!$H$2:$H$1775,"&lt;&gt;")</f>
        <v>0</v>
      </c>
      <c r="G212" s="4">
        <f>COUNTIFS('Opportunities'!$C$2:$C$1775,"=r19",'Opportunities'!$P$2:$P$1775,"=1",'Opportunities'!$G$2:$G$1775,"=1",'Opportunities'!$X$2:$X$1775,"=q2_2026",'Opportunities'!$H$2:$H$1775,"&lt;&gt;")</f>
        <v>1</v>
      </c>
      <c r="H212" s="4">
        <f>COUNTIFS('Opportunities'!$C$2:$C$1775,"=r19",'Opportunities'!$P$2:$P$1775,"=1",'Opportunities'!$G$2:$G$1775,"=1",'Opportunities'!$X$2:$X$1775,"=q3_2026",'Opportunities'!$H$2:$H$1775,"&lt;&gt;")</f>
        <v>1</v>
      </c>
      <c r="I212" s="4">
        <f>COUNTIFS('Opportunities'!$C$2:$C$1775,"=r19",'Opportunities'!$P$2:$P$1775,"=1",'Opportunities'!$G$2:$G$1775,"=1",'Opportunities'!$X$2:$X$1775,"=q4_2026",'Opportunities'!$H$2:$H$1775,"&lt;&gt;")</f>
        <v>0</v>
      </c>
    </row>
    <row r="213">
      <c r="A213" s="0" t="inlineStr">
        <is>
          <t xml:space="preserve">New logos</t>
        </is>
      </c>
      <c r="B213" s="0" t="inlineStr">
        <is>
          <t xml:space="preserve">Nikolai Sato</t>
        </is>
      </c>
      <c r="C213" s="4">
        <f>COUNTIFS('Opportunities'!$C$2:$C$1775,"=r20",'Opportunities'!$P$2:$P$1775,"=1",'Opportunities'!$G$2:$G$1775,"=1",'Opportunities'!$X$2:$X$1775,"=q2_2025",'Opportunities'!$H$2:$H$1775,"&lt;&gt;")</f>
        <v>1</v>
      </c>
      <c r="D213" s="4">
        <f>COUNTIFS('Opportunities'!$C$2:$C$1775,"=r20",'Opportunities'!$P$2:$P$1775,"=1",'Opportunities'!$G$2:$G$1775,"=1",'Opportunities'!$X$2:$X$1775,"=q3_2025",'Opportunities'!$H$2:$H$1775,"&lt;&gt;")</f>
        <v>1</v>
      </c>
      <c r="E213" s="4">
        <f>COUNTIFS('Opportunities'!$C$2:$C$1775,"=r20",'Opportunities'!$P$2:$P$1775,"=1",'Opportunities'!$G$2:$G$1775,"=1",'Opportunities'!$X$2:$X$1775,"=q4_2025",'Opportunities'!$H$2:$H$1775,"&lt;&gt;")</f>
        <v>0</v>
      </c>
      <c r="F213" s="4">
        <f>COUNTIFS('Opportunities'!$C$2:$C$1775,"=r20",'Opportunities'!$P$2:$P$1775,"=1",'Opportunities'!$G$2:$G$1775,"=1",'Opportunities'!$X$2:$X$1775,"=q1_2026",'Opportunities'!$H$2:$H$1775,"&lt;&gt;")</f>
        <v>0</v>
      </c>
      <c r="G213" s="4">
        <f>COUNTIFS('Opportunities'!$C$2:$C$1775,"=r20",'Opportunities'!$P$2:$P$1775,"=1",'Opportunities'!$G$2:$G$1775,"=1",'Opportunities'!$X$2:$X$1775,"=q2_2026",'Opportunities'!$H$2:$H$1775,"&lt;&gt;")</f>
        <v>0</v>
      </c>
      <c r="H213" s="4">
        <f>COUNTIFS('Opportunities'!$C$2:$C$1775,"=r20",'Opportunities'!$P$2:$P$1775,"=1",'Opportunities'!$G$2:$G$1775,"=1",'Opportunities'!$X$2:$X$1775,"=q3_2026",'Opportunities'!$H$2:$H$1775,"&lt;&gt;")</f>
        <v>1</v>
      </c>
      <c r="I213" s="4">
        <f>COUNTIFS('Opportunities'!$C$2:$C$1775,"=r20",'Opportunities'!$P$2:$P$1775,"=1",'Opportunities'!$G$2:$G$1775,"=1",'Opportunities'!$X$2:$X$1775,"=q4_2026",'Opportunities'!$H$2:$H$1775,"&lt;&gt;")</f>
        <v>0</v>
      </c>
    </row>
    <row r="214">
      <c r="A214" s="0" t="inlineStr">
        <is>
          <t xml:space="preserve">New logos</t>
        </is>
      </c>
      <c r="B214" s="0" t="inlineStr">
        <is>
          <t xml:space="preserve">Elena Silva</t>
        </is>
      </c>
      <c r="C214" s="4">
        <f>COUNTIFS('Opportunities'!$C$2:$C$1775,"=r21",'Opportunities'!$P$2:$P$1775,"=1",'Opportunities'!$G$2:$G$1775,"=1",'Opportunities'!$X$2:$X$1775,"=q2_2025",'Opportunities'!$H$2:$H$1775,"&lt;&gt;")</f>
        <v>1</v>
      </c>
      <c r="D214" s="4">
        <f>COUNTIFS('Opportunities'!$C$2:$C$1775,"=r21",'Opportunities'!$P$2:$P$1775,"=1",'Opportunities'!$G$2:$G$1775,"=1",'Opportunities'!$X$2:$X$1775,"=q3_2025",'Opportunities'!$H$2:$H$1775,"&lt;&gt;")</f>
        <v>6</v>
      </c>
      <c r="E214" s="4">
        <f>COUNTIFS('Opportunities'!$C$2:$C$1775,"=r21",'Opportunities'!$P$2:$P$1775,"=1",'Opportunities'!$G$2:$G$1775,"=1",'Opportunities'!$X$2:$X$1775,"=q4_2025",'Opportunities'!$H$2:$H$1775,"&lt;&gt;")</f>
        <v>5</v>
      </c>
      <c r="F214" s="4">
        <f>COUNTIFS('Opportunities'!$C$2:$C$1775,"=r21",'Opportunities'!$P$2:$P$1775,"=1",'Opportunities'!$G$2:$G$1775,"=1",'Opportunities'!$X$2:$X$1775,"=q1_2026",'Opportunities'!$H$2:$H$1775,"&lt;&gt;")</f>
        <v>1</v>
      </c>
      <c r="G214" s="4">
        <f>COUNTIFS('Opportunities'!$C$2:$C$1775,"=r21",'Opportunities'!$P$2:$P$1775,"=1",'Opportunities'!$G$2:$G$1775,"=1",'Opportunities'!$X$2:$X$1775,"=q2_2026",'Opportunities'!$H$2:$H$1775,"&lt;&gt;")</f>
        <v>4</v>
      </c>
      <c r="H214" s="4">
        <f>COUNTIFS('Opportunities'!$C$2:$C$1775,"=r21",'Opportunities'!$P$2:$P$1775,"=1",'Opportunities'!$G$2:$G$1775,"=1",'Opportunities'!$X$2:$X$1775,"=q3_2026",'Opportunities'!$H$2:$H$1775,"&lt;&gt;")</f>
        <v>4</v>
      </c>
      <c r="I214" s="4">
        <f>COUNTIFS('Opportunities'!$C$2:$C$1775,"=r21",'Opportunities'!$P$2:$P$1775,"=1",'Opportunities'!$G$2:$G$1775,"=1",'Opportunities'!$X$2:$X$1775,"=q4_2026",'Opportunities'!$H$2:$H$1775,"&lt;&gt;")</f>
        <v>0</v>
      </c>
    </row>
    <row r="215">
      <c r="A215" s="0" t="inlineStr">
        <is>
          <t xml:space="preserve">New logos</t>
        </is>
      </c>
      <c r="B215" s="0" t="inlineStr">
        <is>
          <t xml:space="preserve">Arjun Müller</t>
        </is>
      </c>
      <c r="C215" s="4">
        <f>COUNTIFS('Opportunities'!$C$2:$C$1775,"=r22",'Opportunities'!$P$2:$P$1775,"=1",'Opportunities'!$G$2:$G$1775,"=1",'Opportunities'!$X$2:$X$1775,"=q2_2025",'Opportunities'!$H$2:$H$1775,"&lt;&gt;")</f>
        <v>0</v>
      </c>
      <c r="D215" s="4">
        <f>COUNTIFS('Opportunities'!$C$2:$C$1775,"=r22",'Opportunities'!$P$2:$P$1775,"=1",'Opportunities'!$G$2:$G$1775,"=1",'Opportunities'!$X$2:$X$1775,"=q3_2025",'Opportunities'!$H$2:$H$1775,"&lt;&gt;")</f>
        <v>2</v>
      </c>
      <c r="E215" s="4">
        <f>COUNTIFS('Opportunities'!$C$2:$C$1775,"=r22",'Opportunities'!$P$2:$P$1775,"=1",'Opportunities'!$G$2:$G$1775,"=1",'Opportunities'!$X$2:$X$1775,"=q4_2025",'Opportunities'!$H$2:$H$1775,"&lt;&gt;")</f>
        <v>3</v>
      </c>
      <c r="F215" s="4">
        <f>COUNTIFS('Opportunities'!$C$2:$C$1775,"=r22",'Opportunities'!$P$2:$P$1775,"=1",'Opportunities'!$G$2:$G$1775,"=1",'Opportunities'!$X$2:$X$1775,"=q1_2026",'Opportunities'!$H$2:$H$1775,"&lt;&gt;")</f>
        <v>0</v>
      </c>
      <c r="G215" s="4">
        <f>COUNTIFS('Opportunities'!$C$2:$C$1775,"=r22",'Opportunities'!$P$2:$P$1775,"=1",'Opportunities'!$G$2:$G$1775,"=1",'Opportunities'!$X$2:$X$1775,"=q2_2026",'Opportunities'!$H$2:$H$1775,"&lt;&gt;")</f>
        <v>2</v>
      </c>
      <c r="H215" s="4">
        <f>COUNTIFS('Opportunities'!$C$2:$C$1775,"=r22",'Opportunities'!$P$2:$P$1775,"=1",'Opportunities'!$G$2:$G$1775,"=1",'Opportunities'!$X$2:$X$1775,"=q3_2026",'Opportunities'!$H$2:$H$1775,"&lt;&gt;")</f>
        <v>2</v>
      </c>
      <c r="I215" s="4">
        <f>COUNTIFS('Opportunities'!$C$2:$C$1775,"=r22",'Opportunities'!$P$2:$P$1775,"=1",'Opportunities'!$G$2:$G$1775,"=1",'Opportunities'!$X$2:$X$1775,"=q4_2026",'Opportunities'!$H$2:$H$1775,"&lt;&gt;")</f>
        <v>0</v>
      </c>
    </row>
    <row r="216">
      <c r="A216" s="0" t="inlineStr">
        <is>
          <t xml:space="preserve">New logos</t>
        </is>
      </c>
      <c r="B216" s="0" t="inlineStr">
        <is>
          <t xml:space="preserve">Nikolai Park</t>
        </is>
      </c>
      <c r="C216" s="4">
        <f>COUNTIFS('Opportunities'!$C$2:$C$1775,"=r23",'Opportunities'!$P$2:$P$1775,"=1",'Opportunities'!$G$2:$G$1775,"=1",'Opportunities'!$X$2:$X$1775,"=q2_2025",'Opportunities'!$H$2:$H$1775,"&lt;&gt;")</f>
        <v>0</v>
      </c>
      <c r="D216" s="4">
        <f>COUNTIFS('Opportunities'!$C$2:$C$1775,"=r23",'Opportunities'!$P$2:$P$1775,"=1",'Opportunities'!$G$2:$G$1775,"=1",'Opportunities'!$X$2:$X$1775,"=q3_2025",'Opportunities'!$H$2:$H$1775,"&lt;&gt;")</f>
        <v>0</v>
      </c>
      <c r="E216" s="4">
        <f>COUNTIFS('Opportunities'!$C$2:$C$1775,"=r23",'Opportunities'!$P$2:$P$1775,"=1",'Opportunities'!$G$2:$G$1775,"=1",'Opportunities'!$X$2:$X$1775,"=q4_2025",'Opportunities'!$H$2:$H$1775,"&lt;&gt;")</f>
        <v>0</v>
      </c>
      <c r="F216" s="4">
        <f>COUNTIFS('Opportunities'!$C$2:$C$1775,"=r23",'Opportunities'!$P$2:$P$1775,"=1",'Opportunities'!$G$2:$G$1775,"=1",'Opportunities'!$X$2:$X$1775,"=q1_2026",'Opportunities'!$H$2:$H$1775,"&lt;&gt;")</f>
        <v>0</v>
      </c>
      <c r="G216" s="4">
        <f>COUNTIFS('Opportunities'!$C$2:$C$1775,"=r23",'Opportunities'!$P$2:$P$1775,"=1",'Opportunities'!$G$2:$G$1775,"=1",'Opportunities'!$X$2:$X$1775,"=q2_2026",'Opportunities'!$H$2:$H$1775,"&lt;&gt;")</f>
        <v>1</v>
      </c>
      <c r="H216" s="4">
        <f>COUNTIFS('Opportunities'!$C$2:$C$1775,"=r23",'Opportunities'!$P$2:$P$1775,"=1",'Opportunities'!$G$2:$G$1775,"=1",'Opportunities'!$X$2:$X$1775,"=q3_2026",'Opportunities'!$H$2:$H$1775,"&lt;&gt;")</f>
        <v>2</v>
      </c>
      <c r="I216" s="4">
        <f>COUNTIFS('Opportunities'!$C$2:$C$1775,"=r23",'Opportunities'!$P$2:$P$1775,"=1",'Opportunities'!$G$2:$G$1775,"=1",'Opportunities'!$X$2:$X$1775,"=q4_2026",'Opportunities'!$H$2:$H$1775,"&lt;&gt;")</f>
        <v>0</v>
      </c>
    </row>
    <row r="217">
      <c r="A217" s="0" t="inlineStr">
        <is>
          <t xml:space="preserve">New logos</t>
        </is>
      </c>
      <c r="B217" s="0" t="inlineStr">
        <is>
          <t xml:space="preserve">Ingrid Dubois</t>
        </is>
      </c>
      <c r="C217" s="4">
        <f>COUNTIFS('Opportunities'!$C$2:$C$1775,"=r24",'Opportunities'!$P$2:$P$1775,"=1",'Opportunities'!$G$2:$G$1775,"=1",'Opportunities'!$X$2:$X$1775,"=q2_2025",'Opportunities'!$H$2:$H$1775,"&lt;&gt;")</f>
        <v>0</v>
      </c>
      <c r="D217" s="4">
        <f>COUNTIFS('Opportunities'!$C$2:$C$1775,"=r24",'Opportunities'!$P$2:$P$1775,"=1",'Opportunities'!$G$2:$G$1775,"=1",'Opportunities'!$X$2:$X$1775,"=q3_2025",'Opportunities'!$H$2:$H$1775,"&lt;&gt;")</f>
        <v>6</v>
      </c>
      <c r="E217" s="4">
        <f>COUNTIFS('Opportunities'!$C$2:$C$1775,"=r24",'Opportunities'!$P$2:$P$1775,"=1",'Opportunities'!$G$2:$G$1775,"=1",'Opportunities'!$X$2:$X$1775,"=q4_2025",'Opportunities'!$H$2:$H$1775,"&lt;&gt;")</f>
        <v>5</v>
      </c>
      <c r="F217" s="4">
        <f>COUNTIFS('Opportunities'!$C$2:$C$1775,"=r24",'Opportunities'!$P$2:$P$1775,"=1",'Opportunities'!$G$2:$G$1775,"=1",'Opportunities'!$X$2:$X$1775,"=q1_2026",'Opportunities'!$H$2:$H$1775,"&lt;&gt;")</f>
        <v>2</v>
      </c>
      <c r="G217" s="4">
        <f>COUNTIFS('Opportunities'!$C$2:$C$1775,"=r24",'Opportunities'!$P$2:$P$1775,"=1",'Opportunities'!$G$2:$G$1775,"=1",'Opportunities'!$X$2:$X$1775,"=q2_2026",'Opportunities'!$H$2:$H$1775,"&lt;&gt;")</f>
        <v>6</v>
      </c>
      <c r="H217" s="4">
        <f>COUNTIFS('Opportunities'!$C$2:$C$1775,"=r24",'Opportunities'!$P$2:$P$1775,"=1",'Opportunities'!$G$2:$G$1775,"=1",'Opportunities'!$X$2:$X$1775,"=q3_2026",'Opportunities'!$H$2:$H$1775,"&lt;&gt;")</f>
        <v>5</v>
      </c>
      <c r="I217" s="4">
        <f>COUNTIFS('Opportunities'!$C$2:$C$1775,"=r24",'Opportunities'!$P$2:$P$1775,"=1",'Opportunities'!$G$2:$G$1775,"=1",'Opportunities'!$X$2:$X$1775,"=q4_2026",'Opportunities'!$H$2:$H$1775,"&lt;&gt;")</f>
        <v>0</v>
      </c>
    </row>
    <row r="218">
      <c r="A218" s="0" t="inlineStr">
        <is>
          <t xml:space="preserve">New-logo bookings</t>
        </is>
      </c>
      <c r="B218" s="0" t="inlineStr">
        <is>
          <t xml:space="preserve">Noor Ortiz</t>
        </is>
      </c>
      <c r="C218" s="4">
        <f>SUM('Rep monthly'!C74:E74)</f>
        <v>0</v>
      </c>
      <c r="D218" s="4">
        <f>SUM('Rep monthly'!F74:H74)</f>
        <v>0</v>
      </c>
      <c r="E218" s="4">
        <f>SUM('Rep monthly'!I74:K74)</f>
        <v>201200</v>
      </c>
      <c r="F218" s="4">
        <f>SUM('Rep monthly'!L74:N74)</f>
        <v>505900</v>
      </c>
      <c r="G218" s="4">
        <f>SUM('Rep monthly'!O74:Q74)</f>
        <v>209500</v>
      </c>
      <c r="H218" s="4">
        <f>SUM('Rep monthly'!R74:T74)</f>
        <v>61800</v>
      </c>
      <c r="I218" s="4">
        <f>SUM('Rep monthly'!U74:W74)</f>
        <v>0</v>
      </c>
    </row>
    <row r="219">
      <c r="A219" s="0" t="inlineStr">
        <is>
          <t xml:space="preserve">New-logo bookings</t>
        </is>
      </c>
      <c r="B219" s="0" t="inlineStr">
        <is>
          <t xml:space="preserve">Priya Yilmaz</t>
        </is>
      </c>
      <c r="C219" s="4">
        <f>SUM('Rep monthly'!C75:E75)</f>
        <v>0</v>
      </c>
      <c r="D219" s="4">
        <f>SUM('Rep monthly'!F75:H75)</f>
        <v>0</v>
      </c>
      <c r="E219" s="4">
        <f>SUM('Rep monthly'!I75:K75)</f>
        <v>0</v>
      </c>
      <c r="F219" s="4">
        <f>SUM('Rep monthly'!L75:N75)</f>
        <v>0</v>
      </c>
      <c r="G219" s="4">
        <f>SUM('Rep monthly'!O75:Q75)</f>
        <v>0</v>
      </c>
      <c r="H219" s="4">
        <f>SUM('Rep monthly'!R75:T75)</f>
        <v>0</v>
      </c>
      <c r="I219" s="4">
        <f>SUM('Rep monthly'!U75:W75)</f>
        <v>0</v>
      </c>
    </row>
    <row r="220">
      <c r="A220" s="0" t="inlineStr">
        <is>
          <t xml:space="preserve">New-logo bookings</t>
        </is>
      </c>
      <c r="B220" s="0" t="inlineStr">
        <is>
          <t xml:space="preserve">Marcus Schmidt</t>
        </is>
      </c>
      <c r="C220" s="4">
        <f>SUM('Rep monthly'!C76:E76)</f>
        <v>0</v>
      </c>
      <c r="D220" s="4">
        <f>SUM('Rep monthly'!F76:H76)</f>
        <v>87800</v>
      </c>
      <c r="E220" s="4">
        <f>SUM('Rep monthly'!I76:K76)</f>
        <v>176600</v>
      </c>
      <c r="F220" s="4">
        <f>SUM('Rep monthly'!L76:N76)</f>
        <v>237100</v>
      </c>
      <c r="G220" s="4">
        <f>SUM('Rep monthly'!O76:Q76)</f>
        <v>150300</v>
      </c>
      <c r="H220" s="4">
        <f>SUM('Rep monthly'!R76:T76)</f>
        <v>100200</v>
      </c>
      <c r="I220" s="4">
        <f>SUM('Rep monthly'!U76:W76)</f>
        <v>0</v>
      </c>
    </row>
    <row r="221">
      <c r="A221" s="0" t="inlineStr">
        <is>
          <t xml:space="preserve">New-logo bookings</t>
        </is>
      </c>
      <c r="B221" s="0" t="inlineStr">
        <is>
          <t xml:space="preserve">Amara Haddad</t>
        </is>
      </c>
      <c r="C221" s="4">
        <f>SUM('Rep monthly'!C77:E77)</f>
        <v>196800</v>
      </c>
      <c r="D221" s="4">
        <f>SUM('Rep monthly'!F77:H77)</f>
        <v>185400</v>
      </c>
      <c r="E221" s="4">
        <f>SUM('Rep monthly'!I77:K77)</f>
        <v>92000</v>
      </c>
      <c r="F221" s="4">
        <f>SUM('Rep monthly'!L77:N77)</f>
        <v>0</v>
      </c>
      <c r="G221" s="4">
        <f>SUM('Rep monthly'!O77:Q77)</f>
        <v>37700</v>
      </c>
      <c r="H221" s="4">
        <f>SUM('Rep monthly'!R77:T77)</f>
        <v>55300</v>
      </c>
      <c r="I221" s="4">
        <f>SUM('Rep monthly'!U77:W77)</f>
        <v>0</v>
      </c>
    </row>
    <row r="222">
      <c r="A222" s="0" t="inlineStr">
        <is>
          <t xml:space="preserve">New-logo bookings</t>
        </is>
      </c>
      <c r="B222" s="0" t="inlineStr">
        <is>
          <t xml:space="preserve">Fatima Silva</t>
        </is>
      </c>
      <c r="C222" s="4">
        <f>SUM('Rep monthly'!C78:E78)</f>
        <v>85600</v>
      </c>
      <c r="D222" s="4">
        <f>SUM('Rep monthly'!F78:H78)</f>
        <v>91200</v>
      </c>
      <c r="E222" s="4">
        <f>SUM('Rep monthly'!I78:K78)</f>
        <v>108500</v>
      </c>
      <c r="F222" s="4">
        <f>SUM('Rep monthly'!L78:N78)</f>
        <v>47200</v>
      </c>
      <c r="G222" s="4">
        <f>SUM('Rep monthly'!O78:Q78)</f>
        <v>60700</v>
      </c>
      <c r="H222" s="4">
        <f>SUM('Rep monthly'!R78:T78)</f>
        <v>81200</v>
      </c>
      <c r="I222" s="4">
        <f>SUM('Rep monthly'!U78:W78)</f>
        <v>0</v>
      </c>
    </row>
    <row r="223">
      <c r="A223" s="0" t="inlineStr">
        <is>
          <t xml:space="preserve">New-logo bookings</t>
        </is>
      </c>
      <c r="B223" s="0" t="inlineStr">
        <is>
          <t xml:space="preserve">Ana Ortiz</t>
        </is>
      </c>
      <c r="C223" s="4">
        <f>SUM('Rep monthly'!C79:E79)</f>
        <v>14200</v>
      </c>
      <c r="D223" s="4">
        <f>SUM('Rep monthly'!F79:H79)</f>
        <v>62400</v>
      </c>
      <c r="E223" s="4">
        <f>SUM('Rep monthly'!I79:K79)</f>
        <v>20400</v>
      </c>
      <c r="F223" s="4">
        <f>SUM('Rep monthly'!L79:N79)</f>
        <v>48200</v>
      </c>
      <c r="G223" s="4">
        <f>SUM('Rep monthly'!O79:Q79)</f>
        <v>72900</v>
      </c>
      <c r="H223" s="4">
        <f>SUM('Rep monthly'!R79:T79)</f>
        <v>49500</v>
      </c>
      <c r="I223" s="4">
        <f>SUM('Rep monthly'!U79:W79)</f>
        <v>0</v>
      </c>
    </row>
    <row r="224">
      <c r="A224" s="0" t="inlineStr">
        <is>
          <t xml:space="preserve">New-logo bookings</t>
        </is>
      </c>
      <c r="B224" s="0" t="inlineStr">
        <is>
          <t xml:space="preserve">Tobias Silva</t>
        </is>
      </c>
      <c r="C224" s="4">
        <f>SUM('Rep monthly'!C80:E80)</f>
        <v>0</v>
      </c>
      <c r="D224" s="4">
        <f>SUM('Rep monthly'!F80:H80)</f>
        <v>146800</v>
      </c>
      <c r="E224" s="4">
        <f>SUM('Rep monthly'!I80:K80)</f>
        <v>0</v>
      </c>
      <c r="F224" s="4">
        <f>SUM('Rep monthly'!L80:N80)</f>
        <v>1412300</v>
      </c>
      <c r="G224" s="4">
        <f>SUM('Rep monthly'!O80:Q80)</f>
        <v>53000</v>
      </c>
      <c r="H224" s="4">
        <f>SUM('Rep monthly'!R80:T80)</f>
        <v>496300</v>
      </c>
      <c r="I224" s="4">
        <f>SUM('Rep monthly'!U80:W80)</f>
        <v>0</v>
      </c>
    </row>
    <row r="225">
      <c r="A225" s="0" t="inlineStr">
        <is>
          <t xml:space="preserve">New-logo bookings</t>
        </is>
      </c>
      <c r="B225" s="0" t="inlineStr">
        <is>
          <t xml:space="preserve">Leila Osei</t>
        </is>
      </c>
      <c r="C225" s="4">
        <f>SUM('Rep monthly'!C81:E81)</f>
        <v>0</v>
      </c>
      <c r="D225" s="4">
        <f>SUM('Rep monthly'!F81:H81)</f>
        <v>0</v>
      </c>
      <c r="E225" s="4">
        <f>SUM('Rep monthly'!I81:K81)</f>
        <v>0</v>
      </c>
      <c r="F225" s="4">
        <f>SUM('Rep monthly'!L81:N81)</f>
        <v>0</v>
      </c>
      <c r="G225" s="4">
        <f>SUM('Rep monthly'!O81:Q81)</f>
        <v>250000</v>
      </c>
      <c r="H225" s="4">
        <f>SUM('Rep monthly'!R81:T81)</f>
        <v>571300</v>
      </c>
      <c r="I225" s="4">
        <f>SUM('Rep monthly'!U81:W81)</f>
        <v>0</v>
      </c>
    </row>
    <row r="226">
      <c r="A226" s="0" t="inlineStr">
        <is>
          <t xml:space="preserve">New-logo bookings</t>
        </is>
      </c>
      <c r="B226" s="0" t="inlineStr">
        <is>
          <t xml:space="preserve">Grace Costa</t>
        </is>
      </c>
      <c r="C226" s="4">
        <f>SUM('Rep monthly'!C82:E82)</f>
        <v>52500</v>
      </c>
      <c r="D226" s="4">
        <f>SUM('Rep monthly'!F82:H82)</f>
        <v>100300</v>
      </c>
      <c r="E226" s="4">
        <f>SUM('Rep monthly'!I82:K82)</f>
        <v>332200</v>
      </c>
      <c r="F226" s="4">
        <f>SUM('Rep monthly'!L82:N82)</f>
        <v>277700</v>
      </c>
      <c r="G226" s="4">
        <f>SUM('Rep monthly'!O82:Q82)</f>
        <v>578300</v>
      </c>
      <c r="H226" s="4">
        <f>SUM('Rep monthly'!R82:T82)</f>
        <v>334900</v>
      </c>
      <c r="I226" s="4">
        <f>SUM('Rep monthly'!U82:W82)</f>
        <v>0</v>
      </c>
    </row>
    <row r="227">
      <c r="A227" s="0" t="inlineStr">
        <is>
          <t xml:space="preserve">New-logo bookings</t>
        </is>
      </c>
      <c r="B227" s="0" t="inlineStr">
        <is>
          <t xml:space="preserve">Ingrid Müller</t>
        </is>
      </c>
      <c r="C227" s="4">
        <f>SUM('Rep monthly'!C83:E83)</f>
        <v>0</v>
      </c>
      <c r="D227" s="4">
        <f>SUM('Rep monthly'!F83:H83)</f>
        <v>0</v>
      </c>
      <c r="E227" s="4">
        <f>SUM('Rep monthly'!I83:K83)</f>
        <v>0</v>
      </c>
      <c r="F227" s="4">
        <f>SUM('Rep monthly'!L83:N83)</f>
        <v>0</v>
      </c>
      <c r="G227" s="4">
        <f>SUM('Rep monthly'!O83:Q83)</f>
        <v>146700</v>
      </c>
      <c r="H227" s="4">
        <f>SUM('Rep monthly'!R83:T83)</f>
        <v>217300</v>
      </c>
      <c r="I227" s="4">
        <f>SUM('Rep monthly'!U83:W83)</f>
        <v>0</v>
      </c>
    </row>
    <row r="228">
      <c r="A228" s="0" t="inlineStr">
        <is>
          <t xml:space="preserve">New-logo bookings</t>
        </is>
      </c>
      <c r="B228" s="0" t="inlineStr">
        <is>
          <t xml:space="preserve">Ingrid Kim</t>
        </is>
      </c>
      <c r="C228" s="4">
        <f>SUM('Rep monthly'!C84:E84)</f>
        <v>63700</v>
      </c>
      <c r="D228" s="4">
        <f>SUM('Rep monthly'!F84:H84)</f>
        <v>67100</v>
      </c>
      <c r="E228" s="4">
        <f>SUM('Rep monthly'!I84:K84)</f>
        <v>120600</v>
      </c>
      <c r="F228" s="4">
        <f>SUM('Rep monthly'!L84:N84)</f>
        <v>52900</v>
      </c>
      <c r="G228" s="4">
        <f>SUM('Rep monthly'!O84:Q84)</f>
        <v>20500</v>
      </c>
      <c r="H228" s="4">
        <f>SUM('Rep monthly'!R84:T84)</f>
        <v>78000</v>
      </c>
      <c r="I228" s="4">
        <f>SUM('Rep monthly'!U84:W84)</f>
        <v>0</v>
      </c>
    </row>
    <row r="229">
      <c r="A229" s="0" t="inlineStr">
        <is>
          <t xml:space="preserve">New-logo bookings</t>
        </is>
      </c>
      <c r="B229" s="0" t="inlineStr">
        <is>
          <t xml:space="preserve">Priya Nair</t>
        </is>
      </c>
      <c r="C229" s="4">
        <f>SUM('Rep monthly'!C85:E85)</f>
        <v>48600</v>
      </c>
      <c r="D229" s="4">
        <f>SUM('Rep monthly'!F85:H85)</f>
        <v>87700</v>
      </c>
      <c r="E229" s="4">
        <f>SUM('Rep monthly'!I85:K85)</f>
        <v>106500</v>
      </c>
      <c r="F229" s="4">
        <f>SUM('Rep monthly'!L85:N85)</f>
        <v>69300</v>
      </c>
      <c r="G229" s="4">
        <f>SUM('Rep monthly'!O85:Q85)</f>
        <v>76200</v>
      </c>
      <c r="H229" s="4">
        <f>SUM('Rep monthly'!R85:T85)</f>
        <v>31800</v>
      </c>
      <c r="I229" s="4">
        <f>SUM('Rep monthly'!U85:W85)</f>
        <v>0</v>
      </c>
    </row>
    <row r="230">
      <c r="A230" s="0" t="inlineStr">
        <is>
          <t xml:space="preserve">New-logo bookings</t>
        </is>
      </c>
      <c r="B230" s="0" t="inlineStr">
        <is>
          <t xml:space="preserve">Hugo Lindqvist</t>
        </is>
      </c>
      <c r="C230" s="4">
        <f>SUM('Rep monthly'!C86:E86)</f>
        <v>245800</v>
      </c>
      <c r="D230" s="4">
        <f>SUM('Rep monthly'!F86:H86)</f>
        <v>602100</v>
      </c>
      <c r="E230" s="4">
        <f>SUM('Rep monthly'!I86:K86)</f>
        <v>207900</v>
      </c>
      <c r="F230" s="4">
        <f>SUM('Rep monthly'!L86:N86)</f>
        <v>543300</v>
      </c>
      <c r="G230" s="4">
        <f>SUM('Rep monthly'!O86:Q86)</f>
        <v>348900</v>
      </c>
      <c r="H230" s="4">
        <f>SUM('Rep monthly'!R86:T86)</f>
        <v>376600</v>
      </c>
      <c r="I230" s="4">
        <f>SUM('Rep monthly'!U86:W86)</f>
        <v>0</v>
      </c>
    </row>
    <row r="231">
      <c r="A231" s="0" t="inlineStr">
        <is>
          <t xml:space="preserve">New-logo bookings</t>
        </is>
      </c>
      <c r="B231" s="0" t="inlineStr">
        <is>
          <t xml:space="preserve">Wei Novak</t>
        </is>
      </c>
      <c r="C231" s="4">
        <f>SUM('Rep monthly'!C87:E87)</f>
        <v>0</v>
      </c>
      <c r="D231" s="4">
        <f>SUM('Rep monthly'!F87:H87)</f>
        <v>0</v>
      </c>
      <c r="E231" s="4">
        <f>SUM('Rep monthly'!I87:K87)</f>
        <v>0</v>
      </c>
      <c r="F231" s="4">
        <f>SUM('Rep monthly'!L87:N87)</f>
        <v>0</v>
      </c>
      <c r="G231" s="4">
        <f>SUM('Rep monthly'!O87:Q87)</f>
        <v>0</v>
      </c>
      <c r="H231" s="4">
        <f>SUM('Rep monthly'!R87:T87)</f>
        <v>92900</v>
      </c>
      <c r="I231" s="4">
        <f>SUM('Rep monthly'!U87:W87)</f>
        <v>0</v>
      </c>
    </row>
    <row r="232">
      <c r="A232" s="0" t="inlineStr">
        <is>
          <t xml:space="preserve">New-logo bookings</t>
        </is>
      </c>
      <c r="B232" s="0" t="inlineStr">
        <is>
          <t xml:space="preserve">Nikolai Kim</t>
        </is>
      </c>
      <c r="C232" s="4">
        <f>SUM('Rep monthly'!C88:E88)</f>
        <v>211600</v>
      </c>
      <c r="D232" s="4">
        <f>SUM('Rep monthly'!F88:H88)</f>
        <v>257000</v>
      </c>
      <c r="E232" s="4">
        <f>SUM('Rep monthly'!I88:K88)</f>
        <v>175600</v>
      </c>
      <c r="F232" s="4">
        <f>SUM('Rep monthly'!L88:N88)</f>
        <v>92200</v>
      </c>
      <c r="G232" s="4">
        <f>SUM('Rep monthly'!O88:Q88)</f>
        <v>144200</v>
      </c>
      <c r="H232" s="4">
        <f>SUM('Rep monthly'!R88:T88)</f>
        <v>88200</v>
      </c>
      <c r="I232" s="4">
        <f>SUM('Rep monthly'!U88:W88)</f>
        <v>0</v>
      </c>
    </row>
    <row r="233">
      <c r="A233" s="0" t="inlineStr">
        <is>
          <t xml:space="preserve">New-logo bookings</t>
        </is>
      </c>
      <c r="B233" s="0" t="inlineStr">
        <is>
          <t xml:space="preserve">Wei Nair</t>
        </is>
      </c>
      <c r="C233" s="4">
        <f>SUM('Rep monthly'!C89:E89)</f>
        <v>100600</v>
      </c>
      <c r="D233" s="4">
        <f>SUM('Rep monthly'!F89:H89)</f>
        <v>69700</v>
      </c>
      <c r="E233" s="4">
        <f>SUM('Rep monthly'!I89:K89)</f>
        <v>148100</v>
      </c>
      <c r="F233" s="4">
        <f>SUM('Rep monthly'!L89:N89)</f>
        <v>117500</v>
      </c>
      <c r="G233" s="4">
        <f>SUM('Rep monthly'!O89:Q89)</f>
        <v>54100</v>
      </c>
      <c r="H233" s="4">
        <f>SUM('Rep monthly'!R89:T89)</f>
        <v>107600</v>
      </c>
      <c r="I233" s="4">
        <f>SUM('Rep monthly'!U89:W89)</f>
        <v>0</v>
      </c>
    </row>
    <row r="234">
      <c r="A234" s="0" t="inlineStr">
        <is>
          <t xml:space="preserve">New-logo bookings</t>
        </is>
      </c>
      <c r="B234" s="0" t="inlineStr">
        <is>
          <t xml:space="preserve">Liam Silva</t>
        </is>
      </c>
      <c r="C234" s="4">
        <f>SUM('Rep monthly'!C90:E90)</f>
        <v>0</v>
      </c>
      <c r="D234" s="4">
        <f>SUM('Rep monthly'!F90:H90)</f>
        <v>61100</v>
      </c>
      <c r="E234" s="4">
        <f>SUM('Rep monthly'!I90:K90)</f>
        <v>75400</v>
      </c>
      <c r="F234" s="4">
        <f>SUM('Rep monthly'!L90:N90)</f>
        <v>108600</v>
      </c>
      <c r="G234" s="4">
        <f>SUM('Rep monthly'!O90:Q90)</f>
        <v>35800</v>
      </c>
      <c r="H234" s="4">
        <f>SUM('Rep monthly'!R90:T90)</f>
        <v>89500</v>
      </c>
      <c r="I234" s="4">
        <f>SUM('Rep monthly'!U90:W90)</f>
        <v>0</v>
      </c>
    </row>
    <row r="235">
      <c r="A235" s="0" t="inlineStr">
        <is>
          <t xml:space="preserve">New-logo bookings</t>
        </is>
      </c>
      <c r="B235" s="0" t="inlineStr">
        <is>
          <t xml:space="preserve">Samuel Silva</t>
        </is>
      </c>
      <c r="C235" s="4">
        <f>SUM('Rep monthly'!C91:E91)</f>
        <v>17000</v>
      </c>
      <c r="D235" s="4">
        <f>SUM('Rep monthly'!F91:H91)</f>
        <v>144100</v>
      </c>
      <c r="E235" s="4">
        <f>SUM('Rep monthly'!I91:K91)</f>
        <v>94400</v>
      </c>
      <c r="F235" s="4">
        <f>SUM('Rep monthly'!L91:N91)</f>
        <v>138500</v>
      </c>
      <c r="G235" s="4">
        <f>SUM('Rep monthly'!O91:Q91)</f>
        <v>91600</v>
      </c>
      <c r="H235" s="4">
        <f>SUM('Rep monthly'!R91:T91)</f>
        <v>59300</v>
      </c>
      <c r="I235" s="4">
        <f>SUM('Rep monthly'!U91:W91)</f>
        <v>0</v>
      </c>
    </row>
    <row r="236">
      <c r="A236" s="0" t="inlineStr">
        <is>
          <t xml:space="preserve">New-logo bookings</t>
        </is>
      </c>
      <c r="B236" s="0" t="inlineStr">
        <is>
          <t xml:space="preserve">Yuki Larsen</t>
        </is>
      </c>
      <c r="C236" s="4">
        <f>SUM('Rep monthly'!C92:E92)</f>
        <v>0</v>
      </c>
      <c r="D236" s="4">
        <f>SUM('Rep monthly'!F92:H92)</f>
        <v>82000</v>
      </c>
      <c r="E236" s="4">
        <f>SUM('Rep monthly'!I92:K92)</f>
        <v>0</v>
      </c>
      <c r="F236" s="4">
        <f>SUM('Rep monthly'!L92:N92)</f>
        <v>0</v>
      </c>
      <c r="G236" s="4">
        <f>SUM('Rep monthly'!O92:Q92)</f>
        <v>188400</v>
      </c>
      <c r="H236" s="4">
        <f>SUM('Rep monthly'!R92:T92)</f>
        <v>157600</v>
      </c>
      <c r="I236" s="4">
        <f>SUM('Rep monthly'!U92:W92)</f>
        <v>0</v>
      </c>
    </row>
    <row r="237">
      <c r="A237" s="0" t="inlineStr">
        <is>
          <t xml:space="preserve">New-logo bookings</t>
        </is>
      </c>
      <c r="B237" s="0" t="inlineStr">
        <is>
          <t xml:space="preserve">Nikolai Sato</t>
        </is>
      </c>
      <c r="C237" s="4">
        <f>SUM('Rep monthly'!C93:E93)</f>
        <v>99700</v>
      </c>
      <c r="D237" s="4">
        <f>SUM('Rep monthly'!F93:H93)</f>
        <v>139000</v>
      </c>
      <c r="E237" s="4">
        <f>SUM('Rep monthly'!I93:K93)</f>
        <v>0</v>
      </c>
      <c r="F237" s="4">
        <f>SUM('Rep monthly'!L93:N93)</f>
        <v>0</v>
      </c>
      <c r="G237" s="4">
        <f>SUM('Rep monthly'!O93:Q93)</f>
        <v>0</v>
      </c>
      <c r="H237" s="4">
        <f>SUM('Rep monthly'!R93:T93)</f>
        <v>103400</v>
      </c>
      <c r="I237" s="4">
        <f>SUM('Rep monthly'!U93:W93)</f>
        <v>0</v>
      </c>
    </row>
    <row r="238">
      <c r="A238" s="0" t="inlineStr">
        <is>
          <t xml:space="preserve">New-logo bookings</t>
        </is>
      </c>
      <c r="B238" s="0" t="inlineStr">
        <is>
          <t xml:space="preserve">Elena Silva</t>
        </is>
      </c>
      <c r="C238" s="4">
        <f>SUM('Rep monthly'!C94:E94)</f>
        <v>28600</v>
      </c>
      <c r="D238" s="4">
        <f>SUM('Rep monthly'!F94:H94)</f>
        <v>286100</v>
      </c>
      <c r="E238" s="4">
        <f>SUM('Rep monthly'!I94:K94)</f>
        <v>217400</v>
      </c>
      <c r="F238" s="4">
        <f>SUM('Rep monthly'!L94:N94)</f>
        <v>101900</v>
      </c>
      <c r="G238" s="4">
        <f>SUM('Rep monthly'!O94:Q94)</f>
        <v>175500</v>
      </c>
      <c r="H238" s="4">
        <f>SUM('Rep monthly'!R94:T94)</f>
        <v>111700</v>
      </c>
      <c r="I238" s="4">
        <f>SUM('Rep monthly'!U94:W94)</f>
        <v>0</v>
      </c>
    </row>
    <row r="239">
      <c r="A239" s="0" t="inlineStr">
        <is>
          <t xml:space="preserve">New-logo bookings</t>
        </is>
      </c>
      <c r="B239" s="0" t="inlineStr">
        <is>
          <t xml:space="preserve">Arjun Müller</t>
        </is>
      </c>
      <c r="C239" s="4">
        <f>SUM('Rep monthly'!C95:E95)</f>
        <v>0</v>
      </c>
      <c r="D239" s="4">
        <f>SUM('Rep monthly'!F95:H95)</f>
        <v>70600</v>
      </c>
      <c r="E239" s="4">
        <f>SUM('Rep monthly'!I95:K95)</f>
        <v>152000</v>
      </c>
      <c r="F239" s="4">
        <f>SUM('Rep monthly'!L95:N95)</f>
        <v>0</v>
      </c>
      <c r="G239" s="4">
        <f>SUM('Rep monthly'!O95:Q95)</f>
        <v>68100</v>
      </c>
      <c r="H239" s="4">
        <f>SUM('Rep monthly'!R95:T95)</f>
        <v>74700</v>
      </c>
      <c r="I239" s="4">
        <f>SUM('Rep monthly'!U95:W95)</f>
        <v>0</v>
      </c>
    </row>
    <row r="240">
      <c r="A240" s="0" t="inlineStr">
        <is>
          <t xml:space="preserve">New-logo bookings</t>
        </is>
      </c>
      <c r="B240" s="0" t="inlineStr">
        <is>
          <t xml:space="preserve">Nikolai Park</t>
        </is>
      </c>
      <c r="C240" s="4">
        <f>SUM('Rep monthly'!C96:E96)</f>
        <v>0</v>
      </c>
      <c r="D240" s="4">
        <f>SUM('Rep monthly'!F96:H96)</f>
        <v>0</v>
      </c>
      <c r="E240" s="4">
        <f>SUM('Rep monthly'!I96:K96)</f>
        <v>0</v>
      </c>
      <c r="F240" s="4">
        <f>SUM('Rep monthly'!L96:N96)</f>
        <v>0</v>
      </c>
      <c r="G240" s="4">
        <f>SUM('Rep monthly'!O96:Q96)</f>
        <v>11000</v>
      </c>
      <c r="H240" s="4">
        <f>SUM('Rep monthly'!R96:T96)</f>
        <v>27800</v>
      </c>
      <c r="I240" s="4">
        <f>SUM('Rep monthly'!U96:W96)</f>
        <v>0</v>
      </c>
    </row>
    <row r="241">
      <c r="A241" s="0" t="inlineStr">
        <is>
          <t xml:space="preserve">New-logo bookings</t>
        </is>
      </c>
      <c r="B241" s="0" t="inlineStr">
        <is>
          <t xml:space="preserve">Ingrid Dubois</t>
        </is>
      </c>
      <c r="C241" s="4">
        <f>SUM('Rep monthly'!C97:E97)</f>
        <v>0</v>
      </c>
      <c r="D241" s="4">
        <f>SUM('Rep monthly'!F97:H97)</f>
        <v>106000</v>
      </c>
      <c r="E241" s="4">
        <f>SUM('Rep monthly'!I97:K97)</f>
        <v>79600</v>
      </c>
      <c r="F241" s="4">
        <f>SUM('Rep monthly'!L97:N97)</f>
        <v>23900</v>
      </c>
      <c r="G241" s="4">
        <f>SUM('Rep monthly'!O97:Q97)</f>
        <v>86100</v>
      </c>
      <c r="H241" s="4">
        <f>SUM('Rep monthly'!R97:T97)</f>
        <v>104700</v>
      </c>
      <c r="I241" s="4">
        <f>SUM('Rep monthly'!U97:W97)</f>
        <v>0</v>
      </c>
    </row>
    <row r="242">
      <c r="A242" s="0" t="inlineStr">
        <is>
          <t xml:space="preserve">Opportunities created</t>
        </is>
      </c>
      <c r="B242" s="0" t="inlineStr">
        <is>
          <t xml:space="preserve">Noor Ortiz</t>
        </is>
      </c>
      <c r="C242" s="4">
        <f>SUM('Rep monthly'!C122:E122)</f>
        <v>14</v>
      </c>
      <c r="D242" s="4">
        <f>SUM('Rep monthly'!F122:H122)</f>
        <v>11</v>
      </c>
      <c r="E242" s="4">
        <f>SUM('Rep monthly'!I122:K122)</f>
        <v>8</v>
      </c>
      <c r="F242" s="4">
        <f>SUM('Rep monthly'!L122:N122)</f>
        <v>17</v>
      </c>
      <c r="G242" s="4">
        <f>SUM('Rep monthly'!O122:Q122)</f>
        <v>19</v>
      </c>
      <c r="H242" s="4">
        <f>SUM('Rep monthly'!R122:T122)</f>
        <v>7</v>
      </c>
      <c r="I242" s="4">
        <f>SUM('Rep monthly'!U122:W122)</f>
        <v>0</v>
      </c>
    </row>
    <row r="243">
      <c r="A243" s="0" t="inlineStr">
        <is>
          <t xml:space="preserve">Opportunities created</t>
        </is>
      </c>
      <c r="B243" s="0" t="inlineStr">
        <is>
          <t xml:space="preserve">Priya Yilmaz</t>
        </is>
      </c>
      <c r="C243" s="4">
        <f>SUM('Rep monthly'!C123:E123)</f>
        <v>0</v>
      </c>
      <c r="D243" s="4">
        <f>SUM('Rep monthly'!F123:H123)</f>
        <v>0</v>
      </c>
      <c r="E243" s="4">
        <f>SUM('Rep monthly'!I123:K123)</f>
        <v>0</v>
      </c>
      <c r="F243" s="4">
        <f>SUM('Rep monthly'!L123:N123)</f>
        <v>0</v>
      </c>
      <c r="G243" s="4">
        <f>SUM('Rep monthly'!O123:Q123)</f>
        <v>0</v>
      </c>
      <c r="H243" s="4">
        <f>SUM('Rep monthly'!R123:T123)</f>
        <v>3</v>
      </c>
      <c r="I243" s="4">
        <f>SUM('Rep monthly'!U123:W123)</f>
        <v>0</v>
      </c>
    </row>
    <row r="244">
      <c r="A244" s="0" t="inlineStr">
        <is>
          <t xml:space="preserve">Opportunities created</t>
        </is>
      </c>
      <c r="B244" s="0" t="inlineStr">
        <is>
          <t xml:space="preserve">Marcus Schmidt</t>
        </is>
      </c>
      <c r="C244" s="4">
        <f>SUM('Rep monthly'!C124:E124)</f>
        <v>0</v>
      </c>
      <c r="D244" s="4">
        <f>SUM('Rep monthly'!F124:H124)</f>
        <v>9</v>
      </c>
      <c r="E244" s="4">
        <f>SUM('Rep monthly'!I124:K124)</f>
        <v>12</v>
      </c>
      <c r="F244" s="4">
        <f>SUM('Rep monthly'!L124:N124)</f>
        <v>20</v>
      </c>
      <c r="G244" s="4">
        <f>SUM('Rep monthly'!O124:Q124)</f>
        <v>22</v>
      </c>
      <c r="H244" s="4">
        <f>SUM('Rep monthly'!R124:T124)</f>
        <v>12</v>
      </c>
      <c r="I244" s="4">
        <f>SUM('Rep monthly'!U124:W124)</f>
        <v>0</v>
      </c>
    </row>
    <row r="245">
      <c r="A245" s="0" t="inlineStr">
        <is>
          <t xml:space="preserve">Opportunities created</t>
        </is>
      </c>
      <c r="B245" s="0" t="inlineStr">
        <is>
          <t xml:space="preserve">Amara Haddad</t>
        </is>
      </c>
      <c r="C245" s="4">
        <f>SUM('Rep monthly'!C125:E125)</f>
        <v>41</v>
      </c>
      <c r="D245" s="4">
        <f>SUM('Rep monthly'!F125:H125)</f>
        <v>16</v>
      </c>
      <c r="E245" s="4">
        <f>SUM('Rep monthly'!I125:K125)</f>
        <v>12</v>
      </c>
      <c r="F245" s="4">
        <f>SUM('Rep monthly'!L125:N125)</f>
        <v>12</v>
      </c>
      <c r="G245" s="4">
        <f>SUM('Rep monthly'!O125:Q125)</f>
        <v>14</v>
      </c>
      <c r="H245" s="4">
        <f>SUM('Rep monthly'!R125:T125)</f>
        <v>18</v>
      </c>
      <c r="I245" s="4">
        <f>SUM('Rep monthly'!U125:W125)</f>
        <v>0</v>
      </c>
    </row>
    <row r="246">
      <c r="A246" s="0" t="inlineStr">
        <is>
          <t xml:space="preserve">Opportunities created</t>
        </is>
      </c>
      <c r="B246" s="0" t="inlineStr">
        <is>
          <t xml:space="preserve">Fatima Silva</t>
        </is>
      </c>
      <c r="C246" s="4">
        <f>SUM('Rep monthly'!C126:E126)</f>
        <v>43</v>
      </c>
      <c r="D246" s="4">
        <f>SUM('Rep monthly'!F126:H126)</f>
        <v>21</v>
      </c>
      <c r="E246" s="4">
        <f>SUM('Rep monthly'!I126:K126)</f>
        <v>22</v>
      </c>
      <c r="F246" s="4">
        <f>SUM('Rep monthly'!L126:N126)</f>
        <v>20</v>
      </c>
      <c r="G246" s="4">
        <f>SUM('Rep monthly'!O126:Q126)</f>
        <v>31</v>
      </c>
      <c r="H246" s="4">
        <f>SUM('Rep monthly'!R126:T126)</f>
        <v>21</v>
      </c>
      <c r="I246" s="4">
        <f>SUM('Rep monthly'!U126:W126)</f>
        <v>0</v>
      </c>
    </row>
    <row r="247">
      <c r="A247" s="0" t="inlineStr">
        <is>
          <t xml:space="preserve">Opportunities created</t>
        </is>
      </c>
      <c r="B247" s="0" t="inlineStr">
        <is>
          <t xml:space="preserve">Ana Ortiz</t>
        </is>
      </c>
      <c r="C247" s="4">
        <f>SUM('Rep monthly'!C127:E127)</f>
        <v>16</v>
      </c>
      <c r="D247" s="4">
        <f>SUM('Rep monthly'!F127:H127)</f>
        <v>15</v>
      </c>
      <c r="E247" s="4">
        <f>SUM('Rep monthly'!I127:K127)</f>
        <v>15</v>
      </c>
      <c r="F247" s="4">
        <f>SUM('Rep monthly'!L127:N127)</f>
        <v>18</v>
      </c>
      <c r="G247" s="4">
        <f>SUM('Rep monthly'!O127:Q127)</f>
        <v>26</v>
      </c>
      <c r="H247" s="4">
        <f>SUM('Rep monthly'!R127:T127)</f>
        <v>27</v>
      </c>
      <c r="I247" s="4">
        <f>SUM('Rep monthly'!U127:W127)</f>
        <v>0</v>
      </c>
    </row>
    <row r="248">
      <c r="A248" s="0" t="inlineStr">
        <is>
          <t xml:space="preserve">Opportunities created</t>
        </is>
      </c>
      <c r="B248" s="0" t="inlineStr">
        <is>
          <t xml:space="preserve">Tobias Silva</t>
        </is>
      </c>
      <c r="C248" s="4">
        <f>SUM('Rep monthly'!C128:E128)</f>
        <v>5</v>
      </c>
      <c r="D248" s="4">
        <f>SUM('Rep monthly'!F128:H128)</f>
        <v>1</v>
      </c>
      <c r="E248" s="4">
        <f>SUM('Rep monthly'!I128:K128)</f>
        <v>8</v>
      </c>
      <c r="F248" s="4">
        <f>SUM('Rep monthly'!L128:N128)</f>
        <v>6</v>
      </c>
      <c r="G248" s="4">
        <f>SUM('Rep monthly'!O128:Q128)</f>
        <v>9</v>
      </c>
      <c r="H248" s="4">
        <f>SUM('Rep monthly'!R128:T128)</f>
        <v>2</v>
      </c>
      <c r="I248" s="4">
        <f>SUM('Rep monthly'!U128:W128)</f>
        <v>0</v>
      </c>
    </row>
    <row r="249">
      <c r="A249" s="0" t="inlineStr">
        <is>
          <t xml:space="preserve">Opportunities created</t>
        </is>
      </c>
      <c r="B249" s="0" t="inlineStr">
        <is>
          <t xml:space="preserve">Leila Osei</t>
        </is>
      </c>
      <c r="C249" s="4">
        <f>SUM('Rep monthly'!C129:E129)</f>
        <v>1</v>
      </c>
      <c r="D249" s="4">
        <f>SUM('Rep monthly'!F129:H129)</f>
        <v>4</v>
      </c>
      <c r="E249" s="4">
        <f>SUM('Rep monthly'!I129:K129)</f>
        <v>4</v>
      </c>
      <c r="F249" s="4">
        <f>SUM('Rep monthly'!L129:N129)</f>
        <v>11</v>
      </c>
      <c r="G249" s="4">
        <f>SUM('Rep monthly'!O129:Q129)</f>
        <v>5</v>
      </c>
      <c r="H249" s="4">
        <f>SUM('Rep monthly'!R129:T129)</f>
        <v>4</v>
      </c>
      <c r="I249" s="4">
        <f>SUM('Rep monthly'!U129:W129)</f>
        <v>0</v>
      </c>
    </row>
    <row r="250">
      <c r="A250" s="0" t="inlineStr">
        <is>
          <t xml:space="preserve">Opportunities created</t>
        </is>
      </c>
      <c r="B250" s="0" t="inlineStr">
        <is>
          <t xml:space="preserve">Grace Costa</t>
        </is>
      </c>
      <c r="C250" s="4">
        <f>SUM('Rep monthly'!C130:E130)</f>
        <v>28</v>
      </c>
      <c r="D250" s="4">
        <f>SUM('Rep monthly'!F130:H130)</f>
        <v>25</v>
      </c>
      <c r="E250" s="4">
        <f>SUM('Rep monthly'!I130:K130)</f>
        <v>34</v>
      </c>
      <c r="F250" s="4">
        <f>SUM('Rep monthly'!L130:N130)</f>
        <v>26</v>
      </c>
      <c r="G250" s="4">
        <f>SUM('Rep monthly'!O130:Q130)</f>
        <v>29</v>
      </c>
      <c r="H250" s="4">
        <f>SUM('Rep monthly'!R130:T130)</f>
        <v>18</v>
      </c>
      <c r="I250" s="4">
        <f>SUM('Rep monthly'!U130:W130)</f>
        <v>0</v>
      </c>
    </row>
    <row r="251">
      <c r="A251" s="0" t="inlineStr">
        <is>
          <t xml:space="preserve">Opportunities created</t>
        </is>
      </c>
      <c r="B251" s="0" t="inlineStr">
        <is>
          <t xml:space="preserve">Ingrid Müller</t>
        </is>
      </c>
      <c r="C251" s="4">
        <f>SUM('Rep monthly'!C131:E131)</f>
        <v>0</v>
      </c>
      <c r="D251" s="4">
        <f>SUM('Rep monthly'!F131:H131)</f>
        <v>0</v>
      </c>
      <c r="E251" s="4">
        <f>SUM('Rep monthly'!I131:K131)</f>
        <v>0</v>
      </c>
      <c r="F251" s="4">
        <f>SUM('Rep monthly'!L131:N131)</f>
        <v>6</v>
      </c>
      <c r="G251" s="4">
        <f>SUM('Rep monthly'!O131:Q131)</f>
        <v>8</v>
      </c>
      <c r="H251" s="4">
        <f>SUM('Rep monthly'!R131:T131)</f>
        <v>12</v>
      </c>
      <c r="I251" s="4">
        <f>SUM('Rep monthly'!U131:W131)</f>
        <v>0</v>
      </c>
    </row>
    <row r="252">
      <c r="A252" s="0" t="inlineStr">
        <is>
          <t xml:space="preserve">Opportunities created</t>
        </is>
      </c>
      <c r="B252" s="0" t="inlineStr">
        <is>
          <t xml:space="preserve">Ingrid Kim</t>
        </is>
      </c>
      <c r="C252" s="4">
        <f>SUM('Rep monthly'!C132:E132)</f>
        <v>21</v>
      </c>
      <c r="D252" s="4">
        <f>SUM('Rep monthly'!F132:H132)</f>
        <v>16</v>
      </c>
      <c r="E252" s="4">
        <f>SUM('Rep monthly'!I132:K132)</f>
        <v>21</v>
      </c>
      <c r="F252" s="4">
        <f>SUM('Rep monthly'!L132:N132)</f>
        <v>16</v>
      </c>
      <c r="G252" s="4">
        <f>SUM('Rep monthly'!O132:Q132)</f>
        <v>17</v>
      </c>
      <c r="H252" s="4">
        <f>SUM('Rep monthly'!R132:T132)</f>
        <v>13</v>
      </c>
      <c r="I252" s="4">
        <f>SUM('Rep monthly'!U132:W132)</f>
        <v>0</v>
      </c>
    </row>
    <row r="253">
      <c r="A253" s="0" t="inlineStr">
        <is>
          <t xml:space="preserve">Opportunities created</t>
        </is>
      </c>
      <c r="B253" s="0" t="inlineStr">
        <is>
          <t xml:space="preserve">Priya Nair</t>
        </is>
      </c>
      <c r="C253" s="4">
        <f>SUM('Rep monthly'!C133:E133)</f>
        <v>25</v>
      </c>
      <c r="D253" s="4">
        <f>SUM('Rep monthly'!F133:H133)</f>
        <v>27</v>
      </c>
      <c r="E253" s="4">
        <f>SUM('Rep monthly'!I133:K133)</f>
        <v>15</v>
      </c>
      <c r="F253" s="4">
        <f>SUM('Rep monthly'!L133:N133)</f>
        <v>19</v>
      </c>
      <c r="G253" s="4">
        <f>SUM('Rep monthly'!O133:Q133)</f>
        <v>26</v>
      </c>
      <c r="H253" s="4">
        <f>SUM('Rep monthly'!R133:T133)</f>
        <v>19</v>
      </c>
      <c r="I253" s="4">
        <f>SUM('Rep monthly'!U133:W133)</f>
        <v>0</v>
      </c>
    </row>
    <row r="254">
      <c r="A254" s="0" t="inlineStr">
        <is>
          <t xml:space="preserve">Opportunities created</t>
        </is>
      </c>
      <c r="B254" s="0" t="inlineStr">
        <is>
          <t xml:space="preserve">Hugo Lindqvist</t>
        </is>
      </c>
      <c r="C254" s="4">
        <f>SUM('Rep monthly'!C134:E134)</f>
        <v>21</v>
      </c>
      <c r="D254" s="4">
        <f>SUM('Rep monthly'!F134:H134)</f>
        <v>11</v>
      </c>
      <c r="E254" s="4">
        <f>SUM('Rep monthly'!I134:K134)</f>
        <v>9</v>
      </c>
      <c r="F254" s="4">
        <f>SUM('Rep monthly'!L134:N134)</f>
        <v>8</v>
      </c>
      <c r="G254" s="4">
        <f>SUM('Rep monthly'!O134:Q134)</f>
        <v>11</v>
      </c>
      <c r="H254" s="4">
        <f>SUM('Rep monthly'!R134:T134)</f>
        <v>4</v>
      </c>
      <c r="I254" s="4">
        <f>SUM('Rep monthly'!U134:W134)</f>
        <v>0</v>
      </c>
    </row>
    <row r="255">
      <c r="A255" s="0" t="inlineStr">
        <is>
          <t xml:space="preserve">Opportunities created</t>
        </is>
      </c>
      <c r="B255" s="0" t="inlineStr">
        <is>
          <t xml:space="preserve">Wei Novak</t>
        </is>
      </c>
      <c r="C255" s="4">
        <f>SUM('Rep monthly'!C135:E135)</f>
        <v>0</v>
      </c>
      <c r="D255" s="4">
        <f>SUM('Rep monthly'!F135:H135)</f>
        <v>0</v>
      </c>
      <c r="E255" s="4">
        <f>SUM('Rep monthly'!I135:K135)</f>
        <v>1</v>
      </c>
      <c r="F255" s="4">
        <f>SUM('Rep monthly'!L135:N135)</f>
        <v>3</v>
      </c>
      <c r="G255" s="4">
        <f>SUM('Rep monthly'!O135:Q135)</f>
        <v>7</v>
      </c>
      <c r="H255" s="4">
        <f>SUM('Rep monthly'!R135:T135)</f>
        <v>4</v>
      </c>
      <c r="I255" s="4">
        <f>SUM('Rep monthly'!U135:W135)</f>
        <v>0</v>
      </c>
    </row>
    <row r="256">
      <c r="A256" s="0" t="inlineStr">
        <is>
          <t xml:space="preserve">Opportunities created</t>
        </is>
      </c>
      <c r="B256" s="0" t="inlineStr">
        <is>
          <t xml:space="preserve">Nikolai Kim</t>
        </is>
      </c>
      <c r="C256" s="4">
        <f>SUM('Rep monthly'!C136:E136)</f>
        <v>19</v>
      </c>
      <c r="D256" s="4">
        <f>SUM('Rep monthly'!F136:H136)</f>
        <v>16</v>
      </c>
      <c r="E256" s="4">
        <f>SUM('Rep monthly'!I136:K136)</f>
        <v>14</v>
      </c>
      <c r="F256" s="4">
        <f>SUM('Rep monthly'!L136:N136)</f>
        <v>12</v>
      </c>
      <c r="G256" s="4">
        <f>SUM('Rep monthly'!O136:Q136)</f>
        <v>14</v>
      </c>
      <c r="H256" s="4">
        <f>SUM('Rep monthly'!R136:T136)</f>
        <v>11</v>
      </c>
      <c r="I256" s="4">
        <f>SUM('Rep monthly'!U136:W136)</f>
        <v>0</v>
      </c>
    </row>
    <row r="257">
      <c r="A257" s="0" t="inlineStr">
        <is>
          <t xml:space="preserve">Opportunities created</t>
        </is>
      </c>
      <c r="B257" s="0" t="inlineStr">
        <is>
          <t xml:space="preserve">Wei Nair</t>
        </is>
      </c>
      <c r="C257" s="4">
        <f>SUM('Rep monthly'!C137:E137)</f>
        <v>20</v>
      </c>
      <c r="D257" s="4">
        <f>SUM('Rep monthly'!F137:H137)</f>
        <v>6</v>
      </c>
      <c r="E257" s="4">
        <f>SUM('Rep monthly'!I137:K137)</f>
        <v>12</v>
      </c>
      <c r="F257" s="4">
        <f>SUM('Rep monthly'!L137:N137)</f>
        <v>9</v>
      </c>
      <c r="G257" s="4">
        <f>SUM('Rep monthly'!O137:Q137)</f>
        <v>16</v>
      </c>
      <c r="H257" s="4">
        <f>SUM('Rep monthly'!R137:T137)</f>
        <v>2</v>
      </c>
      <c r="I257" s="4">
        <f>SUM('Rep monthly'!U137:W137)</f>
        <v>0</v>
      </c>
    </row>
    <row r="258">
      <c r="A258" s="0" t="inlineStr">
        <is>
          <t xml:space="preserve">Opportunities created</t>
        </is>
      </c>
      <c r="B258" s="0" t="inlineStr">
        <is>
          <t xml:space="preserve">Liam Silva</t>
        </is>
      </c>
      <c r="C258" s="4">
        <f>SUM('Rep monthly'!C138:E138)</f>
        <v>8</v>
      </c>
      <c r="D258" s="4">
        <f>SUM('Rep monthly'!F138:H138)</f>
        <v>13</v>
      </c>
      <c r="E258" s="4">
        <f>SUM('Rep monthly'!I138:K138)</f>
        <v>24</v>
      </c>
      <c r="F258" s="4">
        <f>SUM('Rep monthly'!L138:N138)</f>
        <v>20</v>
      </c>
      <c r="G258" s="4">
        <f>SUM('Rep monthly'!O138:Q138)</f>
        <v>12</v>
      </c>
      <c r="H258" s="4">
        <f>SUM('Rep monthly'!R138:T138)</f>
        <v>20</v>
      </c>
      <c r="I258" s="4">
        <f>SUM('Rep monthly'!U138:W138)</f>
        <v>0</v>
      </c>
    </row>
    <row r="259">
      <c r="A259" s="0" t="inlineStr">
        <is>
          <t xml:space="preserve">Opportunities created</t>
        </is>
      </c>
      <c r="B259" s="0" t="inlineStr">
        <is>
          <t xml:space="preserve">Samuel Silva</t>
        </is>
      </c>
      <c r="C259" s="4">
        <f>SUM('Rep monthly'!C139:E139)</f>
        <v>26</v>
      </c>
      <c r="D259" s="4">
        <f>SUM('Rep monthly'!F139:H139)</f>
        <v>16</v>
      </c>
      <c r="E259" s="4">
        <f>SUM('Rep monthly'!I139:K139)</f>
        <v>19</v>
      </c>
      <c r="F259" s="4">
        <f>SUM('Rep monthly'!L139:N139)</f>
        <v>24</v>
      </c>
      <c r="G259" s="4">
        <f>SUM('Rep monthly'!O139:Q139)</f>
        <v>26</v>
      </c>
      <c r="H259" s="4">
        <f>SUM('Rep monthly'!R139:T139)</f>
        <v>12</v>
      </c>
      <c r="I259" s="4">
        <f>SUM('Rep monthly'!U139:W139)</f>
        <v>0</v>
      </c>
    </row>
    <row r="260">
      <c r="A260" s="0" t="inlineStr">
        <is>
          <t xml:space="preserve">Opportunities created</t>
        </is>
      </c>
      <c r="B260" s="0" t="inlineStr">
        <is>
          <t xml:space="preserve">Yuki Larsen</t>
        </is>
      </c>
      <c r="C260" s="4">
        <f>SUM('Rep monthly'!C140:E140)</f>
        <v>2</v>
      </c>
      <c r="D260" s="4">
        <f>SUM('Rep monthly'!F140:H140)</f>
        <v>1</v>
      </c>
      <c r="E260" s="4">
        <f>SUM('Rep monthly'!I140:K140)</f>
        <v>3</v>
      </c>
      <c r="F260" s="4">
        <f>SUM('Rep monthly'!L140:N140)</f>
        <v>5</v>
      </c>
      <c r="G260" s="4">
        <f>SUM('Rep monthly'!O140:Q140)</f>
        <v>5</v>
      </c>
      <c r="H260" s="4">
        <f>SUM('Rep monthly'!R140:T140)</f>
        <v>6</v>
      </c>
      <c r="I260" s="4">
        <f>SUM('Rep monthly'!U140:W140)</f>
        <v>0</v>
      </c>
    </row>
    <row r="261">
      <c r="A261" s="0" t="inlineStr">
        <is>
          <t xml:space="preserve">Opportunities created</t>
        </is>
      </c>
      <c r="B261" s="0" t="inlineStr">
        <is>
          <t xml:space="preserve">Nikolai Sato</t>
        </is>
      </c>
      <c r="C261" s="4">
        <f>SUM('Rep monthly'!C141:E141)</f>
        <v>10</v>
      </c>
      <c r="D261" s="4">
        <f>SUM('Rep monthly'!F141:H141)</f>
        <v>3</v>
      </c>
      <c r="E261" s="4">
        <f>SUM('Rep monthly'!I141:K141)</f>
        <v>0</v>
      </c>
      <c r="F261" s="4">
        <f>SUM('Rep monthly'!L141:N141)</f>
        <v>4</v>
      </c>
      <c r="G261" s="4">
        <f>SUM('Rep monthly'!O141:Q141)</f>
        <v>4</v>
      </c>
      <c r="H261" s="4">
        <f>SUM('Rep monthly'!R141:T141)</f>
        <v>6</v>
      </c>
      <c r="I261" s="4">
        <f>SUM('Rep monthly'!U141:W141)</f>
        <v>0</v>
      </c>
    </row>
    <row r="262">
      <c r="A262" s="0" t="inlineStr">
        <is>
          <t xml:space="preserve">Opportunities created</t>
        </is>
      </c>
      <c r="B262" s="0" t="inlineStr">
        <is>
          <t xml:space="preserve">Elena Silva</t>
        </is>
      </c>
      <c r="C262" s="4">
        <f>SUM('Rep monthly'!C142:E142)</f>
        <v>15</v>
      </c>
      <c r="D262" s="4">
        <f>SUM('Rep monthly'!F142:H142)</f>
        <v>13</v>
      </c>
      <c r="E262" s="4">
        <f>SUM('Rep monthly'!I142:K142)</f>
        <v>10</v>
      </c>
      <c r="F262" s="4">
        <f>SUM('Rep monthly'!L142:N142)</f>
        <v>13</v>
      </c>
      <c r="G262" s="4">
        <f>SUM('Rep monthly'!O142:Q142)</f>
        <v>13</v>
      </c>
      <c r="H262" s="4">
        <f>SUM('Rep monthly'!R142:T142)</f>
        <v>13</v>
      </c>
      <c r="I262" s="4">
        <f>SUM('Rep monthly'!U142:W142)</f>
        <v>0</v>
      </c>
    </row>
    <row r="263">
      <c r="A263" s="0" t="inlineStr">
        <is>
          <t xml:space="preserve">Opportunities created</t>
        </is>
      </c>
      <c r="B263" s="0" t="inlineStr">
        <is>
          <t xml:space="preserve">Arjun Müller</t>
        </is>
      </c>
      <c r="C263" s="4">
        <f>SUM('Rep monthly'!C143:E143)</f>
        <v>9</v>
      </c>
      <c r="D263" s="4">
        <f>SUM('Rep monthly'!F143:H143)</f>
        <v>12</v>
      </c>
      <c r="E263" s="4">
        <f>SUM('Rep monthly'!I143:K143)</f>
        <v>6</v>
      </c>
      <c r="F263" s="4">
        <f>SUM('Rep monthly'!L143:N143)</f>
        <v>13</v>
      </c>
      <c r="G263" s="4">
        <f>SUM('Rep monthly'!O143:Q143)</f>
        <v>15</v>
      </c>
      <c r="H263" s="4">
        <f>SUM('Rep monthly'!R143:T143)</f>
        <v>6</v>
      </c>
      <c r="I263" s="4">
        <f>SUM('Rep monthly'!U143:W143)</f>
        <v>0</v>
      </c>
    </row>
    <row r="264">
      <c r="A264" s="0" t="inlineStr">
        <is>
          <t xml:space="preserve">Opportunities created</t>
        </is>
      </c>
      <c r="B264" s="0" t="inlineStr">
        <is>
          <t xml:space="preserve">Nikolai Park</t>
        </is>
      </c>
      <c r="C264" s="4">
        <f>SUM('Rep monthly'!C144:E144)</f>
        <v>0</v>
      </c>
      <c r="D264" s="4">
        <f>SUM('Rep monthly'!F144:H144)</f>
        <v>0</v>
      </c>
      <c r="E264" s="4">
        <f>SUM('Rep monthly'!I144:K144)</f>
        <v>0</v>
      </c>
      <c r="F264" s="4">
        <f>SUM('Rep monthly'!L144:N144)</f>
        <v>0</v>
      </c>
      <c r="G264" s="4">
        <f>SUM('Rep monthly'!O144:Q144)</f>
        <v>4</v>
      </c>
      <c r="H264" s="4">
        <f>SUM('Rep monthly'!R144:T144)</f>
        <v>5</v>
      </c>
      <c r="I264" s="4">
        <f>SUM('Rep monthly'!U144:W144)</f>
        <v>0</v>
      </c>
    </row>
    <row r="265">
      <c r="A265" s="0" t="inlineStr">
        <is>
          <t xml:space="preserve">Opportunities created</t>
        </is>
      </c>
      <c r="B265" s="0" t="inlineStr">
        <is>
          <t xml:space="preserve">Ingrid Dubois</t>
        </is>
      </c>
      <c r="C265" s="4">
        <f>SUM('Rep monthly'!C145:E145)</f>
        <v>13</v>
      </c>
      <c r="D265" s="4">
        <f>SUM('Rep monthly'!F145:H145)</f>
        <v>17</v>
      </c>
      <c r="E265" s="4">
        <f>SUM('Rep monthly'!I145:K145)</f>
        <v>21</v>
      </c>
      <c r="F265" s="4">
        <f>SUM('Rep monthly'!L145:N145)</f>
        <v>16</v>
      </c>
      <c r="G265" s="4">
        <f>SUM('Rep monthly'!O145:Q145)</f>
        <v>25</v>
      </c>
      <c r="H265" s="4">
        <f>SUM('Rep monthly'!R145:T145)</f>
        <v>13</v>
      </c>
      <c r="I265" s="4">
        <f>SUM('Rep monthly'!U145:W145)</f>
        <v>0</v>
      </c>
    </row>
    <row r="266">
      <c r="A266" s="0" t="inlineStr">
        <is>
          <t xml:space="preserve">Pipeline created</t>
        </is>
      </c>
      <c r="B266" s="0" t="inlineStr">
        <is>
          <t xml:space="preserve">Noor Ortiz</t>
        </is>
      </c>
      <c r="C266" s="4">
        <f>SUM('Rep monthly'!C146:E146)</f>
        <v>2076900</v>
      </c>
      <c r="D266" s="4">
        <f>SUM('Rep monthly'!F146:H146)</f>
        <v>2195600</v>
      </c>
      <c r="E266" s="4">
        <f>SUM('Rep monthly'!I146:K146)</f>
        <v>1621800</v>
      </c>
      <c r="F266" s="4">
        <f>SUM('Rep monthly'!L146:N146)</f>
        <v>2576900</v>
      </c>
      <c r="G266" s="4">
        <f>SUM('Rep monthly'!O146:Q146)</f>
        <v>2484900</v>
      </c>
      <c r="H266" s="4">
        <f>SUM('Rep monthly'!R146:T146)</f>
        <v>1964000</v>
      </c>
      <c r="I266" s="4">
        <f>SUM('Rep monthly'!U146:W146)</f>
        <v>0</v>
      </c>
    </row>
    <row r="267">
      <c r="A267" s="0" t="inlineStr">
        <is>
          <t xml:space="preserve">Pipeline created</t>
        </is>
      </c>
      <c r="B267" s="0" t="inlineStr">
        <is>
          <t xml:space="preserve">Priya Yilmaz</t>
        </is>
      </c>
      <c r="C267" s="4">
        <f>SUM('Rep monthly'!C147:E147)</f>
        <v>0</v>
      </c>
      <c r="D267" s="4">
        <f>SUM('Rep monthly'!F147:H147)</f>
        <v>0</v>
      </c>
      <c r="E267" s="4">
        <f>SUM('Rep monthly'!I147:K147)</f>
        <v>0</v>
      </c>
      <c r="F267" s="4">
        <f>SUM('Rep monthly'!L147:N147)</f>
        <v>0</v>
      </c>
      <c r="G267" s="4">
        <f>SUM('Rep monthly'!O147:Q147)</f>
        <v>0</v>
      </c>
      <c r="H267" s="4">
        <f>SUM('Rep monthly'!R147:T147)</f>
        <v>385200</v>
      </c>
      <c r="I267" s="4">
        <f>SUM('Rep monthly'!U147:W147)</f>
        <v>0</v>
      </c>
    </row>
    <row r="268">
      <c r="A268" s="0" t="inlineStr">
        <is>
          <t xml:space="preserve">Pipeline created</t>
        </is>
      </c>
      <c r="B268" s="0" t="inlineStr">
        <is>
          <t xml:space="preserve">Marcus Schmidt</t>
        </is>
      </c>
      <c r="C268" s="4">
        <f>SUM('Rep monthly'!C148:E148)</f>
        <v>0</v>
      </c>
      <c r="D268" s="4">
        <f>SUM('Rep monthly'!F148:H148)</f>
        <v>557000</v>
      </c>
      <c r="E268" s="4">
        <f>SUM('Rep monthly'!I148:K148)</f>
        <v>599000</v>
      </c>
      <c r="F268" s="4">
        <f>SUM('Rep monthly'!L148:N148)</f>
        <v>905800</v>
      </c>
      <c r="G268" s="4">
        <f>SUM('Rep monthly'!O148:Q148)</f>
        <v>1232100</v>
      </c>
      <c r="H268" s="4">
        <f>SUM('Rep monthly'!R148:T148)</f>
        <v>463000</v>
      </c>
      <c r="I268" s="4">
        <f>SUM('Rep monthly'!U148:W148)</f>
        <v>0</v>
      </c>
    </row>
    <row r="269">
      <c r="A269" s="0" t="inlineStr">
        <is>
          <t xml:space="preserve">Pipeline created</t>
        </is>
      </c>
      <c r="B269" s="0" t="inlineStr">
        <is>
          <t xml:space="preserve">Amara Haddad</t>
        </is>
      </c>
      <c r="C269" s="4">
        <f>SUM('Rep monthly'!C149:E149)</f>
        <v>1896000</v>
      </c>
      <c r="D269" s="4">
        <f>SUM('Rep monthly'!F149:H149)</f>
        <v>485200</v>
      </c>
      <c r="E269" s="4">
        <f>SUM('Rep monthly'!I149:K149)</f>
        <v>423000</v>
      </c>
      <c r="F269" s="4">
        <f>SUM('Rep monthly'!L149:N149)</f>
        <v>520600</v>
      </c>
      <c r="G269" s="4">
        <f>SUM('Rep monthly'!O149:Q149)</f>
        <v>621600</v>
      </c>
      <c r="H269" s="4">
        <f>SUM('Rep monthly'!R149:T149)</f>
        <v>842400</v>
      </c>
      <c r="I269" s="4">
        <f>SUM('Rep monthly'!U149:W149)</f>
        <v>0</v>
      </c>
    </row>
    <row r="270">
      <c r="A270" s="0" t="inlineStr">
        <is>
          <t xml:space="preserve">Pipeline created</t>
        </is>
      </c>
      <c r="B270" s="0" t="inlineStr">
        <is>
          <t xml:space="preserve">Fatima Silva</t>
        </is>
      </c>
      <c r="C270" s="4">
        <f>SUM('Rep monthly'!C150:E150)</f>
        <v>569300</v>
      </c>
      <c r="D270" s="4">
        <f>SUM('Rep monthly'!F150:H150)</f>
        <v>249000</v>
      </c>
      <c r="E270" s="4">
        <f>SUM('Rep monthly'!I150:K150)</f>
        <v>286200</v>
      </c>
      <c r="F270" s="4">
        <f>SUM('Rep monthly'!L150:N150)</f>
        <v>259900</v>
      </c>
      <c r="G270" s="4">
        <f>SUM('Rep monthly'!O150:Q150)</f>
        <v>409000</v>
      </c>
      <c r="H270" s="4">
        <f>SUM('Rep monthly'!R150:T150)</f>
        <v>280800</v>
      </c>
      <c r="I270" s="4">
        <f>SUM('Rep monthly'!U150:W150)</f>
        <v>0</v>
      </c>
    </row>
    <row r="271">
      <c r="A271" s="0" t="inlineStr">
        <is>
          <t xml:space="preserve">Pipeline created</t>
        </is>
      </c>
      <c r="B271" s="0" t="inlineStr">
        <is>
          <t xml:space="preserve">Ana Ortiz</t>
        </is>
      </c>
      <c r="C271" s="4">
        <f>SUM('Rep monthly'!C151:E151)</f>
        <v>187600</v>
      </c>
      <c r="D271" s="4">
        <f>SUM('Rep monthly'!F151:H151)</f>
        <v>182200</v>
      </c>
      <c r="E271" s="4">
        <f>SUM('Rep monthly'!I151:K151)</f>
        <v>202900</v>
      </c>
      <c r="F271" s="4">
        <f>SUM('Rep monthly'!L151:N151)</f>
        <v>212300</v>
      </c>
      <c r="G271" s="4">
        <f>SUM('Rep monthly'!O151:Q151)</f>
        <v>354100</v>
      </c>
      <c r="H271" s="4">
        <f>SUM('Rep monthly'!R151:T151)</f>
        <v>371000</v>
      </c>
      <c r="I271" s="4">
        <f>SUM('Rep monthly'!U151:W151)</f>
        <v>0</v>
      </c>
    </row>
    <row r="272">
      <c r="A272" s="0" t="inlineStr">
        <is>
          <t xml:space="preserve">Pipeline created</t>
        </is>
      </c>
      <c r="B272" s="0" t="inlineStr">
        <is>
          <t xml:space="preserve">Tobias Silva</t>
        </is>
      </c>
      <c r="C272" s="4">
        <f>SUM('Rep monthly'!C152:E152)</f>
        <v>1486500</v>
      </c>
      <c r="D272" s="4">
        <f>SUM('Rep monthly'!F152:H152)</f>
        <v>146800</v>
      </c>
      <c r="E272" s="4">
        <f>SUM('Rep monthly'!I152:K152)</f>
        <v>2596900</v>
      </c>
      <c r="F272" s="4">
        <f>SUM('Rep monthly'!L152:N152)</f>
        <v>1122300</v>
      </c>
      <c r="G272" s="4">
        <f>SUM('Rep monthly'!O152:Q152)</f>
        <v>1404800</v>
      </c>
      <c r="H272" s="4">
        <f>SUM('Rep monthly'!R152:T152)</f>
        <v>201800</v>
      </c>
      <c r="I272" s="4">
        <f>SUM('Rep monthly'!U152:W152)</f>
        <v>0</v>
      </c>
    </row>
    <row r="273">
      <c r="A273" s="0" t="inlineStr">
        <is>
          <t xml:space="preserve">Pipeline created</t>
        </is>
      </c>
      <c r="B273" s="0" t="inlineStr">
        <is>
          <t xml:space="preserve">Leila Osei</t>
        </is>
      </c>
      <c r="C273" s="4">
        <f>SUM('Rep monthly'!C153:E153)</f>
        <v>190800</v>
      </c>
      <c r="D273" s="4">
        <f>SUM('Rep monthly'!F153:H153)</f>
        <v>513200</v>
      </c>
      <c r="E273" s="4">
        <f>SUM('Rep monthly'!I153:K153)</f>
        <v>776000</v>
      </c>
      <c r="F273" s="4">
        <f>SUM('Rep monthly'!L153:N153)</f>
        <v>1420700</v>
      </c>
      <c r="G273" s="4">
        <f>SUM('Rep monthly'!O153:Q153)</f>
        <v>805100</v>
      </c>
      <c r="H273" s="4">
        <f>SUM('Rep monthly'!R153:T153)</f>
        <v>343600</v>
      </c>
      <c r="I273" s="4">
        <f>SUM('Rep monthly'!U153:W153)</f>
        <v>0</v>
      </c>
    </row>
    <row r="274">
      <c r="A274" s="0" t="inlineStr">
        <is>
          <t xml:space="preserve">Pipeline created</t>
        </is>
      </c>
      <c r="B274" s="0" t="inlineStr">
        <is>
          <t xml:space="preserve">Grace Costa</t>
        </is>
      </c>
      <c r="C274" s="4">
        <f>SUM('Rep monthly'!C154:E154)</f>
        <v>1397800</v>
      </c>
      <c r="D274" s="4">
        <f>SUM('Rep monthly'!F154:H154)</f>
        <v>826600</v>
      </c>
      <c r="E274" s="4">
        <f>SUM('Rep monthly'!I154:K154)</f>
        <v>1333200</v>
      </c>
      <c r="F274" s="4">
        <f>SUM('Rep monthly'!L154:N154)</f>
        <v>1206600</v>
      </c>
      <c r="G274" s="4">
        <f>SUM('Rep monthly'!O154:Q154)</f>
        <v>1204400</v>
      </c>
      <c r="H274" s="4">
        <f>SUM('Rep monthly'!R154:T154)</f>
        <v>685000</v>
      </c>
      <c r="I274" s="4">
        <f>SUM('Rep monthly'!U154:W154)</f>
        <v>0</v>
      </c>
    </row>
    <row r="275">
      <c r="A275" s="0" t="inlineStr">
        <is>
          <t xml:space="preserve">Pipeline created</t>
        </is>
      </c>
      <c r="B275" s="0" t="inlineStr">
        <is>
          <t xml:space="preserve">Ingrid Müller</t>
        </is>
      </c>
      <c r="C275" s="4">
        <f>SUM('Rep monthly'!C155:E155)</f>
        <v>0</v>
      </c>
      <c r="D275" s="4">
        <f>SUM('Rep monthly'!F155:H155)</f>
        <v>0</v>
      </c>
      <c r="E275" s="4">
        <f>SUM('Rep monthly'!I155:K155)</f>
        <v>0</v>
      </c>
      <c r="F275" s="4">
        <f>SUM('Rep monthly'!L155:N155)</f>
        <v>288000</v>
      </c>
      <c r="G275" s="4">
        <f>SUM('Rep monthly'!O155:Q155)</f>
        <v>429400</v>
      </c>
      <c r="H275" s="4">
        <f>SUM('Rep monthly'!R155:T155)</f>
        <v>452700</v>
      </c>
      <c r="I275" s="4">
        <f>SUM('Rep monthly'!U155:W155)</f>
        <v>0</v>
      </c>
    </row>
    <row r="276">
      <c r="A276" s="0" t="inlineStr">
        <is>
          <t xml:space="preserve">Pipeline created</t>
        </is>
      </c>
      <c r="B276" s="0" t="inlineStr">
        <is>
          <t xml:space="preserve">Ingrid Kim</t>
        </is>
      </c>
      <c r="C276" s="4">
        <f>SUM('Rep monthly'!C156:E156)</f>
        <v>293100</v>
      </c>
      <c r="D276" s="4">
        <f>SUM('Rep monthly'!F156:H156)</f>
        <v>186200</v>
      </c>
      <c r="E276" s="4">
        <f>SUM('Rep monthly'!I156:K156)</f>
        <v>313200</v>
      </c>
      <c r="F276" s="4">
        <f>SUM('Rep monthly'!L156:N156)</f>
        <v>201800</v>
      </c>
      <c r="G276" s="4">
        <f>SUM('Rep monthly'!O156:Q156)</f>
        <v>206900</v>
      </c>
      <c r="H276" s="4">
        <f>SUM('Rep monthly'!R156:T156)</f>
        <v>191800</v>
      </c>
      <c r="I276" s="4">
        <f>SUM('Rep monthly'!U156:W156)</f>
        <v>0</v>
      </c>
    </row>
    <row r="277">
      <c r="A277" s="0" t="inlineStr">
        <is>
          <t xml:space="preserve">Pipeline created</t>
        </is>
      </c>
      <c r="B277" s="0" t="inlineStr">
        <is>
          <t xml:space="preserve">Priya Nair</t>
        </is>
      </c>
      <c r="C277" s="4">
        <f>SUM('Rep monthly'!C157:E157)</f>
        <v>321400</v>
      </c>
      <c r="D277" s="4">
        <f>SUM('Rep monthly'!F157:H157)</f>
        <v>366000</v>
      </c>
      <c r="E277" s="4">
        <f>SUM('Rep monthly'!I157:K157)</f>
        <v>177300</v>
      </c>
      <c r="F277" s="4">
        <f>SUM('Rep monthly'!L157:N157)</f>
        <v>244900</v>
      </c>
      <c r="G277" s="4">
        <f>SUM('Rep monthly'!O157:Q157)</f>
        <v>334400</v>
      </c>
      <c r="H277" s="4">
        <f>SUM('Rep monthly'!R157:T157)</f>
        <v>219800</v>
      </c>
      <c r="I277" s="4">
        <f>SUM('Rep monthly'!U157:W157)</f>
        <v>0</v>
      </c>
    </row>
    <row r="278">
      <c r="A278" s="0" t="inlineStr">
        <is>
          <t xml:space="preserve">Pipeline created</t>
        </is>
      </c>
      <c r="B278" s="0" t="inlineStr">
        <is>
          <t xml:space="preserve">Hugo Lindqvist</t>
        </is>
      </c>
      <c r="C278" s="4">
        <f>SUM('Rep monthly'!C158:E158)</f>
        <v>2194500</v>
      </c>
      <c r="D278" s="4">
        <f>SUM('Rep monthly'!F158:H158)</f>
        <v>1886200</v>
      </c>
      <c r="E278" s="4">
        <f>SUM('Rep monthly'!I158:K158)</f>
        <v>1205600</v>
      </c>
      <c r="F278" s="4">
        <f>SUM('Rep monthly'!L158:N158)</f>
        <v>974700</v>
      </c>
      <c r="G278" s="4">
        <f>SUM('Rep monthly'!O158:Q158)</f>
        <v>1136800</v>
      </c>
      <c r="H278" s="4">
        <f>SUM('Rep monthly'!R158:T158)</f>
        <v>515900</v>
      </c>
      <c r="I278" s="4">
        <f>SUM('Rep monthly'!U158:W158)</f>
        <v>0</v>
      </c>
    </row>
    <row r="279">
      <c r="A279" s="0" t="inlineStr">
        <is>
          <t xml:space="preserve">Pipeline created</t>
        </is>
      </c>
      <c r="B279" s="0" t="inlineStr">
        <is>
          <t xml:space="preserve">Wei Novak</t>
        </is>
      </c>
      <c r="C279" s="4">
        <f>SUM('Rep monthly'!C159:E159)</f>
        <v>0</v>
      </c>
      <c r="D279" s="4">
        <f>SUM('Rep monthly'!F159:H159)</f>
        <v>0</v>
      </c>
      <c r="E279" s="4">
        <f>SUM('Rep monthly'!I159:K159)</f>
        <v>22800</v>
      </c>
      <c r="F279" s="4">
        <f>SUM('Rep monthly'!L159:N159)</f>
        <v>200600</v>
      </c>
      <c r="G279" s="4">
        <f>SUM('Rep monthly'!O159:Q159)</f>
        <v>1003200</v>
      </c>
      <c r="H279" s="4">
        <f>SUM('Rep monthly'!R159:T159)</f>
        <v>434400</v>
      </c>
      <c r="I279" s="4">
        <f>SUM('Rep monthly'!U159:W159)</f>
        <v>0</v>
      </c>
    </row>
    <row r="280">
      <c r="A280" s="0" t="inlineStr">
        <is>
          <t xml:space="preserve">Pipeline created</t>
        </is>
      </c>
      <c r="B280" s="0" t="inlineStr">
        <is>
          <t xml:space="preserve">Nikolai Kim</t>
        </is>
      </c>
      <c r="C280" s="4">
        <f>SUM('Rep monthly'!C160:E160)</f>
        <v>857300</v>
      </c>
      <c r="D280" s="4">
        <f>SUM('Rep monthly'!F160:H160)</f>
        <v>702400</v>
      </c>
      <c r="E280" s="4">
        <f>SUM('Rep monthly'!I160:K160)</f>
        <v>660900</v>
      </c>
      <c r="F280" s="4">
        <f>SUM('Rep monthly'!L160:N160)</f>
        <v>508400</v>
      </c>
      <c r="G280" s="4">
        <f>SUM('Rep monthly'!O160:Q160)</f>
        <v>530600</v>
      </c>
      <c r="H280" s="4">
        <f>SUM('Rep monthly'!R160:T160)</f>
        <v>384200</v>
      </c>
      <c r="I280" s="4">
        <f>SUM('Rep monthly'!U160:W160)</f>
        <v>0</v>
      </c>
    </row>
    <row r="281">
      <c r="A281" s="0" t="inlineStr">
        <is>
          <t xml:space="preserve">Pipeline created</t>
        </is>
      </c>
      <c r="B281" s="0" t="inlineStr">
        <is>
          <t xml:space="preserve">Wei Nair</t>
        </is>
      </c>
      <c r="C281" s="4">
        <f>SUM('Rep monthly'!C161:E161)</f>
        <v>655100</v>
      </c>
      <c r="D281" s="4">
        <f>SUM('Rep monthly'!F161:H161)</f>
        <v>223000</v>
      </c>
      <c r="E281" s="4">
        <f>SUM('Rep monthly'!I161:K161)</f>
        <v>527700</v>
      </c>
      <c r="F281" s="4">
        <f>SUM('Rep monthly'!L161:N161)</f>
        <v>414400</v>
      </c>
      <c r="G281" s="4">
        <f>SUM('Rep monthly'!O161:Q161)</f>
        <v>592100</v>
      </c>
      <c r="H281" s="4">
        <f>SUM('Rep monthly'!R161:T161)</f>
        <v>244100</v>
      </c>
      <c r="I281" s="4">
        <f>SUM('Rep monthly'!U161:W161)</f>
        <v>0</v>
      </c>
    </row>
    <row r="282">
      <c r="A282" s="0" t="inlineStr">
        <is>
          <t xml:space="preserve">Pipeline created</t>
        </is>
      </c>
      <c r="B282" s="0" t="inlineStr">
        <is>
          <t xml:space="preserve">Liam Silva</t>
        </is>
      </c>
      <c r="C282" s="4">
        <f>SUM('Rep monthly'!C162:E162)</f>
        <v>86900</v>
      </c>
      <c r="D282" s="4">
        <f>SUM('Rep monthly'!F162:H162)</f>
        <v>166100</v>
      </c>
      <c r="E282" s="4">
        <f>SUM('Rep monthly'!I162:K162)</f>
        <v>268500</v>
      </c>
      <c r="F282" s="4">
        <f>SUM('Rep monthly'!L162:N162)</f>
        <v>289600</v>
      </c>
      <c r="G282" s="4">
        <f>SUM('Rep monthly'!O162:Q162)</f>
        <v>146900</v>
      </c>
      <c r="H282" s="4">
        <f>SUM('Rep monthly'!R162:T162)</f>
        <v>349200</v>
      </c>
      <c r="I282" s="4">
        <f>SUM('Rep monthly'!U162:W162)</f>
        <v>0</v>
      </c>
    </row>
    <row r="283">
      <c r="A283" s="0" t="inlineStr">
        <is>
          <t xml:space="preserve">Pipeline created</t>
        </is>
      </c>
      <c r="B283" s="0" t="inlineStr">
        <is>
          <t xml:space="preserve">Samuel Silva</t>
        </is>
      </c>
      <c r="C283" s="4">
        <f>SUM('Rep monthly'!C163:E163)</f>
        <v>420900</v>
      </c>
      <c r="D283" s="4">
        <f>SUM('Rep monthly'!F163:H163)</f>
        <v>256100</v>
      </c>
      <c r="E283" s="4">
        <f>SUM('Rep monthly'!I163:K163)</f>
        <v>260200</v>
      </c>
      <c r="F283" s="4">
        <f>SUM('Rep monthly'!L163:N163)</f>
        <v>277400</v>
      </c>
      <c r="G283" s="4">
        <f>SUM('Rep monthly'!O163:Q163)</f>
        <v>365900</v>
      </c>
      <c r="H283" s="4">
        <f>SUM('Rep monthly'!R163:T163)</f>
        <v>135100</v>
      </c>
      <c r="I283" s="4">
        <f>SUM('Rep monthly'!U163:W163)</f>
        <v>0</v>
      </c>
    </row>
    <row r="284">
      <c r="A284" s="0" t="inlineStr">
        <is>
          <t xml:space="preserve">Pipeline created</t>
        </is>
      </c>
      <c r="B284" s="0" t="inlineStr">
        <is>
          <t xml:space="preserve">Yuki Larsen</t>
        </is>
      </c>
      <c r="C284" s="4">
        <f>SUM('Rep monthly'!C164:E164)</f>
        <v>148500</v>
      </c>
      <c r="D284" s="4">
        <f>SUM('Rep monthly'!F164:H164)</f>
        <v>80100</v>
      </c>
      <c r="E284" s="4">
        <f>SUM('Rep monthly'!I164:K164)</f>
        <v>289500</v>
      </c>
      <c r="F284" s="4">
        <f>SUM('Rep monthly'!L164:N164)</f>
        <v>673200</v>
      </c>
      <c r="G284" s="4">
        <f>SUM('Rep monthly'!O164:Q164)</f>
        <v>544500</v>
      </c>
      <c r="H284" s="4">
        <f>SUM('Rep monthly'!R164:T164)</f>
        <v>1211400</v>
      </c>
      <c r="I284" s="4">
        <f>SUM('Rep monthly'!U164:W164)</f>
        <v>0</v>
      </c>
    </row>
    <row r="285">
      <c r="A285" s="0" t="inlineStr">
        <is>
          <t xml:space="preserve">Pipeline created</t>
        </is>
      </c>
      <c r="B285" s="0" t="inlineStr">
        <is>
          <t xml:space="preserve">Nikolai Sato</t>
        </is>
      </c>
      <c r="C285" s="4">
        <f>SUM('Rep monthly'!C165:E165)</f>
        <v>988200</v>
      </c>
      <c r="D285" s="4">
        <f>SUM('Rep monthly'!F165:H165)</f>
        <v>495400</v>
      </c>
      <c r="E285" s="4">
        <f>SUM('Rep monthly'!I165:K165)</f>
        <v>0</v>
      </c>
      <c r="F285" s="4">
        <f>SUM('Rep monthly'!L165:N165)</f>
        <v>852700</v>
      </c>
      <c r="G285" s="4">
        <f>SUM('Rep monthly'!O165:Q165)</f>
        <v>782400</v>
      </c>
      <c r="H285" s="4">
        <f>SUM('Rep monthly'!R165:T165)</f>
        <v>901700</v>
      </c>
      <c r="I285" s="4">
        <f>SUM('Rep monthly'!U165:W165)</f>
        <v>0</v>
      </c>
    </row>
    <row r="286">
      <c r="A286" s="0" t="inlineStr">
        <is>
          <t xml:space="preserve">Pipeline created</t>
        </is>
      </c>
      <c r="B286" s="0" t="inlineStr">
        <is>
          <t xml:space="preserve">Elena Silva</t>
        </is>
      </c>
      <c r="C286" s="4">
        <f>SUM('Rep monthly'!C166:E166)</f>
        <v>549200</v>
      </c>
      <c r="D286" s="4">
        <f>SUM('Rep monthly'!F166:H166)</f>
        <v>627300</v>
      </c>
      <c r="E286" s="4">
        <f>SUM('Rep monthly'!I166:K166)</f>
        <v>421700</v>
      </c>
      <c r="F286" s="4">
        <f>SUM('Rep monthly'!L166:N166)</f>
        <v>691300</v>
      </c>
      <c r="G286" s="4">
        <f>SUM('Rep monthly'!O166:Q166)</f>
        <v>424400</v>
      </c>
      <c r="H286" s="4">
        <f>SUM('Rep monthly'!R166:T166)</f>
        <v>611500</v>
      </c>
      <c r="I286" s="4">
        <f>SUM('Rep monthly'!U166:W166)</f>
        <v>0</v>
      </c>
    </row>
    <row r="287">
      <c r="A287" s="0" t="inlineStr">
        <is>
          <t xml:space="preserve">Pipeline created</t>
        </is>
      </c>
      <c r="B287" s="0" t="inlineStr">
        <is>
          <t xml:space="preserve">Arjun Müller</t>
        </is>
      </c>
      <c r="C287" s="4">
        <f>SUM('Rep monthly'!C167:E167)</f>
        <v>329100</v>
      </c>
      <c r="D287" s="4">
        <f>SUM('Rep monthly'!F167:H167)</f>
        <v>548000</v>
      </c>
      <c r="E287" s="4">
        <f>SUM('Rep monthly'!I167:K167)</f>
        <v>243600</v>
      </c>
      <c r="F287" s="4">
        <f>SUM('Rep monthly'!L167:N167)</f>
        <v>458400</v>
      </c>
      <c r="G287" s="4">
        <f>SUM('Rep monthly'!O167:Q167)</f>
        <v>550000</v>
      </c>
      <c r="H287" s="4">
        <f>SUM('Rep monthly'!R167:T167)</f>
        <v>185400</v>
      </c>
      <c r="I287" s="4">
        <f>SUM('Rep monthly'!U167:W167)</f>
        <v>0</v>
      </c>
    </row>
    <row r="288">
      <c r="A288" s="0" t="inlineStr">
        <is>
          <t xml:space="preserve">Pipeline created</t>
        </is>
      </c>
      <c r="B288" s="0" t="inlineStr">
        <is>
          <t xml:space="preserve">Nikolai Park</t>
        </is>
      </c>
      <c r="C288" s="4">
        <f>SUM('Rep monthly'!C168:E168)</f>
        <v>0</v>
      </c>
      <c r="D288" s="4">
        <f>SUM('Rep monthly'!F168:H168)</f>
        <v>0</v>
      </c>
      <c r="E288" s="4">
        <f>SUM('Rep monthly'!I168:K168)</f>
        <v>0</v>
      </c>
      <c r="F288" s="4">
        <f>SUM('Rep monthly'!L168:N168)</f>
        <v>0</v>
      </c>
      <c r="G288" s="4">
        <f>SUM('Rep monthly'!O168:Q168)</f>
        <v>56200</v>
      </c>
      <c r="H288" s="4">
        <f>SUM('Rep monthly'!R168:T168)</f>
        <v>76700</v>
      </c>
      <c r="I288" s="4">
        <f>SUM('Rep monthly'!U168:W168)</f>
        <v>0</v>
      </c>
    </row>
    <row r="289">
      <c r="A289" s="0" t="inlineStr">
        <is>
          <t xml:space="preserve">Pipeline created</t>
        </is>
      </c>
      <c r="B289" s="0" t="inlineStr">
        <is>
          <t xml:space="preserve">Ingrid Dubois</t>
        </is>
      </c>
      <c r="C289" s="4">
        <f>SUM('Rep monthly'!C169:E169)</f>
        <v>165800</v>
      </c>
      <c r="D289" s="4">
        <f>SUM('Rep monthly'!F169:H169)</f>
        <v>235900</v>
      </c>
      <c r="E289" s="4">
        <f>SUM('Rep monthly'!I169:K169)</f>
        <v>312200</v>
      </c>
      <c r="F289" s="4">
        <f>SUM('Rep monthly'!L169:N169)</f>
        <v>183400</v>
      </c>
      <c r="G289" s="4">
        <f>SUM('Rep monthly'!O169:Q169)</f>
        <v>366300</v>
      </c>
      <c r="H289" s="4">
        <f>SUM('Rep monthly'!R169:T169)</f>
        <v>177500</v>
      </c>
      <c r="I289" s="4">
        <f>SUM('Rep monthly'!U169:W169)</f>
        <v>0</v>
      </c>
    </row>
    <row r="290">
      <c r="A290" s="0" t="inlineStr">
        <is>
          <t xml:space="preserve">Open pipeline</t>
        </is>
      </c>
      <c r="B290" s="0" t="inlineStr">
        <is>
          <t xml:space="preserve">Noor Ortiz</t>
        </is>
      </c>
      <c r="C290" s="4">
        <f>SUM('Rep monthly'!C170:E170)</f>
        <v>0</v>
      </c>
      <c r="D290" s="4">
        <f>SUM('Rep monthly'!F170:H170)</f>
        <v>0</v>
      </c>
      <c r="E290" s="4">
        <f>SUM('Rep monthly'!I170:K170)</f>
        <v>0</v>
      </c>
      <c r="F290" s="4">
        <f>SUM('Rep monthly'!L170:N170)</f>
        <v>0</v>
      </c>
      <c r="G290" s="4">
        <f>SUM('Rep monthly'!O170:Q170)</f>
        <v>0</v>
      </c>
      <c r="H290" s="4">
        <f>SUM('Rep monthly'!R170:T170)</f>
        <v>258700</v>
      </c>
      <c r="I290" s="4">
        <f>SUM('Rep monthly'!U170:W170)</f>
        <v>3621700</v>
      </c>
    </row>
    <row r="291">
      <c r="A291" s="0" t="inlineStr">
        <is>
          <t xml:space="preserve">Open pipeline</t>
        </is>
      </c>
      <c r="B291" s="0" t="inlineStr">
        <is>
          <t xml:space="preserve">Priya Yilmaz</t>
        </is>
      </c>
      <c r="C291" s="4">
        <f>SUM('Rep monthly'!C171:E171)</f>
        <v>0</v>
      </c>
      <c r="D291" s="4">
        <f>SUM('Rep monthly'!F171:H171)</f>
        <v>0</v>
      </c>
      <c r="E291" s="4">
        <f>SUM('Rep monthly'!I171:K171)</f>
        <v>0</v>
      </c>
      <c r="F291" s="4">
        <f>SUM('Rep monthly'!L171:N171)</f>
        <v>0</v>
      </c>
      <c r="G291" s="4">
        <f>SUM('Rep monthly'!O171:Q171)</f>
        <v>0</v>
      </c>
      <c r="H291" s="4">
        <f>SUM('Rep monthly'!R171:T171)</f>
        <v>128300</v>
      </c>
      <c r="I291" s="4">
        <f>SUM('Rep monthly'!U171:W171)</f>
        <v>256900</v>
      </c>
    </row>
    <row r="292">
      <c r="A292" s="0" t="inlineStr">
        <is>
          <t xml:space="preserve">Open pipeline</t>
        </is>
      </c>
      <c r="B292" s="0" t="inlineStr">
        <is>
          <t xml:space="preserve">Marcus Schmidt</t>
        </is>
      </c>
      <c r="C292" s="4">
        <f>SUM('Rep monthly'!C172:E172)</f>
        <v>0</v>
      </c>
      <c r="D292" s="4">
        <f>SUM('Rep monthly'!F172:H172)</f>
        <v>0</v>
      </c>
      <c r="E292" s="4">
        <f>SUM('Rep monthly'!I172:K172)</f>
        <v>0</v>
      </c>
      <c r="F292" s="4">
        <f>SUM('Rep monthly'!L172:N172)</f>
        <v>0</v>
      </c>
      <c r="G292" s="4">
        <f>SUM('Rep monthly'!O172:Q172)</f>
        <v>0</v>
      </c>
      <c r="H292" s="4">
        <f>SUM('Rep monthly'!R172:T172)</f>
        <v>164000</v>
      </c>
      <c r="I292" s="4">
        <f>SUM('Rep monthly'!U172:W172)</f>
        <v>300800</v>
      </c>
    </row>
    <row r="293">
      <c r="A293" s="0" t="inlineStr">
        <is>
          <t xml:space="preserve">Open pipeline</t>
        </is>
      </c>
      <c r="B293" s="0" t="inlineStr">
        <is>
          <t xml:space="preserve">Amara Haddad</t>
        </is>
      </c>
      <c r="C293" s="4">
        <f>SUM('Rep monthly'!C173:E173)</f>
        <v>0</v>
      </c>
      <c r="D293" s="4">
        <f>SUM('Rep monthly'!F173:H173)</f>
        <v>0</v>
      </c>
      <c r="E293" s="4">
        <f>SUM('Rep monthly'!I173:K173)</f>
        <v>0</v>
      </c>
      <c r="F293" s="4">
        <f>SUM('Rep monthly'!L173:N173)</f>
        <v>0</v>
      </c>
      <c r="G293" s="4">
        <f>SUM('Rep monthly'!O173:Q173)</f>
        <v>0</v>
      </c>
      <c r="H293" s="4">
        <f>SUM('Rep monthly'!R173:T173)</f>
        <v>94700</v>
      </c>
      <c r="I293" s="4">
        <f>SUM('Rep monthly'!U173:W173)</f>
        <v>740200</v>
      </c>
    </row>
    <row r="294">
      <c r="A294" s="0" t="inlineStr">
        <is>
          <t xml:space="preserve">Open pipeline</t>
        </is>
      </c>
      <c r="B294" s="0" t="inlineStr">
        <is>
          <t xml:space="preserve">Fatima Silva</t>
        </is>
      </c>
      <c r="C294" s="4">
        <f>SUM('Rep monthly'!C174:E174)</f>
        <v>0</v>
      </c>
      <c r="D294" s="4">
        <f>SUM('Rep monthly'!F174:H174)</f>
        <v>0</v>
      </c>
      <c r="E294" s="4">
        <f>SUM('Rep monthly'!I174:K174)</f>
        <v>0</v>
      </c>
      <c r="F294" s="4">
        <f>SUM('Rep monthly'!L174:N174)</f>
        <v>0</v>
      </c>
      <c r="G294" s="4">
        <f>SUM('Rep monthly'!O174:Q174)</f>
        <v>0</v>
      </c>
      <c r="H294" s="4">
        <f>SUM('Rep monthly'!R174:T174)</f>
        <v>67300</v>
      </c>
      <c r="I294" s="4">
        <f>SUM('Rep monthly'!U174:W174)</f>
        <v>85300</v>
      </c>
    </row>
    <row r="295">
      <c r="A295" s="0" t="inlineStr">
        <is>
          <t xml:space="preserve">Open pipeline</t>
        </is>
      </c>
      <c r="B295" s="0" t="inlineStr">
        <is>
          <t xml:space="preserve">Ana Ortiz</t>
        </is>
      </c>
      <c r="C295" s="4">
        <f>SUM('Rep monthly'!C175:E175)</f>
        <v>0</v>
      </c>
      <c r="D295" s="4">
        <f>SUM('Rep monthly'!F175:H175)</f>
        <v>0</v>
      </c>
      <c r="E295" s="4">
        <f>SUM('Rep monthly'!I175:K175)</f>
        <v>0</v>
      </c>
      <c r="F295" s="4">
        <f>SUM('Rep monthly'!L175:N175)</f>
        <v>0</v>
      </c>
      <c r="G295" s="4">
        <f>SUM('Rep monthly'!O175:Q175)</f>
        <v>0</v>
      </c>
      <c r="H295" s="4">
        <f>SUM('Rep monthly'!R175:T175)</f>
        <v>34500</v>
      </c>
      <c r="I295" s="4">
        <f>SUM('Rep monthly'!U175:W175)</f>
        <v>109700</v>
      </c>
    </row>
    <row r="296">
      <c r="A296" s="0" t="inlineStr">
        <is>
          <t xml:space="preserve">Open pipeline</t>
        </is>
      </c>
      <c r="B296" s="0" t="inlineStr">
        <is>
          <t xml:space="preserve">Tobias Silva</t>
        </is>
      </c>
      <c r="C296" s="4">
        <f>SUM('Rep monthly'!C176:E176)</f>
        <v>0</v>
      </c>
      <c r="D296" s="4">
        <f>SUM('Rep monthly'!F176:H176)</f>
        <v>0</v>
      </c>
      <c r="E296" s="4">
        <f>SUM('Rep monthly'!I176:K176)</f>
        <v>0</v>
      </c>
      <c r="F296" s="4">
        <f>SUM('Rep monthly'!L176:N176)</f>
        <v>0</v>
      </c>
      <c r="G296" s="4">
        <f>SUM('Rep monthly'!O176:Q176)</f>
        <v>0</v>
      </c>
      <c r="H296" s="4">
        <f>SUM('Rep monthly'!R176:T176)</f>
        <v>496100</v>
      </c>
      <c r="I296" s="4">
        <f>SUM('Rep monthly'!U176:W176)</f>
        <v>637900</v>
      </c>
    </row>
    <row r="297">
      <c r="A297" s="0" t="inlineStr">
        <is>
          <t xml:space="preserve">Open pipeline</t>
        </is>
      </c>
      <c r="B297" s="0" t="inlineStr">
        <is>
          <t xml:space="preserve">Leila Osei</t>
        </is>
      </c>
      <c r="C297" s="4">
        <f>SUM('Rep monthly'!C177:E177)</f>
        <v>0</v>
      </c>
      <c r="D297" s="4">
        <f>SUM('Rep monthly'!F177:H177)</f>
        <v>0</v>
      </c>
      <c r="E297" s="4">
        <f>SUM('Rep monthly'!I177:K177)</f>
        <v>0</v>
      </c>
      <c r="F297" s="4">
        <f>SUM('Rep monthly'!L177:N177)</f>
        <v>0</v>
      </c>
      <c r="G297" s="4">
        <f>SUM('Rep monthly'!O177:Q177)</f>
        <v>0</v>
      </c>
      <c r="H297" s="4">
        <f>SUM('Rep monthly'!R177:T177)</f>
        <v>253000</v>
      </c>
      <c r="I297" s="4">
        <f>SUM('Rep monthly'!U177:W177)</f>
        <v>360400</v>
      </c>
    </row>
    <row r="298">
      <c r="A298" s="0" t="inlineStr">
        <is>
          <t xml:space="preserve">Open pipeline</t>
        </is>
      </c>
      <c r="B298" s="0" t="inlineStr">
        <is>
          <t xml:space="preserve">Grace Costa</t>
        </is>
      </c>
      <c r="C298" s="4">
        <f>SUM('Rep monthly'!C178:E178)</f>
        <v>0</v>
      </c>
      <c r="D298" s="4">
        <f>SUM('Rep monthly'!F178:H178)</f>
        <v>0</v>
      </c>
      <c r="E298" s="4">
        <f>SUM('Rep monthly'!I178:K178)</f>
        <v>0</v>
      </c>
      <c r="F298" s="4">
        <f>SUM('Rep monthly'!L178:N178)</f>
        <v>0</v>
      </c>
      <c r="G298" s="4">
        <f>SUM('Rep monthly'!O178:Q178)</f>
        <v>0</v>
      </c>
      <c r="H298" s="4">
        <f>SUM('Rep monthly'!R178:T178)</f>
        <v>141800</v>
      </c>
      <c r="I298" s="4">
        <f>SUM('Rep monthly'!U178:W178)</f>
        <v>291000</v>
      </c>
    </row>
    <row r="299">
      <c r="A299" s="0" t="inlineStr">
        <is>
          <t xml:space="preserve">Open pipeline</t>
        </is>
      </c>
      <c r="B299" s="0" t="inlineStr">
        <is>
          <t xml:space="preserve">Ingrid Müller</t>
        </is>
      </c>
      <c r="C299" s="4">
        <f>SUM('Rep monthly'!C179:E179)</f>
        <v>0</v>
      </c>
      <c r="D299" s="4">
        <f>SUM('Rep monthly'!F179:H179)</f>
        <v>0</v>
      </c>
      <c r="E299" s="4">
        <f>SUM('Rep monthly'!I179:K179)</f>
        <v>0</v>
      </c>
      <c r="F299" s="4">
        <f>SUM('Rep monthly'!L179:N179)</f>
        <v>0</v>
      </c>
      <c r="G299" s="4">
        <f>SUM('Rep monthly'!O179:Q179)</f>
        <v>0</v>
      </c>
      <c r="H299" s="4">
        <f>SUM('Rep monthly'!R179:T179)</f>
        <v>29700</v>
      </c>
      <c r="I299" s="4">
        <f>SUM('Rep monthly'!U179:W179)</f>
        <v>330800</v>
      </c>
    </row>
    <row r="300">
      <c r="A300" s="0" t="inlineStr">
        <is>
          <t xml:space="preserve">Open pipeline</t>
        </is>
      </c>
      <c r="B300" s="0" t="inlineStr">
        <is>
          <t xml:space="preserve">Ingrid Kim</t>
        </is>
      </c>
      <c r="C300" s="4">
        <f>SUM('Rep monthly'!C180:E180)</f>
        <v>0</v>
      </c>
      <c r="D300" s="4">
        <f>SUM('Rep monthly'!F180:H180)</f>
        <v>0</v>
      </c>
      <c r="E300" s="4">
        <f>SUM('Rep monthly'!I180:K180)</f>
        <v>0</v>
      </c>
      <c r="F300" s="4">
        <f>SUM('Rep monthly'!L180:N180)</f>
        <v>0</v>
      </c>
      <c r="G300" s="4">
        <f>SUM('Rep monthly'!O180:Q180)</f>
        <v>0</v>
      </c>
      <c r="H300" s="4">
        <f>SUM('Rep monthly'!R180:T180)</f>
        <v>0</v>
      </c>
      <c r="I300" s="4">
        <f>SUM('Rep monthly'!U180:W180)</f>
        <v>100000</v>
      </c>
    </row>
    <row r="301">
      <c r="A301" s="0" t="inlineStr">
        <is>
          <t xml:space="preserve">Open pipeline</t>
        </is>
      </c>
      <c r="B301" s="0" t="inlineStr">
        <is>
          <t xml:space="preserve">Priya Nair</t>
        </is>
      </c>
      <c r="C301" s="4">
        <f>SUM('Rep monthly'!C181:E181)</f>
        <v>0</v>
      </c>
      <c r="D301" s="4">
        <f>SUM('Rep monthly'!F181:H181)</f>
        <v>0</v>
      </c>
      <c r="E301" s="4">
        <f>SUM('Rep monthly'!I181:K181)</f>
        <v>0</v>
      </c>
      <c r="F301" s="4">
        <f>SUM('Rep monthly'!L181:N181)</f>
        <v>0</v>
      </c>
      <c r="G301" s="4">
        <f>SUM('Rep monthly'!O181:Q181)</f>
        <v>0</v>
      </c>
      <c r="H301" s="4">
        <f>SUM('Rep monthly'!R181:T181)</f>
        <v>59900</v>
      </c>
      <c r="I301" s="4">
        <f>SUM('Rep monthly'!U181:W181)</f>
        <v>125000</v>
      </c>
    </row>
    <row r="302">
      <c r="A302" s="0" t="inlineStr">
        <is>
          <t xml:space="preserve">Open pipeline</t>
        </is>
      </c>
      <c r="B302" s="0" t="inlineStr">
        <is>
          <t xml:space="preserve">Hugo Lindqvist</t>
        </is>
      </c>
      <c r="C302" s="4">
        <f>SUM('Rep monthly'!C182:E182)</f>
        <v>0</v>
      </c>
      <c r="D302" s="4">
        <f>SUM('Rep monthly'!F182:H182)</f>
        <v>0</v>
      </c>
      <c r="E302" s="4">
        <f>SUM('Rep monthly'!I182:K182)</f>
        <v>0</v>
      </c>
      <c r="F302" s="4">
        <f>SUM('Rep monthly'!L182:N182)</f>
        <v>0</v>
      </c>
      <c r="G302" s="4">
        <f>SUM('Rep monthly'!O182:Q182)</f>
        <v>0</v>
      </c>
      <c r="H302" s="4">
        <f>SUM('Rep monthly'!R182:T182)</f>
        <v>292100</v>
      </c>
      <c r="I302" s="4">
        <f>SUM('Rep monthly'!U182:W182)</f>
        <v>630300</v>
      </c>
    </row>
    <row r="303">
      <c r="A303" s="0" t="inlineStr">
        <is>
          <t xml:space="preserve">Open pipeline</t>
        </is>
      </c>
      <c r="B303" s="0" t="inlineStr">
        <is>
          <t xml:space="preserve">Wei Novak</t>
        </is>
      </c>
      <c r="C303" s="4">
        <f>SUM('Rep monthly'!C183:E183)</f>
        <v>0</v>
      </c>
      <c r="D303" s="4">
        <f>SUM('Rep monthly'!F183:H183)</f>
        <v>0</v>
      </c>
      <c r="E303" s="4">
        <f>SUM('Rep monthly'!I183:K183)</f>
        <v>0</v>
      </c>
      <c r="F303" s="4">
        <f>SUM('Rep monthly'!L183:N183)</f>
        <v>0</v>
      </c>
      <c r="G303" s="4">
        <f>SUM('Rep monthly'!O183:Q183)</f>
        <v>0</v>
      </c>
      <c r="H303" s="4">
        <f>SUM('Rep monthly'!R183:T183)</f>
        <v>0</v>
      </c>
      <c r="I303" s="4">
        <f>SUM('Rep monthly'!U183:W183)</f>
        <v>933700</v>
      </c>
    </row>
    <row r="304">
      <c r="A304" s="0" t="inlineStr">
        <is>
          <t xml:space="preserve">Open pipeline</t>
        </is>
      </c>
      <c r="B304" s="0" t="inlineStr">
        <is>
          <t xml:space="preserve">Nikolai Kim</t>
        </is>
      </c>
      <c r="C304" s="4">
        <f>SUM('Rep monthly'!C184:E184)</f>
        <v>0</v>
      </c>
      <c r="D304" s="4">
        <f>SUM('Rep monthly'!F184:H184)</f>
        <v>0</v>
      </c>
      <c r="E304" s="4">
        <f>SUM('Rep monthly'!I184:K184)</f>
        <v>0</v>
      </c>
      <c r="F304" s="4">
        <f>SUM('Rep monthly'!L184:N184)</f>
        <v>0</v>
      </c>
      <c r="G304" s="4">
        <f>SUM('Rep monthly'!O184:Q184)</f>
        <v>0</v>
      </c>
      <c r="H304" s="4">
        <f>SUM('Rep monthly'!R184:T184)</f>
        <v>123400</v>
      </c>
      <c r="I304" s="4">
        <f>SUM('Rep monthly'!U184:W184)</f>
        <v>119000</v>
      </c>
    </row>
    <row r="305">
      <c r="A305" s="0" t="inlineStr">
        <is>
          <t xml:space="preserve">Open pipeline</t>
        </is>
      </c>
      <c r="B305" s="0" t="inlineStr">
        <is>
          <t xml:space="preserve">Wei Nair</t>
        </is>
      </c>
      <c r="C305" s="4">
        <f>SUM('Rep monthly'!C185:E185)</f>
        <v>0</v>
      </c>
      <c r="D305" s="4">
        <f>SUM('Rep monthly'!F185:H185)</f>
        <v>0</v>
      </c>
      <c r="E305" s="4">
        <f>SUM('Rep monthly'!I185:K185)</f>
        <v>0</v>
      </c>
      <c r="F305" s="4">
        <f>SUM('Rep monthly'!L185:N185)</f>
        <v>0</v>
      </c>
      <c r="G305" s="4">
        <f>SUM('Rep monthly'!O185:Q185)</f>
        <v>0</v>
      </c>
      <c r="H305" s="4">
        <f>SUM('Rep monthly'!R185:T185)</f>
        <v>46900</v>
      </c>
      <c r="I305" s="4">
        <f>SUM('Rep monthly'!U185:W185)</f>
        <v>44100</v>
      </c>
    </row>
    <row r="306">
      <c r="A306" s="0" t="inlineStr">
        <is>
          <t xml:space="preserve">Open pipeline</t>
        </is>
      </c>
      <c r="B306" s="0" t="inlineStr">
        <is>
          <t xml:space="preserve">Liam Silva</t>
        </is>
      </c>
      <c r="C306" s="4">
        <f>SUM('Rep monthly'!C186:E186)</f>
        <v>0</v>
      </c>
      <c r="D306" s="4">
        <f>SUM('Rep monthly'!F186:H186)</f>
        <v>0</v>
      </c>
      <c r="E306" s="4">
        <f>SUM('Rep monthly'!I186:K186)</f>
        <v>0</v>
      </c>
      <c r="F306" s="4">
        <f>SUM('Rep monthly'!L186:N186)</f>
        <v>0</v>
      </c>
      <c r="G306" s="4">
        <f>SUM('Rep monthly'!O186:Q186)</f>
        <v>0</v>
      </c>
      <c r="H306" s="4">
        <f>SUM('Rep monthly'!R186:T186)</f>
        <v>57700</v>
      </c>
      <c r="I306" s="4">
        <f>SUM('Rep monthly'!U186:W186)</f>
        <v>114700</v>
      </c>
    </row>
    <row r="307">
      <c r="A307" s="0" t="inlineStr">
        <is>
          <t xml:space="preserve">Open pipeline</t>
        </is>
      </c>
      <c r="B307" s="0" t="inlineStr">
        <is>
          <t xml:space="preserve">Samuel Silva</t>
        </is>
      </c>
      <c r="C307" s="4">
        <f>SUM('Rep monthly'!C187:E187)</f>
        <v>0</v>
      </c>
      <c r="D307" s="4">
        <f>SUM('Rep monthly'!F187:H187)</f>
        <v>0</v>
      </c>
      <c r="E307" s="4">
        <f>SUM('Rep monthly'!I187:K187)</f>
        <v>0</v>
      </c>
      <c r="F307" s="4">
        <f>SUM('Rep monthly'!L187:N187)</f>
        <v>0</v>
      </c>
      <c r="G307" s="4">
        <f>SUM('Rep monthly'!O187:Q187)</f>
        <v>0</v>
      </c>
      <c r="H307" s="4">
        <f>SUM('Rep monthly'!R187:T187)</f>
        <v>11600</v>
      </c>
      <c r="I307" s="4">
        <f>SUM('Rep monthly'!U187:W187)</f>
        <v>47400</v>
      </c>
    </row>
    <row r="308">
      <c r="A308" s="0" t="inlineStr">
        <is>
          <t xml:space="preserve">Open pipeline</t>
        </is>
      </c>
      <c r="B308" s="0" t="inlineStr">
        <is>
          <t xml:space="preserve">Yuki Larsen</t>
        </is>
      </c>
      <c r="C308" s="4">
        <f>SUM('Rep monthly'!C188:E188)</f>
        <v>0</v>
      </c>
      <c r="D308" s="4">
        <f>SUM('Rep monthly'!F188:H188)</f>
        <v>0</v>
      </c>
      <c r="E308" s="4">
        <f>SUM('Rep monthly'!I188:K188)</f>
        <v>0</v>
      </c>
      <c r="F308" s="4">
        <f>SUM('Rep monthly'!L188:N188)</f>
        <v>0</v>
      </c>
      <c r="G308" s="4">
        <f>SUM('Rep monthly'!O188:Q188)</f>
        <v>0</v>
      </c>
      <c r="H308" s="4">
        <f>SUM('Rep monthly'!R188:T188)</f>
        <v>0</v>
      </c>
      <c r="I308" s="4">
        <f>SUM('Rep monthly'!U188:W188)</f>
        <v>1446300</v>
      </c>
    </row>
    <row r="309">
      <c r="A309" s="0" t="inlineStr">
        <is>
          <t xml:space="preserve">Open pipeline</t>
        </is>
      </c>
      <c r="B309" s="0" t="inlineStr">
        <is>
          <t xml:space="preserve">Nikolai Sato</t>
        </is>
      </c>
      <c r="C309" s="4">
        <f>SUM('Rep monthly'!C189:E189)</f>
        <v>0</v>
      </c>
      <c r="D309" s="4">
        <f>SUM('Rep monthly'!F189:H189)</f>
        <v>0</v>
      </c>
      <c r="E309" s="4">
        <f>SUM('Rep monthly'!I189:K189)</f>
        <v>0</v>
      </c>
      <c r="F309" s="4">
        <f>SUM('Rep monthly'!L189:N189)</f>
        <v>0</v>
      </c>
      <c r="G309" s="4">
        <f>SUM('Rep monthly'!O189:Q189)</f>
        <v>0</v>
      </c>
      <c r="H309" s="4">
        <f>SUM('Rep monthly'!R189:T189)</f>
        <v>236900</v>
      </c>
      <c r="I309" s="4">
        <f>SUM('Rep monthly'!U189:W189)</f>
        <v>1176600</v>
      </c>
    </row>
    <row r="310">
      <c r="A310" s="0" t="inlineStr">
        <is>
          <t xml:space="preserve">Open pipeline</t>
        </is>
      </c>
      <c r="B310" s="0" t="inlineStr">
        <is>
          <t xml:space="preserve">Elena Silva</t>
        </is>
      </c>
      <c r="C310" s="4">
        <f>SUM('Rep monthly'!C190:E190)</f>
        <v>0</v>
      </c>
      <c r="D310" s="4">
        <f>SUM('Rep monthly'!F190:H190)</f>
        <v>0</v>
      </c>
      <c r="E310" s="4">
        <f>SUM('Rep monthly'!I190:K190)</f>
        <v>0</v>
      </c>
      <c r="F310" s="4">
        <f>SUM('Rep monthly'!L190:N190)</f>
        <v>0</v>
      </c>
      <c r="G310" s="4">
        <f>SUM('Rep monthly'!O190:Q190)</f>
        <v>0</v>
      </c>
      <c r="H310" s="4">
        <f>SUM('Rep monthly'!R190:T190)</f>
        <v>185600</v>
      </c>
      <c r="I310" s="4">
        <f>SUM('Rep monthly'!U190:W190)</f>
        <v>439200</v>
      </c>
    </row>
    <row r="311">
      <c r="A311" s="0" t="inlineStr">
        <is>
          <t xml:space="preserve">Open pipeline</t>
        </is>
      </c>
      <c r="B311" s="0" t="inlineStr">
        <is>
          <t xml:space="preserve">Arjun Müller</t>
        </is>
      </c>
      <c r="C311" s="4">
        <f>SUM('Rep monthly'!C191:E191)</f>
        <v>0</v>
      </c>
      <c r="D311" s="4">
        <f>SUM('Rep monthly'!F191:H191)</f>
        <v>0</v>
      </c>
      <c r="E311" s="4">
        <f>SUM('Rep monthly'!I191:K191)</f>
        <v>0</v>
      </c>
      <c r="F311" s="4">
        <f>SUM('Rep monthly'!L191:N191)</f>
        <v>0</v>
      </c>
      <c r="G311" s="4">
        <f>SUM('Rep monthly'!O191:Q191)</f>
        <v>0</v>
      </c>
      <c r="H311" s="4">
        <f>SUM('Rep monthly'!R191:T191)</f>
        <v>21700</v>
      </c>
      <c r="I311" s="4">
        <f>SUM('Rep monthly'!U191:W191)</f>
        <v>148300</v>
      </c>
    </row>
    <row r="312">
      <c r="A312" s="0" t="inlineStr">
        <is>
          <t xml:space="preserve">Open pipeline</t>
        </is>
      </c>
      <c r="B312" s="0" t="inlineStr">
        <is>
          <t xml:space="preserve">Nikolai Park</t>
        </is>
      </c>
      <c r="C312" s="4">
        <f>SUM('Rep monthly'!C192:E192)</f>
        <v>0</v>
      </c>
      <c r="D312" s="4">
        <f>SUM('Rep monthly'!F192:H192)</f>
        <v>0</v>
      </c>
      <c r="E312" s="4">
        <f>SUM('Rep monthly'!I192:K192)</f>
        <v>0</v>
      </c>
      <c r="F312" s="4">
        <f>SUM('Rep monthly'!L192:N192)</f>
        <v>0</v>
      </c>
      <c r="G312" s="4">
        <f>SUM('Rep monthly'!O192:Q192)</f>
        <v>0</v>
      </c>
      <c r="H312" s="4">
        <f>SUM('Rep monthly'!R192:T192)</f>
        <v>8200</v>
      </c>
      <c r="I312" s="4">
        <f>SUM('Rep monthly'!U192:W192)</f>
        <v>50000</v>
      </c>
    </row>
    <row r="313">
      <c r="A313" s="0" t="inlineStr">
        <is>
          <t xml:space="preserve">Open pipeline</t>
        </is>
      </c>
      <c r="B313" s="0" t="inlineStr">
        <is>
          <t xml:space="preserve">Ingrid Dubois</t>
        </is>
      </c>
      <c r="C313" s="4">
        <f>SUM('Rep monthly'!C193:E193)</f>
        <v>0</v>
      </c>
      <c r="D313" s="4">
        <f>SUM('Rep monthly'!F193:H193)</f>
        <v>0</v>
      </c>
      <c r="E313" s="4">
        <f>SUM('Rep monthly'!I193:K193)</f>
        <v>0</v>
      </c>
      <c r="F313" s="4">
        <f>SUM('Rep monthly'!L193:N193)</f>
        <v>0</v>
      </c>
      <c r="G313" s="4">
        <f>SUM('Rep monthly'!O193:Q193)</f>
        <v>0</v>
      </c>
      <c r="H313" s="4">
        <f>SUM('Rep monthly'!R193:T193)</f>
        <v>17500</v>
      </c>
      <c r="I313" s="4">
        <f>SUM('Rep monthly'!U193:W193)</f>
        <v>97900</v>
      </c>
    </row>
    <row r="314">
      <c r="A314" s="0" t="inlineStr">
        <is>
          <t xml:space="preserve">Commit</t>
        </is>
      </c>
      <c r="B314" s="0" t="inlineStr">
        <is>
          <t xml:space="preserve">Noor Ortiz</t>
        </is>
      </c>
      <c r="C314" s="4">
        <f>SUM('Rep monthly'!C194:E194)</f>
        <v>0</v>
      </c>
      <c r="D314" s="4">
        <f>SUM('Rep monthly'!F194:H194)</f>
        <v>0</v>
      </c>
      <c r="E314" s="4">
        <f>SUM('Rep monthly'!I194:K194)</f>
        <v>0</v>
      </c>
      <c r="F314" s="4">
        <f>SUM('Rep monthly'!L194:N194)</f>
        <v>0</v>
      </c>
      <c r="G314" s="4">
        <f>SUM('Rep monthly'!O194:Q194)</f>
        <v>0</v>
      </c>
      <c r="H314" s="4">
        <f>SUM('Rep monthly'!R194:T194)</f>
        <v>0</v>
      </c>
      <c r="I314" s="4">
        <f>SUM('Rep monthly'!U194:W194)</f>
        <v>763400</v>
      </c>
    </row>
    <row r="315">
      <c r="A315" s="0" t="inlineStr">
        <is>
          <t xml:space="preserve">Commit</t>
        </is>
      </c>
      <c r="B315" s="0" t="inlineStr">
        <is>
          <t xml:space="preserve">Priya Yilmaz</t>
        </is>
      </c>
      <c r="C315" s="4">
        <f>SUM('Rep monthly'!C195:E195)</f>
        <v>0</v>
      </c>
      <c r="D315" s="4">
        <f>SUM('Rep monthly'!F195:H195)</f>
        <v>0</v>
      </c>
      <c r="E315" s="4">
        <f>SUM('Rep monthly'!I195:K195)</f>
        <v>0</v>
      </c>
      <c r="F315" s="4">
        <f>SUM('Rep monthly'!L195:N195)</f>
        <v>0</v>
      </c>
      <c r="G315" s="4">
        <f>SUM('Rep monthly'!O195:Q195)</f>
        <v>0</v>
      </c>
      <c r="H315" s="4">
        <f>SUM('Rep monthly'!R195:T195)</f>
        <v>0</v>
      </c>
      <c r="I315" s="4">
        <f>SUM('Rep monthly'!U195:W195)</f>
        <v>0</v>
      </c>
    </row>
    <row r="316">
      <c r="A316" s="0" t="inlineStr">
        <is>
          <t xml:space="preserve">Commit</t>
        </is>
      </c>
      <c r="B316" s="0" t="inlineStr">
        <is>
          <t xml:space="preserve">Marcus Schmidt</t>
        </is>
      </c>
      <c r="C316" s="4">
        <f>SUM('Rep monthly'!C196:E196)</f>
        <v>0</v>
      </c>
      <c r="D316" s="4">
        <f>SUM('Rep monthly'!F196:H196)</f>
        <v>0</v>
      </c>
      <c r="E316" s="4">
        <f>SUM('Rep monthly'!I196:K196)</f>
        <v>0</v>
      </c>
      <c r="F316" s="4">
        <f>SUM('Rep monthly'!L196:N196)</f>
        <v>0</v>
      </c>
      <c r="G316" s="4">
        <f>SUM('Rep monthly'!O196:Q196)</f>
        <v>0</v>
      </c>
      <c r="H316" s="4">
        <f>SUM('Rep monthly'!R196:T196)</f>
        <v>0</v>
      </c>
      <c r="I316" s="4">
        <f>SUM('Rep monthly'!U196:W196)</f>
        <v>0</v>
      </c>
    </row>
    <row r="317">
      <c r="A317" s="0" t="inlineStr">
        <is>
          <t xml:space="preserve">Commit</t>
        </is>
      </c>
      <c r="B317" s="0" t="inlineStr">
        <is>
          <t xml:space="preserve">Amara Haddad</t>
        </is>
      </c>
      <c r="C317" s="4">
        <f>SUM('Rep monthly'!C197:E197)</f>
        <v>0</v>
      </c>
      <c r="D317" s="4">
        <f>SUM('Rep monthly'!F197:H197)</f>
        <v>0</v>
      </c>
      <c r="E317" s="4">
        <f>SUM('Rep monthly'!I197:K197)</f>
        <v>0</v>
      </c>
      <c r="F317" s="4">
        <f>SUM('Rep monthly'!L197:N197)</f>
        <v>0</v>
      </c>
      <c r="G317" s="4">
        <f>SUM('Rep monthly'!O197:Q197)</f>
        <v>0</v>
      </c>
      <c r="H317" s="4">
        <f>SUM('Rep monthly'!R197:T197)</f>
        <v>57000</v>
      </c>
      <c r="I317" s="4">
        <f>SUM('Rep monthly'!U197:W197)</f>
        <v>46000</v>
      </c>
    </row>
    <row r="318">
      <c r="A318" s="0" t="inlineStr">
        <is>
          <t xml:space="preserve">Commit</t>
        </is>
      </c>
      <c r="B318" s="0" t="inlineStr">
        <is>
          <t xml:space="preserve">Fatima Silva</t>
        </is>
      </c>
      <c r="C318" s="4">
        <f>SUM('Rep monthly'!C198:E198)</f>
        <v>0</v>
      </c>
      <c r="D318" s="4">
        <f>SUM('Rep monthly'!F198:H198)</f>
        <v>0</v>
      </c>
      <c r="E318" s="4">
        <f>SUM('Rep monthly'!I198:K198)</f>
        <v>0</v>
      </c>
      <c r="F318" s="4">
        <f>SUM('Rep monthly'!L198:N198)</f>
        <v>0</v>
      </c>
      <c r="G318" s="4">
        <f>SUM('Rep monthly'!O198:Q198)</f>
        <v>0</v>
      </c>
      <c r="H318" s="4">
        <f>SUM('Rep monthly'!R198:T198)</f>
        <v>0</v>
      </c>
      <c r="I318" s="4">
        <f>SUM('Rep monthly'!U198:W198)</f>
        <v>40800</v>
      </c>
    </row>
    <row r="319">
      <c r="A319" s="0" t="inlineStr">
        <is>
          <t xml:space="preserve">Commit</t>
        </is>
      </c>
      <c r="B319" s="0" t="inlineStr">
        <is>
          <t xml:space="preserve">Ana Ortiz</t>
        </is>
      </c>
      <c r="C319" s="4">
        <f>SUM('Rep monthly'!C199:E199)</f>
        <v>0</v>
      </c>
      <c r="D319" s="4">
        <f>SUM('Rep monthly'!F199:H199)</f>
        <v>0</v>
      </c>
      <c r="E319" s="4">
        <f>SUM('Rep monthly'!I199:K199)</f>
        <v>0</v>
      </c>
      <c r="F319" s="4">
        <f>SUM('Rep monthly'!L199:N199)</f>
        <v>0</v>
      </c>
      <c r="G319" s="4">
        <f>SUM('Rep monthly'!O199:Q199)</f>
        <v>0</v>
      </c>
      <c r="H319" s="4">
        <f>SUM('Rep monthly'!R199:T199)</f>
        <v>12400</v>
      </c>
      <c r="I319" s="4">
        <f>SUM('Rep monthly'!U199:W199)</f>
        <v>0</v>
      </c>
    </row>
    <row r="320">
      <c r="A320" s="0" t="inlineStr">
        <is>
          <t xml:space="preserve">Commit</t>
        </is>
      </c>
      <c r="B320" s="0" t="inlineStr">
        <is>
          <t xml:space="preserve">Tobias Silva</t>
        </is>
      </c>
      <c r="C320" s="4">
        <f>SUM('Rep monthly'!C200:E200)</f>
        <v>0</v>
      </c>
      <c r="D320" s="4">
        <f>SUM('Rep monthly'!F200:H200)</f>
        <v>0</v>
      </c>
      <c r="E320" s="4">
        <f>SUM('Rep monthly'!I200:K200)</f>
        <v>0</v>
      </c>
      <c r="F320" s="4">
        <f>SUM('Rep monthly'!L200:N200)</f>
        <v>0</v>
      </c>
      <c r="G320" s="4">
        <f>SUM('Rep monthly'!O200:Q200)</f>
        <v>0</v>
      </c>
      <c r="H320" s="4">
        <f>SUM('Rep monthly'!R200:T200)</f>
        <v>265800</v>
      </c>
      <c r="I320" s="4">
        <f>SUM('Rep monthly'!U200:W200)</f>
        <v>110000</v>
      </c>
    </row>
    <row r="321">
      <c r="A321" s="0" t="inlineStr">
        <is>
          <t xml:space="preserve">Commit</t>
        </is>
      </c>
      <c r="B321" s="0" t="inlineStr">
        <is>
          <t xml:space="preserve">Leila Osei</t>
        </is>
      </c>
      <c r="C321" s="4">
        <f>SUM('Rep monthly'!C201:E201)</f>
        <v>0</v>
      </c>
      <c r="D321" s="4">
        <f>SUM('Rep monthly'!F201:H201)</f>
        <v>0</v>
      </c>
      <c r="E321" s="4">
        <f>SUM('Rep monthly'!I201:K201)</f>
        <v>0</v>
      </c>
      <c r="F321" s="4">
        <f>SUM('Rep monthly'!L201:N201)</f>
        <v>0</v>
      </c>
      <c r="G321" s="4">
        <f>SUM('Rep monthly'!O201:Q201)</f>
        <v>0</v>
      </c>
      <c r="H321" s="4">
        <f>SUM('Rep monthly'!R201:T201)</f>
        <v>0</v>
      </c>
      <c r="I321" s="4">
        <f>SUM('Rep monthly'!U201:W201)</f>
        <v>0</v>
      </c>
    </row>
    <row r="322">
      <c r="A322" s="0" t="inlineStr">
        <is>
          <t xml:space="preserve">Commit</t>
        </is>
      </c>
      <c r="B322" s="0" t="inlineStr">
        <is>
          <t xml:space="preserve">Grace Costa</t>
        </is>
      </c>
      <c r="C322" s="4">
        <f>SUM('Rep monthly'!C202:E202)</f>
        <v>0</v>
      </c>
      <c r="D322" s="4">
        <f>SUM('Rep monthly'!F202:H202)</f>
        <v>0</v>
      </c>
      <c r="E322" s="4">
        <f>SUM('Rep monthly'!I202:K202)</f>
        <v>0</v>
      </c>
      <c r="F322" s="4">
        <f>SUM('Rep monthly'!L202:N202)</f>
        <v>0</v>
      </c>
      <c r="G322" s="4">
        <f>SUM('Rep monthly'!O202:Q202)</f>
        <v>0</v>
      </c>
      <c r="H322" s="4">
        <f>SUM('Rep monthly'!R202:T202)</f>
        <v>97300</v>
      </c>
      <c r="I322" s="4">
        <f>SUM('Rep monthly'!U202:W202)</f>
        <v>61200</v>
      </c>
    </row>
    <row r="323">
      <c r="A323" s="0" t="inlineStr">
        <is>
          <t xml:space="preserve">Commit</t>
        </is>
      </c>
      <c r="B323" s="0" t="inlineStr">
        <is>
          <t xml:space="preserve">Ingrid Müller</t>
        </is>
      </c>
      <c r="C323" s="4">
        <f>SUM('Rep monthly'!C203:E203)</f>
        <v>0</v>
      </c>
      <c r="D323" s="4">
        <f>SUM('Rep monthly'!F203:H203)</f>
        <v>0</v>
      </c>
      <c r="E323" s="4">
        <f>SUM('Rep monthly'!I203:K203)</f>
        <v>0</v>
      </c>
      <c r="F323" s="4">
        <f>SUM('Rep monthly'!L203:N203)</f>
        <v>0</v>
      </c>
      <c r="G323" s="4">
        <f>SUM('Rep monthly'!O203:Q203)</f>
        <v>0</v>
      </c>
      <c r="H323" s="4">
        <f>SUM('Rep monthly'!R203:T203)</f>
        <v>29700</v>
      </c>
      <c r="I323" s="4">
        <f>SUM('Rep monthly'!U203:W203)</f>
        <v>108300</v>
      </c>
    </row>
    <row r="324">
      <c r="A324" s="0" t="inlineStr">
        <is>
          <t xml:space="preserve">Commit</t>
        </is>
      </c>
      <c r="B324" s="0" t="inlineStr">
        <is>
          <t xml:space="preserve">Ingrid Kim</t>
        </is>
      </c>
      <c r="C324" s="4">
        <f>SUM('Rep monthly'!C204:E204)</f>
        <v>0</v>
      </c>
      <c r="D324" s="4">
        <f>SUM('Rep monthly'!F204:H204)</f>
        <v>0</v>
      </c>
      <c r="E324" s="4">
        <f>SUM('Rep monthly'!I204:K204)</f>
        <v>0</v>
      </c>
      <c r="F324" s="4">
        <f>SUM('Rep monthly'!L204:N204)</f>
        <v>0</v>
      </c>
      <c r="G324" s="4">
        <f>SUM('Rep monthly'!O204:Q204)</f>
        <v>0</v>
      </c>
      <c r="H324" s="4">
        <f>SUM('Rep monthly'!R204:T204)</f>
        <v>0</v>
      </c>
      <c r="I324" s="4">
        <f>SUM('Rep monthly'!U204:W204)</f>
        <v>48700</v>
      </c>
    </row>
    <row r="325">
      <c r="A325" s="0" t="inlineStr">
        <is>
          <t xml:space="preserve">Commit</t>
        </is>
      </c>
      <c r="B325" s="0" t="inlineStr">
        <is>
          <t xml:space="preserve">Priya Nair</t>
        </is>
      </c>
      <c r="C325" s="4">
        <f>SUM('Rep monthly'!C205:E205)</f>
        <v>0</v>
      </c>
      <c r="D325" s="4">
        <f>SUM('Rep monthly'!F205:H205)</f>
        <v>0</v>
      </c>
      <c r="E325" s="4">
        <f>SUM('Rep monthly'!I205:K205)</f>
        <v>0</v>
      </c>
      <c r="F325" s="4">
        <f>SUM('Rep monthly'!L205:N205)</f>
        <v>0</v>
      </c>
      <c r="G325" s="4">
        <f>SUM('Rep monthly'!O205:Q205)</f>
        <v>0</v>
      </c>
      <c r="H325" s="4">
        <f>SUM('Rep monthly'!R205:T205)</f>
        <v>19700</v>
      </c>
      <c r="I325" s="4">
        <f>SUM('Rep monthly'!U205:W205)</f>
        <v>0</v>
      </c>
    </row>
    <row r="326">
      <c r="A326" s="0" t="inlineStr">
        <is>
          <t xml:space="preserve">Commit</t>
        </is>
      </c>
      <c r="B326" s="0" t="inlineStr">
        <is>
          <t xml:space="preserve">Hugo Lindqvist</t>
        </is>
      </c>
      <c r="C326" s="4">
        <f>SUM('Rep monthly'!C206:E206)</f>
        <v>0</v>
      </c>
      <c r="D326" s="4">
        <f>SUM('Rep monthly'!F206:H206)</f>
        <v>0</v>
      </c>
      <c r="E326" s="4">
        <f>SUM('Rep monthly'!I206:K206)</f>
        <v>0</v>
      </c>
      <c r="F326" s="4">
        <f>SUM('Rep monthly'!L206:N206)</f>
        <v>0</v>
      </c>
      <c r="G326" s="4">
        <f>SUM('Rep monthly'!O206:Q206)</f>
        <v>0</v>
      </c>
      <c r="H326" s="4">
        <f>SUM('Rep monthly'!R206:T206)</f>
        <v>112600</v>
      </c>
      <c r="I326" s="4">
        <f>SUM('Rep monthly'!U206:W206)</f>
        <v>32900</v>
      </c>
    </row>
    <row r="327">
      <c r="A327" s="0" t="inlineStr">
        <is>
          <t xml:space="preserve">Commit</t>
        </is>
      </c>
      <c r="B327" s="0" t="inlineStr">
        <is>
          <t xml:space="preserve">Wei Novak</t>
        </is>
      </c>
      <c r="C327" s="4">
        <f>SUM('Rep monthly'!C207:E207)</f>
        <v>0</v>
      </c>
      <c r="D327" s="4">
        <f>SUM('Rep monthly'!F207:H207)</f>
        <v>0</v>
      </c>
      <c r="E327" s="4">
        <f>SUM('Rep monthly'!I207:K207)</f>
        <v>0</v>
      </c>
      <c r="F327" s="4">
        <f>SUM('Rep monthly'!L207:N207)</f>
        <v>0</v>
      </c>
      <c r="G327" s="4">
        <f>SUM('Rep monthly'!O207:Q207)</f>
        <v>0</v>
      </c>
      <c r="H327" s="4">
        <f>SUM('Rep monthly'!R207:T207)</f>
        <v>0</v>
      </c>
      <c r="I327" s="4">
        <f>SUM('Rep monthly'!U207:W207)</f>
        <v>0</v>
      </c>
    </row>
    <row r="328">
      <c r="A328" s="0" t="inlineStr">
        <is>
          <t xml:space="preserve">Commit</t>
        </is>
      </c>
      <c r="B328" s="0" t="inlineStr">
        <is>
          <t xml:space="preserve">Nikolai Kim</t>
        </is>
      </c>
      <c r="C328" s="4">
        <f>SUM('Rep monthly'!C208:E208)</f>
        <v>0</v>
      </c>
      <c r="D328" s="4">
        <f>SUM('Rep monthly'!F208:H208)</f>
        <v>0</v>
      </c>
      <c r="E328" s="4">
        <f>SUM('Rep monthly'!I208:K208)</f>
        <v>0</v>
      </c>
      <c r="F328" s="4">
        <f>SUM('Rep monthly'!L208:N208)</f>
        <v>0</v>
      </c>
      <c r="G328" s="4">
        <f>SUM('Rep monthly'!O208:Q208)</f>
        <v>0</v>
      </c>
      <c r="H328" s="4">
        <f>SUM('Rep monthly'!R208:T208)</f>
        <v>0</v>
      </c>
      <c r="I328" s="4">
        <f>SUM('Rep monthly'!U208:W208)</f>
        <v>0</v>
      </c>
    </row>
    <row r="329">
      <c r="A329" s="0" t="inlineStr">
        <is>
          <t xml:space="preserve">Commit</t>
        </is>
      </c>
      <c r="B329" s="0" t="inlineStr">
        <is>
          <t xml:space="preserve">Wei Nair</t>
        </is>
      </c>
      <c r="C329" s="4">
        <f>SUM('Rep monthly'!C209:E209)</f>
        <v>0</v>
      </c>
      <c r="D329" s="4">
        <f>SUM('Rep monthly'!F209:H209)</f>
        <v>0</v>
      </c>
      <c r="E329" s="4">
        <f>SUM('Rep monthly'!I209:K209)</f>
        <v>0</v>
      </c>
      <c r="F329" s="4">
        <f>SUM('Rep monthly'!L209:N209)</f>
        <v>0</v>
      </c>
      <c r="G329" s="4">
        <f>SUM('Rep monthly'!O209:Q209)</f>
        <v>0</v>
      </c>
      <c r="H329" s="4">
        <f>SUM('Rep monthly'!R209:T209)</f>
        <v>0</v>
      </c>
      <c r="I329" s="4">
        <f>SUM('Rep monthly'!U209:W209)</f>
        <v>0</v>
      </c>
    </row>
    <row r="330">
      <c r="A330" s="0" t="inlineStr">
        <is>
          <t xml:space="preserve">Commit</t>
        </is>
      </c>
      <c r="B330" s="0" t="inlineStr">
        <is>
          <t xml:space="preserve">Liam Silva</t>
        </is>
      </c>
      <c r="C330" s="4">
        <f>SUM('Rep monthly'!C210:E210)</f>
        <v>0</v>
      </c>
      <c r="D330" s="4">
        <f>SUM('Rep monthly'!F210:H210)</f>
        <v>0</v>
      </c>
      <c r="E330" s="4">
        <f>SUM('Rep monthly'!I210:K210)</f>
        <v>0</v>
      </c>
      <c r="F330" s="4">
        <f>SUM('Rep monthly'!L210:N210)</f>
        <v>0</v>
      </c>
      <c r="G330" s="4">
        <f>SUM('Rep monthly'!O210:Q210)</f>
        <v>0</v>
      </c>
      <c r="H330" s="4">
        <f>SUM('Rep monthly'!R210:T210)</f>
        <v>9100</v>
      </c>
      <c r="I330" s="4">
        <f>SUM('Rep monthly'!U210:W210)</f>
        <v>58600</v>
      </c>
    </row>
    <row r="331">
      <c r="A331" s="0" t="inlineStr">
        <is>
          <t xml:space="preserve">Commit</t>
        </is>
      </c>
      <c r="B331" s="0" t="inlineStr">
        <is>
          <t xml:space="preserve">Samuel Silva</t>
        </is>
      </c>
      <c r="C331" s="4">
        <f>SUM('Rep monthly'!C211:E211)</f>
        <v>0</v>
      </c>
      <c r="D331" s="4">
        <f>SUM('Rep monthly'!F211:H211)</f>
        <v>0</v>
      </c>
      <c r="E331" s="4">
        <f>SUM('Rep monthly'!I211:K211)</f>
        <v>0</v>
      </c>
      <c r="F331" s="4">
        <f>SUM('Rep monthly'!L211:N211)</f>
        <v>0</v>
      </c>
      <c r="G331" s="4">
        <f>SUM('Rep monthly'!O211:Q211)</f>
        <v>0</v>
      </c>
      <c r="H331" s="4">
        <f>SUM('Rep monthly'!R211:T211)</f>
        <v>5800</v>
      </c>
      <c r="I331" s="4">
        <f>SUM('Rep monthly'!U211:W211)</f>
        <v>9200</v>
      </c>
    </row>
    <row r="332">
      <c r="A332" s="0" t="inlineStr">
        <is>
          <t xml:space="preserve">Commit</t>
        </is>
      </c>
      <c r="B332" s="0" t="inlineStr">
        <is>
          <t xml:space="preserve">Yuki Larsen</t>
        </is>
      </c>
      <c r="C332" s="4">
        <f>SUM('Rep monthly'!C212:E212)</f>
        <v>0</v>
      </c>
      <c r="D332" s="4">
        <f>SUM('Rep monthly'!F212:H212)</f>
        <v>0</v>
      </c>
      <c r="E332" s="4">
        <f>SUM('Rep monthly'!I212:K212)</f>
        <v>0</v>
      </c>
      <c r="F332" s="4">
        <f>SUM('Rep monthly'!L212:N212)</f>
        <v>0</v>
      </c>
      <c r="G332" s="4">
        <f>SUM('Rep monthly'!O212:Q212)</f>
        <v>0</v>
      </c>
      <c r="H332" s="4">
        <f>SUM('Rep monthly'!R212:T212)</f>
        <v>0</v>
      </c>
      <c r="I332" s="4">
        <f>SUM('Rep monthly'!U212:W212)</f>
        <v>0</v>
      </c>
    </row>
    <row r="333">
      <c r="A333" s="0" t="inlineStr">
        <is>
          <t xml:space="preserve">Commit</t>
        </is>
      </c>
      <c r="B333" s="0" t="inlineStr">
        <is>
          <t xml:space="preserve">Nikolai Sato</t>
        </is>
      </c>
      <c r="C333" s="4">
        <f>SUM('Rep monthly'!C213:E213)</f>
        <v>0</v>
      </c>
      <c r="D333" s="4">
        <f>SUM('Rep monthly'!F213:H213)</f>
        <v>0</v>
      </c>
      <c r="E333" s="4">
        <f>SUM('Rep monthly'!I213:K213)</f>
        <v>0</v>
      </c>
      <c r="F333" s="4">
        <f>SUM('Rep monthly'!L213:N213)</f>
        <v>0</v>
      </c>
      <c r="G333" s="4">
        <f>SUM('Rep monthly'!O213:Q213)</f>
        <v>0</v>
      </c>
      <c r="H333" s="4">
        <f>SUM('Rep monthly'!R213:T213)</f>
        <v>0</v>
      </c>
      <c r="I333" s="4">
        <f>SUM('Rep monthly'!U213:W213)</f>
        <v>101300</v>
      </c>
    </row>
    <row r="334">
      <c r="A334" s="0" t="inlineStr">
        <is>
          <t xml:space="preserve">Commit</t>
        </is>
      </c>
      <c r="B334" s="0" t="inlineStr">
        <is>
          <t xml:space="preserve">Elena Silva</t>
        </is>
      </c>
      <c r="C334" s="4">
        <f>SUM('Rep monthly'!C214:E214)</f>
        <v>0</v>
      </c>
      <c r="D334" s="4">
        <f>SUM('Rep monthly'!F214:H214)</f>
        <v>0</v>
      </c>
      <c r="E334" s="4">
        <f>SUM('Rep monthly'!I214:K214)</f>
        <v>0</v>
      </c>
      <c r="F334" s="4">
        <f>SUM('Rep monthly'!L214:N214)</f>
        <v>0</v>
      </c>
      <c r="G334" s="4">
        <f>SUM('Rep monthly'!O214:Q214)</f>
        <v>0</v>
      </c>
      <c r="H334" s="4">
        <f>SUM('Rep monthly'!R214:T214)</f>
        <v>29900</v>
      </c>
      <c r="I334" s="4">
        <f>SUM('Rep monthly'!U214:W214)</f>
        <v>92500</v>
      </c>
    </row>
    <row r="335">
      <c r="A335" s="0" t="inlineStr">
        <is>
          <t xml:space="preserve">Commit</t>
        </is>
      </c>
      <c r="B335" s="0" t="inlineStr">
        <is>
          <t xml:space="preserve">Arjun Müller</t>
        </is>
      </c>
      <c r="C335" s="4">
        <f>SUM('Rep monthly'!C215:E215)</f>
        <v>0</v>
      </c>
      <c r="D335" s="4">
        <f>SUM('Rep monthly'!F215:H215)</f>
        <v>0</v>
      </c>
      <c r="E335" s="4">
        <f>SUM('Rep monthly'!I215:K215)</f>
        <v>0</v>
      </c>
      <c r="F335" s="4">
        <f>SUM('Rep monthly'!L215:N215)</f>
        <v>0</v>
      </c>
      <c r="G335" s="4">
        <f>SUM('Rep monthly'!O215:Q215)</f>
        <v>0</v>
      </c>
      <c r="H335" s="4">
        <f>SUM('Rep monthly'!R215:T215)</f>
        <v>0</v>
      </c>
      <c r="I335" s="4">
        <f>SUM('Rep monthly'!U215:W215)</f>
        <v>85100</v>
      </c>
    </row>
    <row r="336">
      <c r="A336" s="0" t="inlineStr">
        <is>
          <t xml:space="preserve">Commit</t>
        </is>
      </c>
      <c r="B336" s="0" t="inlineStr">
        <is>
          <t xml:space="preserve">Nikolai Park</t>
        </is>
      </c>
      <c r="C336" s="4">
        <f>SUM('Rep monthly'!C216:E216)</f>
        <v>0</v>
      </c>
      <c r="D336" s="4">
        <f>SUM('Rep monthly'!F216:H216)</f>
        <v>0</v>
      </c>
      <c r="E336" s="4">
        <f>SUM('Rep monthly'!I216:K216)</f>
        <v>0</v>
      </c>
      <c r="F336" s="4">
        <f>SUM('Rep monthly'!L216:N216)</f>
        <v>0</v>
      </c>
      <c r="G336" s="4">
        <f>SUM('Rep monthly'!O216:Q216)</f>
        <v>0</v>
      </c>
      <c r="H336" s="4">
        <f>SUM('Rep monthly'!R216:T216)</f>
        <v>8200</v>
      </c>
      <c r="I336" s="4">
        <f>SUM('Rep monthly'!U216:W216)</f>
        <v>6200</v>
      </c>
    </row>
    <row r="337">
      <c r="A337" s="0" t="inlineStr">
        <is>
          <t xml:space="preserve">Commit</t>
        </is>
      </c>
      <c r="B337" s="0" t="inlineStr">
        <is>
          <t xml:space="preserve">Ingrid Dubois</t>
        </is>
      </c>
      <c r="C337" s="4">
        <f>SUM('Rep monthly'!C217:E217)</f>
        <v>0</v>
      </c>
      <c r="D337" s="4">
        <f>SUM('Rep monthly'!F217:H217)</f>
        <v>0</v>
      </c>
      <c r="E337" s="4">
        <f>SUM('Rep monthly'!I217:K217)</f>
        <v>0</v>
      </c>
      <c r="F337" s="4">
        <f>SUM('Rep monthly'!L217:N217)</f>
        <v>0</v>
      </c>
      <c r="G337" s="4">
        <f>SUM('Rep monthly'!O217:Q217)</f>
        <v>0</v>
      </c>
      <c r="H337" s="4">
        <f>SUM('Rep monthly'!R217:T217)</f>
        <v>6800</v>
      </c>
      <c r="I337" s="4">
        <f>SUM('Rep monthly'!U217:W217)</f>
        <v>0</v>
      </c>
    </row>
    <row r="338">
      <c r="A338" s="0" t="inlineStr">
        <is>
          <t xml:space="preserve">Best case</t>
        </is>
      </c>
      <c r="B338" s="0" t="inlineStr">
        <is>
          <t xml:space="preserve">Noor Ortiz</t>
        </is>
      </c>
      <c r="C338" s="4">
        <f>SUM('Rep monthly'!C218:E218)</f>
        <v>0</v>
      </c>
      <c r="D338" s="4">
        <f>SUM('Rep monthly'!F218:H218)</f>
        <v>0</v>
      </c>
      <c r="E338" s="4">
        <f>SUM('Rep monthly'!I218:K218)</f>
        <v>0</v>
      </c>
      <c r="F338" s="4">
        <f>SUM('Rep monthly'!L218:N218)</f>
        <v>0</v>
      </c>
      <c r="G338" s="4">
        <f>SUM('Rep monthly'!O218:Q218)</f>
        <v>0</v>
      </c>
      <c r="H338" s="4">
        <f>SUM('Rep monthly'!R218:T218)</f>
        <v>0</v>
      </c>
      <c r="I338" s="4">
        <f>SUM('Rep monthly'!U218:W218)</f>
        <v>596900</v>
      </c>
    </row>
    <row r="339">
      <c r="A339" s="0" t="inlineStr">
        <is>
          <t xml:space="preserve">Best case</t>
        </is>
      </c>
      <c r="B339" s="0" t="inlineStr">
        <is>
          <t xml:space="preserve">Priya Yilmaz</t>
        </is>
      </c>
      <c r="C339" s="4">
        <f>SUM('Rep monthly'!C219:E219)</f>
        <v>0</v>
      </c>
      <c r="D339" s="4">
        <f>SUM('Rep monthly'!F219:H219)</f>
        <v>0</v>
      </c>
      <c r="E339" s="4">
        <f>SUM('Rep monthly'!I219:K219)</f>
        <v>0</v>
      </c>
      <c r="F339" s="4">
        <f>SUM('Rep monthly'!L219:N219)</f>
        <v>0</v>
      </c>
      <c r="G339" s="4">
        <f>SUM('Rep monthly'!O219:Q219)</f>
        <v>0</v>
      </c>
      <c r="H339" s="4">
        <f>SUM('Rep monthly'!R219:T219)</f>
        <v>0</v>
      </c>
      <c r="I339" s="4">
        <f>SUM('Rep monthly'!U219:W219)</f>
        <v>0</v>
      </c>
    </row>
    <row r="340">
      <c r="A340" s="0" t="inlineStr">
        <is>
          <t xml:space="preserve">Best case</t>
        </is>
      </c>
      <c r="B340" s="0" t="inlineStr">
        <is>
          <t xml:space="preserve">Marcus Schmidt</t>
        </is>
      </c>
      <c r="C340" s="4">
        <f>SUM('Rep monthly'!C220:E220)</f>
        <v>0</v>
      </c>
      <c r="D340" s="4">
        <f>SUM('Rep monthly'!F220:H220)</f>
        <v>0</v>
      </c>
      <c r="E340" s="4">
        <f>SUM('Rep monthly'!I220:K220)</f>
        <v>0</v>
      </c>
      <c r="F340" s="4">
        <f>SUM('Rep monthly'!L220:N220)</f>
        <v>0</v>
      </c>
      <c r="G340" s="4">
        <f>SUM('Rep monthly'!O220:Q220)</f>
        <v>0</v>
      </c>
      <c r="H340" s="4">
        <f>SUM('Rep monthly'!R220:T220)</f>
        <v>164000</v>
      </c>
      <c r="I340" s="4">
        <f>SUM('Rep monthly'!U220:W220)</f>
        <v>84600</v>
      </c>
    </row>
    <row r="341">
      <c r="A341" s="0" t="inlineStr">
        <is>
          <t xml:space="preserve">Best case</t>
        </is>
      </c>
      <c r="B341" s="0" t="inlineStr">
        <is>
          <t xml:space="preserve">Amara Haddad</t>
        </is>
      </c>
      <c r="C341" s="4">
        <f>SUM('Rep monthly'!C221:E221)</f>
        <v>0</v>
      </c>
      <c r="D341" s="4">
        <f>SUM('Rep monthly'!F221:H221)</f>
        <v>0</v>
      </c>
      <c r="E341" s="4">
        <f>SUM('Rep monthly'!I221:K221)</f>
        <v>0</v>
      </c>
      <c r="F341" s="4">
        <f>SUM('Rep monthly'!L221:N221)</f>
        <v>0</v>
      </c>
      <c r="G341" s="4">
        <f>SUM('Rep monthly'!O221:Q221)</f>
        <v>0</v>
      </c>
      <c r="H341" s="4">
        <f>SUM('Rep monthly'!R221:T221)</f>
        <v>37700</v>
      </c>
      <c r="I341" s="4">
        <f>SUM('Rep monthly'!U221:W221)</f>
        <v>62900</v>
      </c>
    </row>
    <row r="342">
      <c r="A342" s="0" t="inlineStr">
        <is>
          <t xml:space="preserve">Best case</t>
        </is>
      </c>
      <c r="B342" s="0" t="inlineStr">
        <is>
          <t xml:space="preserve">Fatima Silva</t>
        </is>
      </c>
      <c r="C342" s="4">
        <f>SUM('Rep monthly'!C222:E222)</f>
        <v>0</v>
      </c>
      <c r="D342" s="4">
        <f>SUM('Rep monthly'!F222:H222)</f>
        <v>0</v>
      </c>
      <c r="E342" s="4">
        <f>SUM('Rep monthly'!I222:K222)</f>
        <v>0</v>
      </c>
      <c r="F342" s="4">
        <f>SUM('Rep monthly'!L222:N222)</f>
        <v>0</v>
      </c>
      <c r="G342" s="4">
        <f>SUM('Rep monthly'!O222:Q222)</f>
        <v>0</v>
      </c>
      <c r="H342" s="4">
        <f>SUM('Rep monthly'!R222:T222)</f>
        <v>60200</v>
      </c>
      <c r="I342" s="4">
        <f>SUM('Rep monthly'!U222:W222)</f>
        <v>13400</v>
      </c>
    </row>
    <row r="343">
      <c r="A343" s="0" t="inlineStr">
        <is>
          <t xml:space="preserve">Best case</t>
        </is>
      </c>
      <c r="B343" s="0" t="inlineStr">
        <is>
          <t xml:space="preserve">Ana Ortiz</t>
        </is>
      </c>
      <c r="C343" s="4">
        <f>SUM('Rep monthly'!C223:E223)</f>
        <v>0</v>
      </c>
      <c r="D343" s="4">
        <f>SUM('Rep monthly'!F223:H223)</f>
        <v>0</v>
      </c>
      <c r="E343" s="4">
        <f>SUM('Rep monthly'!I223:K223)</f>
        <v>0</v>
      </c>
      <c r="F343" s="4">
        <f>SUM('Rep monthly'!L223:N223)</f>
        <v>0</v>
      </c>
      <c r="G343" s="4">
        <f>SUM('Rep monthly'!O223:Q223)</f>
        <v>0</v>
      </c>
      <c r="H343" s="4">
        <f>SUM('Rep monthly'!R223:T223)</f>
        <v>0</v>
      </c>
      <c r="I343" s="4">
        <f>SUM('Rep monthly'!U223:W223)</f>
        <v>28900</v>
      </c>
    </row>
    <row r="344">
      <c r="A344" s="0" t="inlineStr">
        <is>
          <t xml:space="preserve">Best case</t>
        </is>
      </c>
      <c r="B344" s="0" t="inlineStr">
        <is>
          <t xml:space="preserve">Tobias Silva</t>
        </is>
      </c>
      <c r="C344" s="4">
        <f>SUM('Rep monthly'!C224:E224)</f>
        <v>0</v>
      </c>
      <c r="D344" s="4">
        <f>SUM('Rep monthly'!F224:H224)</f>
        <v>0</v>
      </c>
      <c r="E344" s="4">
        <f>SUM('Rep monthly'!I224:K224)</f>
        <v>0</v>
      </c>
      <c r="F344" s="4">
        <f>SUM('Rep monthly'!L224:N224)</f>
        <v>0</v>
      </c>
      <c r="G344" s="4">
        <f>SUM('Rep monthly'!O224:Q224)</f>
        <v>0</v>
      </c>
      <c r="H344" s="4">
        <f>SUM('Rep monthly'!R224:T224)</f>
        <v>230300</v>
      </c>
      <c r="I344" s="4">
        <f>SUM('Rep monthly'!U224:W224)</f>
        <v>166100</v>
      </c>
    </row>
    <row r="345">
      <c r="A345" s="0" t="inlineStr">
        <is>
          <t xml:space="preserve">Best case</t>
        </is>
      </c>
      <c r="B345" s="0" t="inlineStr">
        <is>
          <t xml:space="preserve">Leila Osei</t>
        </is>
      </c>
      <c r="C345" s="4">
        <f>SUM('Rep monthly'!C225:E225)</f>
        <v>0</v>
      </c>
      <c r="D345" s="4">
        <f>SUM('Rep monthly'!F225:H225)</f>
        <v>0</v>
      </c>
      <c r="E345" s="4">
        <f>SUM('Rep monthly'!I225:K225)</f>
        <v>0</v>
      </c>
      <c r="F345" s="4">
        <f>SUM('Rep monthly'!L225:N225)</f>
        <v>0</v>
      </c>
      <c r="G345" s="4">
        <f>SUM('Rep monthly'!O225:Q225)</f>
        <v>0</v>
      </c>
      <c r="H345" s="4">
        <f>SUM('Rep monthly'!R225:T225)</f>
        <v>136300</v>
      </c>
      <c r="I345" s="4">
        <f>SUM('Rep monthly'!U225:W225)</f>
        <v>153100</v>
      </c>
    </row>
    <row r="346">
      <c r="A346" s="0" t="inlineStr">
        <is>
          <t xml:space="preserve">Best case</t>
        </is>
      </c>
      <c r="B346" s="0" t="inlineStr">
        <is>
          <t xml:space="preserve">Grace Costa</t>
        </is>
      </c>
      <c r="C346" s="4">
        <f>SUM('Rep monthly'!C226:E226)</f>
        <v>0</v>
      </c>
      <c r="D346" s="4">
        <f>SUM('Rep monthly'!F226:H226)</f>
        <v>0</v>
      </c>
      <c r="E346" s="4">
        <f>SUM('Rep monthly'!I226:K226)</f>
        <v>0</v>
      </c>
      <c r="F346" s="4">
        <f>SUM('Rep monthly'!L226:N226)</f>
        <v>0</v>
      </c>
      <c r="G346" s="4">
        <f>SUM('Rep monthly'!O226:Q226)</f>
        <v>0</v>
      </c>
      <c r="H346" s="4">
        <f>SUM('Rep monthly'!R226:T226)</f>
        <v>44500</v>
      </c>
      <c r="I346" s="4">
        <f>SUM('Rep monthly'!U226:W226)</f>
        <v>104100</v>
      </c>
    </row>
    <row r="347">
      <c r="A347" s="0" t="inlineStr">
        <is>
          <t xml:space="preserve">Best case</t>
        </is>
      </c>
      <c r="B347" s="0" t="inlineStr">
        <is>
          <t xml:space="preserve">Ingrid Müller</t>
        </is>
      </c>
      <c r="C347" s="4">
        <f>SUM('Rep monthly'!C227:E227)</f>
        <v>0</v>
      </c>
      <c r="D347" s="4">
        <f>SUM('Rep monthly'!F227:H227)</f>
        <v>0</v>
      </c>
      <c r="E347" s="4">
        <f>SUM('Rep monthly'!I227:K227)</f>
        <v>0</v>
      </c>
      <c r="F347" s="4">
        <f>SUM('Rep monthly'!L227:N227)</f>
        <v>0</v>
      </c>
      <c r="G347" s="4">
        <f>SUM('Rep monthly'!O227:Q227)</f>
        <v>0</v>
      </c>
      <c r="H347" s="4">
        <f>SUM('Rep monthly'!R227:T227)</f>
        <v>0</v>
      </c>
      <c r="I347" s="4">
        <f>SUM('Rep monthly'!U227:W227)</f>
        <v>0</v>
      </c>
    </row>
    <row r="348">
      <c r="A348" s="0" t="inlineStr">
        <is>
          <t xml:space="preserve">Best case</t>
        </is>
      </c>
      <c r="B348" s="0" t="inlineStr">
        <is>
          <t xml:space="preserve">Ingrid Kim</t>
        </is>
      </c>
      <c r="C348" s="4">
        <f>SUM('Rep monthly'!C228:E228)</f>
        <v>0</v>
      </c>
      <c r="D348" s="4">
        <f>SUM('Rep monthly'!F228:H228)</f>
        <v>0</v>
      </c>
      <c r="E348" s="4">
        <f>SUM('Rep monthly'!I228:K228)</f>
        <v>0</v>
      </c>
      <c r="F348" s="4">
        <f>SUM('Rep monthly'!L228:N228)</f>
        <v>0</v>
      </c>
      <c r="G348" s="4">
        <f>SUM('Rep monthly'!O228:Q228)</f>
        <v>0</v>
      </c>
      <c r="H348" s="4">
        <f>SUM('Rep monthly'!R228:T228)</f>
        <v>0</v>
      </c>
      <c r="I348" s="4">
        <f>SUM('Rep monthly'!U228:W228)</f>
        <v>19400</v>
      </c>
    </row>
    <row r="349">
      <c r="A349" s="0" t="inlineStr">
        <is>
          <t xml:space="preserve">Best case</t>
        </is>
      </c>
      <c r="B349" s="0" t="inlineStr">
        <is>
          <t xml:space="preserve">Priya Nair</t>
        </is>
      </c>
      <c r="C349" s="4">
        <f>SUM('Rep monthly'!C229:E229)</f>
        <v>0</v>
      </c>
      <c r="D349" s="4">
        <f>SUM('Rep monthly'!F229:H229)</f>
        <v>0</v>
      </c>
      <c r="E349" s="4">
        <f>SUM('Rep monthly'!I229:K229)</f>
        <v>0</v>
      </c>
      <c r="F349" s="4">
        <f>SUM('Rep monthly'!L229:N229)</f>
        <v>0</v>
      </c>
      <c r="G349" s="4">
        <f>SUM('Rep monthly'!O229:Q229)</f>
        <v>0</v>
      </c>
      <c r="H349" s="4">
        <f>SUM('Rep monthly'!R229:T229)</f>
        <v>15300</v>
      </c>
      <c r="I349" s="4">
        <f>SUM('Rep monthly'!U229:W229)</f>
        <v>100800</v>
      </c>
    </row>
    <row r="350">
      <c r="A350" s="0" t="inlineStr">
        <is>
          <t xml:space="preserve">Best case</t>
        </is>
      </c>
      <c r="B350" s="0" t="inlineStr">
        <is>
          <t xml:space="preserve">Hugo Lindqvist</t>
        </is>
      </c>
      <c r="C350" s="4">
        <f>SUM('Rep monthly'!C230:E230)</f>
        <v>0</v>
      </c>
      <c r="D350" s="4">
        <f>SUM('Rep monthly'!F230:H230)</f>
        <v>0</v>
      </c>
      <c r="E350" s="4">
        <f>SUM('Rep monthly'!I230:K230)</f>
        <v>0</v>
      </c>
      <c r="F350" s="4">
        <f>SUM('Rep monthly'!L230:N230)</f>
        <v>0</v>
      </c>
      <c r="G350" s="4">
        <f>SUM('Rep monthly'!O230:Q230)</f>
        <v>0</v>
      </c>
      <c r="H350" s="4">
        <f>SUM('Rep monthly'!R230:T230)</f>
        <v>0</v>
      </c>
      <c r="I350" s="4">
        <f>SUM('Rep monthly'!U230:W230)</f>
        <v>327200</v>
      </c>
    </row>
    <row r="351">
      <c r="A351" s="0" t="inlineStr">
        <is>
          <t xml:space="preserve">Best case</t>
        </is>
      </c>
      <c r="B351" s="0" t="inlineStr">
        <is>
          <t xml:space="preserve">Wei Novak</t>
        </is>
      </c>
      <c r="C351" s="4">
        <f>SUM('Rep monthly'!C231:E231)</f>
        <v>0</v>
      </c>
      <c r="D351" s="4">
        <f>SUM('Rep monthly'!F231:H231)</f>
        <v>0</v>
      </c>
      <c r="E351" s="4">
        <f>SUM('Rep monthly'!I231:K231)</f>
        <v>0</v>
      </c>
      <c r="F351" s="4">
        <f>SUM('Rep monthly'!L231:N231)</f>
        <v>0</v>
      </c>
      <c r="G351" s="4">
        <f>SUM('Rep monthly'!O231:Q231)</f>
        <v>0</v>
      </c>
      <c r="H351" s="4">
        <f>SUM('Rep monthly'!R231:T231)</f>
        <v>0</v>
      </c>
      <c r="I351" s="4">
        <f>SUM('Rep monthly'!U231:W231)</f>
        <v>0</v>
      </c>
    </row>
    <row r="352">
      <c r="A352" s="0" t="inlineStr">
        <is>
          <t xml:space="preserve">Best case</t>
        </is>
      </c>
      <c r="B352" s="0" t="inlineStr">
        <is>
          <t xml:space="preserve">Nikolai Kim</t>
        </is>
      </c>
      <c r="C352" s="4">
        <f>SUM('Rep monthly'!C232:E232)</f>
        <v>0</v>
      </c>
      <c r="D352" s="4">
        <f>SUM('Rep monthly'!F232:H232)</f>
        <v>0</v>
      </c>
      <c r="E352" s="4">
        <f>SUM('Rep monthly'!I232:K232)</f>
        <v>0</v>
      </c>
      <c r="F352" s="4">
        <f>SUM('Rep monthly'!L232:N232)</f>
        <v>0</v>
      </c>
      <c r="G352" s="4">
        <f>SUM('Rep monthly'!O232:Q232)</f>
        <v>0</v>
      </c>
      <c r="H352" s="4">
        <f>SUM('Rep monthly'!R232:T232)</f>
        <v>51100</v>
      </c>
      <c r="I352" s="4">
        <f>SUM('Rep monthly'!U232:W232)</f>
        <v>0</v>
      </c>
    </row>
    <row r="353">
      <c r="A353" s="0" t="inlineStr">
        <is>
          <t xml:space="preserve">Best case</t>
        </is>
      </c>
      <c r="B353" s="0" t="inlineStr">
        <is>
          <t xml:space="preserve">Wei Nair</t>
        </is>
      </c>
      <c r="C353" s="4">
        <f>SUM('Rep monthly'!C233:E233)</f>
        <v>0</v>
      </c>
      <c r="D353" s="4">
        <f>SUM('Rep monthly'!F233:H233)</f>
        <v>0</v>
      </c>
      <c r="E353" s="4">
        <f>SUM('Rep monthly'!I233:K233)</f>
        <v>0</v>
      </c>
      <c r="F353" s="4">
        <f>SUM('Rep monthly'!L233:N233)</f>
        <v>0</v>
      </c>
      <c r="G353" s="4">
        <f>SUM('Rep monthly'!O233:Q233)</f>
        <v>0</v>
      </c>
      <c r="H353" s="4">
        <f>SUM('Rep monthly'!R233:T233)</f>
        <v>46900</v>
      </c>
      <c r="I353" s="4">
        <f>SUM('Rep monthly'!U233:W233)</f>
        <v>0</v>
      </c>
    </row>
    <row r="354">
      <c r="A354" s="0" t="inlineStr">
        <is>
          <t xml:space="preserve">Best case</t>
        </is>
      </c>
      <c r="B354" s="0" t="inlineStr">
        <is>
          <t xml:space="preserve">Liam Silva</t>
        </is>
      </c>
      <c r="C354" s="4">
        <f>SUM('Rep monthly'!C234:E234)</f>
        <v>0</v>
      </c>
      <c r="D354" s="4">
        <f>SUM('Rep monthly'!F234:H234)</f>
        <v>0</v>
      </c>
      <c r="E354" s="4">
        <f>SUM('Rep monthly'!I234:K234)</f>
        <v>0</v>
      </c>
      <c r="F354" s="4">
        <f>SUM('Rep monthly'!L234:N234)</f>
        <v>0</v>
      </c>
      <c r="G354" s="4">
        <f>SUM('Rep monthly'!O234:Q234)</f>
        <v>0</v>
      </c>
      <c r="H354" s="4">
        <f>SUM('Rep monthly'!R234:T234)</f>
        <v>16100</v>
      </c>
      <c r="I354" s="4">
        <f>SUM('Rep monthly'!U234:W234)</f>
        <v>43600</v>
      </c>
    </row>
    <row r="355">
      <c r="A355" s="0" t="inlineStr">
        <is>
          <t xml:space="preserve">Best case</t>
        </is>
      </c>
      <c r="B355" s="0" t="inlineStr">
        <is>
          <t xml:space="preserve">Samuel Silva</t>
        </is>
      </c>
      <c r="C355" s="4">
        <f>SUM('Rep monthly'!C235:E235)</f>
        <v>0</v>
      </c>
      <c r="D355" s="4">
        <f>SUM('Rep monthly'!F235:H235)</f>
        <v>0</v>
      </c>
      <c r="E355" s="4">
        <f>SUM('Rep monthly'!I235:K235)</f>
        <v>0</v>
      </c>
      <c r="F355" s="4">
        <f>SUM('Rep monthly'!L235:N235)</f>
        <v>0</v>
      </c>
      <c r="G355" s="4">
        <f>SUM('Rep monthly'!O235:Q235)</f>
        <v>0</v>
      </c>
      <c r="H355" s="4">
        <f>SUM('Rep monthly'!R235:T235)</f>
        <v>0</v>
      </c>
      <c r="I355" s="4">
        <f>SUM('Rep monthly'!U235:W235)</f>
        <v>35700</v>
      </c>
    </row>
    <row r="356">
      <c r="A356" s="0" t="inlineStr">
        <is>
          <t xml:space="preserve">Best case</t>
        </is>
      </c>
      <c r="B356" s="0" t="inlineStr">
        <is>
          <t xml:space="preserve">Yuki Larsen</t>
        </is>
      </c>
      <c r="C356" s="4">
        <f>SUM('Rep monthly'!C236:E236)</f>
        <v>0</v>
      </c>
      <c r="D356" s="4">
        <f>SUM('Rep monthly'!F236:H236)</f>
        <v>0</v>
      </c>
      <c r="E356" s="4">
        <f>SUM('Rep monthly'!I236:K236)</f>
        <v>0</v>
      </c>
      <c r="F356" s="4">
        <f>SUM('Rep monthly'!L236:N236)</f>
        <v>0</v>
      </c>
      <c r="G356" s="4">
        <f>SUM('Rep monthly'!O236:Q236)</f>
        <v>0</v>
      </c>
      <c r="H356" s="4">
        <f>SUM('Rep monthly'!R236:T236)</f>
        <v>0</v>
      </c>
      <c r="I356" s="4">
        <f>SUM('Rep monthly'!U236:W236)</f>
        <v>74900</v>
      </c>
    </row>
    <row r="357">
      <c r="A357" s="0" t="inlineStr">
        <is>
          <t xml:space="preserve">Best case</t>
        </is>
      </c>
      <c r="B357" s="0" t="inlineStr">
        <is>
          <t xml:space="preserve">Nikolai Sato</t>
        </is>
      </c>
      <c r="C357" s="4">
        <f>SUM('Rep monthly'!C237:E237)</f>
        <v>0</v>
      </c>
      <c r="D357" s="4">
        <f>SUM('Rep monthly'!F237:H237)</f>
        <v>0</v>
      </c>
      <c r="E357" s="4">
        <f>SUM('Rep monthly'!I237:K237)</f>
        <v>0</v>
      </c>
      <c r="F357" s="4">
        <f>SUM('Rep monthly'!L237:N237)</f>
        <v>0</v>
      </c>
      <c r="G357" s="4">
        <f>SUM('Rep monthly'!O237:Q237)</f>
        <v>0</v>
      </c>
      <c r="H357" s="4">
        <f>SUM('Rep monthly'!R237:T237)</f>
        <v>0</v>
      </c>
      <c r="I357" s="4">
        <f>SUM('Rep monthly'!U237:W237)</f>
        <v>0</v>
      </c>
    </row>
    <row r="358">
      <c r="A358" s="0" t="inlineStr">
        <is>
          <t xml:space="preserve">Best case</t>
        </is>
      </c>
      <c r="B358" s="0" t="inlineStr">
        <is>
          <t xml:space="preserve">Elena Silva</t>
        </is>
      </c>
      <c r="C358" s="4">
        <f>SUM('Rep monthly'!C238:E238)</f>
        <v>0</v>
      </c>
      <c r="D358" s="4">
        <f>SUM('Rep monthly'!F238:H238)</f>
        <v>0</v>
      </c>
      <c r="E358" s="4">
        <f>SUM('Rep monthly'!I238:K238)</f>
        <v>0</v>
      </c>
      <c r="F358" s="4">
        <f>SUM('Rep monthly'!L238:N238)</f>
        <v>0</v>
      </c>
      <c r="G358" s="4">
        <f>SUM('Rep monthly'!O238:Q238)</f>
        <v>0</v>
      </c>
      <c r="H358" s="4">
        <f>SUM('Rep monthly'!R238:T238)</f>
        <v>38900</v>
      </c>
      <c r="I358" s="4">
        <f>SUM('Rep monthly'!U238:W238)</f>
        <v>22000</v>
      </c>
    </row>
    <row r="359">
      <c r="A359" s="0" t="inlineStr">
        <is>
          <t xml:space="preserve">Best case</t>
        </is>
      </c>
      <c r="B359" s="0" t="inlineStr">
        <is>
          <t xml:space="preserve">Arjun Müller</t>
        </is>
      </c>
      <c r="C359" s="4">
        <f>SUM('Rep monthly'!C239:E239)</f>
        <v>0</v>
      </c>
      <c r="D359" s="4">
        <f>SUM('Rep monthly'!F239:H239)</f>
        <v>0</v>
      </c>
      <c r="E359" s="4">
        <f>SUM('Rep monthly'!I239:K239)</f>
        <v>0</v>
      </c>
      <c r="F359" s="4">
        <f>SUM('Rep monthly'!L239:N239)</f>
        <v>0</v>
      </c>
      <c r="G359" s="4">
        <f>SUM('Rep monthly'!O239:Q239)</f>
        <v>0</v>
      </c>
      <c r="H359" s="4">
        <f>SUM('Rep monthly'!R239:T239)</f>
        <v>0</v>
      </c>
      <c r="I359" s="4">
        <f>SUM('Rep monthly'!U239:W239)</f>
        <v>0</v>
      </c>
    </row>
    <row r="360">
      <c r="A360" s="0" t="inlineStr">
        <is>
          <t xml:space="preserve">Best case</t>
        </is>
      </c>
      <c r="B360" s="0" t="inlineStr">
        <is>
          <t xml:space="preserve">Nikolai Park</t>
        </is>
      </c>
      <c r="C360" s="4">
        <f>SUM('Rep monthly'!C240:E240)</f>
        <v>0</v>
      </c>
      <c r="D360" s="4">
        <f>SUM('Rep monthly'!F240:H240)</f>
        <v>0</v>
      </c>
      <c r="E360" s="4">
        <f>SUM('Rep monthly'!I240:K240)</f>
        <v>0</v>
      </c>
      <c r="F360" s="4">
        <f>SUM('Rep monthly'!L240:N240)</f>
        <v>0</v>
      </c>
      <c r="G360" s="4">
        <f>SUM('Rep monthly'!O240:Q240)</f>
        <v>0</v>
      </c>
      <c r="H360" s="4">
        <f>SUM('Rep monthly'!R240:T240)</f>
        <v>0</v>
      </c>
      <c r="I360" s="4">
        <f>SUM('Rep monthly'!U240:W240)</f>
        <v>0</v>
      </c>
    </row>
    <row r="361">
      <c r="A361" s="0" t="inlineStr">
        <is>
          <t xml:space="preserve">Best case</t>
        </is>
      </c>
      <c r="B361" s="0" t="inlineStr">
        <is>
          <t xml:space="preserve">Ingrid Dubois</t>
        </is>
      </c>
      <c r="C361" s="4">
        <f>SUM('Rep monthly'!C241:E241)</f>
        <v>0</v>
      </c>
      <c r="D361" s="4">
        <f>SUM('Rep monthly'!F241:H241)</f>
        <v>0</v>
      </c>
      <c r="E361" s="4">
        <f>SUM('Rep monthly'!I241:K241)</f>
        <v>0</v>
      </c>
      <c r="F361" s="4">
        <f>SUM('Rep monthly'!L241:N241)</f>
        <v>0</v>
      </c>
      <c r="G361" s="4">
        <f>SUM('Rep monthly'!O241:Q241)</f>
        <v>0</v>
      </c>
      <c r="H361" s="4">
        <f>SUM('Rep monthly'!R241:T241)</f>
        <v>0</v>
      </c>
      <c r="I361" s="4">
        <f>SUM('Rep monthly'!U241:W241)</f>
        <v>53100</v>
      </c>
    </row>
    <row r="362">
      <c r="A362" s="0" t="inlineStr">
        <is>
          <t xml:space="preserve">Coverage of gap (x)</t>
        </is>
      </c>
      <c r="B362" s="0" t="inlineStr">
        <is>
          <t xml:space="preserve">Noor Ortiz</t>
        </is>
      </c>
      <c r="C362" s="8">
        <f>IF(AND((C74&gt;0),(C290&gt;0)),(C290/C74),"")</f>
      </c>
      <c r="D362" s="8">
        <f>IF(AND((D74&gt;0),(D290&gt;0)),(D290/D74),"")</f>
      </c>
      <c r="E362" s="8">
        <f>IF(AND((E74&gt;0),(E290&gt;0)),(E290/E74),"")</f>
      </c>
      <c r="F362" s="8">
        <f>IF(AND((F74&gt;0),(F290&gt;0)),(F290/F74),"")</f>
      </c>
      <c r="G362" s="8">
        <f>IF(AND((G74&gt;0),(G290&gt;0)),(G290/G74),"")</f>
      </c>
      <c r="H362" s="8">
        <f>IF(AND((H74&gt;0),(H290&gt;0)),(H290/H74),"")</f>
        <v>1.094331641285956</v>
      </c>
      <c r="I362" s="8">
        <f>IF(AND((I74&gt;0),(I290&gt;0)),(I290/I74),"")</f>
        <v>9.657866666666667</v>
      </c>
    </row>
    <row r="363">
      <c r="A363" s="0" t="inlineStr">
        <is>
          <t xml:space="preserve">Coverage of gap (x)</t>
        </is>
      </c>
      <c r="B363" s="0" t="inlineStr">
        <is>
          <t xml:space="preserve">Priya Yilmaz</t>
        </is>
      </c>
      <c r="C363" s="8">
        <f>IF(AND((C75&gt;0),(C291&gt;0)),(C291/C75),"")</f>
      </c>
      <c r="D363" s="8">
        <f>IF(AND((D75&gt;0),(D291&gt;0)),(D291/D75),"")</f>
      </c>
      <c r="E363" s="8">
        <f>IF(AND((E75&gt;0),(E291&gt;0)),(E291/E75),"")</f>
      </c>
      <c r="F363" s="8">
        <f>IF(AND((F75&gt;0),(F291&gt;0)),(F291/F75),"")</f>
      </c>
      <c r="G363" s="8">
        <f>IF(AND((G75&gt;0),(G291&gt;0)),(G291/G75),"")</f>
      </c>
      <c r="H363" s="8">
        <f>IF(AND((H75&gt;0),(H291&gt;0)),(H291/H75),"")</f>
        <v>1.3648936170212767</v>
      </c>
      <c r="I363" s="8">
        <f>IF(AND((I75&gt;0),(I291&gt;0)),(I291/I75),"")</f>
        <v>1.3664893617021276</v>
      </c>
    </row>
    <row r="364">
      <c r="A364" s="0" t="inlineStr">
        <is>
          <t xml:space="preserve">Coverage of gap (x)</t>
        </is>
      </c>
      <c r="B364" s="0" t="inlineStr">
        <is>
          <t xml:space="preserve">Marcus Schmidt</t>
        </is>
      </c>
      <c r="C364" s="8">
        <f>IF(AND((C76&gt;0),(C292&gt;0)),(C292/C76),"")</f>
      </c>
      <c r="D364" s="8">
        <f>IF(AND((D76&gt;0),(D292&gt;0)),(D292/D76),"")</f>
      </c>
      <c r="E364" s="8">
        <f>IF(AND((E76&gt;0),(E292&gt;0)),(E292/E76),"")</f>
      </c>
      <c r="F364" s="8">
        <f>IF(AND((F76&gt;0),(F292&gt;0)),(F292/F76),"")</f>
      </c>
      <c r="G364" s="8">
        <f>IF(AND((G76&gt;0),(G292&gt;0)),(G292/G76),"")</f>
      </c>
      <c r="H364" s="8">
        <f>IF(AND((H76&gt;0),(H292&gt;0)),(H292/H76),"")</f>
        <v>1.9951338199513382</v>
      </c>
      <c r="I364" s="8">
        <f>IF(AND((I76&gt;0),(I292&gt;0)),(I292/I76),"")</f>
        <v>1.4188679245283018</v>
      </c>
    </row>
    <row r="365">
      <c r="A365" s="0" t="inlineStr">
        <is>
          <t xml:space="preserve">Coverage of gap (x)</t>
        </is>
      </c>
      <c r="B365" s="0" t="inlineStr">
        <is>
          <t xml:space="preserve">Amara Haddad</t>
        </is>
      </c>
      <c r="C365" s="8">
        <f>IF(AND((C77&gt;0),(C293&gt;0)),(C293/C77),"")</f>
      </c>
      <c r="D365" s="8">
        <f>IF(AND((D77&gt;0),(D293&gt;0)),(D293/D77),"")</f>
      </c>
      <c r="E365" s="8">
        <f>IF(AND((E77&gt;0),(E293&gt;0)),(E293/E77),"")</f>
      </c>
      <c r="F365" s="8">
        <f>IF(AND((F77&gt;0),(F293&gt;0)),(F293/F77),"")</f>
      </c>
      <c r="G365" s="8">
        <f>IF(AND((G77&gt;0),(G293&gt;0)),(G293/G77),"")</f>
      </c>
      <c r="H365" s="8">
        <f>IF(AND((H77&gt;0),(H293&gt;0)),(H293/H77),"")</f>
        <v>0.6043395022335674</v>
      </c>
      <c r="I365" s="8">
        <f>IF(AND((I77&gt;0),(I293&gt;0)),(I293/I77),"")</f>
        <v>3.491509433962264</v>
      </c>
    </row>
    <row r="366">
      <c r="A366" s="0" t="inlineStr">
        <is>
          <t xml:space="preserve">Coverage of gap (x)</t>
        </is>
      </c>
      <c r="B366" s="0" t="inlineStr">
        <is>
          <t xml:space="preserve">Fatima Silva</t>
        </is>
      </c>
      <c r="C366" s="8">
        <f>IF(AND((C78&gt;0),(C294&gt;0)),(C294/C78),"")</f>
      </c>
      <c r="D366" s="8">
        <f>IF(AND((D78&gt;0),(D294&gt;0)),(D294/D78),"")</f>
      </c>
      <c r="E366" s="8">
        <f>IF(AND((E78&gt;0),(E294&gt;0)),(E294/E78),"")</f>
      </c>
      <c r="F366" s="8">
        <f>IF(AND((F78&gt;0),(F294&gt;0)),(F294/F78),"")</f>
      </c>
      <c r="G366" s="8">
        <f>IF(AND((G78&gt;0),(G294&gt;0)),(G294/G78),"")</f>
      </c>
      <c r="H366" s="8">
        <f>IF(AND((H78&gt;0),(H294&gt;0)),(H294/H78),"")</f>
      </c>
      <c r="I366" s="8">
        <f>IF(AND((I78&gt;0),(I294&gt;0)),(I294/I78),"")</f>
        <v>0.7616071428571428</v>
      </c>
    </row>
    <row r="367">
      <c r="A367" s="0" t="inlineStr">
        <is>
          <t xml:space="preserve">Coverage of gap (x)</t>
        </is>
      </c>
      <c r="B367" s="0" t="inlineStr">
        <is>
          <t xml:space="preserve">Ana Ortiz</t>
        </is>
      </c>
      <c r="C367" s="8">
        <f>IF(AND((C79&gt;0),(C295&gt;0)),(C295/C79),"")</f>
      </c>
      <c r="D367" s="8">
        <f>IF(AND((D79&gt;0),(D295&gt;0)),(D295/D79),"")</f>
      </c>
      <c r="E367" s="8">
        <f>IF(AND((E79&gt;0),(E295&gt;0)),(E295/E79),"")</f>
      </c>
      <c r="F367" s="8">
        <f>IF(AND((F79&gt;0),(F295&gt;0)),(F295/F79),"")</f>
      </c>
      <c r="G367" s="8">
        <f>IF(AND((G79&gt;0),(G295&gt;0)),(G295/G79),"")</f>
      </c>
      <c r="H367" s="8">
        <f>IF(AND((H79&gt;0),(H295&gt;0)),(H295/H79),"")</f>
        <v>0.7967667436489607</v>
      </c>
      <c r="I367" s="8">
        <f>IF(AND((I79&gt;0),(I295&gt;0)),(I295/I79),"")</f>
        <v>0.9794642857142857</v>
      </c>
    </row>
    <row r="368">
      <c r="A368" s="0" t="inlineStr">
        <is>
          <t xml:space="preserve">Coverage of gap (x)</t>
        </is>
      </c>
      <c r="B368" s="0" t="inlineStr">
        <is>
          <t xml:space="preserve">Tobias Silva</t>
        </is>
      </c>
      <c r="C368" s="8">
        <f>IF(AND((C80&gt;0),(C296&gt;0)),(C296/C80),"")</f>
      </c>
      <c r="D368" s="8">
        <f>IF(AND((D80&gt;0),(D296&gt;0)),(D296/D80),"")</f>
      </c>
      <c r="E368" s="8">
        <f>IF(AND((E80&gt;0),(E296&gt;0)),(E296/E80),"")</f>
      </c>
      <c r="F368" s="8">
        <f>IF(AND((F80&gt;0),(F296&gt;0)),(F296/F80),"")</f>
      </c>
      <c r="G368" s="8">
        <f>IF(AND((G80&gt;0),(G296&gt;0)),(G296/G80),"")</f>
      </c>
      <c r="H368" s="8">
        <f>IF(AND((H80&gt;0),(H296&gt;0)),(H296/H80),"")</f>
      </c>
      <c r="I368" s="8">
        <f>IF(AND((I80&gt;0),(I296&gt;0)),(I296/I80),"")</f>
        <v>1.7010666666666667</v>
      </c>
    </row>
    <row r="369">
      <c r="A369" s="0" t="inlineStr">
        <is>
          <t xml:space="preserve">Coverage of gap (x)</t>
        </is>
      </c>
      <c r="B369" s="0" t="inlineStr">
        <is>
          <t xml:space="preserve">Leila Osei</t>
        </is>
      </c>
      <c r="C369" s="8">
        <f>IF(AND((C81&gt;0),(C297&gt;0)),(C297/C81),"")</f>
      </c>
      <c r="D369" s="8">
        <f>IF(AND((D81&gt;0),(D297&gt;0)),(D297/D81),"")</f>
      </c>
      <c r="E369" s="8">
        <f>IF(AND((E81&gt;0),(E297&gt;0)),(E297/E81),"")</f>
      </c>
      <c r="F369" s="8">
        <f>IF(AND((F81&gt;0),(F297&gt;0)),(F297/F81),"")</f>
      </c>
      <c r="G369" s="8">
        <f>IF(AND((G81&gt;0),(G297&gt;0)),(G297/G81),"")</f>
      </c>
      <c r="H369" s="8">
        <f>IF(AND((H81&gt;0),(H297&gt;0)),(H297/H81),"")</f>
      </c>
      <c r="I369" s="8">
        <f>IF(AND((I81&gt;0),(I297&gt;0)),(I297/I81),"")</f>
        <v>0.9610666666666666</v>
      </c>
    </row>
    <row r="370">
      <c r="A370" s="0" t="inlineStr">
        <is>
          <t xml:space="preserve">Coverage of gap (x)</t>
        </is>
      </c>
      <c r="B370" s="0" t="inlineStr">
        <is>
          <t xml:space="preserve">Grace Costa</t>
        </is>
      </c>
      <c r="C370" s="8">
        <f>IF(AND((C82&gt;0),(C298&gt;0)),(C298/C82),"")</f>
      </c>
      <c r="D370" s="8">
        <f>IF(AND((D82&gt;0),(D298&gt;0)),(D298/D82),"")</f>
      </c>
      <c r="E370" s="8">
        <f>IF(AND((E82&gt;0),(E298&gt;0)),(E298/E82),"")</f>
      </c>
      <c r="F370" s="8">
        <f>IF(AND((F82&gt;0),(F298&gt;0)),(F298/F82),"")</f>
      </c>
      <c r="G370" s="8">
        <f>IF(AND((G82&gt;0),(G298&gt;0)),(G298/G82),"")</f>
      </c>
      <c r="H370" s="8">
        <f>IF(AND((H82&gt;0),(H298&gt;0)),(H298/H82),"")</f>
      </c>
      <c r="I370" s="8">
        <f>IF(AND((I82&gt;0),(I298&gt;0)),(I298/I82),"")</f>
        <v>1.3726415094339623</v>
      </c>
    </row>
    <row r="371">
      <c r="A371" s="0" t="inlineStr">
        <is>
          <t xml:space="preserve">Coverage of gap (x)</t>
        </is>
      </c>
      <c r="B371" s="0" t="inlineStr">
        <is>
          <t xml:space="preserve">Ingrid Müller</t>
        </is>
      </c>
      <c r="C371" s="8">
        <f>IF(AND((C83&gt;0),(C299&gt;0)),(C299/C83),"")</f>
      </c>
      <c r="D371" s="8">
        <f>IF(AND((D83&gt;0),(D299&gt;0)),(D299/D83),"")</f>
      </c>
      <c r="E371" s="8">
        <f>IF(AND((E83&gt;0),(E299&gt;0)),(E299/E83),"")</f>
      </c>
      <c r="F371" s="8">
        <f>IF(AND((F83&gt;0),(F299&gt;0)),(F299/F83),"")</f>
      </c>
      <c r="G371" s="8">
        <f>IF(AND((G83&gt;0),(G299&gt;0)),(G299/G83),"")</f>
      </c>
      <c r="H371" s="8">
        <f>IF(AND((H83&gt;0),(H299&gt;0)),(H299/H83),"")</f>
      </c>
      <c r="I371" s="8">
        <f>IF(AND((I83&gt;0),(I299&gt;0)),(I299/I83),"")</f>
        <v>2.080503144654088</v>
      </c>
    </row>
    <row r="372">
      <c r="A372" s="0" t="inlineStr">
        <is>
          <t xml:space="preserve">Coverage of gap (x)</t>
        </is>
      </c>
      <c r="B372" s="0" t="inlineStr">
        <is>
          <t xml:space="preserve">Ingrid Kim</t>
        </is>
      </c>
      <c r="C372" s="8">
        <f>IF(AND((C84&gt;0),(C300&gt;0)),(C300/C84),"")</f>
      </c>
      <c r="D372" s="8">
        <f>IF(AND((D84&gt;0),(D300&gt;0)),(D300/D84),"")</f>
      </c>
      <c r="E372" s="8">
        <f>IF(AND((E84&gt;0),(E300&gt;0)),(E300/E84),"")</f>
      </c>
      <c r="F372" s="8">
        <f>IF(AND((F84&gt;0),(F300&gt;0)),(F300/F84),"")</f>
      </c>
      <c r="G372" s="8">
        <f>IF(AND((G84&gt;0),(G300&gt;0)),(G300/G84),"")</f>
      </c>
      <c r="H372" s="8">
        <f>IF(AND((H84&gt;0),(H300&gt;0)),(H300/H84),"")</f>
      </c>
      <c r="I372" s="8">
        <f>IF(AND((I84&gt;0),(I300&gt;0)),(I300/I84),"")</f>
        <v>0.8928571428571429</v>
      </c>
    </row>
    <row r="373">
      <c r="A373" s="0" t="inlineStr">
        <is>
          <t xml:space="preserve">Coverage of gap (x)</t>
        </is>
      </c>
      <c r="B373" s="0" t="inlineStr">
        <is>
          <t xml:space="preserve">Priya Nair</t>
        </is>
      </c>
      <c r="C373" s="8">
        <f>IF(AND((C85&gt;0),(C301&gt;0)),(C301/C85),"")</f>
      </c>
      <c r="D373" s="8">
        <f>IF(AND((D85&gt;0),(D301&gt;0)),(D301/D85),"")</f>
      </c>
      <c r="E373" s="8">
        <f>IF(AND((E85&gt;0),(E301&gt;0)),(E301/E85),"")</f>
      </c>
      <c r="F373" s="8">
        <f>IF(AND((F85&gt;0),(F301&gt;0)),(F301/F85),"")</f>
      </c>
      <c r="G373" s="8">
        <f>IF(AND((G85&gt;0),(G301&gt;0)),(G301/G85),"")</f>
      </c>
      <c r="H373" s="8">
        <f>IF(AND((H85&gt;0),(H301&gt;0)),(H301/H85),"")</f>
        <v>0.8008021390374331</v>
      </c>
      <c r="I373" s="8">
        <f>IF(AND((I85&gt;0),(I301&gt;0)),(I301/I85),"")</f>
        <v>1.1160714285714286</v>
      </c>
    </row>
    <row r="374">
      <c r="A374" s="0" t="inlineStr">
        <is>
          <t xml:space="preserve">Coverage of gap (x)</t>
        </is>
      </c>
      <c r="B374" s="0" t="inlineStr">
        <is>
          <t xml:space="preserve">Hugo Lindqvist</t>
        </is>
      </c>
      <c r="C374" s="8">
        <f>IF(AND((C86&gt;0),(C302&gt;0)),(C302/C86),"")</f>
      </c>
      <c r="D374" s="8">
        <f>IF(AND((D86&gt;0),(D302&gt;0)),(D302/D86),"")</f>
      </c>
      <c r="E374" s="8">
        <f>IF(AND((E86&gt;0),(E302&gt;0)),(E302/E86),"")</f>
      </c>
      <c r="F374" s="8">
        <f>IF(AND((F86&gt;0),(F302&gt;0)),(F302/F86),"")</f>
      </c>
      <c r="G374" s="8">
        <f>IF(AND((G86&gt;0),(G302&gt;0)),(G302/G86),"")</f>
      </c>
      <c r="H374" s="8">
        <f>IF(AND((H86&gt;0),(H302&gt;0)),(H302/H86),"")</f>
      </c>
      <c r="I374" s="8">
        <f>IF(AND((I86&gt;0),(I302&gt;0)),(I302/I86),"")</f>
        <v>1.864792899408284</v>
      </c>
    </row>
    <row r="375">
      <c r="A375" s="0" t="inlineStr">
        <is>
          <t xml:space="preserve">Coverage of gap (x)</t>
        </is>
      </c>
      <c r="B375" s="0" t="inlineStr">
        <is>
          <t xml:space="preserve">Wei Novak</t>
        </is>
      </c>
      <c r="C375" s="8">
        <f>IF(AND((C87&gt;0),(C303&gt;0)),(C303/C87),"")</f>
      </c>
      <c r="D375" s="8">
        <f>IF(AND((D87&gt;0),(D303&gt;0)),(D303/D87),"")</f>
      </c>
      <c r="E375" s="8">
        <f>IF(AND((E87&gt;0),(E303&gt;0)),(E303/E87),"")</f>
      </c>
      <c r="F375" s="8">
        <f>IF(AND((F87&gt;0),(F303&gt;0)),(F303/F87),"")</f>
      </c>
      <c r="G375" s="8">
        <f>IF(AND((G87&gt;0),(G303&gt;0)),(G303/G87),"")</f>
      </c>
      <c r="H375" s="8">
        <f>IF(AND((H87&gt;0),(H303&gt;0)),(H303/H87),"")</f>
      </c>
      <c r="I375" s="8">
        <f>IF(AND((I87&gt;0),(I303&gt;0)),(I303/I87),"")</f>
        <v>2.7624260355029584</v>
      </c>
    </row>
    <row r="376">
      <c r="A376" s="0" t="inlineStr">
        <is>
          <t xml:space="preserve">Coverage of gap (x)</t>
        </is>
      </c>
      <c r="B376" s="0" t="inlineStr">
        <is>
          <t xml:space="preserve">Nikolai Kim</t>
        </is>
      </c>
      <c r="C376" s="8">
        <f>IF(AND((C88&gt;0),(C304&gt;0)),(C304/C88),"")</f>
      </c>
      <c r="D376" s="8">
        <f>IF(AND((D88&gt;0),(D304&gt;0)),(D304/D88),"")</f>
      </c>
      <c r="E376" s="8">
        <f>IF(AND((E88&gt;0),(E304&gt;0)),(E304/E88),"")</f>
      </c>
      <c r="F376" s="8">
        <f>IF(AND((F88&gt;0),(F304&gt;0)),(F304/F88),"")</f>
      </c>
      <c r="G376" s="8">
        <f>IF(AND((G88&gt;0),(G304&gt;0)),(G304/G88),"")</f>
      </c>
      <c r="H376" s="8">
        <f>IF(AND((H88&gt;0),(H304&gt;0)),(H304/H88),"")</f>
        <v>2.3022388059701493</v>
      </c>
      <c r="I376" s="8">
        <f>IF(AND((I88&gt;0),(I304&gt;0)),(I304/I88),"")</f>
        <v>0.6263157894736842</v>
      </c>
    </row>
    <row r="377">
      <c r="A377" s="0" t="inlineStr">
        <is>
          <t xml:space="preserve">Coverage of gap (x)</t>
        </is>
      </c>
      <c r="B377" s="0" t="inlineStr">
        <is>
          <t xml:space="preserve">Wei Nair</t>
        </is>
      </c>
      <c r="C377" s="8">
        <f>IF(AND((C89&gt;0),(C305&gt;0)),(C305/C89),"")</f>
      </c>
      <c r="D377" s="8">
        <f>IF(AND((D89&gt;0),(D305&gt;0)),(D305/D89),"")</f>
      </c>
      <c r="E377" s="8">
        <f>IF(AND((E89&gt;0),(E305&gt;0)),(E305/E89),"")</f>
      </c>
      <c r="F377" s="8">
        <f>IF(AND((F89&gt;0),(F305&gt;0)),(F305/F89),"")</f>
      </c>
      <c r="G377" s="8">
        <f>IF(AND((G89&gt;0),(G305&gt;0)),(G305/G89),"")</f>
      </c>
      <c r="H377" s="8">
        <f>IF(AND((H89&gt;0),(H305&gt;0)),(H305/H89),"")</f>
        <v>0.5691747572815534</v>
      </c>
      <c r="I377" s="8">
        <f>IF(AND((I89&gt;0),(I305&gt;0)),(I305/I89),"")</f>
        <v>0.23210526315789473</v>
      </c>
    </row>
    <row r="378">
      <c r="A378" s="0" t="inlineStr">
        <is>
          <t xml:space="preserve">Coverage of gap (x)</t>
        </is>
      </c>
      <c r="B378" s="0" t="inlineStr">
        <is>
          <t xml:space="preserve">Liam Silva</t>
        </is>
      </c>
      <c r="C378" s="8">
        <f>IF(AND((C90&gt;0),(C306&gt;0)),(C306/C90),"")</f>
      </c>
      <c r="D378" s="8">
        <f>IF(AND((D90&gt;0),(D306&gt;0)),(D306/D90),"")</f>
      </c>
      <c r="E378" s="8">
        <f>IF(AND((E90&gt;0),(E306&gt;0)),(E306/E90),"")</f>
      </c>
      <c r="F378" s="8">
        <f>IF(AND((F90&gt;0),(F306&gt;0)),(F306/F90),"")</f>
      </c>
      <c r="G378" s="8">
        <f>IF(AND((G90&gt;0),(G306&gt;0)),(G306/G90),"")</f>
      </c>
      <c r="H378" s="8">
        <f>IF(AND((H90&gt;0),(H306&gt;0)),(H306/H90),"")</f>
      </c>
      <c r="I378" s="8">
        <f>IF(AND((I90&gt;0),(I306&gt;0)),(I306/I90),"")</f>
        <v>1.147</v>
      </c>
    </row>
    <row r="379">
      <c r="A379" s="0" t="inlineStr">
        <is>
          <t xml:space="preserve">Coverage of gap (x)</t>
        </is>
      </c>
      <c r="B379" s="0" t="inlineStr">
        <is>
          <t xml:space="preserve">Samuel Silva</t>
        </is>
      </c>
      <c r="C379" s="8">
        <f>IF(AND((C91&gt;0),(C307&gt;0)),(C307/C91),"")</f>
      </c>
      <c r="D379" s="8">
        <f>IF(AND((D91&gt;0),(D307&gt;0)),(D307/D91),"")</f>
      </c>
      <c r="E379" s="8">
        <f>IF(AND((E91&gt;0),(E307&gt;0)),(E307/E91),"")</f>
      </c>
      <c r="F379" s="8">
        <f>IF(AND((F91&gt;0),(F307&gt;0)),(F307/F91),"")</f>
      </c>
      <c r="G379" s="8">
        <f>IF(AND((G91&gt;0),(G307&gt;0)),(G307/G91),"")</f>
      </c>
      <c r="H379" s="8">
        <f>IF(AND((H91&gt;0),(H307&gt;0)),(H307/H91),"")</f>
        <v>0.40418118466898956</v>
      </c>
      <c r="I379" s="8">
        <f>IF(AND((I91&gt;0),(I307&gt;0)),(I307/I91),"")</f>
        <v>0.474</v>
      </c>
    </row>
    <row r="380">
      <c r="A380" s="0" t="inlineStr">
        <is>
          <t xml:space="preserve">Coverage of gap (x)</t>
        </is>
      </c>
      <c r="B380" s="0" t="inlineStr">
        <is>
          <t xml:space="preserve">Yuki Larsen</t>
        </is>
      </c>
      <c r="C380" s="8">
        <f>IF(AND((C92&gt;0),(C308&gt;0)),(C308/C92),"")</f>
      </c>
      <c r="D380" s="8">
        <f>IF(AND((D92&gt;0),(D308&gt;0)),(D308/D92),"")</f>
      </c>
      <c r="E380" s="8">
        <f>IF(AND((E92&gt;0),(E308&gt;0)),(E308/E92),"")</f>
      </c>
      <c r="F380" s="8">
        <f>IF(AND((F92&gt;0),(F308&gt;0)),(F308/F92),"")</f>
      </c>
      <c r="G380" s="8">
        <f>IF(AND((G92&gt;0),(G308&gt;0)),(G308/G92),"")</f>
      </c>
      <c r="H380" s="8">
        <f>IF(AND((H92&gt;0),(H308&gt;0)),(H308/H92),"")</f>
      </c>
      <c r="I380" s="8">
        <f>IF(AND((I92&gt;0),(I308&gt;0)),(I308/I92),"")</f>
        <v>5.520229007633588</v>
      </c>
    </row>
    <row r="381">
      <c r="A381" s="0" t="inlineStr">
        <is>
          <t xml:space="preserve">Coverage of gap (x)</t>
        </is>
      </c>
      <c r="B381" s="0" t="inlineStr">
        <is>
          <t xml:space="preserve">Nikolai Sato</t>
        </is>
      </c>
      <c r="C381" s="8">
        <f>IF(AND((C93&gt;0),(C309&gt;0)),(C309/C93),"")</f>
      </c>
      <c r="D381" s="8">
        <f>IF(AND((D93&gt;0),(D309&gt;0)),(D309/D93),"")</f>
      </c>
      <c r="E381" s="8">
        <f>IF(AND((E93&gt;0),(E309&gt;0)),(E309/E93),"")</f>
      </c>
      <c r="F381" s="8">
        <f>IF(AND((F93&gt;0),(F309&gt;0)),(F309/F93),"")</f>
      </c>
      <c r="G381" s="8">
        <f>IF(AND((G93&gt;0),(G309&gt;0)),(G309/G93),"")</f>
      </c>
      <c r="H381" s="8">
        <f>IF(AND((H93&gt;0),(H309&gt;0)),(H309/H93),"")</f>
        <v>1.4936948297604036</v>
      </c>
      <c r="I381" s="8">
        <f>IF(AND((I93&gt;0),(I309&gt;0)),(I309/I93),"")</f>
        <v>4.490839694656488</v>
      </c>
    </row>
    <row r="382">
      <c r="A382" s="0" t="inlineStr">
        <is>
          <t xml:space="preserve">Coverage of gap (x)</t>
        </is>
      </c>
      <c r="B382" s="0" t="inlineStr">
        <is>
          <t xml:space="preserve">Elena Silva</t>
        </is>
      </c>
      <c r="C382" s="8">
        <f>IF(AND((C94&gt;0),(C310&gt;0)),(C310/C94),"")</f>
      </c>
      <c r="D382" s="8">
        <f>IF(AND((D94&gt;0),(D310&gt;0)),(D310/D94),"")</f>
      </c>
      <c r="E382" s="8">
        <f>IF(AND((E94&gt;0),(E310&gt;0)),(E310/E94),"")</f>
      </c>
      <c r="F382" s="8">
        <f>IF(AND((F94&gt;0),(F310&gt;0)),(F310/F94),"")</f>
      </c>
      <c r="G382" s="8">
        <f>IF(AND((G94&gt;0),(G310&gt;0)),(G310/G94),"")</f>
      </c>
      <c r="H382" s="8">
        <f>IF(AND((H94&gt;0),(H310&gt;0)),(H310/H94),"")</f>
      </c>
      <c r="I382" s="8">
        <f>IF(AND((I94&gt;0),(I310&gt;0)),(I310/I94),"")</f>
        <v>2.928</v>
      </c>
    </row>
    <row r="383">
      <c r="A383" s="0" t="inlineStr">
        <is>
          <t xml:space="preserve">Coverage of gap (x)</t>
        </is>
      </c>
      <c r="B383" s="0" t="inlineStr">
        <is>
          <t xml:space="preserve">Arjun Müller</t>
        </is>
      </c>
      <c r="C383" s="8">
        <f>IF(AND((C95&gt;0),(C311&gt;0)),(C311/C95),"")</f>
      </c>
      <c r="D383" s="8">
        <f>IF(AND((D95&gt;0),(D311&gt;0)),(D311/D95),"")</f>
      </c>
      <c r="E383" s="8">
        <f>IF(AND((E95&gt;0),(E311&gt;0)),(E311/E95),"")</f>
      </c>
      <c r="F383" s="8">
        <f>IF(AND((F95&gt;0),(F311&gt;0)),(F311/F95),"")</f>
      </c>
      <c r="G383" s="8">
        <f>IF(AND((G95&gt;0),(G311&gt;0)),(G311/G95),"")</f>
      </c>
      <c r="H383" s="8">
        <f>IF(AND((H95&gt;0),(H311&gt;0)),(H311/H95),"")</f>
      </c>
      <c r="I383" s="8">
        <f>IF(AND((I95&gt;0),(I311&gt;0)),(I311/I95),"")</f>
        <v>0.9886666666666667</v>
      </c>
    </row>
    <row r="384">
      <c r="A384" s="0" t="inlineStr">
        <is>
          <t xml:space="preserve">Coverage of gap (x)</t>
        </is>
      </c>
      <c r="B384" s="0" t="inlineStr">
        <is>
          <t xml:space="preserve">Nikolai Park</t>
        </is>
      </c>
      <c r="C384" s="8">
        <f>IF(AND((C96&gt;0),(C312&gt;0)),(C312/C96),"")</f>
      </c>
      <c r="D384" s="8">
        <f>IF(AND((D96&gt;0),(D312&gt;0)),(D312/D96),"")</f>
      </c>
      <c r="E384" s="8">
        <f>IF(AND((E96&gt;0),(E312&gt;0)),(E312/E96),"")</f>
      </c>
      <c r="F384" s="8">
        <f>IF(AND((F96&gt;0),(F312&gt;0)),(F312/F96),"")</f>
      </c>
      <c r="G384" s="8">
        <f>IF(AND((G96&gt;0),(G312&gt;0)),(G312/G96),"")</f>
      </c>
      <c r="H384" s="8">
        <f>IF(AND((H96&gt;0),(H312&gt;0)),(H312/H96),"")</f>
        <v>0.6721311475409836</v>
      </c>
      <c r="I384" s="8">
        <f>IF(AND((I96&gt;0),(I312&gt;0)),(I312/I96),"")</f>
        <v>0.8333333333333334</v>
      </c>
    </row>
    <row r="385">
      <c r="A385" s="0" t="inlineStr">
        <is>
          <t xml:space="preserve">Coverage of gap (x)</t>
        </is>
      </c>
      <c r="B385" s="0" t="inlineStr">
        <is>
          <t xml:space="preserve">Ingrid Dubois</t>
        </is>
      </c>
      <c r="C385" s="8">
        <f>IF(AND((C97&gt;0),(C313&gt;0)),(C313/C97),"")</f>
      </c>
      <c r="D385" s="8">
        <f>IF(AND((D97&gt;0),(D313&gt;0)),(D313/D97),"")</f>
      </c>
      <c r="E385" s="8">
        <f>IF(AND((E97&gt;0),(E313&gt;0)),(E313/E97),"")</f>
      </c>
      <c r="F385" s="8">
        <f>IF(AND((F97&gt;0),(F313&gt;0)),(F313/F97),"")</f>
      </c>
      <c r="G385" s="8">
        <f>IF(AND((G97&gt;0),(G313&gt;0)),(G313/G97),"")</f>
      </c>
      <c r="H385" s="8">
        <f>IF(AND((H97&gt;0),(H313&gt;0)),(H313/H97),"")</f>
      </c>
      <c r="I385" s="8">
        <f>IF(AND((I97&gt;0),(I313&gt;0)),(I313/I97),"")</f>
        <v>1.22375</v>
      </c>
    </row>
    <row r="386">
      <c r="A386" s="0" t="inlineStr">
        <is>
          <t xml:space="preserve">Forecast</t>
        </is>
      </c>
      <c r="B386" s="0" t="inlineStr">
        <is>
          <t xml:space="preserve">Noor Ortiz</t>
        </is>
      </c>
      <c r="C386" s="4">
        <f>SUM('Rep monthly'!C266:E266)</f>
        <v>0</v>
      </c>
      <c r="D386" s="4">
        <f>SUM('Rep monthly'!F266:H266)</f>
        <v>0</v>
      </c>
      <c r="E386" s="4">
        <f>SUM('Rep monthly'!I266:K266)</f>
        <v>201200</v>
      </c>
      <c r="F386" s="4">
        <f>SUM('Rep monthly'!L266:N266)</f>
        <v>505900</v>
      </c>
      <c r="G386" s="4">
        <f>SUM('Rep monthly'!O266:Q266)</f>
        <v>436700</v>
      </c>
      <c r="H386" s="4">
        <f>SUM('Rep monthly'!R266:T266)</f>
        <v>164470</v>
      </c>
      <c r="I386" s="4">
        <f>SUM('Rep monthly'!U266:W266)</f>
        <v>1211650</v>
      </c>
    </row>
    <row r="387">
      <c r="A387" s="0" t="inlineStr">
        <is>
          <t xml:space="preserve">Forecast</t>
        </is>
      </c>
      <c r="B387" s="0" t="inlineStr">
        <is>
          <t xml:space="preserve">Priya Yilmaz</t>
        </is>
      </c>
      <c r="C387" s="4">
        <f>SUM('Rep monthly'!C267:E267)</f>
        <v>0</v>
      </c>
      <c r="D387" s="4">
        <f>SUM('Rep monthly'!F267:H267)</f>
        <v>0</v>
      </c>
      <c r="E387" s="4">
        <f>SUM('Rep monthly'!I267:K267)</f>
        <v>0</v>
      </c>
      <c r="F387" s="4">
        <f>SUM('Rep monthly'!L267:N267)</f>
        <v>0</v>
      </c>
      <c r="G387" s="4">
        <f>SUM('Rep monthly'!O267:Q267)</f>
        <v>0</v>
      </c>
      <c r="H387" s="4">
        <f>SUM('Rep monthly'!R267:T267)</f>
        <v>12830</v>
      </c>
      <c r="I387" s="4">
        <f>SUM('Rep monthly'!U267:W267)</f>
        <v>25690</v>
      </c>
    </row>
    <row r="388">
      <c r="A388" s="0" t="inlineStr">
        <is>
          <t xml:space="preserve">Forecast</t>
        </is>
      </c>
      <c r="B388" s="0" t="inlineStr">
        <is>
          <t xml:space="preserve">Marcus Schmidt</t>
        </is>
      </c>
      <c r="C388" s="4">
        <f>SUM('Rep monthly'!C268:E268)</f>
        <v>0</v>
      </c>
      <c r="D388" s="4">
        <f>SUM('Rep monthly'!F268:H268)</f>
        <v>87800</v>
      </c>
      <c r="E388" s="4">
        <f>SUM('Rep monthly'!I268:K268)</f>
        <v>190600</v>
      </c>
      <c r="F388" s="4">
        <f>SUM('Rep monthly'!L268:N268)</f>
        <v>399700</v>
      </c>
      <c r="G388" s="4">
        <f>SUM('Rep monthly'!O268:Q268)</f>
        <v>173900</v>
      </c>
      <c r="H388" s="4">
        <f>SUM('Rep monthly'!R268:T268)</f>
        <v>211800</v>
      </c>
      <c r="I388" s="4">
        <f>SUM('Rep monthly'!U268:W268)</f>
        <v>63920</v>
      </c>
    </row>
    <row r="389">
      <c r="A389" s="0" t="inlineStr">
        <is>
          <t xml:space="preserve">Forecast</t>
        </is>
      </c>
      <c r="B389" s="0" t="inlineStr">
        <is>
          <t xml:space="preserve">Amara Haddad</t>
        </is>
      </c>
      <c r="C389" s="4">
        <f>SUM('Rep monthly'!C269:E269)</f>
        <v>207800</v>
      </c>
      <c r="D389" s="4">
        <f>SUM('Rep monthly'!F269:H269)</f>
        <v>261600</v>
      </c>
      <c r="E389" s="4">
        <f>SUM('Rep monthly'!I269:K269)</f>
        <v>138100</v>
      </c>
      <c r="F389" s="4">
        <f>SUM('Rep monthly'!L269:N269)</f>
        <v>50400</v>
      </c>
      <c r="G389" s="4">
        <f>SUM('Rep monthly'!O269:Q269)</f>
        <v>37700</v>
      </c>
      <c r="H389" s="4">
        <f>SUM('Rep monthly'!R269:T269)</f>
        <v>125450</v>
      </c>
      <c r="I389" s="4">
        <f>SUM('Rep monthly'!U269:W269)</f>
        <v>135980</v>
      </c>
    </row>
    <row r="390">
      <c r="A390" s="0" t="inlineStr">
        <is>
          <t xml:space="preserve">Forecast</t>
        </is>
      </c>
      <c r="B390" s="0" t="inlineStr">
        <is>
          <t xml:space="preserve">Fatima Silva</t>
        </is>
      </c>
      <c r="C390" s="4">
        <f>SUM('Rep monthly'!C270:E270)</f>
        <v>107400</v>
      </c>
      <c r="D390" s="4">
        <f>SUM('Rep monthly'!F270:H270)</f>
        <v>110500</v>
      </c>
      <c r="E390" s="4">
        <f>SUM('Rep monthly'!I270:K270)</f>
        <v>121500</v>
      </c>
      <c r="F390" s="4">
        <f>SUM('Rep monthly'!L270:N270)</f>
        <v>62500</v>
      </c>
      <c r="G390" s="4">
        <f>SUM('Rep monthly'!O270:Q270)</f>
        <v>111600</v>
      </c>
      <c r="H390" s="4">
        <f>SUM('Rep monthly'!R270:T270)</f>
        <v>145010</v>
      </c>
      <c r="I390" s="4">
        <f>SUM('Rep monthly'!U270:W270)</f>
        <v>46530</v>
      </c>
    </row>
    <row r="391">
      <c r="A391" s="0" t="inlineStr">
        <is>
          <t xml:space="preserve">Forecast</t>
        </is>
      </c>
      <c r="B391" s="0" t="inlineStr">
        <is>
          <t xml:space="preserve">Ana Ortiz</t>
        </is>
      </c>
      <c r="C391" s="4">
        <f>SUM('Rep monthly'!C271:E271)</f>
        <v>21000</v>
      </c>
      <c r="D391" s="4">
        <f>SUM('Rep monthly'!F271:H271)</f>
        <v>97000</v>
      </c>
      <c r="E391" s="4">
        <f>SUM('Rep monthly'!I271:K271)</f>
        <v>35000</v>
      </c>
      <c r="F391" s="4">
        <f>SUM('Rep monthly'!L271:N271)</f>
        <v>57000</v>
      </c>
      <c r="G391" s="4">
        <f>SUM('Rep monthly'!O271:Q271)</f>
        <v>109000</v>
      </c>
      <c r="H391" s="4">
        <f>SUM('Rep monthly'!R271:T271)</f>
        <v>82070</v>
      </c>
      <c r="I391" s="4">
        <f>SUM('Rep monthly'!U271:W271)</f>
        <v>22530</v>
      </c>
    </row>
    <row r="392">
      <c r="A392" s="0" t="inlineStr">
        <is>
          <t xml:space="preserve">Forecast</t>
        </is>
      </c>
      <c r="B392" s="0" t="inlineStr">
        <is>
          <t xml:space="preserve">Tobias Silva</t>
        </is>
      </c>
      <c r="C392" s="4">
        <f>SUM('Rep monthly'!C272:E272)</f>
        <v>0</v>
      </c>
      <c r="D392" s="4">
        <f>SUM('Rep monthly'!F272:H272)</f>
        <v>146800</v>
      </c>
      <c r="E392" s="4">
        <f>SUM('Rep monthly'!I272:K272)</f>
        <v>0</v>
      </c>
      <c r="F392" s="4">
        <f>SUM('Rep monthly'!L272:N272)</f>
        <v>1412300</v>
      </c>
      <c r="G392" s="4">
        <f>SUM('Rep monthly'!O272:Q272)</f>
        <v>53000</v>
      </c>
      <c r="H392" s="4">
        <f>SUM('Rep monthly'!R272:T272)</f>
        <v>850670</v>
      </c>
      <c r="I392" s="4">
        <f>SUM('Rep monthly'!U272:W272)</f>
        <v>218230</v>
      </c>
    </row>
    <row r="393">
      <c r="A393" s="0" t="inlineStr">
        <is>
          <t xml:space="preserve">Forecast</t>
        </is>
      </c>
      <c r="B393" s="0" t="inlineStr">
        <is>
          <t xml:space="preserve">Leila Osei</t>
        </is>
      </c>
      <c r="C393" s="4">
        <f>SUM('Rep monthly'!C273:E273)</f>
        <v>0</v>
      </c>
      <c r="D393" s="4">
        <f>SUM('Rep monthly'!F273:H273)</f>
        <v>0</v>
      </c>
      <c r="E393" s="4">
        <f>SUM('Rep monthly'!I273:K273)</f>
        <v>0</v>
      </c>
      <c r="F393" s="4">
        <f>SUM('Rep monthly'!L273:N273)</f>
        <v>35500</v>
      </c>
      <c r="G393" s="4">
        <f>SUM('Rep monthly'!O273:Q273)</f>
        <v>355000</v>
      </c>
      <c r="H393" s="4">
        <f>SUM('Rep monthly'!R273:T273)</f>
        <v>777820</v>
      </c>
      <c r="I393" s="4">
        <f>SUM('Rep monthly'!U273:W273)</f>
        <v>97280</v>
      </c>
    </row>
    <row r="394">
      <c r="A394" s="0" t="inlineStr">
        <is>
          <t xml:space="preserve">Forecast</t>
        </is>
      </c>
      <c r="B394" s="0" t="inlineStr">
        <is>
          <t xml:space="preserve">Grace Costa</t>
        </is>
      </c>
      <c r="C394" s="4">
        <f>SUM('Rep monthly'!C274:E274)</f>
        <v>72300</v>
      </c>
      <c r="D394" s="4">
        <f>SUM('Rep monthly'!F274:H274)</f>
        <v>114000</v>
      </c>
      <c r="E394" s="4">
        <f>SUM('Rep monthly'!I274:K274)</f>
        <v>345900</v>
      </c>
      <c r="F394" s="4">
        <f>SUM('Rep monthly'!L274:N274)</f>
        <v>323600</v>
      </c>
      <c r="G394" s="4">
        <f>SUM('Rep monthly'!O274:Q274)</f>
        <v>647700</v>
      </c>
      <c r="H394" s="4">
        <f>SUM('Rep monthly'!R274:T274)</f>
        <v>492420</v>
      </c>
      <c r="I394" s="4">
        <f>SUM('Rep monthly'!U274:W274)</f>
        <v>119700</v>
      </c>
    </row>
    <row r="395">
      <c r="A395" s="0" t="inlineStr">
        <is>
          <t xml:space="preserve">Forecast</t>
        </is>
      </c>
      <c r="B395" s="0" t="inlineStr">
        <is>
          <t xml:space="preserve">Ingrid Müller</t>
        </is>
      </c>
      <c r="C395" s="4">
        <f>SUM('Rep monthly'!C275:E275)</f>
        <v>0</v>
      </c>
      <c r="D395" s="4">
        <f>SUM('Rep monthly'!F275:H275)</f>
        <v>0</v>
      </c>
      <c r="E395" s="4">
        <f>SUM('Rep monthly'!I275:K275)</f>
        <v>0</v>
      </c>
      <c r="F395" s="4">
        <f>SUM('Rep monthly'!L275:N275)</f>
        <v>0</v>
      </c>
      <c r="G395" s="4">
        <f>SUM('Rep monthly'!O275:Q275)</f>
        <v>146700</v>
      </c>
      <c r="H395" s="4">
        <f>SUM('Rep monthly'!R275:T275)</f>
        <v>272430</v>
      </c>
      <c r="I395" s="4">
        <f>SUM('Rep monthly'!U275:W275)</f>
        <v>119720</v>
      </c>
    </row>
    <row r="396">
      <c r="A396" s="0" t="inlineStr">
        <is>
          <t xml:space="preserve">Forecast</t>
        </is>
      </c>
      <c r="B396" s="0" t="inlineStr">
        <is>
          <t xml:space="preserve">Ingrid Kim</t>
        </is>
      </c>
      <c r="C396" s="4">
        <f>SUM('Rep monthly'!C276:E276)</f>
        <v>80600</v>
      </c>
      <c r="D396" s="4">
        <f>SUM('Rep monthly'!F276:H276)</f>
        <v>86600</v>
      </c>
      <c r="E396" s="4">
        <f>SUM('Rep monthly'!I276:K276)</f>
        <v>125800</v>
      </c>
      <c r="F396" s="4">
        <f>SUM('Rep monthly'!L276:N276)</f>
        <v>106500</v>
      </c>
      <c r="G396" s="4">
        <f>SUM('Rep monthly'!O276:Q276)</f>
        <v>26500</v>
      </c>
      <c r="H396" s="4">
        <f>SUM('Rep monthly'!R276:T276)</f>
        <v>89100</v>
      </c>
      <c r="I396" s="4">
        <f>SUM('Rep monthly'!U276:W276)</f>
        <v>56720</v>
      </c>
    </row>
    <row r="397">
      <c r="A397" s="0" t="inlineStr">
        <is>
          <t xml:space="preserve">Forecast</t>
        </is>
      </c>
      <c r="B397" s="0" t="inlineStr">
        <is>
          <t xml:space="preserve">Priya Nair</t>
        </is>
      </c>
      <c r="C397" s="4">
        <f>SUM('Rep monthly'!C277:E277)</f>
        <v>70600</v>
      </c>
      <c r="D397" s="4">
        <f>SUM('Rep monthly'!F277:H277)</f>
        <v>101000</v>
      </c>
      <c r="E397" s="4">
        <f>SUM('Rep monthly'!I277:K277)</f>
        <v>111600</v>
      </c>
      <c r="F397" s="4">
        <f>SUM('Rep monthly'!L277:N277)</f>
        <v>75700</v>
      </c>
      <c r="G397" s="4">
        <f>SUM('Rep monthly'!O277:Q277)</f>
        <v>103600</v>
      </c>
      <c r="H397" s="4">
        <f>SUM('Rep monthly'!R277:T277)</f>
        <v>65070</v>
      </c>
      <c r="I397" s="4">
        <f>SUM('Rep monthly'!U277:W277)</f>
        <v>52820</v>
      </c>
    </row>
    <row r="398">
      <c r="A398" s="0" t="inlineStr">
        <is>
          <t xml:space="preserve">Forecast</t>
        </is>
      </c>
      <c r="B398" s="0" t="inlineStr">
        <is>
          <t xml:space="preserve">Hugo Lindqvist</t>
        </is>
      </c>
      <c r="C398" s="4">
        <f>SUM('Rep monthly'!C278:E278)</f>
        <v>245800</v>
      </c>
      <c r="D398" s="4">
        <f>SUM('Rep monthly'!F278:H278)</f>
        <v>732500</v>
      </c>
      <c r="E398" s="4">
        <f>SUM('Rep monthly'!I278:K278)</f>
        <v>271600</v>
      </c>
      <c r="F398" s="4">
        <f>SUM('Rep monthly'!L278:N278)</f>
        <v>543300</v>
      </c>
      <c r="G398" s="4">
        <f>SUM('Rep monthly'!O278:Q278)</f>
        <v>457000</v>
      </c>
      <c r="H398" s="4">
        <f>SUM('Rep monthly'!R278:T278)</f>
        <v>495890</v>
      </c>
      <c r="I398" s="4">
        <f>SUM('Rep monthly'!U278:W278)</f>
        <v>220230</v>
      </c>
    </row>
    <row r="399">
      <c r="A399" s="0" t="inlineStr">
        <is>
          <t xml:space="preserve">Forecast</t>
        </is>
      </c>
      <c r="B399" s="0" t="inlineStr">
        <is>
          <t xml:space="preserve">Wei Novak</t>
        </is>
      </c>
      <c r="C399" s="4">
        <f>SUM('Rep monthly'!C279:E279)</f>
        <v>0</v>
      </c>
      <c r="D399" s="4">
        <f>SUM('Rep monthly'!F279:H279)</f>
        <v>0</v>
      </c>
      <c r="E399" s="4">
        <f>SUM('Rep monthly'!I279:K279)</f>
        <v>0</v>
      </c>
      <c r="F399" s="4">
        <f>SUM('Rep monthly'!L279:N279)</f>
        <v>22800</v>
      </c>
      <c r="G399" s="4">
        <f>SUM('Rep monthly'!O279:Q279)</f>
        <v>60000</v>
      </c>
      <c r="H399" s="4">
        <f>SUM('Rep monthly'!R279:T279)</f>
        <v>92900</v>
      </c>
      <c r="I399" s="4">
        <f>SUM('Rep monthly'!U279:W279)</f>
        <v>93370</v>
      </c>
    </row>
    <row r="400">
      <c r="A400" s="0" t="inlineStr">
        <is>
          <t xml:space="preserve">Forecast</t>
        </is>
      </c>
      <c r="B400" s="0" t="inlineStr">
        <is>
          <t xml:space="preserve">Nikolai Kim</t>
        </is>
      </c>
      <c r="C400" s="4">
        <f>SUM('Rep monthly'!C280:E280)</f>
        <v>261600</v>
      </c>
      <c r="D400" s="4">
        <f>SUM('Rep monthly'!F280:H280)</f>
        <v>316500</v>
      </c>
      <c r="E400" s="4">
        <f>SUM('Rep monthly'!I280:K280)</f>
        <v>304700</v>
      </c>
      <c r="F400" s="4">
        <f>SUM('Rep monthly'!L280:N280)</f>
        <v>162500</v>
      </c>
      <c r="G400" s="4">
        <f>SUM('Rep monthly'!O280:Q280)</f>
        <v>231600</v>
      </c>
      <c r="H400" s="4">
        <f>SUM('Rep monthly'!R280:T280)</f>
        <v>169180</v>
      </c>
      <c r="I400" s="4">
        <f>SUM('Rep monthly'!U280:W280)</f>
        <v>11900</v>
      </c>
    </row>
    <row r="401">
      <c r="A401" s="0" t="inlineStr">
        <is>
          <t xml:space="preserve">Forecast</t>
        </is>
      </c>
      <c r="B401" s="0" t="inlineStr">
        <is>
          <t xml:space="preserve">Wei Nair</t>
        </is>
      </c>
      <c r="C401" s="4">
        <f>SUM('Rep monthly'!C281:E281)</f>
        <v>130600</v>
      </c>
      <c r="D401" s="4">
        <f>SUM('Rep monthly'!F281:H281)</f>
        <v>112700</v>
      </c>
      <c r="E401" s="4">
        <f>SUM('Rep monthly'!I281:K281)</f>
        <v>187800</v>
      </c>
      <c r="F401" s="4">
        <f>SUM('Rep monthly'!L281:N281)</f>
        <v>153100</v>
      </c>
      <c r="G401" s="4">
        <f>SUM('Rep monthly'!O281:Q281)</f>
        <v>62500</v>
      </c>
      <c r="H401" s="4">
        <f>SUM('Rep monthly'!R281:T281)</f>
        <v>131050</v>
      </c>
      <c r="I401" s="4">
        <f>SUM('Rep monthly'!U281:W281)</f>
        <v>4410</v>
      </c>
    </row>
    <row r="402">
      <c r="A402" s="0" t="inlineStr">
        <is>
          <t xml:space="preserve">Forecast</t>
        </is>
      </c>
      <c r="B402" s="0" t="inlineStr">
        <is>
          <t xml:space="preserve">Liam Silva</t>
        </is>
      </c>
      <c r="C402" s="4">
        <f>SUM('Rep monthly'!C282:E282)</f>
        <v>3500</v>
      </c>
      <c r="D402" s="4">
        <f>SUM('Rep monthly'!F282:H282)</f>
        <v>71500</v>
      </c>
      <c r="E402" s="4">
        <f>SUM('Rep monthly'!I282:K282)</f>
        <v>101700</v>
      </c>
      <c r="F402" s="4">
        <f>SUM('Rep monthly'!L282:N282)</f>
        <v>123900</v>
      </c>
      <c r="G402" s="4">
        <f>SUM('Rep monthly'!O282:Q282)</f>
        <v>44500</v>
      </c>
      <c r="H402" s="4">
        <f>SUM('Rep monthly'!R282:T282)</f>
        <v>122490</v>
      </c>
      <c r="I402" s="4">
        <f>SUM('Rep monthly'!U282:W282)</f>
        <v>75790</v>
      </c>
    </row>
    <row r="403">
      <c r="A403" s="0" t="inlineStr">
        <is>
          <t xml:space="preserve">Forecast</t>
        </is>
      </c>
      <c r="B403" s="0" t="inlineStr">
        <is>
          <t xml:space="preserve">Samuel Silva</t>
        </is>
      </c>
      <c r="C403" s="4">
        <f>SUM('Rep monthly'!C283:E283)</f>
        <v>33900</v>
      </c>
      <c r="D403" s="4">
        <f>SUM('Rep monthly'!F283:H283)</f>
        <v>154100</v>
      </c>
      <c r="E403" s="4">
        <f>SUM('Rep monthly'!I283:K283)</f>
        <v>96900</v>
      </c>
      <c r="F403" s="4">
        <f>SUM('Rep monthly'!L283:N283)</f>
        <v>169400</v>
      </c>
      <c r="G403" s="4">
        <f>SUM('Rep monthly'!O283:Q283)</f>
        <v>100100</v>
      </c>
      <c r="H403" s="4">
        <f>SUM('Rep monthly'!R283:T283)</f>
        <v>77100</v>
      </c>
      <c r="I403" s="4">
        <f>SUM('Rep monthly'!U283:W283)</f>
        <v>26380</v>
      </c>
    </row>
    <row r="404">
      <c r="A404" s="0" t="inlineStr">
        <is>
          <t xml:space="preserve">Forecast</t>
        </is>
      </c>
      <c r="B404" s="0" t="inlineStr">
        <is>
          <t xml:space="preserve">Yuki Larsen</t>
        </is>
      </c>
      <c r="C404" s="4">
        <f>SUM('Rep monthly'!C284:E284)</f>
        <v>0</v>
      </c>
      <c r="D404" s="4">
        <f>SUM('Rep monthly'!F284:H284)</f>
        <v>148500</v>
      </c>
      <c r="E404" s="4">
        <f>SUM('Rep monthly'!I284:K284)</f>
        <v>0</v>
      </c>
      <c r="F404" s="4">
        <f>SUM('Rep monthly'!L284:N284)</f>
        <v>0</v>
      </c>
      <c r="G404" s="4">
        <f>SUM('Rep monthly'!O284:Q284)</f>
        <v>188400</v>
      </c>
      <c r="H404" s="4">
        <f>SUM('Rep monthly'!R284:T284)</f>
        <v>157600</v>
      </c>
      <c r="I404" s="4">
        <f>SUM('Rep monthly'!U284:W284)</f>
        <v>174590</v>
      </c>
    </row>
    <row r="405">
      <c r="A405" s="0" t="inlineStr">
        <is>
          <t xml:space="preserve">Forecast</t>
        </is>
      </c>
      <c r="B405" s="0" t="inlineStr">
        <is>
          <t xml:space="preserve">Nikolai Sato</t>
        </is>
      </c>
      <c r="C405" s="4">
        <f>SUM('Rep monthly'!C285:E285)</f>
        <v>99700</v>
      </c>
      <c r="D405" s="4">
        <f>SUM('Rep monthly'!F285:H285)</f>
        <v>278700</v>
      </c>
      <c r="E405" s="4">
        <f>SUM('Rep monthly'!I285:K285)</f>
        <v>64300</v>
      </c>
      <c r="F405" s="4">
        <f>SUM('Rep monthly'!L285:N285)</f>
        <v>89800</v>
      </c>
      <c r="G405" s="4">
        <f>SUM('Rep monthly'!O285:Q285)</f>
        <v>0</v>
      </c>
      <c r="H405" s="4">
        <f>SUM('Rep monthly'!R285:T285)</f>
        <v>127090</v>
      </c>
      <c r="I405" s="4">
        <f>SUM('Rep monthly'!U285:W285)</f>
        <v>198700</v>
      </c>
    </row>
    <row r="406">
      <c r="A406" s="0" t="inlineStr">
        <is>
          <t xml:space="preserve">Forecast</t>
        </is>
      </c>
      <c r="B406" s="0" t="inlineStr">
        <is>
          <t xml:space="preserve">Elena Silva</t>
        </is>
      </c>
      <c r="C406" s="4">
        <f>SUM('Rep monthly'!C286:E286)</f>
        <v>111200</v>
      </c>
      <c r="D406" s="4">
        <f>SUM('Rep monthly'!F286:H286)</f>
        <v>286100</v>
      </c>
      <c r="E406" s="4">
        <f>SUM('Rep monthly'!I286:K286)</f>
        <v>230400</v>
      </c>
      <c r="F406" s="4">
        <f>SUM('Rep monthly'!L286:N286)</f>
        <v>137200</v>
      </c>
      <c r="G406" s="4">
        <f>SUM('Rep monthly'!O286:Q286)</f>
        <v>183900</v>
      </c>
      <c r="H406" s="4">
        <f>SUM('Rep monthly'!R286:T286)</f>
        <v>249640</v>
      </c>
      <c r="I406" s="4">
        <f>SUM('Rep monthly'!U286:W286)</f>
        <v>126720</v>
      </c>
    </row>
    <row r="407">
      <c r="A407" s="0" t="inlineStr">
        <is>
          <t xml:space="preserve">Forecast</t>
        </is>
      </c>
      <c r="B407" s="0" t="inlineStr">
        <is>
          <t xml:space="preserve">Arjun Müller</t>
        </is>
      </c>
      <c r="C407" s="4">
        <f>SUM('Rep monthly'!C287:E287)</f>
        <v>25000</v>
      </c>
      <c r="D407" s="4">
        <f>SUM('Rep monthly'!F287:H287)</f>
        <v>77600</v>
      </c>
      <c r="E407" s="4">
        <f>SUM('Rep monthly'!I287:K287)</f>
        <v>175800</v>
      </c>
      <c r="F407" s="4">
        <f>SUM('Rep monthly'!L287:N287)</f>
        <v>0</v>
      </c>
      <c r="G407" s="4">
        <f>SUM('Rep monthly'!O287:Q287)</f>
        <v>193900</v>
      </c>
      <c r="H407" s="4">
        <f>SUM('Rep monthly'!R287:T287)</f>
        <v>164370</v>
      </c>
      <c r="I407" s="4">
        <f>SUM('Rep monthly'!U287:W287)</f>
        <v>82910</v>
      </c>
    </row>
    <row r="408">
      <c r="A408" s="0" t="inlineStr">
        <is>
          <t xml:space="preserve">Forecast</t>
        </is>
      </c>
      <c r="B408" s="0" t="inlineStr">
        <is>
          <t xml:space="preserve">Nikolai Park</t>
        </is>
      </c>
      <c r="C408" s="4">
        <f>SUM('Rep monthly'!C288:E288)</f>
        <v>0</v>
      </c>
      <c r="D408" s="4">
        <f>SUM('Rep monthly'!F288:H288)</f>
        <v>0</v>
      </c>
      <c r="E408" s="4">
        <f>SUM('Rep monthly'!I288:K288)</f>
        <v>0</v>
      </c>
      <c r="F408" s="4">
        <f>SUM('Rep monthly'!L288:N288)</f>
        <v>0</v>
      </c>
      <c r="G408" s="4">
        <f>SUM('Rep monthly'!O288:Q288)</f>
        <v>11000</v>
      </c>
      <c r="H408" s="4">
        <f>SUM('Rep monthly'!R288:T288)</f>
        <v>35180</v>
      </c>
      <c r="I408" s="4">
        <f>SUM('Rep monthly'!U288:W288)</f>
        <v>9960</v>
      </c>
    </row>
    <row r="409">
      <c r="A409" s="0" t="inlineStr">
        <is>
          <t xml:space="preserve">Forecast</t>
        </is>
      </c>
      <c r="B409" s="0" t="inlineStr">
        <is>
          <t xml:space="preserve">Ingrid Dubois</t>
        </is>
      </c>
      <c r="C409" s="4">
        <f>SUM('Rep monthly'!C289:E289)</f>
        <v>0</v>
      </c>
      <c r="D409" s="4">
        <f>SUM('Rep monthly'!F289:H289)</f>
        <v>124300</v>
      </c>
      <c r="E409" s="4">
        <f>SUM('Rep monthly'!I289:K289)</f>
        <v>83400</v>
      </c>
      <c r="F409" s="4">
        <f>SUM('Rep monthly'!L289:N289)</f>
        <v>30900</v>
      </c>
      <c r="G409" s="4">
        <f>SUM('Rep monthly'!O289:Q289)</f>
        <v>120700</v>
      </c>
      <c r="H409" s="4">
        <f>SUM('Rep monthly'!R289:T289)</f>
        <v>125090</v>
      </c>
      <c r="I409" s="4">
        <f>SUM('Rep monthly'!U289:W289)</f>
        <v>31030</v>
      </c>
    </row>
    <row r="410">
      <c r="A410" s="0" t="inlineStr">
        <is>
          <t xml:space="preserve">Forecast attainment</t>
        </is>
      </c>
      <c r="B410" s="0" t="inlineStr">
        <is>
          <t xml:space="preserve">Noor Ortiz</t>
        </is>
      </c>
      <c r="C410" s="12">
        <f>IFERROR((C386/C2),0)</f>
        <v>0</v>
      </c>
      <c r="D410" s="12">
        <f>IFERROR((D386/D2),0)</f>
        <v>0</v>
      </c>
      <c r="E410" s="12">
        <f>IFERROR((E386/E2),0)</f>
        <v>0.5365333333333333</v>
      </c>
      <c r="F410" s="12">
        <f>IFERROR((F386/F2),0)</f>
        <v>1.3490666666666666</v>
      </c>
      <c r="G410" s="12">
        <f>IFERROR((G386/G2),0)</f>
        <v>1.1645333333333334</v>
      </c>
      <c r="H410" s="12">
        <f>IFERROR((H386/H2),0)</f>
        <v>0.4385866666666667</v>
      </c>
      <c r="I410" s="12">
        <f>IFERROR((I386/I2),0)</f>
        <v>3.2310666666666665</v>
      </c>
    </row>
    <row r="411">
      <c r="A411" s="0" t="inlineStr">
        <is>
          <t xml:space="preserve">Forecast attainment</t>
        </is>
      </c>
      <c r="B411" s="0" t="inlineStr">
        <is>
          <t xml:space="preserve">Priya Yilmaz</t>
        </is>
      </c>
      <c r="C411" s="12">
        <f>IFERROR((C387/C3),0)</f>
        <v>0</v>
      </c>
      <c r="D411" s="12">
        <f>IFERROR((D387/D3),0)</f>
        <v>0</v>
      </c>
      <c r="E411" s="12">
        <f>IFERROR((E387/E3),0)</f>
        <v>0</v>
      </c>
      <c r="F411" s="12">
        <f>IFERROR((F387/F3),0)</f>
        <v>0</v>
      </c>
      <c r="G411" s="12">
        <f>IFERROR((G387/G3),0)</f>
        <v>0</v>
      </c>
      <c r="H411" s="12">
        <f>IFERROR((H387/H3),0)</f>
        <v>0.13648936170212767</v>
      </c>
      <c r="I411" s="12">
        <f>IFERROR((I387/I3),0)</f>
        <v>0.13664893617021276</v>
      </c>
    </row>
    <row r="412">
      <c r="A412" s="0" t="inlineStr">
        <is>
          <t xml:space="preserve">Forecast attainment</t>
        </is>
      </c>
      <c r="B412" s="0" t="inlineStr">
        <is>
          <t xml:space="preserve">Marcus Schmidt</t>
        </is>
      </c>
      <c r="C412" s="12">
        <f>IFERROR((C388/C4),0)</f>
        <v>0</v>
      </c>
      <c r="D412" s="12">
        <f>IFERROR((D388/D4),0)</f>
        <v>1.6566037735849057</v>
      </c>
      <c r="E412" s="12">
        <f>IFERROR((E388/E4),0)</f>
        <v>1.7981132075471697</v>
      </c>
      <c r="F412" s="12">
        <f>IFERROR((F388/F4),0)</f>
        <v>2.5138364779874216</v>
      </c>
      <c r="G412" s="12">
        <f>IFERROR((G388/G4),0)</f>
        <v>0.8202830188679245</v>
      </c>
      <c r="H412" s="12">
        <f>IFERROR((H388/H4),0)</f>
        <v>0.9990566037735849</v>
      </c>
      <c r="I412" s="12">
        <f>IFERROR((I388/I4),0)</f>
        <v>0.30150943396226415</v>
      </c>
    </row>
    <row r="413">
      <c r="A413" s="0" t="inlineStr">
        <is>
          <t xml:space="preserve">Forecast attainment</t>
        </is>
      </c>
      <c r="B413" s="0" t="inlineStr">
        <is>
          <t xml:space="preserve">Amara Haddad</t>
        </is>
      </c>
      <c r="C413" s="12">
        <f>IFERROR((C389/C5),0)</f>
        <v>0.980188679245283</v>
      </c>
      <c r="D413" s="12">
        <f>IFERROR((D389/D5),0)</f>
        <v>1.2339622641509433</v>
      </c>
      <c r="E413" s="12">
        <f>IFERROR((E389/E5),0)</f>
        <v>0.6514150943396226</v>
      </c>
      <c r="F413" s="12">
        <f>IFERROR((F389/F5),0)</f>
        <v>0.23773584905660378</v>
      </c>
      <c r="G413" s="12">
        <f>IFERROR((G389/G5),0)</f>
        <v>0.17783018867924527</v>
      </c>
      <c r="H413" s="12">
        <f>IFERROR((H389/H5),0)</f>
        <v>0.591745283018868</v>
      </c>
      <c r="I413" s="12">
        <f>IFERROR((I389/I5),0)</f>
        <v>0.6414150943396226</v>
      </c>
    </row>
    <row r="414">
      <c r="A414" s="0" t="inlineStr">
        <is>
          <t xml:space="preserve">Forecast attainment</t>
        </is>
      </c>
      <c r="B414" s="0" t="inlineStr">
        <is>
          <t xml:space="preserve">Fatima Silva</t>
        </is>
      </c>
      <c r="C414" s="12">
        <f>IFERROR((C390/C6),0)</f>
        <v>0.9589285714285715</v>
      </c>
      <c r="D414" s="12">
        <f>IFERROR((D390/D6),0)</f>
        <v>0.9866071428571429</v>
      </c>
      <c r="E414" s="12">
        <f>IFERROR((E390/E6),0)</f>
        <v>1.0848214285714286</v>
      </c>
      <c r="F414" s="12">
        <f>IFERROR((F390/F6),0)</f>
        <v>0.5580357142857143</v>
      </c>
      <c r="G414" s="12">
        <f>IFERROR((G390/G6),0)</f>
        <v>0.9964285714285714</v>
      </c>
      <c r="H414" s="12">
        <f>IFERROR((H390/H6),0)</f>
        <v>1.2947321428571428</v>
      </c>
      <c r="I414" s="12">
        <f>IFERROR((I390/I6),0)</f>
        <v>0.41544642857142855</v>
      </c>
    </row>
    <row r="415">
      <c r="A415" s="0" t="inlineStr">
        <is>
          <t xml:space="preserve">Forecast attainment</t>
        </is>
      </c>
      <c r="B415" s="0" t="inlineStr">
        <is>
          <t xml:space="preserve">Ana Ortiz</t>
        </is>
      </c>
      <c r="C415" s="12">
        <f>IFERROR((C391/C7),0)</f>
        <v>0.75</v>
      </c>
      <c r="D415" s="12">
        <f>IFERROR((D391/D7),0)</f>
        <v>1.7321428571428572</v>
      </c>
      <c r="E415" s="12">
        <f>IFERROR((E391/E7),0)</f>
        <v>0.4166666666666667</v>
      </c>
      <c r="F415" s="12">
        <f>IFERROR((F391/F7),0)</f>
        <v>0.5089285714285714</v>
      </c>
      <c r="G415" s="12">
        <f>IFERROR((G391/G7),0)</f>
        <v>0.9732142857142857</v>
      </c>
      <c r="H415" s="12">
        <f>IFERROR((H391/H7),0)</f>
        <v>0.7327678571428572</v>
      </c>
      <c r="I415" s="12">
        <f>IFERROR((I391/I7),0)</f>
        <v>0.20116071428571428</v>
      </c>
    </row>
    <row r="416">
      <c r="A416" s="0" t="inlineStr">
        <is>
          <t xml:space="preserve">Forecast attainment</t>
        </is>
      </c>
      <c r="B416" s="0" t="inlineStr">
        <is>
          <t xml:space="preserve">Tobias Silva</t>
        </is>
      </c>
      <c r="C416" s="12">
        <f>IFERROR((C392/C8),0)</f>
        <v>0</v>
      </c>
      <c r="D416" s="12">
        <f>IFERROR((D392/D8),0)</f>
        <v>0.3914666666666667</v>
      </c>
      <c r="E416" s="12">
        <f>IFERROR((E392/E8),0)</f>
        <v>0</v>
      </c>
      <c r="F416" s="12">
        <f>IFERROR((F392/F8),0)</f>
        <v>3.7661333333333333</v>
      </c>
      <c r="G416" s="12">
        <f>IFERROR((G392/G8),0)</f>
        <v>0.14133333333333334</v>
      </c>
      <c r="H416" s="12">
        <f>IFERROR((H392/H8),0)</f>
        <v>2.2684533333333334</v>
      </c>
      <c r="I416" s="12">
        <f>IFERROR((I392/I8),0)</f>
        <v>0.5819466666666666</v>
      </c>
    </row>
    <row r="417">
      <c r="A417" s="0" t="inlineStr">
        <is>
          <t xml:space="preserve">Forecast attainment</t>
        </is>
      </c>
      <c r="B417" s="0" t="inlineStr">
        <is>
          <t xml:space="preserve">Leila Osei</t>
        </is>
      </c>
      <c r="C417" s="12">
        <f>IFERROR((C393/C9),0)</f>
        <v>0</v>
      </c>
      <c r="D417" s="12">
        <f>IFERROR((D393/D9),0)</f>
        <v>0</v>
      </c>
      <c r="E417" s="12">
        <f>IFERROR((E393/E9),0)</f>
        <v>0</v>
      </c>
      <c r="F417" s="12">
        <f>IFERROR((F393/F9),0)</f>
        <v>0.09466666666666666</v>
      </c>
      <c r="G417" s="12">
        <f>IFERROR((G393/G9),0)</f>
        <v>0.9466666666666667</v>
      </c>
      <c r="H417" s="12">
        <f>IFERROR((H393/H9),0)</f>
        <v>2.074186666666667</v>
      </c>
      <c r="I417" s="12">
        <f>IFERROR((I393/I9),0)</f>
        <v>0.25941333333333333</v>
      </c>
    </row>
    <row r="418">
      <c r="A418" s="0" t="inlineStr">
        <is>
          <t xml:space="preserve">Forecast attainment</t>
        </is>
      </c>
      <c r="B418" s="0" t="inlineStr">
        <is>
          <t xml:space="preserve">Grace Costa</t>
        </is>
      </c>
      <c r="C418" s="12">
        <f>IFERROR((C394/C10),0)</f>
        <v>0.3410377358490566</v>
      </c>
      <c r="D418" s="12">
        <f>IFERROR((D394/D10),0)</f>
        <v>0.5377358490566038</v>
      </c>
      <c r="E418" s="12">
        <f>IFERROR((E394/E10),0)</f>
        <v>1.6316037735849056</v>
      </c>
      <c r="F418" s="12">
        <f>IFERROR((F394/F10),0)</f>
        <v>1.5264150943396226</v>
      </c>
      <c r="G418" s="12">
        <f>IFERROR((G394/G10),0)</f>
        <v>3.055188679245283</v>
      </c>
      <c r="H418" s="12">
        <f>IFERROR((H394/H10),0)</f>
        <v>2.322735849056604</v>
      </c>
      <c r="I418" s="12">
        <f>IFERROR((I394/I10),0)</f>
        <v>0.564622641509434</v>
      </c>
    </row>
    <row r="419">
      <c r="A419" s="0" t="inlineStr">
        <is>
          <t xml:space="preserve">Forecast attainment</t>
        </is>
      </c>
      <c r="B419" s="0" t="inlineStr">
        <is>
          <t xml:space="preserve">Ingrid Müller</t>
        </is>
      </c>
      <c r="C419" s="12">
        <f>IFERROR((C395/C11),0)</f>
        <v>0</v>
      </c>
      <c r="D419" s="12">
        <f>IFERROR((D395/D11),0)</f>
        <v>0</v>
      </c>
      <c r="E419" s="12">
        <f>IFERROR((E395/E11),0)</f>
        <v>0</v>
      </c>
      <c r="F419" s="12">
        <f>IFERROR((F395/F11),0)</f>
        <v>0</v>
      </c>
      <c r="G419" s="12">
        <f>IFERROR((G395/G11),0)</f>
        <v>2.767924528301887</v>
      </c>
      <c r="H419" s="12">
        <f>IFERROR((H395/H11),0)</f>
        <v>2.5700943396226417</v>
      </c>
      <c r="I419" s="12">
        <f>IFERROR((I395/I11),0)</f>
        <v>0.7529559748427673</v>
      </c>
    </row>
    <row r="420">
      <c r="A420" s="0" t="inlineStr">
        <is>
          <t xml:space="preserve">Forecast attainment</t>
        </is>
      </c>
      <c r="B420" s="0" t="inlineStr">
        <is>
          <t xml:space="preserve">Ingrid Kim</t>
        </is>
      </c>
      <c r="C420" s="12">
        <f>IFERROR((C396/C12),0)</f>
        <v>0.7196428571428571</v>
      </c>
      <c r="D420" s="12">
        <f>IFERROR((D396/D12),0)</f>
        <v>0.7732142857142857</v>
      </c>
      <c r="E420" s="12">
        <f>IFERROR((E396/E12),0)</f>
        <v>1.1232142857142857</v>
      </c>
      <c r="F420" s="12">
        <f>IFERROR((F396/F12),0)</f>
        <v>0.9508928571428571</v>
      </c>
      <c r="G420" s="12">
        <f>IFERROR((G396/G12),0)</f>
        <v>0.23660714285714285</v>
      </c>
      <c r="H420" s="12">
        <f>IFERROR((H396/H12),0)</f>
        <v>0.7955357142857142</v>
      </c>
      <c r="I420" s="12">
        <f>IFERROR((I396/I12),0)</f>
        <v>0.5064285714285715</v>
      </c>
    </row>
    <row r="421">
      <c r="A421" s="0" t="inlineStr">
        <is>
          <t xml:space="preserve">Forecast attainment</t>
        </is>
      </c>
      <c r="B421" s="0" t="inlineStr">
        <is>
          <t xml:space="preserve">Priya Nair</t>
        </is>
      </c>
      <c r="C421" s="12">
        <f>IFERROR((C397/C13),0)</f>
        <v>0.6303571428571428</v>
      </c>
      <c r="D421" s="12">
        <f>IFERROR((D397/D13),0)</f>
        <v>0.9017857142857143</v>
      </c>
      <c r="E421" s="12">
        <f>IFERROR((E397/E13),0)</f>
        <v>0.9964285714285714</v>
      </c>
      <c r="F421" s="12">
        <f>IFERROR((F397/F13),0)</f>
        <v>0.6758928571428572</v>
      </c>
      <c r="G421" s="12">
        <f>IFERROR((G397/G13),0)</f>
        <v>0.925</v>
      </c>
      <c r="H421" s="12">
        <f>IFERROR((H397/H13),0)</f>
        <v>0.5809821428571429</v>
      </c>
      <c r="I421" s="12">
        <f>IFERROR((I397/I13),0)</f>
        <v>0.47160714285714284</v>
      </c>
    </row>
    <row r="422">
      <c r="A422" s="0" t="inlineStr">
        <is>
          <t xml:space="preserve">Forecast attainment</t>
        </is>
      </c>
      <c r="B422" s="0" t="inlineStr">
        <is>
          <t xml:space="preserve">Hugo Lindqvist</t>
        </is>
      </c>
      <c r="C422" s="12">
        <f>IFERROR((C398/C14),0)</f>
        <v>0.7272189349112426</v>
      </c>
      <c r="D422" s="12">
        <f>IFERROR((D398/D14),0)</f>
        <v>2.1671597633136095</v>
      </c>
      <c r="E422" s="12">
        <f>IFERROR((E398/E14),0)</f>
        <v>0.8035502958579882</v>
      </c>
      <c r="F422" s="12">
        <f>IFERROR((F398/F14),0)</f>
        <v>1.607396449704142</v>
      </c>
      <c r="G422" s="12">
        <f>IFERROR((G398/G14),0)</f>
        <v>1.3520710059171597</v>
      </c>
      <c r="H422" s="12">
        <f>IFERROR((H398/H14),0)</f>
        <v>1.467130177514793</v>
      </c>
      <c r="I422" s="12">
        <f>IFERROR((I398/I14),0)</f>
        <v>0.6515680473372781</v>
      </c>
    </row>
    <row r="423">
      <c r="A423" s="0" t="inlineStr">
        <is>
          <t xml:space="preserve">Forecast attainment</t>
        </is>
      </c>
      <c r="B423" s="0" t="inlineStr">
        <is>
          <t xml:space="preserve">Wei Novak</t>
        </is>
      </c>
      <c r="C423" s="12">
        <f>IFERROR((C399/C15),0)</f>
        <v>0</v>
      </c>
      <c r="D423" s="12">
        <f>IFERROR((D399/D15),0)</f>
        <v>0</v>
      </c>
      <c r="E423" s="12">
        <f>IFERROR((E399/E15),0)</f>
        <v>0</v>
      </c>
      <c r="F423" s="12">
        <f>IFERROR((F399/F15),0)</f>
        <v>0.2714285714285714</v>
      </c>
      <c r="G423" s="12">
        <f>IFERROR((G399/G15),0)</f>
        <v>0.35502958579881655</v>
      </c>
      <c r="H423" s="12">
        <f>IFERROR((H399/H15),0)</f>
        <v>0.36719367588932805</v>
      </c>
      <c r="I423" s="12">
        <f>IFERROR((I399/I15),0)</f>
        <v>0.27624260355029584</v>
      </c>
    </row>
    <row r="424">
      <c r="A424" s="0" t="inlineStr">
        <is>
          <t xml:space="preserve">Forecast attainment</t>
        </is>
      </c>
      <c r="B424" s="0" t="inlineStr">
        <is>
          <t xml:space="preserve">Nikolai Kim</t>
        </is>
      </c>
      <c r="C424" s="12">
        <f>IFERROR((C400/C16),0)</f>
        <v>1.3768421052631579</v>
      </c>
      <c r="D424" s="12">
        <f>IFERROR((D400/D16),0)</f>
        <v>1.6657894736842105</v>
      </c>
      <c r="E424" s="12">
        <f>IFERROR((E400/E16),0)</f>
        <v>1.6036842105263158</v>
      </c>
      <c r="F424" s="12">
        <f>IFERROR((F400/F16),0)</f>
        <v>0.8552631578947368</v>
      </c>
      <c r="G424" s="12">
        <f>IFERROR((G400/G16),0)</f>
        <v>1.2189473684210526</v>
      </c>
      <c r="H424" s="12">
        <f>IFERROR((H400/H16),0)</f>
        <v>0.890421052631579</v>
      </c>
      <c r="I424" s="12">
        <f>IFERROR((I400/I16),0)</f>
        <v>0.06263157894736843</v>
      </c>
    </row>
    <row r="425">
      <c r="A425" s="0" t="inlineStr">
        <is>
          <t xml:space="preserve">Forecast attainment</t>
        </is>
      </c>
      <c r="B425" s="0" t="inlineStr">
        <is>
          <t xml:space="preserve">Wei Nair</t>
        </is>
      </c>
      <c r="C425" s="12">
        <f>IFERROR((C401/C17),0)</f>
        <v>0.6873684210526316</v>
      </c>
      <c r="D425" s="12">
        <f>IFERROR((D401/D17),0)</f>
        <v>0.5931578947368421</v>
      </c>
      <c r="E425" s="12">
        <f>IFERROR((E401/E17),0)</f>
        <v>0.988421052631579</v>
      </c>
      <c r="F425" s="12">
        <f>IFERROR((F401/F17),0)</f>
        <v>0.8057894736842105</v>
      </c>
      <c r="G425" s="12">
        <f>IFERROR((G401/G17),0)</f>
        <v>0.32894736842105265</v>
      </c>
      <c r="H425" s="12">
        <f>IFERROR((H401/H17),0)</f>
        <v>0.6897368421052632</v>
      </c>
      <c r="I425" s="12">
        <f>IFERROR((I401/I17),0)</f>
        <v>0.023210526315789473</v>
      </c>
    </row>
    <row r="426">
      <c r="A426" s="0" t="inlineStr">
        <is>
          <t xml:space="preserve">Forecast attainment</t>
        </is>
      </c>
      <c r="B426" s="0" t="inlineStr">
        <is>
          <t xml:space="preserve">Liam Silva</t>
        </is>
      </c>
      <c r="C426" s="12">
        <f>IFERROR((C402/C18),0)</f>
        <v>0.14</v>
      </c>
      <c r="D426" s="12">
        <f>IFERROR((D402/D18),0)</f>
        <v>1.43</v>
      </c>
      <c r="E426" s="12">
        <f>IFERROR((E402/E18),0)</f>
        <v>1.356</v>
      </c>
      <c r="F426" s="12">
        <f>IFERROR((F402/F18),0)</f>
        <v>1.239</v>
      </c>
      <c r="G426" s="12">
        <f>IFERROR((G402/G18),0)</f>
        <v>0.445</v>
      </c>
      <c r="H426" s="12">
        <f>IFERROR((H402/H18),0)</f>
        <v>1.2249</v>
      </c>
      <c r="I426" s="12">
        <f>IFERROR((I402/I18),0)</f>
        <v>0.7579</v>
      </c>
    </row>
    <row r="427">
      <c r="A427" s="0" t="inlineStr">
        <is>
          <t xml:space="preserve">Forecast attainment</t>
        </is>
      </c>
      <c r="B427" s="0" t="inlineStr">
        <is>
          <t xml:space="preserve">Samuel Silva</t>
        </is>
      </c>
      <c r="C427" s="12">
        <f>IFERROR((C403/C19),0)</f>
        <v>0.339</v>
      </c>
      <c r="D427" s="12">
        <f>IFERROR((D403/D19),0)</f>
        <v>1.541</v>
      </c>
      <c r="E427" s="12">
        <f>IFERROR((E403/E19),0)</f>
        <v>0.969</v>
      </c>
      <c r="F427" s="12">
        <f>IFERROR((F403/F19),0)</f>
        <v>1.694</v>
      </c>
      <c r="G427" s="12">
        <f>IFERROR((G403/G19),0)</f>
        <v>1.001</v>
      </c>
      <c r="H427" s="12">
        <f>IFERROR((H403/H19),0)</f>
        <v>0.771</v>
      </c>
      <c r="I427" s="12">
        <f>IFERROR((I403/I19),0)</f>
        <v>0.2638</v>
      </c>
    </row>
    <row r="428">
      <c r="A428" s="0" t="inlineStr">
        <is>
          <t xml:space="preserve">Forecast attainment</t>
        </is>
      </c>
      <c r="B428" s="0" t="inlineStr">
        <is>
          <t xml:space="preserve">Yuki Larsen</t>
        </is>
      </c>
      <c r="C428" s="12">
        <f>IFERROR((C404/C20),0)</f>
        <v>0</v>
      </c>
      <c r="D428" s="12">
        <f>IFERROR((D404/D20),0)</f>
        <v>0.566793893129771</v>
      </c>
      <c r="E428" s="12">
        <f>IFERROR((E404/E20),0)</f>
        <v>0</v>
      </c>
      <c r="F428" s="12">
        <f>IFERROR((F404/F20),0)</f>
        <v>0</v>
      </c>
      <c r="G428" s="12">
        <f>IFERROR((G404/G20),0)</f>
        <v>0.7190839694656489</v>
      </c>
      <c r="H428" s="12">
        <f>IFERROR((H404/H20),0)</f>
        <v>0.601526717557252</v>
      </c>
      <c r="I428" s="12">
        <f>IFERROR((I404/I20),0)</f>
        <v>0.6663740458015267</v>
      </c>
    </row>
    <row r="429">
      <c r="A429" s="0" t="inlineStr">
        <is>
          <t xml:space="preserve">Forecast attainment</t>
        </is>
      </c>
      <c r="B429" s="0" t="inlineStr">
        <is>
          <t xml:space="preserve">Nikolai Sato</t>
        </is>
      </c>
      <c r="C429" s="12">
        <f>IFERROR((C405/C21),0)</f>
        <v>0.38053435114503814</v>
      </c>
      <c r="D429" s="12">
        <f>IFERROR((D405/D21),0)</f>
        <v>1.0637404580152672</v>
      </c>
      <c r="E429" s="12">
        <f>IFERROR((E405/E21),0)</f>
        <v>0.24541984732824426</v>
      </c>
      <c r="F429" s="12">
        <f>IFERROR((F405/F21),0)</f>
        <v>0.3427480916030534</v>
      </c>
      <c r="G429" s="12">
        <f>IFERROR((G405/G21),0)</f>
        <v>0</v>
      </c>
      <c r="H429" s="12">
        <f>IFERROR((H405/H21),0)</f>
        <v>0.4850763358778626</v>
      </c>
      <c r="I429" s="12">
        <f>IFERROR((I405/I21),0)</f>
        <v>0.7583969465648855</v>
      </c>
    </row>
    <row r="430">
      <c r="A430" s="0" t="inlineStr">
        <is>
          <t xml:space="preserve">Forecast attainment</t>
        </is>
      </c>
      <c r="B430" s="0" t="inlineStr">
        <is>
          <t xml:space="preserve">Elena Silva</t>
        </is>
      </c>
      <c r="C430" s="12">
        <f>IFERROR((C406/C22),0)</f>
        <v>0.9928571428571429</v>
      </c>
      <c r="D430" s="12">
        <f>IFERROR((D406/D22),0)</f>
        <v>1.9073333333333333</v>
      </c>
      <c r="E430" s="12">
        <f>IFERROR((E406/E22),0)</f>
        <v>1.536</v>
      </c>
      <c r="F430" s="12">
        <f>IFERROR((F406/F22),0)</f>
        <v>0.9146666666666666</v>
      </c>
      <c r="G430" s="12">
        <f>IFERROR((G406/G22),0)</f>
        <v>1.226</v>
      </c>
      <c r="H430" s="12">
        <f>IFERROR((H406/H22),0)</f>
        <v>1.6642666666666666</v>
      </c>
      <c r="I430" s="12">
        <f>IFERROR((I406/I22),0)</f>
        <v>0.8448</v>
      </c>
    </row>
    <row r="431">
      <c r="A431" s="0" t="inlineStr">
        <is>
          <t xml:space="preserve">Forecast attainment</t>
        </is>
      </c>
      <c r="B431" s="0" t="inlineStr">
        <is>
          <t xml:space="preserve">Arjun Müller</t>
        </is>
      </c>
      <c r="C431" s="12">
        <f>IFERROR((C407/C23),0)</f>
        <v>0.16666666666666666</v>
      </c>
      <c r="D431" s="12">
        <f>IFERROR((D407/D23),0)</f>
        <v>0.5173333333333333</v>
      </c>
      <c r="E431" s="12">
        <f>IFERROR((E407/E23),0)</f>
        <v>1.172</v>
      </c>
      <c r="F431" s="12">
        <f>IFERROR((F407/F23),0)</f>
        <v>0</v>
      </c>
      <c r="G431" s="12">
        <f>IFERROR((G407/G23),0)</f>
        <v>1.2926666666666666</v>
      </c>
      <c r="H431" s="12">
        <f>IFERROR((H407/H23),0)</f>
        <v>1.0958</v>
      </c>
      <c r="I431" s="12">
        <f>IFERROR((I407/I23),0)</f>
        <v>0.5527333333333333</v>
      </c>
    </row>
    <row r="432">
      <c r="A432" s="0" t="inlineStr">
        <is>
          <t xml:space="preserve">Forecast attainment</t>
        </is>
      </c>
      <c r="B432" s="0" t="inlineStr">
        <is>
          <t xml:space="preserve">Nikolai Park</t>
        </is>
      </c>
      <c r="C432" s="12">
        <f>IFERROR((C408/C24),0)</f>
        <v>0</v>
      </c>
      <c r="D432" s="12">
        <f>IFERROR((D408/D24),0)</f>
        <v>0</v>
      </c>
      <c r="E432" s="12">
        <f>IFERROR((E408/E24),0)</f>
        <v>0</v>
      </c>
      <c r="F432" s="12">
        <f>IFERROR((F408/F24),0)</f>
        <v>0</v>
      </c>
      <c r="G432" s="12">
        <f>IFERROR((G408/G24),0)</f>
        <v>0.55</v>
      </c>
      <c r="H432" s="12">
        <f>IFERROR((H408/H24),0)</f>
        <v>0.8795</v>
      </c>
      <c r="I432" s="12">
        <f>IFERROR((I408/I24),0)</f>
        <v>0.166</v>
      </c>
    </row>
    <row r="433">
      <c r="A433" s="0" t="inlineStr">
        <is>
          <t xml:space="preserve">Forecast attainment</t>
        </is>
      </c>
      <c r="B433" s="0" t="inlineStr">
        <is>
          <t xml:space="preserve">Ingrid Dubois</t>
        </is>
      </c>
      <c r="C433" s="12">
        <f>IFERROR((C409/C25),0)</f>
        <v>0</v>
      </c>
      <c r="D433" s="12">
        <f>IFERROR((D409/D25),0)</f>
        <v>1.55375</v>
      </c>
      <c r="E433" s="12">
        <f>IFERROR((E409/E25),0)</f>
        <v>1.0425</v>
      </c>
      <c r="F433" s="12">
        <f>IFERROR((F409/F25),0)</f>
        <v>0.38625</v>
      </c>
      <c r="G433" s="12">
        <f>IFERROR((G409/G25),0)</f>
        <v>1.50875</v>
      </c>
      <c r="H433" s="12">
        <f>IFERROR((H409/H25),0)</f>
        <v>1.563625</v>
      </c>
      <c r="I433" s="12">
        <f>IFERROR((I409/I25),0)</f>
        <v>0.387875</v>
      </c>
    </row>
    <row r="434">
      <c r="A434" s="0" t="inlineStr">
        <is>
          <t xml:space="preserve">YTD bookings</t>
        </is>
      </c>
      <c r="B434" s="0" t="inlineStr">
        <is>
          <t xml:space="preserve">Noor Ortiz</t>
        </is>
      </c>
      <c r="C434" s="4">
        <f>IF((2025=2026),SUM(0),C26)</f>
        <v>0</v>
      </c>
      <c r="D434" s="4">
        <f>IF((2025=2026),SUM(0),D26)</f>
        <v>0</v>
      </c>
      <c r="E434" s="4">
        <f>IF((2025=2026),SUM(0),E26)</f>
        <v>201200</v>
      </c>
      <c r="F434" s="4">
        <f>IF((2026=2026),SUM(F26),F26)</f>
        <v>505900</v>
      </c>
      <c r="G434" s="4">
        <f>IF((2026=2026),SUM(F26:G26),G26)</f>
        <v>942600</v>
      </c>
      <c r="H434" s="4">
        <f>IF((2026=2026),SUM(F26:H26),H26)</f>
        <v>1081200</v>
      </c>
      <c r="I434" s="4">
        <f>IF((2026=2026),SUM(F26:I26),I26)</f>
        <v>1081200</v>
      </c>
    </row>
    <row r="435">
      <c r="A435" s="0" t="inlineStr">
        <is>
          <t xml:space="preserve">YTD bookings</t>
        </is>
      </c>
      <c r="B435" s="0" t="inlineStr">
        <is>
          <t xml:space="preserve">Priya Yilmaz</t>
        </is>
      </c>
      <c r="C435" s="4">
        <f>IF((2025=2026),SUM(0),C27)</f>
        <v>0</v>
      </c>
      <c r="D435" s="4">
        <f>IF((2025=2026),SUM(0),D27)</f>
        <v>0</v>
      </c>
      <c r="E435" s="4">
        <f>IF((2025=2026),SUM(0),E27)</f>
        <v>0</v>
      </c>
      <c r="F435" s="4">
        <f>IF((2026=2026),SUM(F27),F27)</f>
        <v>0</v>
      </c>
      <c r="G435" s="4">
        <f>IF((2026=2026),SUM(F27:G27),G27)</f>
        <v>0</v>
      </c>
      <c r="H435" s="4">
        <f>IF((2026=2026),SUM(F27:H27),H27)</f>
        <v>0</v>
      </c>
      <c r="I435" s="4">
        <f>IF((2026=2026),SUM(F27:I27),I27)</f>
        <v>0</v>
      </c>
    </row>
    <row r="436">
      <c r="A436" s="0" t="inlineStr">
        <is>
          <t xml:space="preserve">YTD bookings</t>
        </is>
      </c>
      <c r="B436" s="0" t="inlineStr">
        <is>
          <t xml:space="preserve">Marcus Schmidt</t>
        </is>
      </c>
      <c r="C436" s="4">
        <f>IF((2025=2026),SUM(0),C28)</f>
        <v>0</v>
      </c>
      <c r="D436" s="4">
        <f>IF((2025=2026),SUM(0),D28)</f>
        <v>87800</v>
      </c>
      <c r="E436" s="4">
        <f>IF((2025=2026),SUM(0),E28)</f>
        <v>190600</v>
      </c>
      <c r="F436" s="4">
        <f>IF((2026=2026),SUM(F28),F28)</f>
        <v>399700</v>
      </c>
      <c r="G436" s="4">
        <f>IF((2026=2026),SUM(F28:G28),G28)</f>
        <v>573600</v>
      </c>
      <c r="H436" s="4">
        <f>IF((2026=2026),SUM(F28:H28),H28)</f>
        <v>703400</v>
      </c>
      <c r="I436" s="4">
        <f>IF((2026=2026),SUM(F28:I28),I28)</f>
        <v>703400</v>
      </c>
    </row>
    <row r="437">
      <c r="A437" s="0" t="inlineStr">
        <is>
          <t xml:space="preserve">YTD bookings</t>
        </is>
      </c>
      <c r="B437" s="0" t="inlineStr">
        <is>
          <t xml:space="preserve">Amara Haddad</t>
        </is>
      </c>
      <c r="C437" s="4">
        <f>IF((2025=2026),SUM(0),C29)</f>
        <v>207800</v>
      </c>
      <c r="D437" s="4">
        <f>IF((2025=2026),SUM(0),D29)</f>
        <v>261600</v>
      </c>
      <c r="E437" s="4">
        <f>IF((2025=2026),SUM(0),E29)</f>
        <v>138100</v>
      </c>
      <c r="F437" s="4">
        <f>IF((2026=2026),SUM(F29),F29)</f>
        <v>50400</v>
      </c>
      <c r="G437" s="4">
        <f>IF((2026=2026),SUM(F29:G29),G29)</f>
        <v>88100</v>
      </c>
      <c r="H437" s="4">
        <f>IF((2026=2026),SUM(F29:H29),H29)</f>
        <v>143400</v>
      </c>
      <c r="I437" s="4">
        <f>IF((2026=2026),SUM(F29:I29),I29)</f>
        <v>143400</v>
      </c>
    </row>
    <row r="438">
      <c r="A438" s="0" t="inlineStr">
        <is>
          <t xml:space="preserve">YTD bookings</t>
        </is>
      </c>
      <c r="B438" s="0" t="inlineStr">
        <is>
          <t xml:space="preserve">Fatima Silva</t>
        </is>
      </c>
      <c r="C438" s="4">
        <f>IF((2025=2026),SUM(0),C30)</f>
        <v>107400</v>
      </c>
      <c r="D438" s="4">
        <f>IF((2025=2026),SUM(0),D30)</f>
        <v>110500</v>
      </c>
      <c r="E438" s="4">
        <f>IF((2025=2026),SUM(0),E30)</f>
        <v>121500</v>
      </c>
      <c r="F438" s="4">
        <f>IF((2026=2026),SUM(F30),F30)</f>
        <v>62500</v>
      </c>
      <c r="G438" s="4">
        <f>IF((2026=2026),SUM(F30:G30),G30)</f>
        <v>174100</v>
      </c>
      <c r="H438" s="4">
        <f>IF((2026=2026),SUM(F30:H30),H30)</f>
        <v>288300</v>
      </c>
      <c r="I438" s="4">
        <f>IF((2026=2026),SUM(F30:I30),I30)</f>
        <v>288300</v>
      </c>
    </row>
    <row r="439">
      <c r="A439" s="0" t="inlineStr">
        <is>
          <t xml:space="preserve">YTD bookings</t>
        </is>
      </c>
      <c r="B439" s="0" t="inlineStr">
        <is>
          <t xml:space="preserve">Ana Ortiz</t>
        </is>
      </c>
      <c r="C439" s="4">
        <f>IF((2025=2026),SUM(0),C31)</f>
        <v>21000</v>
      </c>
      <c r="D439" s="4">
        <f>IF((2025=2026),SUM(0),D31)</f>
        <v>97000</v>
      </c>
      <c r="E439" s="4">
        <f>IF((2025=2026),SUM(0),E31)</f>
        <v>35000</v>
      </c>
      <c r="F439" s="4">
        <f>IF((2026=2026),SUM(F31),F31)</f>
        <v>57000</v>
      </c>
      <c r="G439" s="4">
        <f>IF((2026=2026),SUM(F31:G31),G31)</f>
        <v>166000</v>
      </c>
      <c r="H439" s="4">
        <f>IF((2026=2026),SUM(F31:H31),H31)</f>
        <v>234700</v>
      </c>
      <c r="I439" s="4">
        <f>IF((2026=2026),SUM(F31:I31),I31)</f>
        <v>234700</v>
      </c>
    </row>
    <row r="440">
      <c r="A440" s="0" t="inlineStr">
        <is>
          <t xml:space="preserve">YTD bookings</t>
        </is>
      </c>
      <c r="B440" s="0" t="inlineStr">
        <is>
          <t xml:space="preserve">Tobias Silva</t>
        </is>
      </c>
      <c r="C440" s="4">
        <f>IF((2025=2026),SUM(0),C32)</f>
        <v>0</v>
      </c>
      <c r="D440" s="4">
        <f>IF((2025=2026),SUM(0),D32)</f>
        <v>146800</v>
      </c>
      <c r="E440" s="4">
        <f>IF((2025=2026),SUM(0),E32)</f>
        <v>0</v>
      </c>
      <c r="F440" s="4">
        <f>IF((2026=2026),SUM(F32),F32)</f>
        <v>1412300</v>
      </c>
      <c r="G440" s="4">
        <f>IF((2026=2026),SUM(F32:G32),G32)</f>
        <v>1465300</v>
      </c>
      <c r="H440" s="4">
        <f>IF((2026=2026),SUM(F32:H32),H32)</f>
        <v>1961600</v>
      </c>
      <c r="I440" s="4">
        <f>IF((2026=2026),SUM(F32:I32),I32)</f>
        <v>1961600</v>
      </c>
    </row>
    <row r="441">
      <c r="A441" s="0" t="inlineStr">
        <is>
          <t xml:space="preserve">YTD bookings</t>
        </is>
      </c>
      <c r="B441" s="0" t="inlineStr">
        <is>
          <t xml:space="preserve">Leila Osei</t>
        </is>
      </c>
      <c r="C441" s="4">
        <f>IF((2025=2026),SUM(0),C33)</f>
        <v>0</v>
      </c>
      <c r="D441" s="4">
        <f>IF((2025=2026),SUM(0),D33)</f>
        <v>0</v>
      </c>
      <c r="E441" s="4">
        <f>IF((2025=2026),SUM(0),E33)</f>
        <v>0</v>
      </c>
      <c r="F441" s="4">
        <f>IF((2026=2026),SUM(F33),F33)</f>
        <v>35500</v>
      </c>
      <c r="G441" s="4">
        <f>IF((2026=2026),SUM(F33:G33),G33)</f>
        <v>390500</v>
      </c>
      <c r="H441" s="4">
        <f>IF((2026=2026),SUM(F33:H33),H33)</f>
        <v>1088500</v>
      </c>
      <c r="I441" s="4">
        <f>IF((2026=2026),SUM(F33:I33),I33)</f>
        <v>1088500</v>
      </c>
    </row>
    <row r="442">
      <c r="A442" s="0" t="inlineStr">
        <is>
          <t xml:space="preserve">YTD bookings</t>
        </is>
      </c>
      <c r="B442" s="0" t="inlineStr">
        <is>
          <t xml:space="preserve">Grace Costa</t>
        </is>
      </c>
      <c r="C442" s="4">
        <f>IF((2025=2026),SUM(0),C34)</f>
        <v>72300</v>
      </c>
      <c r="D442" s="4">
        <f>IF((2025=2026),SUM(0),D34)</f>
        <v>114000</v>
      </c>
      <c r="E442" s="4">
        <f>IF((2025=2026),SUM(0),E34)</f>
        <v>345900</v>
      </c>
      <c r="F442" s="4">
        <f>IF((2026=2026),SUM(F34),F34)</f>
        <v>323600</v>
      </c>
      <c r="G442" s="4">
        <f>IF((2026=2026),SUM(F34:G34),G34)</f>
        <v>971300</v>
      </c>
      <c r="H442" s="4">
        <f>IF((2026=2026),SUM(F34:H34),H34)</f>
        <v>1353900</v>
      </c>
      <c r="I442" s="4">
        <f>IF((2026=2026),SUM(F34:I34),I34)</f>
        <v>1353900</v>
      </c>
    </row>
    <row r="443">
      <c r="A443" s="0" t="inlineStr">
        <is>
          <t xml:space="preserve">YTD bookings</t>
        </is>
      </c>
      <c r="B443" s="0" t="inlineStr">
        <is>
          <t xml:space="preserve">Ingrid Müller</t>
        </is>
      </c>
      <c r="C443" s="4">
        <f>IF((2025=2026),SUM(0),C35)</f>
        <v>0</v>
      </c>
      <c r="D443" s="4">
        <f>IF((2025=2026),SUM(0),D35)</f>
        <v>0</v>
      </c>
      <c r="E443" s="4">
        <f>IF((2025=2026),SUM(0),E35)</f>
        <v>0</v>
      </c>
      <c r="F443" s="4">
        <f>IF((2026=2026),SUM(F35),F35)</f>
        <v>0</v>
      </c>
      <c r="G443" s="4">
        <f>IF((2026=2026),SUM(F35:G35),G35)</f>
        <v>146700</v>
      </c>
      <c r="H443" s="4">
        <f>IF((2026=2026),SUM(F35:H35),H35)</f>
        <v>392400</v>
      </c>
      <c r="I443" s="4">
        <f>IF((2026=2026),SUM(F35:I35),I35)</f>
        <v>392400</v>
      </c>
    </row>
    <row r="444">
      <c r="A444" s="0" t="inlineStr">
        <is>
          <t xml:space="preserve">YTD bookings</t>
        </is>
      </c>
      <c r="B444" s="0" t="inlineStr">
        <is>
          <t xml:space="preserve">Ingrid Kim</t>
        </is>
      </c>
      <c r="C444" s="4">
        <f>IF((2025=2026),SUM(0),C36)</f>
        <v>80600</v>
      </c>
      <c r="D444" s="4">
        <f>IF((2025=2026),SUM(0),D36)</f>
        <v>86600</v>
      </c>
      <c r="E444" s="4">
        <f>IF((2025=2026),SUM(0),E36)</f>
        <v>125800</v>
      </c>
      <c r="F444" s="4">
        <f>IF((2026=2026),SUM(F36),F36)</f>
        <v>106500</v>
      </c>
      <c r="G444" s="4">
        <f>IF((2026=2026),SUM(F36:G36),G36)</f>
        <v>133000</v>
      </c>
      <c r="H444" s="4">
        <f>IF((2026=2026),SUM(F36:H36),H36)</f>
        <v>222100</v>
      </c>
      <c r="I444" s="4">
        <f>IF((2026=2026),SUM(F36:I36),I36)</f>
        <v>222100</v>
      </c>
    </row>
    <row r="445">
      <c r="A445" s="0" t="inlineStr">
        <is>
          <t xml:space="preserve">YTD bookings</t>
        </is>
      </c>
      <c r="B445" s="0" t="inlineStr">
        <is>
          <t xml:space="preserve">Priya Nair</t>
        </is>
      </c>
      <c r="C445" s="4">
        <f>IF((2025=2026),SUM(0),C37)</f>
        <v>70600</v>
      </c>
      <c r="D445" s="4">
        <f>IF((2025=2026),SUM(0),D37)</f>
        <v>101000</v>
      </c>
      <c r="E445" s="4">
        <f>IF((2025=2026),SUM(0),E37)</f>
        <v>111600</v>
      </c>
      <c r="F445" s="4">
        <f>IF((2026=2026),SUM(F37),F37)</f>
        <v>75700</v>
      </c>
      <c r="G445" s="4">
        <f>IF((2026=2026),SUM(F37:G37),G37)</f>
        <v>179300</v>
      </c>
      <c r="H445" s="4">
        <f>IF((2026=2026),SUM(F37:H37),H37)</f>
        <v>216500</v>
      </c>
      <c r="I445" s="4">
        <f>IF((2026=2026),SUM(F37:I37),I37)</f>
        <v>216500</v>
      </c>
    </row>
    <row r="446">
      <c r="A446" s="0" t="inlineStr">
        <is>
          <t xml:space="preserve">YTD bookings</t>
        </is>
      </c>
      <c r="B446" s="0" t="inlineStr">
        <is>
          <t xml:space="preserve">Hugo Lindqvist</t>
        </is>
      </c>
      <c r="C446" s="4">
        <f>IF((2025=2026),SUM(0),C38)</f>
        <v>245800</v>
      </c>
      <c r="D446" s="4">
        <f>IF((2025=2026),SUM(0),D38)</f>
        <v>732500</v>
      </c>
      <c r="E446" s="4">
        <f>IF((2025=2026),SUM(0),E38)</f>
        <v>271600</v>
      </c>
      <c r="F446" s="4">
        <f>IF((2026=2026),SUM(F38),F38)</f>
        <v>543300</v>
      </c>
      <c r="G446" s="4">
        <f>IF((2026=2026),SUM(F38:G38),G38)</f>
        <v>1000300</v>
      </c>
      <c r="H446" s="4">
        <f>IF((2026=2026),SUM(F38:H38),H38)</f>
        <v>1376900</v>
      </c>
      <c r="I446" s="4">
        <f>IF((2026=2026),SUM(F38:I38),I38)</f>
        <v>1376900</v>
      </c>
    </row>
    <row r="447">
      <c r="A447" s="0" t="inlineStr">
        <is>
          <t xml:space="preserve">YTD bookings</t>
        </is>
      </c>
      <c r="B447" s="0" t="inlineStr">
        <is>
          <t xml:space="preserve">Wei Novak</t>
        </is>
      </c>
      <c r="C447" s="4">
        <f>IF((2025=2026),SUM(0),C39)</f>
        <v>0</v>
      </c>
      <c r="D447" s="4">
        <f>IF((2025=2026),SUM(0),D39)</f>
        <v>0</v>
      </c>
      <c r="E447" s="4">
        <f>IF((2025=2026),SUM(0),E39)</f>
        <v>0</v>
      </c>
      <c r="F447" s="4">
        <f>IF((2026=2026),SUM(F39),F39)</f>
        <v>22800</v>
      </c>
      <c r="G447" s="4">
        <f>IF((2026=2026),SUM(F39:G39),G39)</f>
        <v>82800</v>
      </c>
      <c r="H447" s="4">
        <f>IF((2026=2026),SUM(F39:H39),H39)</f>
        <v>175700</v>
      </c>
      <c r="I447" s="4">
        <f>IF((2026=2026),SUM(F39:I39),I39)</f>
        <v>175700</v>
      </c>
    </row>
    <row r="448">
      <c r="A448" s="0" t="inlineStr">
        <is>
          <t xml:space="preserve">YTD bookings</t>
        </is>
      </c>
      <c r="B448" s="0" t="inlineStr">
        <is>
          <t xml:space="preserve">Nikolai Kim</t>
        </is>
      </c>
      <c r="C448" s="4">
        <f>IF((2025=2026),SUM(0),C40)</f>
        <v>261600</v>
      </c>
      <c r="D448" s="4">
        <f>IF((2025=2026),SUM(0),D40)</f>
        <v>316500</v>
      </c>
      <c r="E448" s="4">
        <f>IF((2025=2026),SUM(0),E40)</f>
        <v>304700</v>
      </c>
      <c r="F448" s="4">
        <f>IF((2026=2026),SUM(F40),F40)</f>
        <v>162500</v>
      </c>
      <c r="G448" s="4">
        <f>IF((2026=2026),SUM(F40:G40),G40)</f>
        <v>394100</v>
      </c>
      <c r="H448" s="4">
        <f>IF((2026=2026),SUM(F40:H40),H40)</f>
        <v>530500</v>
      </c>
      <c r="I448" s="4">
        <f>IF((2026=2026),SUM(F40:I40),I40)</f>
        <v>530500</v>
      </c>
    </row>
    <row r="449">
      <c r="A449" s="0" t="inlineStr">
        <is>
          <t xml:space="preserve">YTD bookings</t>
        </is>
      </c>
      <c r="B449" s="0" t="inlineStr">
        <is>
          <t xml:space="preserve">Wei Nair</t>
        </is>
      </c>
      <c r="C449" s="4">
        <f>IF((2025=2026),SUM(0),C41)</f>
        <v>130600</v>
      </c>
      <c r="D449" s="4">
        <f>IF((2025=2026),SUM(0),D41)</f>
        <v>112700</v>
      </c>
      <c r="E449" s="4">
        <f>IF((2025=2026),SUM(0),E41)</f>
        <v>187800</v>
      </c>
      <c r="F449" s="4">
        <f>IF((2026=2026),SUM(F41),F41)</f>
        <v>153100</v>
      </c>
      <c r="G449" s="4">
        <f>IF((2026=2026),SUM(F41:G41),G41)</f>
        <v>215600</v>
      </c>
      <c r="H449" s="4">
        <f>IF((2026=2026),SUM(F41:H41),H41)</f>
        <v>323200</v>
      </c>
      <c r="I449" s="4">
        <f>IF((2026=2026),SUM(F41:I41),I41)</f>
        <v>323200</v>
      </c>
    </row>
    <row r="450">
      <c r="A450" s="0" t="inlineStr">
        <is>
          <t xml:space="preserve">YTD bookings</t>
        </is>
      </c>
      <c r="B450" s="0" t="inlineStr">
        <is>
          <t xml:space="preserve">Liam Silva</t>
        </is>
      </c>
      <c r="C450" s="4">
        <f>IF((2025=2026),SUM(0),C42)</f>
        <v>3500</v>
      </c>
      <c r="D450" s="4">
        <f>IF((2025=2026),SUM(0),D42)</f>
        <v>71500</v>
      </c>
      <c r="E450" s="4">
        <f>IF((2025=2026),SUM(0),E42)</f>
        <v>101700</v>
      </c>
      <c r="F450" s="4">
        <f>IF((2026=2026),SUM(F42),F42)</f>
        <v>123900</v>
      </c>
      <c r="G450" s="4">
        <f>IF((2026=2026),SUM(F42:G42),G42)</f>
        <v>168400</v>
      </c>
      <c r="H450" s="4">
        <f>IF((2026=2026),SUM(F42:H42),H42)</f>
        <v>271400</v>
      </c>
      <c r="I450" s="4">
        <f>IF((2026=2026),SUM(F42:I42),I42)</f>
        <v>271400</v>
      </c>
    </row>
    <row r="451">
      <c r="A451" s="0" t="inlineStr">
        <is>
          <t xml:space="preserve">YTD bookings</t>
        </is>
      </c>
      <c r="B451" s="0" t="inlineStr">
        <is>
          <t xml:space="preserve">Samuel Silva</t>
        </is>
      </c>
      <c r="C451" s="4">
        <f>IF((2025=2026),SUM(0),C43)</f>
        <v>33900</v>
      </c>
      <c r="D451" s="4">
        <f>IF((2025=2026),SUM(0),D43)</f>
        <v>154100</v>
      </c>
      <c r="E451" s="4">
        <f>IF((2025=2026),SUM(0),E43)</f>
        <v>96900</v>
      </c>
      <c r="F451" s="4">
        <f>IF((2026=2026),SUM(F43),F43)</f>
        <v>169400</v>
      </c>
      <c r="G451" s="4">
        <f>IF((2026=2026),SUM(F43:G43),G43)</f>
        <v>269500</v>
      </c>
      <c r="H451" s="4">
        <f>IF((2026=2026),SUM(F43:H43),H43)</f>
        <v>340800</v>
      </c>
      <c r="I451" s="4">
        <f>IF((2026=2026),SUM(F43:I43),I43)</f>
        <v>340800</v>
      </c>
    </row>
    <row r="452">
      <c r="A452" s="0" t="inlineStr">
        <is>
          <t xml:space="preserve">YTD bookings</t>
        </is>
      </c>
      <c r="B452" s="0" t="inlineStr">
        <is>
          <t xml:space="preserve">Yuki Larsen</t>
        </is>
      </c>
      <c r="C452" s="4">
        <f>IF((2025=2026),SUM(0),C44)</f>
        <v>0</v>
      </c>
      <c r="D452" s="4">
        <f>IF((2025=2026),SUM(0),D44)</f>
        <v>148500</v>
      </c>
      <c r="E452" s="4">
        <f>IF((2025=2026),SUM(0),E44)</f>
        <v>0</v>
      </c>
      <c r="F452" s="4">
        <f>IF((2026=2026),SUM(F44),F44)</f>
        <v>0</v>
      </c>
      <c r="G452" s="4">
        <f>IF((2026=2026),SUM(F44:G44),G44)</f>
        <v>188400</v>
      </c>
      <c r="H452" s="4">
        <f>IF((2026=2026),SUM(F44:H44),H44)</f>
        <v>346000</v>
      </c>
      <c r="I452" s="4">
        <f>IF((2026=2026),SUM(F44:I44),I44)</f>
        <v>346000</v>
      </c>
    </row>
    <row r="453">
      <c r="A453" s="0" t="inlineStr">
        <is>
          <t xml:space="preserve">YTD bookings</t>
        </is>
      </c>
      <c r="B453" s="0" t="inlineStr">
        <is>
          <t xml:space="preserve">Nikolai Sato</t>
        </is>
      </c>
      <c r="C453" s="4">
        <f>IF((2025=2026),SUM(0),C45)</f>
        <v>99700</v>
      </c>
      <c r="D453" s="4">
        <f>IF((2025=2026),SUM(0),D45)</f>
        <v>278700</v>
      </c>
      <c r="E453" s="4">
        <f>IF((2025=2026),SUM(0),E45)</f>
        <v>64300</v>
      </c>
      <c r="F453" s="4">
        <f>IF((2026=2026),SUM(F45),F45)</f>
        <v>89800</v>
      </c>
      <c r="G453" s="4">
        <f>IF((2026=2026),SUM(F45:G45),G45)</f>
        <v>89800</v>
      </c>
      <c r="H453" s="4">
        <f>IF((2026=2026),SUM(F45:H45),H45)</f>
        <v>193200</v>
      </c>
      <c r="I453" s="4">
        <f>IF((2026=2026),SUM(F45:I45),I45)</f>
        <v>193200</v>
      </c>
    </row>
    <row r="454">
      <c r="A454" s="0" t="inlineStr">
        <is>
          <t xml:space="preserve">YTD bookings</t>
        </is>
      </c>
      <c r="B454" s="0" t="inlineStr">
        <is>
          <t xml:space="preserve">Elena Silva</t>
        </is>
      </c>
      <c r="C454" s="4">
        <f>IF((2025=2026),SUM(0),C46)</f>
        <v>111200</v>
      </c>
      <c r="D454" s="4">
        <f>IF((2025=2026),SUM(0),D46)</f>
        <v>286100</v>
      </c>
      <c r="E454" s="4">
        <f>IF((2025=2026),SUM(0),E46)</f>
        <v>230400</v>
      </c>
      <c r="F454" s="4">
        <f>IF((2026=2026),SUM(F46),F46)</f>
        <v>137200</v>
      </c>
      <c r="G454" s="4">
        <f>IF((2026=2026),SUM(F46:G46),G46)</f>
        <v>321100</v>
      </c>
      <c r="H454" s="4">
        <f>IF((2026=2026),SUM(F46:H46),H46)</f>
        <v>512700</v>
      </c>
      <c r="I454" s="4">
        <f>IF((2026=2026),SUM(F46:I46),I46)</f>
        <v>512700</v>
      </c>
    </row>
    <row r="455">
      <c r="A455" s="0" t="inlineStr">
        <is>
          <t xml:space="preserve">YTD bookings</t>
        </is>
      </c>
      <c r="B455" s="0" t="inlineStr">
        <is>
          <t xml:space="preserve">Arjun Müller</t>
        </is>
      </c>
      <c r="C455" s="4">
        <f>IF((2025=2026),SUM(0),C47)</f>
        <v>25000</v>
      </c>
      <c r="D455" s="4">
        <f>IF((2025=2026),SUM(0),D47)</f>
        <v>77600</v>
      </c>
      <c r="E455" s="4">
        <f>IF((2025=2026),SUM(0),E47)</f>
        <v>175800</v>
      </c>
      <c r="F455" s="4">
        <f>IF((2026=2026),SUM(F47),F47)</f>
        <v>0</v>
      </c>
      <c r="G455" s="4">
        <f>IF((2026=2026),SUM(F47:G47),G47)</f>
        <v>193900</v>
      </c>
      <c r="H455" s="4">
        <f>IF((2026=2026),SUM(F47:H47),H47)</f>
        <v>356100</v>
      </c>
      <c r="I455" s="4">
        <f>IF((2026=2026),SUM(F47:I47),I47)</f>
        <v>356100</v>
      </c>
    </row>
    <row r="456">
      <c r="A456" s="0" t="inlineStr">
        <is>
          <t xml:space="preserve">YTD bookings</t>
        </is>
      </c>
      <c r="B456" s="0" t="inlineStr">
        <is>
          <t xml:space="preserve">Nikolai Park</t>
        </is>
      </c>
      <c r="C456" s="4">
        <f>IF((2025=2026),SUM(0),C48)</f>
        <v>0</v>
      </c>
      <c r="D456" s="4">
        <f>IF((2025=2026),SUM(0),D48)</f>
        <v>0</v>
      </c>
      <c r="E456" s="4">
        <f>IF((2025=2026),SUM(0),E48)</f>
        <v>0</v>
      </c>
      <c r="F456" s="4">
        <f>IF((2026=2026),SUM(F48),F48)</f>
        <v>0</v>
      </c>
      <c r="G456" s="4">
        <f>IF((2026=2026),SUM(F48:G48),G48)</f>
        <v>11000</v>
      </c>
      <c r="H456" s="4">
        <f>IF((2026=2026),SUM(F48:H48),H48)</f>
        <v>38800</v>
      </c>
      <c r="I456" s="4">
        <f>IF((2026=2026),SUM(F48:I48),I48)</f>
        <v>38800</v>
      </c>
    </row>
    <row r="457">
      <c r="A457" s="0" t="inlineStr">
        <is>
          <t xml:space="preserve">YTD bookings</t>
        </is>
      </c>
      <c r="B457" s="0" t="inlineStr">
        <is>
          <t xml:space="preserve">Ingrid Dubois</t>
        </is>
      </c>
      <c r="C457" s="4">
        <f>IF((2025=2026),SUM(0),C49)</f>
        <v>0</v>
      </c>
      <c r="D457" s="4">
        <f>IF((2025=2026),SUM(0),D49)</f>
        <v>124300</v>
      </c>
      <c r="E457" s="4">
        <f>IF((2025=2026),SUM(0),E49)</f>
        <v>83400</v>
      </c>
      <c r="F457" s="4">
        <f>IF((2026=2026),SUM(F49),F49)</f>
        <v>30900</v>
      </c>
      <c r="G457" s="4">
        <f>IF((2026=2026),SUM(F49:G49),G49)</f>
        <v>151600</v>
      </c>
      <c r="H457" s="4">
        <f>IF((2026=2026),SUM(F49:H49),H49)</f>
        <v>269500</v>
      </c>
      <c r="I457" s="4">
        <f>IF((2026=2026),SUM(F49:I49),I49)</f>
        <v>269500</v>
      </c>
    </row>
    <row r="458">
      <c r="A458" s="0" t="inlineStr">
        <is>
          <t xml:space="preserve">YTD quota</t>
        </is>
      </c>
      <c r="B458" s="0" t="inlineStr">
        <is>
          <t xml:space="preserve">Noor Ortiz</t>
        </is>
      </c>
      <c r="C458" s="4">
        <f>IF((2025=2026),SUM(0),C2)</f>
        <v>375000</v>
      </c>
      <c r="D458" s="4">
        <f>IF((2025=2026),SUM(0),D2)</f>
        <v>375000</v>
      </c>
      <c r="E458" s="4">
        <f>IF((2025=2026),SUM(0),E2)</f>
        <v>375000</v>
      </c>
      <c r="F458" s="4">
        <f>IF((2026=2026),SUM(F2),F2)</f>
        <v>375000</v>
      </c>
      <c r="G458" s="4">
        <f>IF((2026=2026),SUM(F2:G2),G2)</f>
        <v>750000</v>
      </c>
      <c r="H458" s="4">
        <f>IF((2026=2026),SUM(F2:H2),H2)</f>
        <v>1125000</v>
      </c>
      <c r="I458" s="4">
        <f>IF((2026=2026),SUM(F2:I2),I2)</f>
        <v>1500000</v>
      </c>
    </row>
    <row r="459">
      <c r="A459" s="0" t="inlineStr">
        <is>
          <t xml:space="preserve">YTD quota</t>
        </is>
      </c>
      <c r="B459" s="0" t="inlineStr">
        <is>
          <t xml:space="preserve">Priya Yilmaz</t>
        </is>
      </c>
      <c r="C459" s="4">
        <f>IF((2025=2026),SUM(0),C3)</f>
        <v>0</v>
      </c>
      <c r="D459" s="4">
        <f>IF((2025=2026),SUM(0),D3)</f>
        <v>0</v>
      </c>
      <c r="E459" s="4">
        <f>IF((2025=2026),SUM(0),E3)</f>
        <v>0</v>
      </c>
      <c r="F459" s="4">
        <f>IF((2026=2026),SUM(F3),F3)</f>
        <v>0</v>
      </c>
      <c r="G459" s="4">
        <f>IF((2026=2026),SUM(F3:G3),G3)</f>
        <v>0</v>
      </c>
      <c r="H459" s="4">
        <f>IF((2026=2026),SUM(F3:H3),H3)</f>
        <v>94000</v>
      </c>
      <c r="I459" s="4">
        <f>IF((2026=2026),SUM(F3:I3),I3)</f>
        <v>282000</v>
      </c>
    </row>
    <row r="460">
      <c r="A460" s="0" t="inlineStr">
        <is>
          <t xml:space="preserve">YTD quota</t>
        </is>
      </c>
      <c r="B460" s="0" t="inlineStr">
        <is>
          <t xml:space="preserve">Marcus Schmidt</t>
        </is>
      </c>
      <c r="C460" s="4">
        <f>IF((2025=2026),SUM(0),C4)</f>
        <v>0</v>
      </c>
      <c r="D460" s="4">
        <f>IF((2025=2026),SUM(0),D4)</f>
        <v>53000</v>
      </c>
      <c r="E460" s="4">
        <f>IF((2025=2026),SUM(0),E4)</f>
        <v>106000</v>
      </c>
      <c r="F460" s="4">
        <f>IF((2026=2026),SUM(F4),F4)</f>
        <v>159000</v>
      </c>
      <c r="G460" s="4">
        <f>IF((2026=2026),SUM(F4:G4),G4)</f>
        <v>371000</v>
      </c>
      <c r="H460" s="4">
        <f>IF((2026=2026),SUM(F4:H4),H4)</f>
        <v>583000</v>
      </c>
      <c r="I460" s="4">
        <f>IF((2026=2026),SUM(F4:I4),I4)</f>
        <v>795000</v>
      </c>
    </row>
    <row r="461">
      <c r="A461" s="0" t="inlineStr">
        <is>
          <t xml:space="preserve">YTD quota</t>
        </is>
      </c>
      <c r="B461" s="0" t="inlineStr">
        <is>
          <t xml:space="preserve">Amara Haddad</t>
        </is>
      </c>
      <c r="C461" s="4">
        <f>IF((2025=2026),SUM(0),C5)</f>
        <v>212000</v>
      </c>
      <c r="D461" s="4">
        <f>IF((2025=2026),SUM(0),D5)</f>
        <v>212000</v>
      </c>
      <c r="E461" s="4">
        <f>IF((2025=2026),SUM(0),E5)</f>
        <v>212000</v>
      </c>
      <c r="F461" s="4">
        <f>IF((2026=2026),SUM(F5),F5)</f>
        <v>212000</v>
      </c>
      <c r="G461" s="4">
        <f>IF((2026=2026),SUM(F5:G5),G5)</f>
        <v>424000</v>
      </c>
      <c r="H461" s="4">
        <f>IF((2026=2026),SUM(F5:H5),H5)</f>
        <v>636000</v>
      </c>
      <c r="I461" s="4">
        <f>IF((2026=2026),SUM(F5:I5),I5)</f>
        <v>848000</v>
      </c>
    </row>
    <row r="462">
      <c r="A462" s="0" t="inlineStr">
        <is>
          <t xml:space="preserve">YTD quota</t>
        </is>
      </c>
      <c r="B462" s="0" t="inlineStr">
        <is>
          <t xml:space="preserve">Fatima Silva</t>
        </is>
      </c>
      <c r="C462" s="4">
        <f>IF((2025=2026),SUM(0),C6)</f>
        <v>112000</v>
      </c>
      <c r="D462" s="4">
        <f>IF((2025=2026),SUM(0),D6)</f>
        <v>112000</v>
      </c>
      <c r="E462" s="4">
        <f>IF((2025=2026),SUM(0),E6)</f>
        <v>112000</v>
      </c>
      <c r="F462" s="4">
        <f>IF((2026=2026),SUM(F6),F6)</f>
        <v>112000</v>
      </c>
      <c r="G462" s="4">
        <f>IF((2026=2026),SUM(F6:G6),G6)</f>
        <v>224000</v>
      </c>
      <c r="H462" s="4">
        <f>IF((2026=2026),SUM(F6:H6),H6)</f>
        <v>336000</v>
      </c>
      <c r="I462" s="4">
        <f>IF((2026=2026),SUM(F6:I6),I6)</f>
        <v>448000</v>
      </c>
    </row>
    <row r="463">
      <c r="A463" s="0" t="inlineStr">
        <is>
          <t xml:space="preserve">YTD quota</t>
        </is>
      </c>
      <c r="B463" s="0" t="inlineStr">
        <is>
          <t xml:space="preserve">Ana Ortiz</t>
        </is>
      </c>
      <c r="C463" s="4">
        <f>IF((2025=2026),SUM(0),C7)</f>
        <v>28000</v>
      </c>
      <c r="D463" s="4">
        <f>IF((2025=2026),SUM(0),D7)</f>
        <v>56000</v>
      </c>
      <c r="E463" s="4">
        <f>IF((2025=2026),SUM(0),E7)</f>
        <v>84000</v>
      </c>
      <c r="F463" s="4">
        <f>IF((2026=2026),SUM(F7),F7)</f>
        <v>112000</v>
      </c>
      <c r="G463" s="4">
        <f>IF((2026=2026),SUM(F7:G7),G7)</f>
        <v>224000</v>
      </c>
      <c r="H463" s="4">
        <f>IF((2026=2026),SUM(F7:H7),H7)</f>
        <v>336000</v>
      </c>
      <c r="I463" s="4">
        <f>IF((2026=2026),SUM(F7:I7),I7)</f>
        <v>448000</v>
      </c>
    </row>
    <row r="464">
      <c r="A464" s="0" t="inlineStr">
        <is>
          <t xml:space="preserve">YTD quota</t>
        </is>
      </c>
      <c r="B464" s="0" t="inlineStr">
        <is>
          <t xml:space="preserve">Tobias Silva</t>
        </is>
      </c>
      <c r="C464" s="4">
        <f>IF((2025=2026),SUM(0),C8)</f>
        <v>375000</v>
      </c>
      <c r="D464" s="4">
        <f>IF((2025=2026),SUM(0),D8)</f>
        <v>375000</v>
      </c>
      <c r="E464" s="4">
        <f>IF((2025=2026),SUM(0),E8)</f>
        <v>375000</v>
      </c>
      <c r="F464" s="4">
        <f>IF((2026=2026),SUM(F8),F8)</f>
        <v>375000</v>
      </c>
      <c r="G464" s="4">
        <f>IF((2026=2026),SUM(F8:G8),G8)</f>
        <v>750000</v>
      </c>
      <c r="H464" s="4">
        <f>IF((2026=2026),SUM(F8:H8),H8)</f>
        <v>1125000</v>
      </c>
      <c r="I464" s="4">
        <f>IF((2026=2026),SUM(F8:I8),I8)</f>
        <v>1500000</v>
      </c>
    </row>
    <row r="465">
      <c r="A465" s="0" t="inlineStr">
        <is>
          <t xml:space="preserve">YTD quota</t>
        </is>
      </c>
      <c r="B465" s="0" t="inlineStr">
        <is>
          <t xml:space="preserve">Leila Osei</t>
        </is>
      </c>
      <c r="C465" s="4">
        <f>IF((2025=2026),SUM(0),C9)</f>
        <v>375000</v>
      </c>
      <c r="D465" s="4">
        <f>IF((2025=2026),SUM(0),D9)</f>
        <v>375000</v>
      </c>
      <c r="E465" s="4">
        <f>IF((2025=2026),SUM(0),E9)</f>
        <v>375000</v>
      </c>
      <c r="F465" s="4">
        <f>IF((2026=2026),SUM(F9),F9)</f>
        <v>375000</v>
      </c>
      <c r="G465" s="4">
        <f>IF((2026=2026),SUM(F9:G9),G9)</f>
        <v>750000</v>
      </c>
      <c r="H465" s="4">
        <f>IF((2026=2026),SUM(F9:H9),H9)</f>
        <v>1125000</v>
      </c>
      <c r="I465" s="4">
        <f>IF((2026=2026),SUM(F9:I9),I9)</f>
        <v>1500000</v>
      </c>
    </row>
    <row r="466">
      <c r="A466" s="0" t="inlineStr">
        <is>
          <t xml:space="preserve">YTD quota</t>
        </is>
      </c>
      <c r="B466" s="0" t="inlineStr">
        <is>
          <t xml:space="preserve">Grace Costa</t>
        </is>
      </c>
      <c r="C466" s="4">
        <f>IF((2025=2026),SUM(0),C10)</f>
        <v>212000</v>
      </c>
      <c r="D466" s="4">
        <f>IF((2025=2026),SUM(0),D10)</f>
        <v>212000</v>
      </c>
      <c r="E466" s="4">
        <f>IF((2025=2026),SUM(0),E10)</f>
        <v>212000</v>
      </c>
      <c r="F466" s="4">
        <f>IF((2026=2026),SUM(F10),F10)</f>
        <v>212000</v>
      </c>
      <c r="G466" s="4">
        <f>IF((2026=2026),SUM(F10:G10),G10)</f>
        <v>424000</v>
      </c>
      <c r="H466" s="4">
        <f>IF((2026=2026),SUM(F10:H10),H10)</f>
        <v>636000</v>
      </c>
      <c r="I466" s="4">
        <f>IF((2026=2026),SUM(F10:I10),I10)</f>
        <v>848000</v>
      </c>
    </row>
    <row r="467">
      <c r="A467" s="0" t="inlineStr">
        <is>
          <t xml:space="preserve">YTD quota</t>
        </is>
      </c>
      <c r="B467" s="0" t="inlineStr">
        <is>
          <t xml:space="preserve">Ingrid Müller</t>
        </is>
      </c>
      <c r="C467" s="4">
        <f>IF((2025=2026),SUM(0),C11)</f>
        <v>0</v>
      </c>
      <c r="D467" s="4">
        <f>IF((2025=2026),SUM(0),D11)</f>
        <v>0</v>
      </c>
      <c r="E467" s="4">
        <f>IF((2025=2026),SUM(0),E11)</f>
        <v>0</v>
      </c>
      <c r="F467" s="4">
        <f>IF((2026=2026),SUM(F11),F11)</f>
        <v>0</v>
      </c>
      <c r="G467" s="4">
        <f>IF((2026=2026),SUM(F11:G11),G11)</f>
        <v>53000</v>
      </c>
      <c r="H467" s="4">
        <f>IF((2026=2026),SUM(F11:H11),H11)</f>
        <v>159000</v>
      </c>
      <c r="I467" s="4">
        <f>IF((2026=2026),SUM(F11:I11),I11)</f>
        <v>318000</v>
      </c>
    </row>
    <row r="468">
      <c r="A468" s="0" t="inlineStr">
        <is>
          <t xml:space="preserve">YTD quota</t>
        </is>
      </c>
      <c r="B468" s="0" t="inlineStr">
        <is>
          <t xml:space="preserve">Ingrid Kim</t>
        </is>
      </c>
      <c r="C468" s="4">
        <f>IF((2025=2026),SUM(0),C12)</f>
        <v>112000</v>
      </c>
      <c r="D468" s="4">
        <f>IF((2025=2026),SUM(0),D12)</f>
        <v>112000</v>
      </c>
      <c r="E468" s="4">
        <f>IF((2025=2026),SUM(0),E12)</f>
        <v>112000</v>
      </c>
      <c r="F468" s="4">
        <f>IF((2026=2026),SUM(F12),F12)</f>
        <v>112000</v>
      </c>
      <c r="G468" s="4">
        <f>IF((2026=2026),SUM(F12:G12),G12)</f>
        <v>224000</v>
      </c>
      <c r="H468" s="4">
        <f>IF((2026=2026),SUM(F12:H12),H12)</f>
        <v>336000</v>
      </c>
      <c r="I468" s="4">
        <f>IF((2026=2026),SUM(F12:I12),I12)</f>
        <v>448000</v>
      </c>
    </row>
    <row r="469">
      <c r="A469" s="0" t="inlineStr">
        <is>
          <t xml:space="preserve">YTD quota</t>
        </is>
      </c>
      <c r="B469" s="0" t="inlineStr">
        <is>
          <t xml:space="preserve">Priya Nair</t>
        </is>
      </c>
      <c r="C469" s="4">
        <f>IF((2025=2026),SUM(0),C13)</f>
        <v>112000</v>
      </c>
      <c r="D469" s="4">
        <f>IF((2025=2026),SUM(0),D13)</f>
        <v>112000</v>
      </c>
      <c r="E469" s="4">
        <f>IF((2025=2026),SUM(0),E13)</f>
        <v>112000</v>
      </c>
      <c r="F469" s="4">
        <f>IF((2026=2026),SUM(F13),F13)</f>
        <v>112000</v>
      </c>
      <c r="G469" s="4">
        <f>IF((2026=2026),SUM(F13:G13),G13)</f>
        <v>224000</v>
      </c>
      <c r="H469" s="4">
        <f>IF((2026=2026),SUM(F13:H13),H13)</f>
        <v>336000</v>
      </c>
      <c r="I469" s="4">
        <f>IF((2026=2026),SUM(F13:I13),I13)</f>
        <v>448000</v>
      </c>
    </row>
    <row r="470">
      <c r="A470" s="0" t="inlineStr">
        <is>
          <t xml:space="preserve">YTD quota</t>
        </is>
      </c>
      <c r="B470" s="0" t="inlineStr">
        <is>
          <t xml:space="preserve">Hugo Lindqvist</t>
        </is>
      </c>
      <c r="C470" s="4">
        <f>IF((2025=2026),SUM(0),C14)</f>
        <v>338000</v>
      </c>
      <c r="D470" s="4">
        <f>IF((2025=2026),SUM(0),D14)</f>
        <v>338000</v>
      </c>
      <c r="E470" s="4">
        <f>IF((2025=2026),SUM(0),E14)</f>
        <v>338000</v>
      </c>
      <c r="F470" s="4">
        <f>IF((2026=2026),SUM(F14),F14)</f>
        <v>338000</v>
      </c>
      <c r="G470" s="4">
        <f>IF((2026=2026),SUM(F14:G14),G14)</f>
        <v>676000</v>
      </c>
      <c r="H470" s="4">
        <f>IF((2026=2026),SUM(F14:H14),H14)</f>
        <v>1014000</v>
      </c>
      <c r="I470" s="4">
        <f>IF((2026=2026),SUM(F14:I14),I14)</f>
        <v>1352000</v>
      </c>
    </row>
    <row r="471">
      <c r="A471" s="0" t="inlineStr">
        <is>
          <t xml:space="preserve">YTD quota</t>
        </is>
      </c>
      <c r="B471" s="0" t="inlineStr">
        <is>
          <t xml:space="preserve">Wei Novak</t>
        </is>
      </c>
      <c r="C471" s="4">
        <f>IF((2025=2026),SUM(0),C15)</f>
        <v>0</v>
      </c>
      <c r="D471" s="4">
        <f>IF((2025=2026),SUM(0),D15)</f>
        <v>0</v>
      </c>
      <c r="E471" s="4">
        <f>IF((2025=2026),SUM(0),E15)</f>
        <v>0</v>
      </c>
      <c r="F471" s="4">
        <f>IF((2026=2026),SUM(F15),F15)</f>
        <v>84000</v>
      </c>
      <c r="G471" s="4">
        <f>IF((2026=2026),SUM(F15:G15),G15)</f>
        <v>253000</v>
      </c>
      <c r="H471" s="4">
        <f>IF((2026=2026),SUM(F15:H15),H15)</f>
        <v>506000</v>
      </c>
      <c r="I471" s="4">
        <f>IF((2026=2026),SUM(F15:I15),I15)</f>
        <v>844000</v>
      </c>
    </row>
    <row r="472">
      <c r="A472" s="0" t="inlineStr">
        <is>
          <t xml:space="preserve">YTD quota</t>
        </is>
      </c>
      <c r="B472" s="0" t="inlineStr">
        <is>
          <t xml:space="preserve">Nikolai Kim</t>
        </is>
      </c>
      <c r="C472" s="4">
        <f>IF((2025=2026),SUM(0),C16)</f>
        <v>190000</v>
      </c>
      <c r="D472" s="4">
        <f>IF((2025=2026),SUM(0),D16)</f>
        <v>190000</v>
      </c>
      <c r="E472" s="4">
        <f>IF((2025=2026),SUM(0),E16)</f>
        <v>190000</v>
      </c>
      <c r="F472" s="4">
        <f>IF((2026=2026),SUM(F16),F16)</f>
        <v>190000</v>
      </c>
      <c r="G472" s="4">
        <f>IF((2026=2026),SUM(F16:G16),G16)</f>
        <v>380000</v>
      </c>
      <c r="H472" s="4">
        <f>IF((2026=2026),SUM(F16:H16),H16)</f>
        <v>570000</v>
      </c>
      <c r="I472" s="4">
        <f>IF((2026=2026),SUM(F16:I16),I16)</f>
        <v>760000</v>
      </c>
    </row>
    <row r="473">
      <c r="A473" s="0" t="inlineStr">
        <is>
          <t xml:space="preserve">YTD quota</t>
        </is>
      </c>
      <c r="B473" s="0" t="inlineStr">
        <is>
          <t xml:space="preserve">Wei Nair</t>
        </is>
      </c>
      <c r="C473" s="4">
        <f>IF((2025=2026),SUM(0),C17)</f>
        <v>190000</v>
      </c>
      <c r="D473" s="4">
        <f>IF((2025=2026),SUM(0),D17)</f>
        <v>190000</v>
      </c>
      <c r="E473" s="4">
        <f>IF((2025=2026),SUM(0),E17)</f>
        <v>190000</v>
      </c>
      <c r="F473" s="4">
        <f>IF((2026=2026),SUM(F17),F17)</f>
        <v>190000</v>
      </c>
      <c r="G473" s="4">
        <f>IF((2026=2026),SUM(F17:G17),G17)</f>
        <v>380000</v>
      </c>
      <c r="H473" s="4">
        <f>IF((2026=2026),SUM(F17:H17),H17)</f>
        <v>570000</v>
      </c>
      <c r="I473" s="4">
        <f>IF((2026=2026),SUM(F17:I17),I17)</f>
        <v>760000</v>
      </c>
    </row>
    <row r="474">
      <c r="A474" s="0" t="inlineStr">
        <is>
          <t xml:space="preserve">YTD quota</t>
        </is>
      </c>
      <c r="B474" s="0" t="inlineStr">
        <is>
          <t xml:space="preserve">Liam Silva</t>
        </is>
      </c>
      <c r="C474" s="4">
        <f>IF((2025=2026),SUM(0),C18)</f>
        <v>25000</v>
      </c>
      <c r="D474" s="4">
        <f>IF((2025=2026),SUM(0),D18)</f>
        <v>50000</v>
      </c>
      <c r="E474" s="4">
        <f>IF((2025=2026),SUM(0),E18)</f>
        <v>75000</v>
      </c>
      <c r="F474" s="4">
        <f>IF((2026=2026),SUM(F18),F18)</f>
        <v>100000</v>
      </c>
      <c r="G474" s="4">
        <f>IF((2026=2026),SUM(F18:G18),G18)</f>
        <v>200000</v>
      </c>
      <c r="H474" s="4">
        <f>IF((2026=2026),SUM(F18:H18),H18)</f>
        <v>300000</v>
      </c>
      <c r="I474" s="4">
        <f>IF((2026=2026),SUM(F18:I18),I18)</f>
        <v>400000</v>
      </c>
    </row>
    <row r="475">
      <c r="A475" s="0" t="inlineStr">
        <is>
          <t xml:space="preserve">YTD quota</t>
        </is>
      </c>
      <c r="B475" s="0" t="inlineStr">
        <is>
          <t xml:space="preserve">Samuel Silva</t>
        </is>
      </c>
      <c r="C475" s="4">
        <f>IF((2025=2026),SUM(0),C19)</f>
        <v>100000</v>
      </c>
      <c r="D475" s="4">
        <f>IF((2025=2026),SUM(0),D19)</f>
        <v>100000</v>
      </c>
      <c r="E475" s="4">
        <f>IF((2025=2026),SUM(0),E19)</f>
        <v>100000</v>
      </c>
      <c r="F475" s="4">
        <f>IF((2026=2026),SUM(F19),F19)</f>
        <v>100000</v>
      </c>
      <c r="G475" s="4">
        <f>IF((2026=2026),SUM(F19:G19),G19)</f>
        <v>200000</v>
      </c>
      <c r="H475" s="4">
        <f>IF((2026=2026),SUM(F19:H19),H19)</f>
        <v>300000</v>
      </c>
      <c r="I475" s="4">
        <f>IF((2026=2026),SUM(F19:I19),I19)</f>
        <v>400000</v>
      </c>
    </row>
    <row r="476">
      <c r="A476" s="0" t="inlineStr">
        <is>
          <t xml:space="preserve">YTD quota</t>
        </is>
      </c>
      <c r="B476" s="0" t="inlineStr">
        <is>
          <t xml:space="preserve">Yuki Larsen</t>
        </is>
      </c>
      <c r="C476" s="4">
        <f>IF((2025=2026),SUM(0),C20)</f>
        <v>262000</v>
      </c>
      <c r="D476" s="4">
        <f>IF((2025=2026),SUM(0),D20)</f>
        <v>262000</v>
      </c>
      <c r="E476" s="4">
        <f>IF((2025=2026),SUM(0),E20)</f>
        <v>262000</v>
      </c>
      <c r="F476" s="4">
        <f>IF((2026=2026),SUM(F20),F20)</f>
        <v>262000</v>
      </c>
      <c r="G476" s="4">
        <f>IF((2026=2026),SUM(F20:G20),G20)</f>
        <v>524000</v>
      </c>
      <c r="H476" s="4">
        <f>IF((2026=2026),SUM(F20:H20),H20)</f>
        <v>786000</v>
      </c>
      <c r="I476" s="4">
        <f>IF((2026=2026),SUM(F20:I20),I20)</f>
        <v>1048000</v>
      </c>
    </row>
    <row r="477">
      <c r="A477" s="0" t="inlineStr">
        <is>
          <t xml:space="preserve">YTD quota</t>
        </is>
      </c>
      <c r="B477" s="0" t="inlineStr">
        <is>
          <t xml:space="preserve">Nikolai Sato</t>
        </is>
      </c>
      <c r="C477" s="4">
        <f>IF((2025=2026),SUM(0),C21)</f>
        <v>262000</v>
      </c>
      <c r="D477" s="4">
        <f>IF((2025=2026),SUM(0),D21)</f>
        <v>262000</v>
      </c>
      <c r="E477" s="4">
        <f>IF((2025=2026),SUM(0),E21)</f>
        <v>262000</v>
      </c>
      <c r="F477" s="4">
        <f>IF((2026=2026),SUM(F21),F21)</f>
        <v>262000</v>
      </c>
      <c r="G477" s="4">
        <f>IF((2026=2026),SUM(F21:G21),G21)</f>
        <v>524000</v>
      </c>
      <c r="H477" s="4">
        <f>IF((2026=2026),SUM(F21:H21),H21)</f>
        <v>786000</v>
      </c>
      <c r="I477" s="4">
        <f>IF((2026=2026),SUM(F21:I21),I21)</f>
        <v>1048000</v>
      </c>
    </row>
    <row r="478">
      <c r="A478" s="0" t="inlineStr">
        <is>
          <t xml:space="preserve">YTD quota</t>
        </is>
      </c>
      <c r="B478" s="0" t="inlineStr">
        <is>
          <t xml:space="preserve">Elena Silva</t>
        </is>
      </c>
      <c r="C478" s="4">
        <f>IF((2025=2026),SUM(0),C22)</f>
        <v>112000</v>
      </c>
      <c r="D478" s="4">
        <f>IF((2025=2026),SUM(0),D22)</f>
        <v>150000</v>
      </c>
      <c r="E478" s="4">
        <f>IF((2025=2026),SUM(0),E22)</f>
        <v>150000</v>
      </c>
      <c r="F478" s="4">
        <f>IF((2026=2026),SUM(F22),F22)</f>
        <v>150000</v>
      </c>
      <c r="G478" s="4">
        <f>IF((2026=2026),SUM(F22:G22),G22)</f>
        <v>300000</v>
      </c>
      <c r="H478" s="4">
        <f>IF((2026=2026),SUM(F22:H22),H22)</f>
        <v>450000</v>
      </c>
      <c r="I478" s="4">
        <f>IF((2026=2026),SUM(F22:I22),I22)</f>
        <v>600000</v>
      </c>
    </row>
    <row r="479">
      <c r="A479" s="0" t="inlineStr">
        <is>
          <t xml:space="preserve">YTD quota</t>
        </is>
      </c>
      <c r="B479" s="0" t="inlineStr">
        <is>
          <t xml:space="preserve">Arjun Müller</t>
        </is>
      </c>
      <c r="C479" s="4">
        <f>IF((2025=2026),SUM(0),C23)</f>
        <v>150000</v>
      </c>
      <c r="D479" s="4">
        <f>IF((2025=2026),SUM(0),D23)</f>
        <v>150000</v>
      </c>
      <c r="E479" s="4">
        <f>IF((2025=2026),SUM(0),E23)</f>
        <v>150000</v>
      </c>
      <c r="F479" s="4">
        <f>IF((2026=2026),SUM(F23),F23)</f>
        <v>150000</v>
      </c>
      <c r="G479" s="4">
        <f>IF((2026=2026),SUM(F23:G23),G23)</f>
        <v>300000</v>
      </c>
      <c r="H479" s="4">
        <f>IF((2026=2026),SUM(F23:H23),H23)</f>
        <v>450000</v>
      </c>
      <c r="I479" s="4">
        <f>IF((2026=2026),SUM(F23:I23),I23)</f>
        <v>600000</v>
      </c>
    </row>
    <row r="480">
      <c r="A480" s="0" t="inlineStr">
        <is>
          <t xml:space="preserve">YTD quota</t>
        </is>
      </c>
      <c r="B480" s="0" t="inlineStr">
        <is>
          <t xml:space="preserve">Nikolai Park</t>
        </is>
      </c>
      <c r="C480" s="4">
        <f>IF((2025=2026),SUM(0),C24)</f>
        <v>0</v>
      </c>
      <c r="D480" s="4">
        <f>IF((2025=2026),SUM(0),D24)</f>
        <v>0</v>
      </c>
      <c r="E480" s="4">
        <f>IF((2025=2026),SUM(0),E24)</f>
        <v>0</v>
      </c>
      <c r="F480" s="4">
        <f>IF((2026=2026),SUM(F24),F24)</f>
        <v>0</v>
      </c>
      <c r="G480" s="4">
        <f>IF((2026=2026),SUM(F24:G24),G24)</f>
        <v>20000</v>
      </c>
      <c r="H480" s="4">
        <f>IF((2026=2026),SUM(F24:H24),H24)</f>
        <v>60000</v>
      </c>
      <c r="I480" s="4">
        <f>IF((2026=2026),SUM(F24:I24),I24)</f>
        <v>120000</v>
      </c>
    </row>
    <row r="481">
      <c r="A481" s="0" t="inlineStr">
        <is>
          <t xml:space="preserve">YTD quota</t>
        </is>
      </c>
      <c r="B481" s="0" t="inlineStr">
        <is>
          <t xml:space="preserve">Ingrid Dubois</t>
        </is>
      </c>
      <c r="C481" s="4">
        <f>IF((2025=2026),SUM(0),C25)</f>
        <v>80000</v>
      </c>
      <c r="D481" s="4">
        <f>IF((2025=2026),SUM(0),D25)</f>
        <v>80000</v>
      </c>
      <c r="E481" s="4">
        <f>IF((2025=2026),SUM(0),E25)</f>
        <v>80000</v>
      </c>
      <c r="F481" s="4">
        <f>IF((2026=2026),SUM(F25),F25)</f>
        <v>80000</v>
      </c>
      <c r="G481" s="4">
        <f>IF((2026=2026),SUM(F25:G25),G25)</f>
        <v>160000</v>
      </c>
      <c r="H481" s="4">
        <f>IF((2026=2026),SUM(F25:H25),H25)</f>
        <v>240000</v>
      </c>
      <c r="I481" s="4">
        <f>IF((2026=2026),SUM(F25:I25),I25)</f>
        <v>320000</v>
      </c>
    </row>
    <row r="482">
      <c r="A482" s="0" t="inlineStr">
        <is>
          <t xml:space="preserve">YTD attainment</t>
        </is>
      </c>
      <c r="B482" s="0" t="inlineStr">
        <is>
          <t xml:space="preserve">Noor Ortiz</t>
        </is>
      </c>
      <c r="C482" s="12">
        <f>IFERROR((C434/C458),0)</f>
        <v>0</v>
      </c>
      <c r="D482" s="12">
        <f>IFERROR((D434/D458),0)</f>
        <v>0</v>
      </c>
      <c r="E482" s="12">
        <f>IFERROR((E434/E458),0)</f>
        <v>0.5365333333333333</v>
      </c>
      <c r="F482" s="12">
        <f>IFERROR((F434/F458),0)</f>
        <v>1.3490666666666666</v>
      </c>
      <c r="G482" s="12">
        <f>IFERROR((G434/G458),0)</f>
        <v>1.2568</v>
      </c>
      <c r="H482" s="12">
        <f>IFERROR((H434/H458),0)</f>
        <v>0.9610666666666666</v>
      </c>
      <c r="I482" s="12">
        <f>IFERROR((I434/I458),0)</f>
        <v>0.7208</v>
      </c>
    </row>
    <row r="483">
      <c r="A483" s="0" t="inlineStr">
        <is>
          <t xml:space="preserve">YTD attainment</t>
        </is>
      </c>
      <c r="B483" s="0" t="inlineStr">
        <is>
          <t xml:space="preserve">Priya Yilmaz</t>
        </is>
      </c>
      <c r="C483" s="12">
        <f>IFERROR((C435/C459),0)</f>
        <v>0</v>
      </c>
      <c r="D483" s="12">
        <f>IFERROR((D435/D459),0)</f>
        <v>0</v>
      </c>
      <c r="E483" s="12">
        <f>IFERROR((E435/E459),0)</f>
        <v>0</v>
      </c>
      <c r="F483" s="12">
        <f>IFERROR((F435/F459),0)</f>
        <v>0</v>
      </c>
      <c r="G483" s="12">
        <f>IFERROR((G435/G459),0)</f>
        <v>0</v>
      </c>
      <c r="H483" s="12">
        <f>IFERROR((H435/H459),0)</f>
        <v>0</v>
      </c>
      <c r="I483" s="12">
        <f>IFERROR((I435/I459),0)</f>
        <v>0</v>
      </c>
    </row>
    <row r="484">
      <c r="A484" s="0" t="inlineStr">
        <is>
          <t xml:space="preserve">YTD attainment</t>
        </is>
      </c>
      <c r="B484" s="0" t="inlineStr">
        <is>
          <t xml:space="preserve">Marcus Schmidt</t>
        </is>
      </c>
      <c r="C484" s="12">
        <f>IFERROR((C436/C460),0)</f>
        <v>0</v>
      </c>
      <c r="D484" s="12">
        <f>IFERROR((D436/D460),0)</f>
        <v>1.6566037735849057</v>
      </c>
      <c r="E484" s="12">
        <f>IFERROR((E436/E460),0)</f>
        <v>1.7981132075471697</v>
      </c>
      <c r="F484" s="12">
        <f>IFERROR((F436/F460),0)</f>
        <v>2.5138364779874216</v>
      </c>
      <c r="G484" s="12">
        <f>IFERROR((G436/G460),0)</f>
        <v>1.5460916442048518</v>
      </c>
      <c r="H484" s="12">
        <f>IFERROR((H436/H460),0)</f>
        <v>1.2065180102915951</v>
      </c>
      <c r="I484" s="12">
        <f>IFERROR((I436/I460),0)</f>
        <v>0.8847798742138365</v>
      </c>
    </row>
    <row r="485">
      <c r="A485" s="0" t="inlineStr">
        <is>
          <t xml:space="preserve">YTD attainment</t>
        </is>
      </c>
      <c r="B485" s="0" t="inlineStr">
        <is>
          <t xml:space="preserve">Amara Haddad</t>
        </is>
      </c>
      <c r="C485" s="12">
        <f>IFERROR((C437/C461),0)</f>
        <v>0.980188679245283</v>
      </c>
      <c r="D485" s="12">
        <f>IFERROR((D437/D461),0)</f>
        <v>1.2339622641509433</v>
      </c>
      <c r="E485" s="12">
        <f>IFERROR((E437/E461),0)</f>
        <v>0.6514150943396226</v>
      </c>
      <c r="F485" s="12">
        <f>IFERROR((F437/F461),0)</f>
        <v>0.23773584905660378</v>
      </c>
      <c r="G485" s="12">
        <f>IFERROR((G437/G461),0)</f>
        <v>0.20778301886792452</v>
      </c>
      <c r="H485" s="12">
        <f>IFERROR((H437/H461),0)</f>
        <v>0.22547169811320755</v>
      </c>
      <c r="I485" s="12">
        <f>IFERROR((I437/I461),0)</f>
        <v>0.16910377358490566</v>
      </c>
    </row>
    <row r="486">
      <c r="A486" s="0" t="inlineStr">
        <is>
          <t xml:space="preserve">YTD attainment</t>
        </is>
      </c>
      <c r="B486" s="0" t="inlineStr">
        <is>
          <t xml:space="preserve">Fatima Silva</t>
        </is>
      </c>
      <c r="C486" s="12">
        <f>IFERROR((C438/C462),0)</f>
        <v>0.9589285714285715</v>
      </c>
      <c r="D486" s="12">
        <f>IFERROR((D438/D462),0)</f>
        <v>0.9866071428571429</v>
      </c>
      <c r="E486" s="12">
        <f>IFERROR((E438/E462),0)</f>
        <v>1.0848214285714286</v>
      </c>
      <c r="F486" s="12">
        <f>IFERROR((F438/F462),0)</f>
        <v>0.5580357142857143</v>
      </c>
      <c r="G486" s="12">
        <f>IFERROR((G438/G462),0)</f>
        <v>0.7772321428571428</v>
      </c>
      <c r="H486" s="12">
        <f>IFERROR((H438/H462),0)</f>
        <v>0.8580357142857142</v>
      </c>
      <c r="I486" s="12">
        <f>IFERROR((I438/I462),0)</f>
        <v>0.6435267857142857</v>
      </c>
    </row>
    <row r="487">
      <c r="A487" s="0" t="inlineStr">
        <is>
          <t xml:space="preserve">YTD attainment</t>
        </is>
      </c>
      <c r="B487" s="0" t="inlineStr">
        <is>
          <t xml:space="preserve">Ana Ortiz</t>
        </is>
      </c>
      <c r="C487" s="12">
        <f>IFERROR((C439/C463),0)</f>
        <v>0.75</v>
      </c>
      <c r="D487" s="12">
        <f>IFERROR((D439/D463),0)</f>
        <v>1.7321428571428572</v>
      </c>
      <c r="E487" s="12">
        <f>IFERROR((E439/E463),0)</f>
        <v>0.4166666666666667</v>
      </c>
      <c r="F487" s="12">
        <f>IFERROR((F439/F463),0)</f>
        <v>0.5089285714285714</v>
      </c>
      <c r="G487" s="12">
        <f>IFERROR((G439/G463),0)</f>
        <v>0.7410714285714286</v>
      </c>
      <c r="H487" s="12">
        <f>IFERROR((H439/H463),0)</f>
        <v>0.6985119047619047</v>
      </c>
      <c r="I487" s="12">
        <f>IFERROR((I439/I463),0)</f>
        <v>0.5238839285714286</v>
      </c>
    </row>
    <row r="488">
      <c r="A488" s="0" t="inlineStr">
        <is>
          <t xml:space="preserve">YTD attainment</t>
        </is>
      </c>
      <c r="B488" s="0" t="inlineStr">
        <is>
          <t xml:space="preserve">Tobias Silva</t>
        </is>
      </c>
      <c r="C488" s="12">
        <f>IFERROR((C440/C464),0)</f>
        <v>0</v>
      </c>
      <c r="D488" s="12">
        <f>IFERROR((D440/D464),0)</f>
        <v>0.3914666666666667</v>
      </c>
      <c r="E488" s="12">
        <f>IFERROR((E440/E464),0)</f>
        <v>0</v>
      </c>
      <c r="F488" s="12">
        <f>IFERROR((F440/F464),0)</f>
        <v>3.7661333333333333</v>
      </c>
      <c r="G488" s="12">
        <f>IFERROR((G440/G464),0)</f>
        <v>1.9537333333333333</v>
      </c>
      <c r="H488" s="12">
        <f>IFERROR((H440/H464),0)</f>
        <v>1.7436444444444446</v>
      </c>
      <c r="I488" s="12">
        <f>IFERROR((I440/I464),0)</f>
        <v>1.3077333333333334</v>
      </c>
    </row>
    <row r="489">
      <c r="A489" s="0" t="inlineStr">
        <is>
          <t xml:space="preserve">YTD attainment</t>
        </is>
      </c>
      <c r="B489" s="0" t="inlineStr">
        <is>
          <t xml:space="preserve">Leila Osei</t>
        </is>
      </c>
      <c r="C489" s="12">
        <f>IFERROR((C441/C465),0)</f>
        <v>0</v>
      </c>
      <c r="D489" s="12">
        <f>IFERROR((D441/D465),0)</f>
        <v>0</v>
      </c>
      <c r="E489" s="12">
        <f>IFERROR((E441/E465),0)</f>
        <v>0</v>
      </c>
      <c r="F489" s="12">
        <f>IFERROR((F441/F465),0)</f>
        <v>0.09466666666666666</v>
      </c>
      <c r="G489" s="12">
        <f>IFERROR((G441/G465),0)</f>
        <v>0.5206666666666667</v>
      </c>
      <c r="H489" s="12">
        <f>IFERROR((H441/H465),0)</f>
        <v>0.9675555555555555</v>
      </c>
      <c r="I489" s="12">
        <f>IFERROR((I441/I465),0)</f>
        <v>0.7256666666666667</v>
      </c>
    </row>
    <row r="490">
      <c r="A490" s="0" t="inlineStr">
        <is>
          <t xml:space="preserve">YTD attainment</t>
        </is>
      </c>
      <c r="B490" s="0" t="inlineStr">
        <is>
          <t xml:space="preserve">Grace Costa</t>
        </is>
      </c>
      <c r="C490" s="12">
        <f>IFERROR((C442/C466),0)</f>
        <v>0.3410377358490566</v>
      </c>
      <c r="D490" s="12">
        <f>IFERROR((D442/D466),0)</f>
        <v>0.5377358490566038</v>
      </c>
      <c r="E490" s="12">
        <f>IFERROR((E442/E466),0)</f>
        <v>1.6316037735849056</v>
      </c>
      <c r="F490" s="12">
        <f>IFERROR((F442/F466),0)</f>
        <v>1.5264150943396226</v>
      </c>
      <c r="G490" s="12">
        <f>IFERROR((G442/G466),0)</f>
        <v>2.290801886792453</v>
      </c>
      <c r="H490" s="12">
        <f>IFERROR((H442/H466),0)</f>
        <v>2.1287735849056606</v>
      </c>
      <c r="I490" s="12">
        <f>IFERROR((I442/I466),0)</f>
        <v>1.5965801886792452</v>
      </c>
    </row>
    <row r="491">
      <c r="A491" s="0" t="inlineStr">
        <is>
          <t xml:space="preserve">YTD attainment</t>
        </is>
      </c>
      <c r="B491" s="0" t="inlineStr">
        <is>
          <t xml:space="preserve">Ingrid Müller</t>
        </is>
      </c>
      <c r="C491" s="12">
        <f>IFERROR((C443/C467),0)</f>
        <v>0</v>
      </c>
      <c r="D491" s="12">
        <f>IFERROR((D443/D467),0)</f>
        <v>0</v>
      </c>
      <c r="E491" s="12">
        <f>IFERROR((E443/E467),0)</f>
        <v>0</v>
      </c>
      <c r="F491" s="12">
        <f>IFERROR((F443/F467),0)</f>
        <v>0</v>
      </c>
      <c r="G491" s="12">
        <f>IFERROR((G443/G467),0)</f>
        <v>2.767924528301887</v>
      </c>
      <c r="H491" s="12">
        <f>IFERROR((H443/H467),0)</f>
        <v>2.4679245283018867</v>
      </c>
      <c r="I491" s="12">
        <f>IFERROR((I443/I467),0)</f>
        <v>1.2339622641509433</v>
      </c>
    </row>
    <row r="492">
      <c r="A492" s="0" t="inlineStr">
        <is>
          <t xml:space="preserve">YTD attainment</t>
        </is>
      </c>
      <c r="B492" s="0" t="inlineStr">
        <is>
          <t xml:space="preserve">Ingrid Kim</t>
        </is>
      </c>
      <c r="C492" s="12">
        <f>IFERROR((C444/C468),0)</f>
        <v>0.7196428571428571</v>
      </c>
      <c r="D492" s="12">
        <f>IFERROR((D444/D468),0)</f>
        <v>0.7732142857142857</v>
      </c>
      <c r="E492" s="12">
        <f>IFERROR((E444/E468),0)</f>
        <v>1.1232142857142857</v>
      </c>
      <c r="F492" s="12">
        <f>IFERROR((F444/F468),0)</f>
        <v>0.9508928571428571</v>
      </c>
      <c r="G492" s="12">
        <f>IFERROR((G444/G468),0)</f>
        <v>0.59375</v>
      </c>
      <c r="H492" s="12">
        <f>IFERROR((H444/H468),0)</f>
        <v>0.6610119047619047</v>
      </c>
      <c r="I492" s="12">
        <f>IFERROR((I444/I468),0)</f>
        <v>0.49575892857142856</v>
      </c>
    </row>
    <row r="493">
      <c r="A493" s="0" t="inlineStr">
        <is>
          <t xml:space="preserve">YTD attainment</t>
        </is>
      </c>
      <c r="B493" s="0" t="inlineStr">
        <is>
          <t xml:space="preserve">Priya Nair</t>
        </is>
      </c>
      <c r="C493" s="12">
        <f>IFERROR((C445/C469),0)</f>
        <v>0.6303571428571428</v>
      </c>
      <c r="D493" s="12">
        <f>IFERROR((D445/D469),0)</f>
        <v>0.9017857142857143</v>
      </c>
      <c r="E493" s="12">
        <f>IFERROR((E445/E469),0)</f>
        <v>0.9964285714285714</v>
      </c>
      <c r="F493" s="12">
        <f>IFERROR((F445/F469),0)</f>
        <v>0.6758928571428572</v>
      </c>
      <c r="G493" s="12">
        <f>IFERROR((G445/G469),0)</f>
        <v>0.8004464285714286</v>
      </c>
      <c r="H493" s="12">
        <f>IFERROR((H445/H469),0)</f>
        <v>0.6443452380952381</v>
      </c>
      <c r="I493" s="12">
        <f>IFERROR((I445/I469),0)</f>
        <v>0.48325892857142855</v>
      </c>
    </row>
    <row r="494">
      <c r="A494" s="0" t="inlineStr">
        <is>
          <t xml:space="preserve">YTD attainment</t>
        </is>
      </c>
      <c r="B494" s="0" t="inlineStr">
        <is>
          <t xml:space="preserve">Hugo Lindqvist</t>
        </is>
      </c>
      <c r="C494" s="12">
        <f>IFERROR((C446/C470),0)</f>
        <v>0.7272189349112426</v>
      </c>
      <c r="D494" s="12">
        <f>IFERROR((D446/D470),0)</f>
        <v>2.1671597633136095</v>
      </c>
      <c r="E494" s="12">
        <f>IFERROR((E446/E470),0)</f>
        <v>0.8035502958579882</v>
      </c>
      <c r="F494" s="12">
        <f>IFERROR((F446/F470),0)</f>
        <v>1.607396449704142</v>
      </c>
      <c r="G494" s="12">
        <f>IFERROR((G446/G470),0)</f>
        <v>1.4797337278106508</v>
      </c>
      <c r="H494" s="12">
        <f>IFERROR((H446/H470),0)</f>
        <v>1.3578895463510847</v>
      </c>
      <c r="I494" s="12">
        <f>IFERROR((I446/I470),0)</f>
        <v>1.0184171597633136</v>
      </c>
    </row>
    <row r="495">
      <c r="A495" s="0" t="inlineStr">
        <is>
          <t xml:space="preserve">YTD attainment</t>
        </is>
      </c>
      <c r="B495" s="0" t="inlineStr">
        <is>
          <t xml:space="preserve">Wei Novak</t>
        </is>
      </c>
      <c r="C495" s="12">
        <f>IFERROR((C447/C471),0)</f>
        <v>0</v>
      </c>
      <c r="D495" s="12">
        <f>IFERROR((D447/D471),0)</f>
        <v>0</v>
      </c>
      <c r="E495" s="12">
        <f>IFERROR((E447/E471),0)</f>
        <v>0</v>
      </c>
      <c r="F495" s="12">
        <f>IFERROR((F447/F471),0)</f>
        <v>0.2714285714285714</v>
      </c>
      <c r="G495" s="12">
        <f>IFERROR((G447/G471),0)</f>
        <v>0.32727272727272727</v>
      </c>
      <c r="H495" s="12">
        <f>IFERROR((H447/H471),0)</f>
        <v>0.34723320158102766</v>
      </c>
      <c r="I495" s="12">
        <f>IFERROR((I447/I471),0)</f>
        <v>0.20817535545023697</v>
      </c>
    </row>
    <row r="496">
      <c r="A496" s="0" t="inlineStr">
        <is>
          <t xml:space="preserve">YTD attainment</t>
        </is>
      </c>
      <c r="B496" s="0" t="inlineStr">
        <is>
          <t xml:space="preserve">Nikolai Kim</t>
        </is>
      </c>
      <c r="C496" s="12">
        <f>IFERROR((C448/C472),0)</f>
        <v>1.3768421052631579</v>
      </c>
      <c r="D496" s="12">
        <f>IFERROR((D448/D472),0)</f>
        <v>1.6657894736842105</v>
      </c>
      <c r="E496" s="12">
        <f>IFERROR((E448/E472),0)</f>
        <v>1.6036842105263158</v>
      </c>
      <c r="F496" s="12">
        <f>IFERROR((F448/F472),0)</f>
        <v>0.8552631578947368</v>
      </c>
      <c r="G496" s="12">
        <f>IFERROR((G448/G472),0)</f>
        <v>1.0371052631578948</v>
      </c>
      <c r="H496" s="12">
        <f>IFERROR((H448/H472),0)</f>
        <v>0.9307017543859649</v>
      </c>
      <c r="I496" s="12">
        <f>IFERROR((I448/I472),0)</f>
        <v>0.6980263157894737</v>
      </c>
    </row>
    <row r="497">
      <c r="A497" s="0" t="inlineStr">
        <is>
          <t xml:space="preserve">YTD attainment</t>
        </is>
      </c>
      <c r="B497" s="0" t="inlineStr">
        <is>
          <t xml:space="preserve">Wei Nair</t>
        </is>
      </c>
      <c r="C497" s="12">
        <f>IFERROR((C449/C473),0)</f>
        <v>0.6873684210526316</v>
      </c>
      <c r="D497" s="12">
        <f>IFERROR((D449/D473),0)</f>
        <v>0.5931578947368421</v>
      </c>
      <c r="E497" s="12">
        <f>IFERROR((E449/E473),0)</f>
        <v>0.988421052631579</v>
      </c>
      <c r="F497" s="12">
        <f>IFERROR((F449/F473),0)</f>
        <v>0.8057894736842105</v>
      </c>
      <c r="G497" s="12">
        <f>IFERROR((G449/G473),0)</f>
        <v>0.5673684210526316</v>
      </c>
      <c r="H497" s="12">
        <f>IFERROR((H449/H473),0)</f>
        <v>0.5670175438596491</v>
      </c>
      <c r="I497" s="12">
        <f>IFERROR((I449/I473),0)</f>
        <v>0.42526315789473684</v>
      </c>
    </row>
    <row r="498">
      <c r="A498" s="0" t="inlineStr">
        <is>
          <t xml:space="preserve">YTD attainment</t>
        </is>
      </c>
      <c r="B498" s="0" t="inlineStr">
        <is>
          <t xml:space="preserve">Liam Silva</t>
        </is>
      </c>
      <c r="C498" s="12">
        <f>IFERROR((C450/C474),0)</f>
        <v>0.14</v>
      </c>
      <c r="D498" s="12">
        <f>IFERROR((D450/D474),0)</f>
        <v>1.43</v>
      </c>
      <c r="E498" s="12">
        <f>IFERROR((E450/E474),0)</f>
        <v>1.356</v>
      </c>
      <c r="F498" s="12">
        <f>IFERROR((F450/F474),0)</f>
        <v>1.239</v>
      </c>
      <c r="G498" s="12">
        <f>IFERROR((G450/G474),0)</f>
        <v>0.842</v>
      </c>
      <c r="H498" s="12">
        <f>IFERROR((H450/H474),0)</f>
        <v>0.9046666666666666</v>
      </c>
      <c r="I498" s="12">
        <f>IFERROR((I450/I474),0)</f>
        <v>0.6785</v>
      </c>
    </row>
    <row r="499">
      <c r="A499" s="0" t="inlineStr">
        <is>
          <t xml:space="preserve">YTD attainment</t>
        </is>
      </c>
      <c r="B499" s="0" t="inlineStr">
        <is>
          <t xml:space="preserve">Samuel Silva</t>
        </is>
      </c>
      <c r="C499" s="12">
        <f>IFERROR((C451/C475),0)</f>
        <v>0.339</v>
      </c>
      <c r="D499" s="12">
        <f>IFERROR((D451/D475),0)</f>
        <v>1.541</v>
      </c>
      <c r="E499" s="12">
        <f>IFERROR((E451/E475),0)</f>
        <v>0.969</v>
      </c>
      <c r="F499" s="12">
        <f>IFERROR((F451/F475),0)</f>
        <v>1.694</v>
      </c>
      <c r="G499" s="12">
        <f>IFERROR((G451/G475),0)</f>
        <v>1.3475</v>
      </c>
      <c r="H499" s="12">
        <f>IFERROR((H451/H475),0)</f>
        <v>1.136</v>
      </c>
      <c r="I499" s="12">
        <f>IFERROR((I451/I475),0)</f>
        <v>0.852</v>
      </c>
    </row>
    <row r="500">
      <c r="A500" s="0" t="inlineStr">
        <is>
          <t xml:space="preserve">YTD attainment</t>
        </is>
      </c>
      <c r="B500" s="0" t="inlineStr">
        <is>
          <t xml:space="preserve">Yuki Larsen</t>
        </is>
      </c>
      <c r="C500" s="12">
        <f>IFERROR((C452/C476),0)</f>
        <v>0</v>
      </c>
      <c r="D500" s="12">
        <f>IFERROR((D452/D476),0)</f>
        <v>0.566793893129771</v>
      </c>
      <c r="E500" s="12">
        <f>IFERROR((E452/E476),0)</f>
        <v>0</v>
      </c>
      <c r="F500" s="12">
        <f>IFERROR((F452/F476),0)</f>
        <v>0</v>
      </c>
      <c r="G500" s="12">
        <f>IFERROR((G452/G476),0)</f>
        <v>0.35954198473282445</v>
      </c>
      <c r="H500" s="12">
        <f>IFERROR((H452/H476),0)</f>
        <v>0.4402035623409669</v>
      </c>
      <c r="I500" s="12">
        <f>IFERROR((I452/I476),0)</f>
        <v>0.3301526717557252</v>
      </c>
    </row>
    <row r="501">
      <c r="A501" s="0" t="inlineStr">
        <is>
          <t xml:space="preserve">YTD attainment</t>
        </is>
      </c>
      <c r="B501" s="0" t="inlineStr">
        <is>
          <t xml:space="preserve">Nikolai Sato</t>
        </is>
      </c>
      <c r="C501" s="12">
        <f>IFERROR((C453/C477),0)</f>
        <v>0.38053435114503814</v>
      </c>
      <c r="D501" s="12">
        <f>IFERROR((D453/D477),0)</f>
        <v>1.0637404580152672</v>
      </c>
      <c r="E501" s="12">
        <f>IFERROR((E453/E477),0)</f>
        <v>0.24541984732824426</v>
      </c>
      <c r="F501" s="12">
        <f>IFERROR((F453/F477),0)</f>
        <v>0.3427480916030534</v>
      </c>
      <c r="G501" s="12">
        <f>IFERROR((G453/G477),0)</f>
        <v>0.1713740458015267</v>
      </c>
      <c r="H501" s="12">
        <f>IFERROR((H453/H477),0)</f>
        <v>0.24580152671755726</v>
      </c>
      <c r="I501" s="12">
        <f>IFERROR((I453/I477),0)</f>
        <v>0.18435114503816794</v>
      </c>
    </row>
    <row r="502">
      <c r="A502" s="0" t="inlineStr">
        <is>
          <t xml:space="preserve">YTD attainment</t>
        </is>
      </c>
      <c r="B502" s="0" t="inlineStr">
        <is>
          <t xml:space="preserve">Elena Silva</t>
        </is>
      </c>
      <c r="C502" s="12">
        <f>IFERROR((C454/C478),0)</f>
        <v>0.9928571428571429</v>
      </c>
      <c r="D502" s="12">
        <f>IFERROR((D454/D478),0)</f>
        <v>1.9073333333333333</v>
      </c>
      <c r="E502" s="12">
        <f>IFERROR((E454/E478),0)</f>
        <v>1.536</v>
      </c>
      <c r="F502" s="12">
        <f>IFERROR((F454/F478),0)</f>
        <v>0.9146666666666666</v>
      </c>
      <c r="G502" s="12">
        <f>IFERROR((G454/G478),0)</f>
        <v>1.0703333333333334</v>
      </c>
      <c r="H502" s="12">
        <f>IFERROR((H454/H478),0)</f>
        <v>1.1393333333333333</v>
      </c>
      <c r="I502" s="12">
        <f>IFERROR((I454/I478),0)</f>
        <v>0.8545</v>
      </c>
    </row>
    <row r="503">
      <c r="A503" s="0" t="inlineStr">
        <is>
          <t xml:space="preserve">YTD attainment</t>
        </is>
      </c>
      <c r="B503" s="0" t="inlineStr">
        <is>
          <t xml:space="preserve">Arjun Müller</t>
        </is>
      </c>
      <c r="C503" s="12">
        <f>IFERROR((C455/C479),0)</f>
        <v>0.16666666666666666</v>
      </c>
      <c r="D503" s="12">
        <f>IFERROR((D455/D479),0)</f>
        <v>0.5173333333333333</v>
      </c>
      <c r="E503" s="12">
        <f>IFERROR((E455/E479),0)</f>
        <v>1.172</v>
      </c>
      <c r="F503" s="12">
        <f>IFERROR((F455/F479),0)</f>
        <v>0</v>
      </c>
      <c r="G503" s="12">
        <f>IFERROR((G455/G479),0)</f>
        <v>0.6463333333333333</v>
      </c>
      <c r="H503" s="12">
        <f>IFERROR((H455/H479),0)</f>
        <v>0.7913333333333333</v>
      </c>
      <c r="I503" s="12">
        <f>IFERROR((I455/I479),0)</f>
        <v>0.5935</v>
      </c>
    </row>
    <row r="504">
      <c r="A504" s="0" t="inlineStr">
        <is>
          <t xml:space="preserve">YTD attainment</t>
        </is>
      </c>
      <c r="B504" s="0" t="inlineStr">
        <is>
          <t xml:space="preserve">Nikolai Park</t>
        </is>
      </c>
      <c r="C504" s="12">
        <f>IFERROR((C456/C480),0)</f>
        <v>0</v>
      </c>
      <c r="D504" s="12">
        <f>IFERROR((D456/D480),0)</f>
        <v>0</v>
      </c>
      <c r="E504" s="12">
        <f>IFERROR((E456/E480),0)</f>
        <v>0</v>
      </c>
      <c r="F504" s="12">
        <f>IFERROR((F456/F480),0)</f>
        <v>0</v>
      </c>
      <c r="G504" s="12">
        <f>IFERROR((G456/G480),0)</f>
        <v>0.55</v>
      </c>
      <c r="H504" s="12">
        <f>IFERROR((H456/H480),0)</f>
        <v>0.6466666666666666</v>
      </c>
      <c r="I504" s="12">
        <f>IFERROR((I456/I480),0)</f>
        <v>0.3233333333333333</v>
      </c>
    </row>
    <row r="505">
      <c r="A505" s="0" t="inlineStr">
        <is>
          <t xml:space="preserve">YTD attainment</t>
        </is>
      </c>
      <c r="B505" s="0" t="inlineStr">
        <is>
          <t xml:space="preserve">Ingrid Dubois</t>
        </is>
      </c>
      <c r="C505" s="12">
        <f>IFERROR((C457/C481),0)</f>
        <v>0</v>
      </c>
      <c r="D505" s="12">
        <f>IFERROR((D457/D481),0)</f>
        <v>1.55375</v>
      </c>
      <c r="E505" s="12">
        <f>IFERROR((E457/E481),0)</f>
        <v>1.0425</v>
      </c>
      <c r="F505" s="12">
        <f>IFERROR((F457/F481),0)</f>
        <v>0.38625</v>
      </c>
      <c r="G505" s="12">
        <f>IFERROR((G457/G481),0)</f>
        <v>0.9475</v>
      </c>
      <c r="H505" s="12">
        <f>IFERROR((H457/H481),0)</f>
        <v>1.1229166666666666</v>
      </c>
      <c r="I505" s="12">
        <f>IFERROR((I457/I481),0)</f>
        <v>0.8421875</v>
      </c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xSplit="3" ySplit="1" topLeftCell="D2" activePane="bottomRight" state="frozen"/>
    </sheetView>
  </sheetViews>
  <cols>
    <col min="1" max="1" width="18" customWidth="1"/>
    <col min="2" max="2" width="18" customWidth="1"/>
    <col min="3" max="3" width="3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</cols>
  <sheetData>
    <row r="1">
      <c r="A1" s="1" t="inlineStr">
        <is>
          <t xml:space="preserve">line</t>
        </is>
      </c>
      <c r="B1" s="1" t="inlineStr">
        <is>
          <t xml:space="preserve">rep</t>
        </is>
      </c>
      <c r="C1" s="1" t="inlineStr">
        <is>
          <t xml:space="preserve">quarter</t>
        </is>
      </c>
      <c r="D1" s="1" t="inlineStr">
        <is>
          <t xml:space="preserve">Below 50%</t>
        </is>
      </c>
      <c r="E1" s="1" t="inlineStr">
        <is>
          <t xml:space="preserve">50% to 100%</t>
        </is>
      </c>
      <c r="F1" s="1" t="inlineStr">
        <is>
          <t xml:space="preserve">100% to 125%</t>
        </is>
      </c>
      <c r="G1" s="1" t="inlineStr">
        <is>
          <t xml:space="preserve">125% to 150%</t>
        </is>
      </c>
      <c r="H1" s="1" t="inlineStr">
        <is>
          <t xml:space="preserve">Above 150%</t>
        </is>
      </c>
      <c r="I1" s="1" t="inlineStr">
        <is>
          <t xml:space="preserve">Total</t>
        </is>
      </c>
    </row>
    <row r="2">
      <c r="A2" s="0" t="inlineStr">
        <is>
          <t xml:space="preserve">Attainment</t>
        </is>
      </c>
      <c r="B2" s="0" t="inlineStr">
        <is>
          <t xml:space="preserve">Noor Ortiz</t>
        </is>
      </c>
      <c r="C2" s="0" t="inlineStr">
        <is>
          <t xml:space="preserve">Q2 2025</t>
        </is>
      </c>
      <c r="D2" s="12">
        <f>'Rep quarterly'!C50</f>
        <v>0</v>
      </c>
      <c r="E2" s="12">
        <f>'Rep quarterly'!C50</f>
        <v>0</v>
      </c>
      <c r="F2" s="12">
        <f>'Rep quarterly'!C50</f>
        <v>0</v>
      </c>
      <c r="G2" s="12">
        <f>'Rep quarterly'!C50</f>
        <v>0</v>
      </c>
      <c r="H2" s="12">
        <f>'Rep quarterly'!C50</f>
        <v>0</v>
      </c>
      <c r="I2" s="12">
        <f>'Rep quarterly'!C50</f>
        <v>0</v>
      </c>
    </row>
    <row r="3">
      <c r="A3" s="0" t="inlineStr">
        <is>
          <t xml:space="preserve">Attainment</t>
        </is>
      </c>
      <c r="B3" s="0" t="inlineStr">
        <is>
          <t xml:space="preserve">Noor Ortiz</t>
        </is>
      </c>
      <c r="C3" s="0" t="inlineStr">
        <is>
          <t xml:space="preserve">Q3 2025</t>
        </is>
      </c>
      <c r="D3" s="12">
        <f>'Rep quarterly'!D50</f>
        <v>0</v>
      </c>
      <c r="E3" s="12">
        <f>'Rep quarterly'!D50</f>
        <v>0</v>
      </c>
      <c r="F3" s="12">
        <f>'Rep quarterly'!D50</f>
        <v>0</v>
      </c>
      <c r="G3" s="12">
        <f>'Rep quarterly'!D50</f>
        <v>0</v>
      </c>
      <c r="H3" s="12">
        <f>'Rep quarterly'!D50</f>
        <v>0</v>
      </c>
      <c r="I3" s="12">
        <f>'Rep quarterly'!D50</f>
        <v>0</v>
      </c>
    </row>
    <row r="4">
      <c r="A4" s="0" t="inlineStr">
        <is>
          <t xml:space="preserve">Attainment</t>
        </is>
      </c>
      <c r="B4" s="0" t="inlineStr">
        <is>
          <t xml:space="preserve">Noor Ortiz</t>
        </is>
      </c>
      <c r="C4" s="0" t="inlineStr">
        <is>
          <t xml:space="preserve">Q4 2025</t>
        </is>
      </c>
      <c r="D4" s="12">
        <f>'Rep quarterly'!E50</f>
        <v>0.5365333333333333</v>
      </c>
      <c r="E4" s="12">
        <f>'Rep quarterly'!E50</f>
        <v>0.5365333333333333</v>
      </c>
      <c r="F4" s="12">
        <f>'Rep quarterly'!E50</f>
        <v>0.5365333333333333</v>
      </c>
      <c r="G4" s="12">
        <f>'Rep quarterly'!E50</f>
        <v>0.5365333333333333</v>
      </c>
      <c r="H4" s="12">
        <f>'Rep quarterly'!E50</f>
        <v>0.5365333333333333</v>
      </c>
      <c r="I4" s="12">
        <f>'Rep quarterly'!E50</f>
        <v>0.5365333333333333</v>
      </c>
    </row>
    <row r="5">
      <c r="A5" s="0" t="inlineStr">
        <is>
          <t xml:space="preserve">Attainment</t>
        </is>
      </c>
      <c r="B5" s="0" t="inlineStr">
        <is>
          <t xml:space="preserve">Noor Ortiz</t>
        </is>
      </c>
      <c r="C5" s="0" t="inlineStr">
        <is>
          <t xml:space="preserve">Q1 2026</t>
        </is>
      </c>
      <c r="D5" s="12">
        <f>'Rep quarterly'!F50</f>
        <v>1.3490666666666666</v>
      </c>
      <c r="E5" s="12">
        <f>'Rep quarterly'!F50</f>
        <v>1.3490666666666666</v>
      </c>
      <c r="F5" s="12">
        <f>'Rep quarterly'!F50</f>
        <v>1.3490666666666666</v>
      </c>
      <c r="G5" s="12">
        <f>'Rep quarterly'!F50</f>
        <v>1.3490666666666666</v>
      </c>
      <c r="H5" s="12">
        <f>'Rep quarterly'!F50</f>
        <v>1.3490666666666666</v>
      </c>
      <c r="I5" s="12">
        <f>'Rep quarterly'!F50</f>
        <v>1.3490666666666666</v>
      </c>
    </row>
    <row r="6">
      <c r="A6" s="0" t="inlineStr">
        <is>
          <t xml:space="preserve">Attainment</t>
        </is>
      </c>
      <c r="B6" s="0" t="inlineStr">
        <is>
          <t xml:space="preserve">Noor Ortiz</t>
        </is>
      </c>
      <c r="C6" s="0" t="inlineStr">
        <is>
          <t xml:space="preserve">Q2 2026</t>
        </is>
      </c>
      <c r="D6" s="12">
        <f>'Rep quarterly'!G50</f>
        <v>1.1645333333333334</v>
      </c>
      <c r="E6" s="12">
        <f>'Rep quarterly'!G50</f>
        <v>1.1645333333333334</v>
      </c>
      <c r="F6" s="12">
        <f>'Rep quarterly'!G50</f>
        <v>1.1645333333333334</v>
      </c>
      <c r="G6" s="12">
        <f>'Rep quarterly'!G50</f>
        <v>1.1645333333333334</v>
      </c>
      <c r="H6" s="12">
        <f>'Rep quarterly'!G50</f>
        <v>1.1645333333333334</v>
      </c>
      <c r="I6" s="12">
        <f>'Rep quarterly'!G50</f>
        <v>1.1645333333333334</v>
      </c>
    </row>
    <row r="7">
      <c r="A7" s="0" t="inlineStr">
        <is>
          <t xml:space="preserve">Attainment</t>
        </is>
      </c>
      <c r="B7" s="0" t="inlineStr">
        <is>
          <t xml:space="preserve">Noor Ortiz</t>
        </is>
      </c>
      <c r="C7" s="0" t="inlineStr">
        <is>
          <t xml:space="preserve">Q3 2026</t>
        </is>
      </c>
      <c r="D7" s="12">
        <f>'Rep quarterly'!H50</f>
        <v>0.3696</v>
      </c>
      <c r="E7" s="12">
        <f>'Rep quarterly'!H50</f>
        <v>0.3696</v>
      </c>
      <c r="F7" s="12">
        <f>'Rep quarterly'!H50</f>
        <v>0.3696</v>
      </c>
      <c r="G7" s="12">
        <f>'Rep quarterly'!H50</f>
        <v>0.3696</v>
      </c>
      <c r="H7" s="12">
        <f>'Rep quarterly'!H50</f>
        <v>0.3696</v>
      </c>
      <c r="I7" s="12">
        <f>'Rep quarterly'!H50</f>
        <v>0.3696</v>
      </c>
    </row>
    <row r="8">
      <c r="A8" s="0" t="inlineStr">
        <is>
          <t xml:space="preserve">Attainment</t>
        </is>
      </c>
      <c r="B8" s="0" t="inlineStr">
        <is>
          <t xml:space="preserve">Noor Ortiz</t>
        </is>
      </c>
      <c r="C8" s="0" t="inlineStr">
        <is>
          <t xml:space="preserve">Q4 2026</t>
        </is>
      </c>
      <c r="D8" s="12">
        <f>'Rep quarterly'!I50</f>
      </c>
      <c r="E8" s="12">
        <f>'Rep quarterly'!I50</f>
      </c>
      <c r="F8" s="12">
        <f>'Rep quarterly'!I50</f>
      </c>
      <c r="G8" s="12">
        <f>'Rep quarterly'!I50</f>
      </c>
      <c r="H8" s="12">
        <f>'Rep quarterly'!I50</f>
      </c>
      <c r="I8" s="12">
        <f>'Rep quarterly'!I50</f>
      </c>
    </row>
    <row r="9">
      <c r="A9" s="0" t="inlineStr">
        <is>
          <t xml:space="preserve">Attainment</t>
        </is>
      </c>
      <c r="B9" s="0" t="inlineStr">
        <is>
          <t xml:space="preserve">Priya Yilmaz</t>
        </is>
      </c>
      <c r="C9" s="0" t="inlineStr">
        <is>
          <t xml:space="preserve">Q2 2025</t>
        </is>
      </c>
      <c r="D9" s="12">
        <f>'Rep quarterly'!C51</f>
        <v>0</v>
      </c>
      <c r="E9" s="12">
        <f>'Rep quarterly'!C51</f>
        <v>0</v>
      </c>
      <c r="F9" s="12">
        <f>'Rep quarterly'!C51</f>
        <v>0</v>
      </c>
      <c r="G9" s="12">
        <f>'Rep quarterly'!C51</f>
        <v>0</v>
      </c>
      <c r="H9" s="12">
        <f>'Rep quarterly'!C51</f>
        <v>0</v>
      </c>
      <c r="I9" s="12">
        <f>'Rep quarterly'!C51</f>
        <v>0</v>
      </c>
    </row>
    <row r="10">
      <c r="A10" s="0" t="inlineStr">
        <is>
          <t xml:space="preserve">Attainment</t>
        </is>
      </c>
      <c r="B10" s="0" t="inlineStr">
        <is>
          <t xml:space="preserve">Priya Yilmaz</t>
        </is>
      </c>
      <c r="C10" s="0" t="inlineStr">
        <is>
          <t xml:space="preserve">Q3 2025</t>
        </is>
      </c>
      <c r="D10" s="12">
        <f>'Rep quarterly'!D51</f>
        <v>0</v>
      </c>
      <c r="E10" s="12">
        <f>'Rep quarterly'!D51</f>
        <v>0</v>
      </c>
      <c r="F10" s="12">
        <f>'Rep quarterly'!D51</f>
        <v>0</v>
      </c>
      <c r="G10" s="12">
        <f>'Rep quarterly'!D51</f>
        <v>0</v>
      </c>
      <c r="H10" s="12">
        <f>'Rep quarterly'!D51</f>
        <v>0</v>
      </c>
      <c r="I10" s="12">
        <f>'Rep quarterly'!D51</f>
        <v>0</v>
      </c>
    </row>
    <row r="11">
      <c r="A11" s="0" t="inlineStr">
        <is>
          <t xml:space="preserve">Attainment</t>
        </is>
      </c>
      <c r="B11" s="0" t="inlineStr">
        <is>
          <t xml:space="preserve">Priya Yilmaz</t>
        </is>
      </c>
      <c r="C11" s="0" t="inlineStr">
        <is>
          <t xml:space="preserve">Q4 2025</t>
        </is>
      </c>
      <c r="D11" s="12">
        <f>'Rep quarterly'!E51</f>
        <v>0</v>
      </c>
      <c r="E11" s="12">
        <f>'Rep quarterly'!E51</f>
        <v>0</v>
      </c>
      <c r="F11" s="12">
        <f>'Rep quarterly'!E51</f>
        <v>0</v>
      </c>
      <c r="G11" s="12">
        <f>'Rep quarterly'!E51</f>
        <v>0</v>
      </c>
      <c r="H11" s="12">
        <f>'Rep quarterly'!E51</f>
        <v>0</v>
      </c>
      <c r="I11" s="12">
        <f>'Rep quarterly'!E51</f>
        <v>0</v>
      </c>
    </row>
    <row r="12">
      <c r="A12" s="0" t="inlineStr">
        <is>
          <t xml:space="preserve">Attainment</t>
        </is>
      </c>
      <c r="B12" s="0" t="inlineStr">
        <is>
          <t xml:space="preserve">Priya Yilmaz</t>
        </is>
      </c>
      <c r="C12" s="0" t="inlineStr">
        <is>
          <t xml:space="preserve">Q1 2026</t>
        </is>
      </c>
      <c r="D12" s="12">
        <f>'Rep quarterly'!F51</f>
        <v>0</v>
      </c>
      <c r="E12" s="12">
        <f>'Rep quarterly'!F51</f>
        <v>0</v>
      </c>
      <c r="F12" s="12">
        <f>'Rep quarterly'!F51</f>
        <v>0</v>
      </c>
      <c r="G12" s="12">
        <f>'Rep quarterly'!F51</f>
        <v>0</v>
      </c>
      <c r="H12" s="12">
        <f>'Rep quarterly'!F51</f>
        <v>0</v>
      </c>
      <c r="I12" s="12">
        <f>'Rep quarterly'!F51</f>
        <v>0</v>
      </c>
    </row>
    <row r="13">
      <c r="A13" s="0" t="inlineStr">
        <is>
          <t xml:space="preserve">Attainment</t>
        </is>
      </c>
      <c r="B13" s="0" t="inlineStr">
        <is>
          <t xml:space="preserve">Priya Yilmaz</t>
        </is>
      </c>
      <c r="C13" s="0" t="inlineStr">
        <is>
          <t xml:space="preserve">Q2 2026</t>
        </is>
      </c>
      <c r="D13" s="12">
        <f>'Rep quarterly'!G51</f>
        <v>0</v>
      </c>
      <c r="E13" s="12">
        <f>'Rep quarterly'!G51</f>
        <v>0</v>
      </c>
      <c r="F13" s="12">
        <f>'Rep quarterly'!G51</f>
        <v>0</v>
      </c>
      <c r="G13" s="12">
        <f>'Rep quarterly'!G51</f>
        <v>0</v>
      </c>
      <c r="H13" s="12">
        <f>'Rep quarterly'!G51</f>
        <v>0</v>
      </c>
      <c r="I13" s="12">
        <f>'Rep quarterly'!G51</f>
        <v>0</v>
      </c>
    </row>
    <row r="14">
      <c r="A14" s="0" t="inlineStr">
        <is>
          <t xml:space="preserve">Attainment</t>
        </is>
      </c>
      <c r="B14" s="0" t="inlineStr">
        <is>
          <t xml:space="preserve">Priya Yilmaz</t>
        </is>
      </c>
      <c r="C14" s="0" t="inlineStr">
        <is>
          <t xml:space="preserve">Q3 2026</t>
        </is>
      </c>
      <c r="D14" s="12">
        <f>'Rep quarterly'!H51</f>
        <v>0</v>
      </c>
      <c r="E14" s="12">
        <f>'Rep quarterly'!H51</f>
        <v>0</v>
      </c>
      <c r="F14" s="12">
        <f>'Rep quarterly'!H51</f>
        <v>0</v>
      </c>
      <c r="G14" s="12">
        <f>'Rep quarterly'!H51</f>
        <v>0</v>
      </c>
      <c r="H14" s="12">
        <f>'Rep quarterly'!H51</f>
        <v>0</v>
      </c>
      <c r="I14" s="12">
        <f>'Rep quarterly'!H51</f>
        <v>0</v>
      </c>
    </row>
    <row r="15">
      <c r="A15" s="0" t="inlineStr">
        <is>
          <t xml:space="preserve">Attainment</t>
        </is>
      </c>
      <c r="B15" s="0" t="inlineStr">
        <is>
          <t xml:space="preserve">Priya Yilmaz</t>
        </is>
      </c>
      <c r="C15" s="0" t="inlineStr">
        <is>
          <t xml:space="preserve">Q4 2026</t>
        </is>
      </c>
      <c r="D15" s="12">
        <f>'Rep quarterly'!I51</f>
      </c>
      <c r="E15" s="12">
        <f>'Rep quarterly'!I51</f>
      </c>
      <c r="F15" s="12">
        <f>'Rep quarterly'!I51</f>
      </c>
      <c r="G15" s="12">
        <f>'Rep quarterly'!I51</f>
      </c>
      <c r="H15" s="12">
        <f>'Rep quarterly'!I51</f>
      </c>
      <c r="I15" s="12">
        <f>'Rep quarterly'!I51</f>
      </c>
    </row>
    <row r="16">
      <c r="A16" s="0" t="inlineStr">
        <is>
          <t xml:space="preserve">Attainment</t>
        </is>
      </c>
      <c r="B16" s="0" t="inlineStr">
        <is>
          <t xml:space="preserve">Marcus Schmidt</t>
        </is>
      </c>
      <c r="C16" s="0" t="inlineStr">
        <is>
          <t xml:space="preserve">Q2 2025</t>
        </is>
      </c>
      <c r="D16" s="12">
        <f>'Rep quarterly'!C52</f>
        <v>0</v>
      </c>
      <c r="E16" s="12">
        <f>'Rep quarterly'!C52</f>
        <v>0</v>
      </c>
      <c r="F16" s="12">
        <f>'Rep quarterly'!C52</f>
        <v>0</v>
      </c>
      <c r="G16" s="12">
        <f>'Rep quarterly'!C52</f>
        <v>0</v>
      </c>
      <c r="H16" s="12">
        <f>'Rep quarterly'!C52</f>
        <v>0</v>
      </c>
      <c r="I16" s="12">
        <f>'Rep quarterly'!C52</f>
        <v>0</v>
      </c>
    </row>
    <row r="17">
      <c r="A17" s="0" t="inlineStr">
        <is>
          <t xml:space="preserve">Attainment</t>
        </is>
      </c>
      <c r="B17" s="0" t="inlineStr">
        <is>
          <t xml:space="preserve">Marcus Schmidt</t>
        </is>
      </c>
      <c r="C17" s="0" t="inlineStr">
        <is>
          <t xml:space="preserve">Q3 2025</t>
        </is>
      </c>
      <c r="D17" s="12">
        <f>'Rep quarterly'!D52</f>
        <v>1.6566037735849057</v>
      </c>
      <c r="E17" s="12">
        <f>'Rep quarterly'!D52</f>
        <v>1.6566037735849057</v>
      </c>
      <c r="F17" s="12">
        <f>'Rep quarterly'!D52</f>
        <v>1.6566037735849057</v>
      </c>
      <c r="G17" s="12">
        <f>'Rep quarterly'!D52</f>
        <v>1.6566037735849057</v>
      </c>
      <c r="H17" s="12">
        <f>'Rep quarterly'!D52</f>
        <v>1.6566037735849057</v>
      </c>
      <c r="I17" s="12">
        <f>'Rep quarterly'!D52</f>
        <v>1.6566037735849057</v>
      </c>
    </row>
    <row r="18">
      <c r="A18" s="0" t="inlineStr">
        <is>
          <t xml:space="preserve">Attainment</t>
        </is>
      </c>
      <c r="B18" s="0" t="inlineStr">
        <is>
          <t xml:space="preserve">Marcus Schmidt</t>
        </is>
      </c>
      <c r="C18" s="0" t="inlineStr">
        <is>
          <t xml:space="preserve">Q4 2025</t>
        </is>
      </c>
      <c r="D18" s="12">
        <f>'Rep quarterly'!E52</f>
        <v>1.7981132075471697</v>
      </c>
      <c r="E18" s="12">
        <f>'Rep quarterly'!E52</f>
        <v>1.7981132075471697</v>
      </c>
      <c r="F18" s="12">
        <f>'Rep quarterly'!E52</f>
        <v>1.7981132075471697</v>
      </c>
      <c r="G18" s="12">
        <f>'Rep quarterly'!E52</f>
        <v>1.7981132075471697</v>
      </c>
      <c r="H18" s="12">
        <f>'Rep quarterly'!E52</f>
        <v>1.7981132075471697</v>
      </c>
      <c r="I18" s="12">
        <f>'Rep quarterly'!E52</f>
        <v>1.7981132075471697</v>
      </c>
    </row>
    <row r="19">
      <c r="A19" s="0" t="inlineStr">
        <is>
          <t xml:space="preserve">Attainment</t>
        </is>
      </c>
      <c r="B19" s="0" t="inlineStr">
        <is>
          <t xml:space="preserve">Marcus Schmidt</t>
        </is>
      </c>
      <c r="C19" s="0" t="inlineStr">
        <is>
          <t xml:space="preserve">Q1 2026</t>
        </is>
      </c>
      <c r="D19" s="12">
        <f>'Rep quarterly'!F52</f>
        <v>2.5138364779874216</v>
      </c>
      <c r="E19" s="12">
        <f>'Rep quarterly'!F52</f>
        <v>2.5138364779874216</v>
      </c>
      <c r="F19" s="12">
        <f>'Rep quarterly'!F52</f>
        <v>2.5138364779874216</v>
      </c>
      <c r="G19" s="12">
        <f>'Rep quarterly'!F52</f>
        <v>2.5138364779874216</v>
      </c>
      <c r="H19" s="12">
        <f>'Rep quarterly'!F52</f>
        <v>2.5138364779874216</v>
      </c>
      <c r="I19" s="12">
        <f>'Rep quarterly'!F52</f>
        <v>2.5138364779874216</v>
      </c>
    </row>
    <row r="20">
      <c r="A20" s="0" t="inlineStr">
        <is>
          <t xml:space="preserve">Attainment</t>
        </is>
      </c>
      <c r="B20" s="0" t="inlineStr">
        <is>
          <t xml:space="preserve">Marcus Schmidt</t>
        </is>
      </c>
      <c r="C20" s="0" t="inlineStr">
        <is>
          <t xml:space="preserve">Q2 2026</t>
        </is>
      </c>
      <c r="D20" s="12">
        <f>'Rep quarterly'!G52</f>
        <v>0.8202830188679245</v>
      </c>
      <c r="E20" s="12">
        <f>'Rep quarterly'!G52</f>
        <v>0.8202830188679245</v>
      </c>
      <c r="F20" s="12">
        <f>'Rep quarterly'!G52</f>
        <v>0.8202830188679245</v>
      </c>
      <c r="G20" s="12">
        <f>'Rep quarterly'!G52</f>
        <v>0.8202830188679245</v>
      </c>
      <c r="H20" s="12">
        <f>'Rep quarterly'!G52</f>
        <v>0.8202830188679245</v>
      </c>
      <c r="I20" s="12">
        <f>'Rep quarterly'!G52</f>
        <v>0.8202830188679245</v>
      </c>
    </row>
    <row r="21">
      <c r="A21" s="0" t="inlineStr">
        <is>
          <t xml:space="preserve">Attainment</t>
        </is>
      </c>
      <c r="B21" s="0" t="inlineStr">
        <is>
          <t xml:space="preserve">Marcus Schmidt</t>
        </is>
      </c>
      <c r="C21" s="0" t="inlineStr">
        <is>
          <t xml:space="preserve">Q3 2026</t>
        </is>
      </c>
      <c r="D21" s="12">
        <f>'Rep quarterly'!H52</f>
        <v>0.6122641509433963</v>
      </c>
      <c r="E21" s="12">
        <f>'Rep quarterly'!H52</f>
        <v>0.6122641509433963</v>
      </c>
      <c r="F21" s="12">
        <f>'Rep quarterly'!H52</f>
        <v>0.6122641509433963</v>
      </c>
      <c r="G21" s="12">
        <f>'Rep quarterly'!H52</f>
        <v>0.6122641509433963</v>
      </c>
      <c r="H21" s="12">
        <f>'Rep quarterly'!H52</f>
        <v>0.6122641509433963</v>
      </c>
      <c r="I21" s="12">
        <f>'Rep quarterly'!H52</f>
        <v>0.6122641509433963</v>
      </c>
    </row>
    <row r="22">
      <c r="A22" s="0" t="inlineStr">
        <is>
          <t xml:space="preserve">Attainment</t>
        </is>
      </c>
      <c r="B22" s="0" t="inlineStr">
        <is>
          <t xml:space="preserve">Marcus Schmidt</t>
        </is>
      </c>
      <c r="C22" s="0" t="inlineStr">
        <is>
          <t xml:space="preserve">Q4 2026</t>
        </is>
      </c>
      <c r="D22" s="12">
        <f>'Rep quarterly'!I52</f>
      </c>
      <c r="E22" s="12">
        <f>'Rep quarterly'!I52</f>
      </c>
      <c r="F22" s="12">
        <f>'Rep quarterly'!I52</f>
      </c>
      <c r="G22" s="12">
        <f>'Rep quarterly'!I52</f>
      </c>
      <c r="H22" s="12">
        <f>'Rep quarterly'!I52</f>
      </c>
      <c r="I22" s="12">
        <f>'Rep quarterly'!I52</f>
      </c>
    </row>
    <row r="23">
      <c r="A23" s="0" t="inlineStr">
        <is>
          <t xml:space="preserve">Attainment</t>
        </is>
      </c>
      <c r="B23" s="0" t="inlineStr">
        <is>
          <t xml:space="preserve">Amara Haddad</t>
        </is>
      </c>
      <c r="C23" s="0" t="inlineStr">
        <is>
          <t xml:space="preserve">Q2 2025</t>
        </is>
      </c>
      <c r="D23" s="12">
        <f>'Rep quarterly'!C53</f>
        <v>0.980188679245283</v>
      </c>
      <c r="E23" s="12">
        <f>'Rep quarterly'!C53</f>
        <v>0.980188679245283</v>
      </c>
      <c r="F23" s="12">
        <f>'Rep quarterly'!C53</f>
        <v>0.980188679245283</v>
      </c>
      <c r="G23" s="12">
        <f>'Rep quarterly'!C53</f>
        <v>0.980188679245283</v>
      </c>
      <c r="H23" s="12">
        <f>'Rep quarterly'!C53</f>
        <v>0.980188679245283</v>
      </c>
      <c r="I23" s="12">
        <f>'Rep quarterly'!C53</f>
        <v>0.980188679245283</v>
      </c>
    </row>
    <row r="24">
      <c r="A24" s="0" t="inlineStr">
        <is>
          <t xml:space="preserve">Attainment</t>
        </is>
      </c>
      <c r="B24" s="0" t="inlineStr">
        <is>
          <t xml:space="preserve">Amara Haddad</t>
        </is>
      </c>
      <c r="C24" s="0" t="inlineStr">
        <is>
          <t xml:space="preserve">Q3 2025</t>
        </is>
      </c>
      <c r="D24" s="12">
        <f>'Rep quarterly'!D53</f>
        <v>1.2339622641509433</v>
      </c>
      <c r="E24" s="12">
        <f>'Rep quarterly'!D53</f>
        <v>1.2339622641509433</v>
      </c>
      <c r="F24" s="12">
        <f>'Rep quarterly'!D53</f>
        <v>1.2339622641509433</v>
      </c>
      <c r="G24" s="12">
        <f>'Rep quarterly'!D53</f>
        <v>1.2339622641509433</v>
      </c>
      <c r="H24" s="12">
        <f>'Rep quarterly'!D53</f>
        <v>1.2339622641509433</v>
      </c>
      <c r="I24" s="12">
        <f>'Rep quarterly'!D53</f>
        <v>1.2339622641509433</v>
      </c>
    </row>
    <row r="25">
      <c r="A25" s="0" t="inlineStr">
        <is>
          <t xml:space="preserve">Attainment</t>
        </is>
      </c>
      <c r="B25" s="0" t="inlineStr">
        <is>
          <t xml:space="preserve">Amara Haddad</t>
        </is>
      </c>
      <c r="C25" s="0" t="inlineStr">
        <is>
          <t xml:space="preserve">Q4 2025</t>
        </is>
      </c>
      <c r="D25" s="12">
        <f>'Rep quarterly'!E53</f>
        <v>0.6514150943396226</v>
      </c>
      <c r="E25" s="12">
        <f>'Rep quarterly'!E53</f>
        <v>0.6514150943396226</v>
      </c>
      <c r="F25" s="12">
        <f>'Rep quarterly'!E53</f>
        <v>0.6514150943396226</v>
      </c>
      <c r="G25" s="12">
        <f>'Rep quarterly'!E53</f>
        <v>0.6514150943396226</v>
      </c>
      <c r="H25" s="12">
        <f>'Rep quarterly'!E53</f>
        <v>0.6514150943396226</v>
      </c>
      <c r="I25" s="12">
        <f>'Rep quarterly'!E53</f>
        <v>0.6514150943396226</v>
      </c>
    </row>
    <row r="26">
      <c r="A26" s="0" t="inlineStr">
        <is>
          <t xml:space="preserve">Attainment</t>
        </is>
      </c>
      <c r="B26" s="0" t="inlineStr">
        <is>
          <t xml:space="preserve">Amara Haddad</t>
        </is>
      </c>
      <c r="C26" s="0" t="inlineStr">
        <is>
          <t xml:space="preserve">Q1 2026</t>
        </is>
      </c>
      <c r="D26" s="12">
        <f>'Rep quarterly'!F53</f>
        <v>0.23773584905660378</v>
      </c>
      <c r="E26" s="12">
        <f>'Rep quarterly'!F53</f>
        <v>0.23773584905660378</v>
      </c>
      <c r="F26" s="12">
        <f>'Rep quarterly'!F53</f>
        <v>0.23773584905660378</v>
      </c>
      <c r="G26" s="12">
        <f>'Rep quarterly'!F53</f>
        <v>0.23773584905660378</v>
      </c>
      <c r="H26" s="12">
        <f>'Rep quarterly'!F53</f>
        <v>0.23773584905660378</v>
      </c>
      <c r="I26" s="12">
        <f>'Rep quarterly'!F53</f>
        <v>0.23773584905660378</v>
      </c>
    </row>
    <row r="27">
      <c r="A27" s="0" t="inlineStr">
        <is>
          <t xml:space="preserve">Attainment</t>
        </is>
      </c>
      <c r="B27" s="0" t="inlineStr">
        <is>
          <t xml:space="preserve">Amara Haddad</t>
        </is>
      </c>
      <c r="C27" s="0" t="inlineStr">
        <is>
          <t xml:space="preserve">Q2 2026</t>
        </is>
      </c>
      <c r="D27" s="12">
        <f>'Rep quarterly'!G53</f>
        <v>0.17783018867924527</v>
      </c>
      <c r="E27" s="12">
        <f>'Rep quarterly'!G53</f>
        <v>0.17783018867924527</v>
      </c>
      <c r="F27" s="12">
        <f>'Rep quarterly'!G53</f>
        <v>0.17783018867924527</v>
      </c>
      <c r="G27" s="12">
        <f>'Rep quarterly'!G53</f>
        <v>0.17783018867924527</v>
      </c>
      <c r="H27" s="12">
        <f>'Rep quarterly'!G53</f>
        <v>0.17783018867924527</v>
      </c>
      <c r="I27" s="12">
        <f>'Rep quarterly'!G53</f>
        <v>0.17783018867924527</v>
      </c>
    </row>
    <row r="28">
      <c r="A28" s="0" t="inlineStr">
        <is>
          <t xml:space="preserve">Attainment</t>
        </is>
      </c>
      <c r="B28" s="0" t="inlineStr">
        <is>
          <t xml:space="preserve">Amara Haddad</t>
        </is>
      </c>
      <c r="C28" s="0" t="inlineStr">
        <is>
          <t xml:space="preserve">Q3 2026</t>
        </is>
      </c>
      <c r="D28" s="12">
        <f>'Rep quarterly'!H53</f>
        <v>0.2608490566037736</v>
      </c>
      <c r="E28" s="12">
        <f>'Rep quarterly'!H53</f>
        <v>0.2608490566037736</v>
      </c>
      <c r="F28" s="12">
        <f>'Rep quarterly'!H53</f>
        <v>0.2608490566037736</v>
      </c>
      <c r="G28" s="12">
        <f>'Rep quarterly'!H53</f>
        <v>0.2608490566037736</v>
      </c>
      <c r="H28" s="12">
        <f>'Rep quarterly'!H53</f>
        <v>0.2608490566037736</v>
      </c>
      <c r="I28" s="12">
        <f>'Rep quarterly'!H53</f>
        <v>0.2608490566037736</v>
      </c>
    </row>
    <row r="29">
      <c r="A29" s="0" t="inlineStr">
        <is>
          <t xml:space="preserve">Attainment</t>
        </is>
      </c>
      <c r="B29" s="0" t="inlineStr">
        <is>
          <t xml:space="preserve">Amara Haddad</t>
        </is>
      </c>
      <c r="C29" s="0" t="inlineStr">
        <is>
          <t xml:space="preserve">Q4 2026</t>
        </is>
      </c>
      <c r="D29" s="12">
        <f>'Rep quarterly'!I53</f>
      </c>
      <c r="E29" s="12">
        <f>'Rep quarterly'!I53</f>
      </c>
      <c r="F29" s="12">
        <f>'Rep quarterly'!I53</f>
      </c>
      <c r="G29" s="12">
        <f>'Rep quarterly'!I53</f>
      </c>
      <c r="H29" s="12">
        <f>'Rep quarterly'!I53</f>
      </c>
      <c r="I29" s="12">
        <f>'Rep quarterly'!I53</f>
      </c>
    </row>
    <row r="30">
      <c r="A30" s="0" t="inlineStr">
        <is>
          <t xml:space="preserve">Attainment</t>
        </is>
      </c>
      <c r="B30" s="0" t="inlineStr">
        <is>
          <t xml:space="preserve">Fatima Silva</t>
        </is>
      </c>
      <c r="C30" s="0" t="inlineStr">
        <is>
          <t xml:space="preserve">Q2 2025</t>
        </is>
      </c>
      <c r="D30" s="12">
        <f>'Rep quarterly'!C54</f>
        <v>0.9589285714285715</v>
      </c>
      <c r="E30" s="12">
        <f>'Rep quarterly'!C54</f>
        <v>0.9589285714285715</v>
      </c>
      <c r="F30" s="12">
        <f>'Rep quarterly'!C54</f>
        <v>0.9589285714285715</v>
      </c>
      <c r="G30" s="12">
        <f>'Rep quarterly'!C54</f>
        <v>0.9589285714285715</v>
      </c>
      <c r="H30" s="12">
        <f>'Rep quarterly'!C54</f>
        <v>0.9589285714285715</v>
      </c>
      <c r="I30" s="12">
        <f>'Rep quarterly'!C54</f>
        <v>0.9589285714285715</v>
      </c>
    </row>
    <row r="31">
      <c r="A31" s="0" t="inlineStr">
        <is>
          <t xml:space="preserve">Attainment</t>
        </is>
      </c>
      <c r="B31" s="0" t="inlineStr">
        <is>
          <t xml:space="preserve">Fatima Silva</t>
        </is>
      </c>
      <c r="C31" s="0" t="inlineStr">
        <is>
          <t xml:space="preserve">Q3 2025</t>
        </is>
      </c>
      <c r="D31" s="12">
        <f>'Rep quarterly'!D54</f>
        <v>0.9866071428571429</v>
      </c>
      <c r="E31" s="12">
        <f>'Rep quarterly'!D54</f>
        <v>0.9866071428571429</v>
      </c>
      <c r="F31" s="12">
        <f>'Rep quarterly'!D54</f>
        <v>0.9866071428571429</v>
      </c>
      <c r="G31" s="12">
        <f>'Rep quarterly'!D54</f>
        <v>0.9866071428571429</v>
      </c>
      <c r="H31" s="12">
        <f>'Rep quarterly'!D54</f>
        <v>0.9866071428571429</v>
      </c>
      <c r="I31" s="12">
        <f>'Rep quarterly'!D54</f>
        <v>0.9866071428571429</v>
      </c>
    </row>
    <row r="32">
      <c r="A32" s="0" t="inlineStr">
        <is>
          <t xml:space="preserve">Attainment</t>
        </is>
      </c>
      <c r="B32" s="0" t="inlineStr">
        <is>
          <t xml:space="preserve">Fatima Silva</t>
        </is>
      </c>
      <c r="C32" s="0" t="inlineStr">
        <is>
          <t xml:space="preserve">Q4 2025</t>
        </is>
      </c>
      <c r="D32" s="12">
        <f>'Rep quarterly'!E54</f>
        <v>1.0848214285714286</v>
      </c>
      <c r="E32" s="12">
        <f>'Rep quarterly'!E54</f>
        <v>1.0848214285714286</v>
      </c>
      <c r="F32" s="12">
        <f>'Rep quarterly'!E54</f>
        <v>1.0848214285714286</v>
      </c>
      <c r="G32" s="12">
        <f>'Rep quarterly'!E54</f>
        <v>1.0848214285714286</v>
      </c>
      <c r="H32" s="12">
        <f>'Rep quarterly'!E54</f>
        <v>1.0848214285714286</v>
      </c>
      <c r="I32" s="12">
        <f>'Rep quarterly'!E54</f>
        <v>1.0848214285714286</v>
      </c>
    </row>
    <row r="33">
      <c r="A33" s="0" t="inlineStr">
        <is>
          <t xml:space="preserve">Attainment</t>
        </is>
      </c>
      <c r="B33" s="0" t="inlineStr">
        <is>
          <t xml:space="preserve">Fatima Silva</t>
        </is>
      </c>
      <c r="C33" s="0" t="inlineStr">
        <is>
          <t xml:space="preserve">Q1 2026</t>
        </is>
      </c>
      <c r="D33" s="12">
        <f>'Rep quarterly'!F54</f>
        <v>0.5580357142857143</v>
      </c>
      <c r="E33" s="12">
        <f>'Rep quarterly'!F54</f>
        <v>0.5580357142857143</v>
      </c>
      <c r="F33" s="12">
        <f>'Rep quarterly'!F54</f>
        <v>0.5580357142857143</v>
      </c>
      <c r="G33" s="12">
        <f>'Rep quarterly'!F54</f>
        <v>0.5580357142857143</v>
      </c>
      <c r="H33" s="12">
        <f>'Rep quarterly'!F54</f>
        <v>0.5580357142857143</v>
      </c>
      <c r="I33" s="12">
        <f>'Rep quarterly'!F54</f>
        <v>0.5580357142857143</v>
      </c>
    </row>
    <row r="34">
      <c r="A34" s="0" t="inlineStr">
        <is>
          <t xml:space="preserve">Attainment</t>
        </is>
      </c>
      <c r="B34" s="0" t="inlineStr">
        <is>
          <t xml:space="preserve">Fatima Silva</t>
        </is>
      </c>
      <c r="C34" s="0" t="inlineStr">
        <is>
          <t xml:space="preserve">Q2 2026</t>
        </is>
      </c>
      <c r="D34" s="12">
        <f>'Rep quarterly'!G54</f>
        <v>0.9964285714285714</v>
      </c>
      <c r="E34" s="12">
        <f>'Rep quarterly'!G54</f>
        <v>0.9964285714285714</v>
      </c>
      <c r="F34" s="12">
        <f>'Rep quarterly'!G54</f>
        <v>0.9964285714285714</v>
      </c>
      <c r="G34" s="12">
        <f>'Rep quarterly'!G54</f>
        <v>0.9964285714285714</v>
      </c>
      <c r="H34" s="12">
        <f>'Rep quarterly'!G54</f>
        <v>0.9964285714285714</v>
      </c>
      <c r="I34" s="12">
        <f>'Rep quarterly'!G54</f>
        <v>0.9964285714285714</v>
      </c>
    </row>
    <row r="35">
      <c r="A35" s="0" t="inlineStr">
        <is>
          <t xml:space="preserve">Attainment</t>
        </is>
      </c>
      <c r="B35" s="0" t="inlineStr">
        <is>
          <t xml:space="preserve">Fatima Silva</t>
        </is>
      </c>
      <c r="C35" s="0" t="inlineStr">
        <is>
          <t xml:space="preserve">Q3 2026</t>
        </is>
      </c>
      <c r="D35" s="12">
        <f>'Rep quarterly'!H54</f>
        <v>1.019642857142857</v>
      </c>
      <c r="E35" s="12">
        <f>'Rep quarterly'!H54</f>
        <v>1.019642857142857</v>
      </c>
      <c r="F35" s="12">
        <f>'Rep quarterly'!H54</f>
        <v>1.019642857142857</v>
      </c>
      <c r="G35" s="12">
        <f>'Rep quarterly'!H54</f>
        <v>1.019642857142857</v>
      </c>
      <c r="H35" s="12">
        <f>'Rep quarterly'!H54</f>
        <v>1.019642857142857</v>
      </c>
      <c r="I35" s="12">
        <f>'Rep quarterly'!H54</f>
        <v>1.019642857142857</v>
      </c>
    </row>
    <row r="36">
      <c r="A36" s="0" t="inlineStr">
        <is>
          <t xml:space="preserve">Attainment</t>
        </is>
      </c>
      <c r="B36" s="0" t="inlineStr">
        <is>
          <t xml:space="preserve">Fatima Silva</t>
        </is>
      </c>
      <c r="C36" s="0" t="inlineStr">
        <is>
          <t xml:space="preserve">Q4 2026</t>
        </is>
      </c>
      <c r="D36" s="12">
        <f>'Rep quarterly'!I54</f>
      </c>
      <c r="E36" s="12">
        <f>'Rep quarterly'!I54</f>
      </c>
      <c r="F36" s="12">
        <f>'Rep quarterly'!I54</f>
      </c>
      <c r="G36" s="12">
        <f>'Rep quarterly'!I54</f>
      </c>
      <c r="H36" s="12">
        <f>'Rep quarterly'!I54</f>
      </c>
      <c r="I36" s="12">
        <f>'Rep quarterly'!I54</f>
      </c>
    </row>
    <row r="37">
      <c r="A37" s="0" t="inlineStr">
        <is>
          <t xml:space="preserve">Attainment</t>
        </is>
      </c>
      <c r="B37" s="0" t="inlineStr">
        <is>
          <t xml:space="preserve">Ana Ortiz</t>
        </is>
      </c>
      <c r="C37" s="0" t="inlineStr">
        <is>
          <t xml:space="preserve">Q2 2025</t>
        </is>
      </c>
      <c r="D37" s="12">
        <f>'Rep quarterly'!C55</f>
        <v>0.75</v>
      </c>
      <c r="E37" s="12">
        <f>'Rep quarterly'!C55</f>
        <v>0.75</v>
      </c>
      <c r="F37" s="12">
        <f>'Rep quarterly'!C55</f>
        <v>0.75</v>
      </c>
      <c r="G37" s="12">
        <f>'Rep quarterly'!C55</f>
        <v>0.75</v>
      </c>
      <c r="H37" s="12">
        <f>'Rep quarterly'!C55</f>
        <v>0.75</v>
      </c>
      <c r="I37" s="12">
        <f>'Rep quarterly'!C55</f>
        <v>0.75</v>
      </c>
    </row>
    <row r="38">
      <c r="A38" s="0" t="inlineStr">
        <is>
          <t xml:space="preserve">Attainment</t>
        </is>
      </c>
      <c r="B38" s="0" t="inlineStr">
        <is>
          <t xml:space="preserve">Ana Ortiz</t>
        </is>
      </c>
      <c r="C38" s="0" t="inlineStr">
        <is>
          <t xml:space="preserve">Q3 2025</t>
        </is>
      </c>
      <c r="D38" s="12">
        <f>'Rep quarterly'!D55</f>
        <v>1.7321428571428572</v>
      </c>
      <c r="E38" s="12">
        <f>'Rep quarterly'!D55</f>
        <v>1.7321428571428572</v>
      </c>
      <c r="F38" s="12">
        <f>'Rep quarterly'!D55</f>
        <v>1.7321428571428572</v>
      </c>
      <c r="G38" s="12">
        <f>'Rep quarterly'!D55</f>
        <v>1.7321428571428572</v>
      </c>
      <c r="H38" s="12">
        <f>'Rep quarterly'!D55</f>
        <v>1.7321428571428572</v>
      </c>
      <c r="I38" s="12">
        <f>'Rep quarterly'!D55</f>
        <v>1.7321428571428572</v>
      </c>
    </row>
    <row r="39">
      <c r="A39" s="0" t="inlineStr">
        <is>
          <t xml:space="preserve">Attainment</t>
        </is>
      </c>
      <c r="B39" s="0" t="inlineStr">
        <is>
          <t xml:space="preserve">Ana Ortiz</t>
        </is>
      </c>
      <c r="C39" s="0" t="inlineStr">
        <is>
          <t xml:space="preserve">Q4 2025</t>
        </is>
      </c>
      <c r="D39" s="12">
        <f>'Rep quarterly'!E55</f>
        <v>0.4166666666666667</v>
      </c>
      <c r="E39" s="12">
        <f>'Rep quarterly'!E55</f>
        <v>0.4166666666666667</v>
      </c>
      <c r="F39" s="12">
        <f>'Rep quarterly'!E55</f>
        <v>0.4166666666666667</v>
      </c>
      <c r="G39" s="12">
        <f>'Rep quarterly'!E55</f>
        <v>0.4166666666666667</v>
      </c>
      <c r="H39" s="12">
        <f>'Rep quarterly'!E55</f>
        <v>0.4166666666666667</v>
      </c>
      <c r="I39" s="12">
        <f>'Rep quarterly'!E55</f>
        <v>0.4166666666666667</v>
      </c>
    </row>
    <row r="40">
      <c r="A40" s="0" t="inlineStr">
        <is>
          <t xml:space="preserve">Attainment</t>
        </is>
      </c>
      <c r="B40" s="0" t="inlineStr">
        <is>
          <t xml:space="preserve">Ana Ortiz</t>
        </is>
      </c>
      <c r="C40" s="0" t="inlineStr">
        <is>
          <t xml:space="preserve">Q1 2026</t>
        </is>
      </c>
      <c r="D40" s="12">
        <f>'Rep quarterly'!F55</f>
        <v>0.5089285714285714</v>
      </c>
      <c r="E40" s="12">
        <f>'Rep quarterly'!F55</f>
        <v>0.5089285714285714</v>
      </c>
      <c r="F40" s="12">
        <f>'Rep quarterly'!F55</f>
        <v>0.5089285714285714</v>
      </c>
      <c r="G40" s="12">
        <f>'Rep quarterly'!F55</f>
        <v>0.5089285714285714</v>
      </c>
      <c r="H40" s="12">
        <f>'Rep quarterly'!F55</f>
        <v>0.5089285714285714</v>
      </c>
      <c r="I40" s="12">
        <f>'Rep quarterly'!F55</f>
        <v>0.5089285714285714</v>
      </c>
    </row>
    <row r="41">
      <c r="A41" s="0" t="inlineStr">
        <is>
          <t xml:space="preserve">Attainment</t>
        </is>
      </c>
      <c r="B41" s="0" t="inlineStr">
        <is>
          <t xml:space="preserve">Ana Ortiz</t>
        </is>
      </c>
      <c r="C41" s="0" t="inlineStr">
        <is>
          <t xml:space="preserve">Q2 2026</t>
        </is>
      </c>
      <c r="D41" s="12">
        <f>'Rep quarterly'!G55</f>
        <v>0.9732142857142857</v>
      </c>
      <c r="E41" s="12">
        <f>'Rep quarterly'!G55</f>
        <v>0.9732142857142857</v>
      </c>
      <c r="F41" s="12">
        <f>'Rep quarterly'!G55</f>
        <v>0.9732142857142857</v>
      </c>
      <c r="G41" s="12">
        <f>'Rep quarterly'!G55</f>
        <v>0.9732142857142857</v>
      </c>
      <c r="H41" s="12">
        <f>'Rep quarterly'!G55</f>
        <v>0.9732142857142857</v>
      </c>
      <c r="I41" s="12">
        <f>'Rep quarterly'!G55</f>
        <v>0.9732142857142857</v>
      </c>
    </row>
    <row r="42">
      <c r="A42" s="0" t="inlineStr">
        <is>
          <t xml:space="preserve">Attainment</t>
        </is>
      </c>
      <c r="B42" s="0" t="inlineStr">
        <is>
          <t xml:space="preserve">Ana Ortiz</t>
        </is>
      </c>
      <c r="C42" s="0" t="inlineStr">
        <is>
          <t xml:space="preserve">Q3 2026</t>
        </is>
      </c>
      <c r="D42" s="12">
        <f>'Rep quarterly'!H55</f>
        <v>0.6133928571428572</v>
      </c>
      <c r="E42" s="12">
        <f>'Rep quarterly'!H55</f>
        <v>0.6133928571428572</v>
      </c>
      <c r="F42" s="12">
        <f>'Rep quarterly'!H55</f>
        <v>0.6133928571428572</v>
      </c>
      <c r="G42" s="12">
        <f>'Rep quarterly'!H55</f>
        <v>0.6133928571428572</v>
      </c>
      <c r="H42" s="12">
        <f>'Rep quarterly'!H55</f>
        <v>0.6133928571428572</v>
      </c>
      <c r="I42" s="12">
        <f>'Rep quarterly'!H55</f>
        <v>0.6133928571428572</v>
      </c>
    </row>
    <row r="43">
      <c r="A43" s="0" t="inlineStr">
        <is>
          <t xml:space="preserve">Attainment</t>
        </is>
      </c>
      <c r="B43" s="0" t="inlineStr">
        <is>
          <t xml:space="preserve">Ana Ortiz</t>
        </is>
      </c>
      <c r="C43" s="0" t="inlineStr">
        <is>
          <t xml:space="preserve">Q4 2026</t>
        </is>
      </c>
      <c r="D43" s="12">
        <f>'Rep quarterly'!I55</f>
      </c>
      <c r="E43" s="12">
        <f>'Rep quarterly'!I55</f>
      </c>
      <c r="F43" s="12">
        <f>'Rep quarterly'!I55</f>
      </c>
      <c r="G43" s="12">
        <f>'Rep quarterly'!I55</f>
      </c>
      <c r="H43" s="12">
        <f>'Rep quarterly'!I55</f>
      </c>
      <c r="I43" s="12">
        <f>'Rep quarterly'!I55</f>
      </c>
    </row>
    <row r="44">
      <c r="A44" s="0" t="inlineStr">
        <is>
          <t xml:space="preserve">Attainment</t>
        </is>
      </c>
      <c r="B44" s="0" t="inlineStr">
        <is>
          <t xml:space="preserve">Tobias Silva</t>
        </is>
      </c>
      <c r="C44" s="0" t="inlineStr">
        <is>
          <t xml:space="preserve">Q2 2025</t>
        </is>
      </c>
      <c r="D44" s="12">
        <f>'Rep quarterly'!C56</f>
        <v>0</v>
      </c>
      <c r="E44" s="12">
        <f>'Rep quarterly'!C56</f>
        <v>0</v>
      </c>
      <c r="F44" s="12">
        <f>'Rep quarterly'!C56</f>
        <v>0</v>
      </c>
      <c r="G44" s="12">
        <f>'Rep quarterly'!C56</f>
        <v>0</v>
      </c>
      <c r="H44" s="12">
        <f>'Rep quarterly'!C56</f>
        <v>0</v>
      </c>
      <c r="I44" s="12">
        <f>'Rep quarterly'!C56</f>
        <v>0</v>
      </c>
    </row>
    <row r="45">
      <c r="A45" s="0" t="inlineStr">
        <is>
          <t xml:space="preserve">Attainment</t>
        </is>
      </c>
      <c r="B45" s="0" t="inlineStr">
        <is>
          <t xml:space="preserve">Tobias Silva</t>
        </is>
      </c>
      <c r="C45" s="0" t="inlineStr">
        <is>
          <t xml:space="preserve">Q3 2025</t>
        </is>
      </c>
      <c r="D45" s="12">
        <f>'Rep quarterly'!D56</f>
        <v>0.3914666666666667</v>
      </c>
      <c r="E45" s="12">
        <f>'Rep quarterly'!D56</f>
        <v>0.3914666666666667</v>
      </c>
      <c r="F45" s="12">
        <f>'Rep quarterly'!D56</f>
        <v>0.3914666666666667</v>
      </c>
      <c r="G45" s="12">
        <f>'Rep quarterly'!D56</f>
        <v>0.3914666666666667</v>
      </c>
      <c r="H45" s="12">
        <f>'Rep quarterly'!D56</f>
        <v>0.3914666666666667</v>
      </c>
      <c r="I45" s="12">
        <f>'Rep quarterly'!D56</f>
        <v>0.3914666666666667</v>
      </c>
    </row>
    <row r="46">
      <c r="A46" s="0" t="inlineStr">
        <is>
          <t xml:space="preserve">Attainment</t>
        </is>
      </c>
      <c r="B46" s="0" t="inlineStr">
        <is>
          <t xml:space="preserve">Tobias Silva</t>
        </is>
      </c>
      <c r="C46" s="0" t="inlineStr">
        <is>
          <t xml:space="preserve">Q4 2025</t>
        </is>
      </c>
      <c r="D46" s="12">
        <f>'Rep quarterly'!E56</f>
        <v>0</v>
      </c>
      <c r="E46" s="12">
        <f>'Rep quarterly'!E56</f>
        <v>0</v>
      </c>
      <c r="F46" s="12">
        <f>'Rep quarterly'!E56</f>
        <v>0</v>
      </c>
      <c r="G46" s="12">
        <f>'Rep quarterly'!E56</f>
        <v>0</v>
      </c>
      <c r="H46" s="12">
        <f>'Rep quarterly'!E56</f>
        <v>0</v>
      </c>
      <c r="I46" s="12">
        <f>'Rep quarterly'!E56</f>
        <v>0</v>
      </c>
    </row>
    <row r="47">
      <c r="A47" s="0" t="inlineStr">
        <is>
          <t xml:space="preserve">Attainment</t>
        </is>
      </c>
      <c r="B47" s="0" t="inlineStr">
        <is>
          <t xml:space="preserve">Tobias Silva</t>
        </is>
      </c>
      <c r="C47" s="0" t="inlineStr">
        <is>
          <t xml:space="preserve">Q1 2026</t>
        </is>
      </c>
      <c r="D47" s="12">
        <f>'Rep quarterly'!F56</f>
        <v>3.7661333333333333</v>
      </c>
      <c r="E47" s="12">
        <f>'Rep quarterly'!F56</f>
        <v>3.7661333333333333</v>
      </c>
      <c r="F47" s="12">
        <f>'Rep quarterly'!F56</f>
        <v>3.7661333333333333</v>
      </c>
      <c r="G47" s="12">
        <f>'Rep quarterly'!F56</f>
        <v>3.7661333333333333</v>
      </c>
      <c r="H47" s="12">
        <f>'Rep quarterly'!F56</f>
        <v>3.7661333333333333</v>
      </c>
      <c r="I47" s="12">
        <f>'Rep quarterly'!F56</f>
        <v>3.7661333333333333</v>
      </c>
    </row>
    <row r="48">
      <c r="A48" s="0" t="inlineStr">
        <is>
          <t xml:space="preserve">Attainment</t>
        </is>
      </c>
      <c r="B48" s="0" t="inlineStr">
        <is>
          <t xml:space="preserve">Tobias Silva</t>
        </is>
      </c>
      <c r="C48" s="0" t="inlineStr">
        <is>
          <t xml:space="preserve">Q2 2026</t>
        </is>
      </c>
      <c r="D48" s="12">
        <f>'Rep quarterly'!G56</f>
        <v>0.14133333333333334</v>
      </c>
      <c r="E48" s="12">
        <f>'Rep quarterly'!G56</f>
        <v>0.14133333333333334</v>
      </c>
      <c r="F48" s="12">
        <f>'Rep quarterly'!G56</f>
        <v>0.14133333333333334</v>
      </c>
      <c r="G48" s="12">
        <f>'Rep quarterly'!G56</f>
        <v>0.14133333333333334</v>
      </c>
      <c r="H48" s="12">
        <f>'Rep quarterly'!G56</f>
        <v>0.14133333333333334</v>
      </c>
      <c r="I48" s="12">
        <f>'Rep quarterly'!G56</f>
        <v>0.14133333333333334</v>
      </c>
    </row>
    <row r="49">
      <c r="A49" s="0" t="inlineStr">
        <is>
          <t xml:space="preserve">Attainment</t>
        </is>
      </c>
      <c r="B49" s="0" t="inlineStr">
        <is>
          <t xml:space="preserve">Tobias Silva</t>
        </is>
      </c>
      <c r="C49" s="0" t="inlineStr">
        <is>
          <t xml:space="preserve">Q3 2026</t>
        </is>
      </c>
      <c r="D49" s="12">
        <f>'Rep quarterly'!H56</f>
        <v>1.3234666666666666</v>
      </c>
      <c r="E49" s="12">
        <f>'Rep quarterly'!H56</f>
        <v>1.3234666666666666</v>
      </c>
      <c r="F49" s="12">
        <f>'Rep quarterly'!H56</f>
        <v>1.3234666666666666</v>
      </c>
      <c r="G49" s="12">
        <f>'Rep quarterly'!H56</f>
        <v>1.3234666666666666</v>
      </c>
      <c r="H49" s="12">
        <f>'Rep quarterly'!H56</f>
        <v>1.3234666666666666</v>
      </c>
      <c r="I49" s="12">
        <f>'Rep quarterly'!H56</f>
        <v>1.3234666666666666</v>
      </c>
    </row>
    <row r="50">
      <c r="A50" s="0" t="inlineStr">
        <is>
          <t xml:space="preserve">Attainment</t>
        </is>
      </c>
      <c r="B50" s="0" t="inlineStr">
        <is>
          <t xml:space="preserve">Tobias Silva</t>
        </is>
      </c>
      <c r="C50" s="0" t="inlineStr">
        <is>
          <t xml:space="preserve">Q4 2026</t>
        </is>
      </c>
      <c r="D50" s="12">
        <f>'Rep quarterly'!I56</f>
      </c>
      <c r="E50" s="12">
        <f>'Rep quarterly'!I56</f>
      </c>
      <c r="F50" s="12">
        <f>'Rep quarterly'!I56</f>
      </c>
      <c r="G50" s="12">
        <f>'Rep quarterly'!I56</f>
      </c>
      <c r="H50" s="12">
        <f>'Rep quarterly'!I56</f>
      </c>
      <c r="I50" s="12">
        <f>'Rep quarterly'!I56</f>
      </c>
    </row>
    <row r="51">
      <c r="A51" s="0" t="inlineStr">
        <is>
          <t xml:space="preserve">Attainment</t>
        </is>
      </c>
      <c r="B51" s="0" t="inlineStr">
        <is>
          <t xml:space="preserve">Leila Osei</t>
        </is>
      </c>
      <c r="C51" s="0" t="inlineStr">
        <is>
          <t xml:space="preserve">Q2 2025</t>
        </is>
      </c>
      <c r="D51" s="12">
        <f>'Rep quarterly'!C57</f>
        <v>0</v>
      </c>
      <c r="E51" s="12">
        <f>'Rep quarterly'!C57</f>
        <v>0</v>
      </c>
      <c r="F51" s="12">
        <f>'Rep quarterly'!C57</f>
        <v>0</v>
      </c>
      <c r="G51" s="12">
        <f>'Rep quarterly'!C57</f>
        <v>0</v>
      </c>
      <c r="H51" s="12">
        <f>'Rep quarterly'!C57</f>
        <v>0</v>
      </c>
      <c r="I51" s="12">
        <f>'Rep quarterly'!C57</f>
        <v>0</v>
      </c>
    </row>
    <row r="52">
      <c r="A52" s="0" t="inlineStr">
        <is>
          <t xml:space="preserve">Attainment</t>
        </is>
      </c>
      <c r="B52" s="0" t="inlineStr">
        <is>
          <t xml:space="preserve">Leila Osei</t>
        </is>
      </c>
      <c r="C52" s="0" t="inlineStr">
        <is>
          <t xml:space="preserve">Q3 2025</t>
        </is>
      </c>
      <c r="D52" s="12">
        <f>'Rep quarterly'!D57</f>
        <v>0</v>
      </c>
      <c r="E52" s="12">
        <f>'Rep quarterly'!D57</f>
        <v>0</v>
      </c>
      <c r="F52" s="12">
        <f>'Rep quarterly'!D57</f>
        <v>0</v>
      </c>
      <c r="G52" s="12">
        <f>'Rep quarterly'!D57</f>
        <v>0</v>
      </c>
      <c r="H52" s="12">
        <f>'Rep quarterly'!D57</f>
        <v>0</v>
      </c>
      <c r="I52" s="12">
        <f>'Rep quarterly'!D57</f>
        <v>0</v>
      </c>
    </row>
    <row r="53">
      <c r="A53" s="0" t="inlineStr">
        <is>
          <t xml:space="preserve">Attainment</t>
        </is>
      </c>
      <c r="B53" s="0" t="inlineStr">
        <is>
          <t xml:space="preserve">Leila Osei</t>
        </is>
      </c>
      <c r="C53" s="0" t="inlineStr">
        <is>
          <t xml:space="preserve">Q4 2025</t>
        </is>
      </c>
      <c r="D53" s="12">
        <f>'Rep quarterly'!E57</f>
        <v>0</v>
      </c>
      <c r="E53" s="12">
        <f>'Rep quarterly'!E57</f>
        <v>0</v>
      </c>
      <c r="F53" s="12">
        <f>'Rep quarterly'!E57</f>
        <v>0</v>
      </c>
      <c r="G53" s="12">
        <f>'Rep quarterly'!E57</f>
        <v>0</v>
      </c>
      <c r="H53" s="12">
        <f>'Rep quarterly'!E57</f>
        <v>0</v>
      </c>
      <c r="I53" s="12">
        <f>'Rep quarterly'!E57</f>
        <v>0</v>
      </c>
    </row>
    <row r="54">
      <c r="A54" s="0" t="inlineStr">
        <is>
          <t xml:space="preserve">Attainment</t>
        </is>
      </c>
      <c r="B54" s="0" t="inlineStr">
        <is>
          <t xml:space="preserve">Leila Osei</t>
        </is>
      </c>
      <c r="C54" s="0" t="inlineStr">
        <is>
          <t xml:space="preserve">Q1 2026</t>
        </is>
      </c>
      <c r="D54" s="12">
        <f>'Rep quarterly'!F57</f>
        <v>0.09466666666666666</v>
      </c>
      <c r="E54" s="12">
        <f>'Rep quarterly'!F57</f>
        <v>0.09466666666666666</v>
      </c>
      <c r="F54" s="12">
        <f>'Rep quarterly'!F57</f>
        <v>0.09466666666666666</v>
      </c>
      <c r="G54" s="12">
        <f>'Rep quarterly'!F57</f>
        <v>0.09466666666666666</v>
      </c>
      <c r="H54" s="12">
        <f>'Rep quarterly'!F57</f>
        <v>0.09466666666666666</v>
      </c>
      <c r="I54" s="12">
        <f>'Rep quarterly'!F57</f>
        <v>0.09466666666666666</v>
      </c>
    </row>
    <row r="55">
      <c r="A55" s="0" t="inlineStr">
        <is>
          <t xml:space="preserve">Attainment</t>
        </is>
      </c>
      <c r="B55" s="0" t="inlineStr">
        <is>
          <t xml:space="preserve">Leila Osei</t>
        </is>
      </c>
      <c r="C55" s="0" t="inlineStr">
        <is>
          <t xml:space="preserve">Q2 2026</t>
        </is>
      </c>
      <c r="D55" s="12">
        <f>'Rep quarterly'!G57</f>
        <v>0.9466666666666667</v>
      </c>
      <c r="E55" s="12">
        <f>'Rep quarterly'!G57</f>
        <v>0.9466666666666667</v>
      </c>
      <c r="F55" s="12">
        <f>'Rep quarterly'!G57</f>
        <v>0.9466666666666667</v>
      </c>
      <c r="G55" s="12">
        <f>'Rep quarterly'!G57</f>
        <v>0.9466666666666667</v>
      </c>
      <c r="H55" s="12">
        <f>'Rep quarterly'!G57</f>
        <v>0.9466666666666667</v>
      </c>
      <c r="I55" s="12">
        <f>'Rep quarterly'!G57</f>
        <v>0.9466666666666667</v>
      </c>
    </row>
    <row r="56">
      <c r="A56" s="0" t="inlineStr">
        <is>
          <t xml:space="preserve">Attainment</t>
        </is>
      </c>
      <c r="B56" s="0" t="inlineStr">
        <is>
          <t xml:space="preserve">Leila Osei</t>
        </is>
      </c>
      <c r="C56" s="0" t="inlineStr">
        <is>
          <t xml:space="preserve">Q3 2026</t>
        </is>
      </c>
      <c r="D56" s="12">
        <f>'Rep quarterly'!H57</f>
        <v>1.8613333333333333</v>
      </c>
      <c r="E56" s="12">
        <f>'Rep quarterly'!H57</f>
        <v>1.8613333333333333</v>
      </c>
      <c r="F56" s="12">
        <f>'Rep quarterly'!H57</f>
        <v>1.8613333333333333</v>
      </c>
      <c r="G56" s="12">
        <f>'Rep quarterly'!H57</f>
        <v>1.8613333333333333</v>
      </c>
      <c r="H56" s="12">
        <f>'Rep quarterly'!H57</f>
        <v>1.8613333333333333</v>
      </c>
      <c r="I56" s="12">
        <f>'Rep quarterly'!H57</f>
        <v>1.8613333333333333</v>
      </c>
    </row>
    <row r="57">
      <c r="A57" s="0" t="inlineStr">
        <is>
          <t xml:space="preserve">Attainment</t>
        </is>
      </c>
      <c r="B57" s="0" t="inlineStr">
        <is>
          <t xml:space="preserve">Leila Osei</t>
        </is>
      </c>
      <c r="C57" s="0" t="inlineStr">
        <is>
          <t xml:space="preserve">Q4 2026</t>
        </is>
      </c>
      <c r="D57" s="12">
        <f>'Rep quarterly'!I57</f>
      </c>
      <c r="E57" s="12">
        <f>'Rep quarterly'!I57</f>
      </c>
      <c r="F57" s="12">
        <f>'Rep quarterly'!I57</f>
      </c>
      <c r="G57" s="12">
        <f>'Rep quarterly'!I57</f>
      </c>
      <c r="H57" s="12">
        <f>'Rep quarterly'!I57</f>
      </c>
      <c r="I57" s="12">
        <f>'Rep quarterly'!I57</f>
      </c>
    </row>
    <row r="58">
      <c r="A58" s="0" t="inlineStr">
        <is>
          <t xml:space="preserve">Attainment</t>
        </is>
      </c>
      <c r="B58" s="0" t="inlineStr">
        <is>
          <t xml:space="preserve">Grace Costa</t>
        </is>
      </c>
      <c r="C58" s="0" t="inlineStr">
        <is>
          <t xml:space="preserve">Q2 2025</t>
        </is>
      </c>
      <c r="D58" s="12">
        <f>'Rep quarterly'!C58</f>
        <v>0.3410377358490566</v>
      </c>
      <c r="E58" s="12">
        <f>'Rep quarterly'!C58</f>
        <v>0.3410377358490566</v>
      </c>
      <c r="F58" s="12">
        <f>'Rep quarterly'!C58</f>
        <v>0.3410377358490566</v>
      </c>
      <c r="G58" s="12">
        <f>'Rep quarterly'!C58</f>
        <v>0.3410377358490566</v>
      </c>
      <c r="H58" s="12">
        <f>'Rep quarterly'!C58</f>
        <v>0.3410377358490566</v>
      </c>
      <c r="I58" s="12">
        <f>'Rep quarterly'!C58</f>
        <v>0.3410377358490566</v>
      </c>
    </row>
    <row r="59">
      <c r="A59" s="0" t="inlineStr">
        <is>
          <t xml:space="preserve">Attainment</t>
        </is>
      </c>
      <c r="B59" s="0" t="inlineStr">
        <is>
          <t xml:space="preserve">Grace Costa</t>
        </is>
      </c>
      <c r="C59" s="0" t="inlineStr">
        <is>
          <t xml:space="preserve">Q3 2025</t>
        </is>
      </c>
      <c r="D59" s="12">
        <f>'Rep quarterly'!D58</f>
        <v>0.5377358490566038</v>
      </c>
      <c r="E59" s="12">
        <f>'Rep quarterly'!D58</f>
        <v>0.5377358490566038</v>
      </c>
      <c r="F59" s="12">
        <f>'Rep quarterly'!D58</f>
        <v>0.5377358490566038</v>
      </c>
      <c r="G59" s="12">
        <f>'Rep quarterly'!D58</f>
        <v>0.5377358490566038</v>
      </c>
      <c r="H59" s="12">
        <f>'Rep quarterly'!D58</f>
        <v>0.5377358490566038</v>
      </c>
      <c r="I59" s="12">
        <f>'Rep quarterly'!D58</f>
        <v>0.5377358490566038</v>
      </c>
    </row>
    <row r="60">
      <c r="A60" s="0" t="inlineStr">
        <is>
          <t xml:space="preserve">Attainment</t>
        </is>
      </c>
      <c r="B60" s="0" t="inlineStr">
        <is>
          <t xml:space="preserve">Grace Costa</t>
        </is>
      </c>
      <c r="C60" s="0" t="inlineStr">
        <is>
          <t xml:space="preserve">Q4 2025</t>
        </is>
      </c>
      <c r="D60" s="12">
        <f>'Rep quarterly'!E58</f>
        <v>1.6316037735849056</v>
      </c>
      <c r="E60" s="12">
        <f>'Rep quarterly'!E58</f>
        <v>1.6316037735849056</v>
      </c>
      <c r="F60" s="12">
        <f>'Rep quarterly'!E58</f>
        <v>1.6316037735849056</v>
      </c>
      <c r="G60" s="12">
        <f>'Rep quarterly'!E58</f>
        <v>1.6316037735849056</v>
      </c>
      <c r="H60" s="12">
        <f>'Rep quarterly'!E58</f>
        <v>1.6316037735849056</v>
      </c>
      <c r="I60" s="12">
        <f>'Rep quarterly'!E58</f>
        <v>1.6316037735849056</v>
      </c>
    </row>
    <row r="61">
      <c r="A61" s="0" t="inlineStr">
        <is>
          <t xml:space="preserve">Attainment</t>
        </is>
      </c>
      <c r="B61" s="0" t="inlineStr">
        <is>
          <t xml:space="preserve">Grace Costa</t>
        </is>
      </c>
      <c r="C61" s="0" t="inlineStr">
        <is>
          <t xml:space="preserve">Q1 2026</t>
        </is>
      </c>
      <c r="D61" s="12">
        <f>'Rep quarterly'!F58</f>
        <v>1.5264150943396226</v>
      </c>
      <c r="E61" s="12">
        <f>'Rep quarterly'!F58</f>
        <v>1.5264150943396226</v>
      </c>
      <c r="F61" s="12">
        <f>'Rep quarterly'!F58</f>
        <v>1.5264150943396226</v>
      </c>
      <c r="G61" s="12">
        <f>'Rep quarterly'!F58</f>
        <v>1.5264150943396226</v>
      </c>
      <c r="H61" s="12">
        <f>'Rep quarterly'!F58</f>
        <v>1.5264150943396226</v>
      </c>
      <c r="I61" s="12">
        <f>'Rep quarterly'!F58</f>
        <v>1.5264150943396226</v>
      </c>
    </row>
    <row r="62">
      <c r="A62" s="0" t="inlineStr">
        <is>
          <t xml:space="preserve">Attainment</t>
        </is>
      </c>
      <c r="B62" s="0" t="inlineStr">
        <is>
          <t xml:space="preserve">Grace Costa</t>
        </is>
      </c>
      <c r="C62" s="0" t="inlineStr">
        <is>
          <t xml:space="preserve">Q2 2026</t>
        </is>
      </c>
      <c r="D62" s="12">
        <f>'Rep quarterly'!G58</f>
        <v>3.055188679245283</v>
      </c>
      <c r="E62" s="12">
        <f>'Rep quarterly'!G58</f>
        <v>3.055188679245283</v>
      </c>
      <c r="F62" s="12">
        <f>'Rep quarterly'!G58</f>
        <v>3.055188679245283</v>
      </c>
      <c r="G62" s="12">
        <f>'Rep quarterly'!G58</f>
        <v>3.055188679245283</v>
      </c>
      <c r="H62" s="12">
        <f>'Rep quarterly'!G58</f>
        <v>3.055188679245283</v>
      </c>
      <c r="I62" s="12">
        <f>'Rep quarterly'!G58</f>
        <v>3.055188679245283</v>
      </c>
    </row>
    <row r="63">
      <c r="A63" s="0" t="inlineStr">
        <is>
          <t xml:space="preserve">Attainment</t>
        </is>
      </c>
      <c r="B63" s="0" t="inlineStr">
        <is>
          <t xml:space="preserve">Grace Costa</t>
        </is>
      </c>
      <c r="C63" s="0" t="inlineStr">
        <is>
          <t xml:space="preserve">Q3 2026</t>
        </is>
      </c>
      <c r="D63" s="12">
        <f>'Rep quarterly'!H58</f>
        <v>1.8047169811320756</v>
      </c>
      <c r="E63" s="12">
        <f>'Rep quarterly'!H58</f>
        <v>1.8047169811320756</v>
      </c>
      <c r="F63" s="12">
        <f>'Rep quarterly'!H58</f>
        <v>1.8047169811320756</v>
      </c>
      <c r="G63" s="12">
        <f>'Rep quarterly'!H58</f>
        <v>1.8047169811320756</v>
      </c>
      <c r="H63" s="12">
        <f>'Rep quarterly'!H58</f>
        <v>1.8047169811320756</v>
      </c>
      <c r="I63" s="12">
        <f>'Rep quarterly'!H58</f>
        <v>1.8047169811320756</v>
      </c>
    </row>
    <row r="64">
      <c r="A64" s="0" t="inlineStr">
        <is>
          <t xml:space="preserve">Attainment</t>
        </is>
      </c>
      <c r="B64" s="0" t="inlineStr">
        <is>
          <t xml:space="preserve">Grace Costa</t>
        </is>
      </c>
      <c r="C64" s="0" t="inlineStr">
        <is>
          <t xml:space="preserve">Q4 2026</t>
        </is>
      </c>
      <c r="D64" s="12">
        <f>'Rep quarterly'!I58</f>
      </c>
      <c r="E64" s="12">
        <f>'Rep quarterly'!I58</f>
      </c>
      <c r="F64" s="12">
        <f>'Rep quarterly'!I58</f>
      </c>
      <c r="G64" s="12">
        <f>'Rep quarterly'!I58</f>
      </c>
      <c r="H64" s="12">
        <f>'Rep quarterly'!I58</f>
      </c>
      <c r="I64" s="12">
        <f>'Rep quarterly'!I58</f>
      </c>
    </row>
    <row r="65">
      <c r="A65" s="0" t="inlineStr">
        <is>
          <t xml:space="preserve">Attainment</t>
        </is>
      </c>
      <c r="B65" s="0" t="inlineStr">
        <is>
          <t xml:space="preserve">Ingrid Müller</t>
        </is>
      </c>
      <c r="C65" s="0" t="inlineStr">
        <is>
          <t xml:space="preserve">Q2 2025</t>
        </is>
      </c>
      <c r="D65" s="12">
        <f>'Rep quarterly'!C59</f>
        <v>0</v>
      </c>
      <c r="E65" s="12">
        <f>'Rep quarterly'!C59</f>
        <v>0</v>
      </c>
      <c r="F65" s="12">
        <f>'Rep quarterly'!C59</f>
        <v>0</v>
      </c>
      <c r="G65" s="12">
        <f>'Rep quarterly'!C59</f>
        <v>0</v>
      </c>
      <c r="H65" s="12">
        <f>'Rep quarterly'!C59</f>
        <v>0</v>
      </c>
      <c r="I65" s="12">
        <f>'Rep quarterly'!C59</f>
        <v>0</v>
      </c>
    </row>
    <row r="66">
      <c r="A66" s="0" t="inlineStr">
        <is>
          <t xml:space="preserve">Attainment</t>
        </is>
      </c>
      <c r="B66" s="0" t="inlineStr">
        <is>
          <t xml:space="preserve">Ingrid Müller</t>
        </is>
      </c>
      <c r="C66" s="0" t="inlineStr">
        <is>
          <t xml:space="preserve">Q3 2025</t>
        </is>
      </c>
      <c r="D66" s="12">
        <f>'Rep quarterly'!D59</f>
        <v>0</v>
      </c>
      <c r="E66" s="12">
        <f>'Rep quarterly'!D59</f>
        <v>0</v>
      </c>
      <c r="F66" s="12">
        <f>'Rep quarterly'!D59</f>
        <v>0</v>
      </c>
      <c r="G66" s="12">
        <f>'Rep quarterly'!D59</f>
        <v>0</v>
      </c>
      <c r="H66" s="12">
        <f>'Rep quarterly'!D59</f>
        <v>0</v>
      </c>
      <c r="I66" s="12">
        <f>'Rep quarterly'!D59</f>
        <v>0</v>
      </c>
    </row>
    <row r="67">
      <c r="A67" s="0" t="inlineStr">
        <is>
          <t xml:space="preserve">Attainment</t>
        </is>
      </c>
      <c r="B67" s="0" t="inlineStr">
        <is>
          <t xml:space="preserve">Ingrid Müller</t>
        </is>
      </c>
      <c r="C67" s="0" t="inlineStr">
        <is>
          <t xml:space="preserve">Q4 2025</t>
        </is>
      </c>
      <c r="D67" s="12">
        <f>'Rep quarterly'!E59</f>
        <v>0</v>
      </c>
      <c r="E67" s="12">
        <f>'Rep quarterly'!E59</f>
        <v>0</v>
      </c>
      <c r="F67" s="12">
        <f>'Rep quarterly'!E59</f>
        <v>0</v>
      </c>
      <c r="G67" s="12">
        <f>'Rep quarterly'!E59</f>
        <v>0</v>
      </c>
      <c r="H67" s="12">
        <f>'Rep quarterly'!E59</f>
        <v>0</v>
      </c>
      <c r="I67" s="12">
        <f>'Rep quarterly'!E59</f>
        <v>0</v>
      </c>
    </row>
    <row r="68">
      <c r="A68" s="0" t="inlineStr">
        <is>
          <t xml:space="preserve">Attainment</t>
        </is>
      </c>
      <c r="B68" s="0" t="inlineStr">
        <is>
          <t xml:space="preserve">Ingrid Müller</t>
        </is>
      </c>
      <c r="C68" s="0" t="inlineStr">
        <is>
          <t xml:space="preserve">Q1 2026</t>
        </is>
      </c>
      <c r="D68" s="12">
        <f>'Rep quarterly'!F59</f>
        <v>0</v>
      </c>
      <c r="E68" s="12">
        <f>'Rep quarterly'!F59</f>
        <v>0</v>
      </c>
      <c r="F68" s="12">
        <f>'Rep quarterly'!F59</f>
        <v>0</v>
      </c>
      <c r="G68" s="12">
        <f>'Rep quarterly'!F59</f>
        <v>0</v>
      </c>
      <c r="H68" s="12">
        <f>'Rep quarterly'!F59</f>
        <v>0</v>
      </c>
      <c r="I68" s="12">
        <f>'Rep quarterly'!F59</f>
        <v>0</v>
      </c>
    </row>
    <row r="69">
      <c r="A69" s="0" t="inlineStr">
        <is>
          <t xml:space="preserve">Attainment</t>
        </is>
      </c>
      <c r="B69" s="0" t="inlineStr">
        <is>
          <t xml:space="preserve">Ingrid Müller</t>
        </is>
      </c>
      <c r="C69" s="0" t="inlineStr">
        <is>
          <t xml:space="preserve">Q2 2026</t>
        </is>
      </c>
      <c r="D69" s="12">
        <f>'Rep quarterly'!G59</f>
        <v>2.767924528301887</v>
      </c>
      <c r="E69" s="12">
        <f>'Rep quarterly'!G59</f>
        <v>2.767924528301887</v>
      </c>
      <c r="F69" s="12">
        <f>'Rep quarterly'!G59</f>
        <v>2.767924528301887</v>
      </c>
      <c r="G69" s="12">
        <f>'Rep quarterly'!G59</f>
        <v>2.767924528301887</v>
      </c>
      <c r="H69" s="12">
        <f>'Rep quarterly'!G59</f>
        <v>2.767924528301887</v>
      </c>
      <c r="I69" s="12">
        <f>'Rep quarterly'!G59</f>
        <v>2.767924528301887</v>
      </c>
    </row>
    <row r="70">
      <c r="A70" s="0" t="inlineStr">
        <is>
          <t xml:space="preserve">Attainment</t>
        </is>
      </c>
      <c r="B70" s="0" t="inlineStr">
        <is>
          <t xml:space="preserve">Ingrid Müller</t>
        </is>
      </c>
      <c r="C70" s="0" t="inlineStr">
        <is>
          <t xml:space="preserve">Q3 2026</t>
        </is>
      </c>
      <c r="D70" s="12">
        <f>'Rep quarterly'!H59</f>
        <v>2.3179245283018868</v>
      </c>
      <c r="E70" s="12">
        <f>'Rep quarterly'!H59</f>
        <v>2.3179245283018868</v>
      </c>
      <c r="F70" s="12">
        <f>'Rep quarterly'!H59</f>
        <v>2.3179245283018868</v>
      </c>
      <c r="G70" s="12">
        <f>'Rep quarterly'!H59</f>
        <v>2.3179245283018868</v>
      </c>
      <c r="H70" s="12">
        <f>'Rep quarterly'!H59</f>
        <v>2.3179245283018868</v>
      </c>
      <c r="I70" s="12">
        <f>'Rep quarterly'!H59</f>
        <v>2.3179245283018868</v>
      </c>
    </row>
    <row r="71">
      <c r="A71" s="0" t="inlineStr">
        <is>
          <t xml:space="preserve">Attainment</t>
        </is>
      </c>
      <c r="B71" s="0" t="inlineStr">
        <is>
          <t xml:space="preserve">Ingrid Müller</t>
        </is>
      </c>
      <c r="C71" s="0" t="inlineStr">
        <is>
          <t xml:space="preserve">Q4 2026</t>
        </is>
      </c>
      <c r="D71" s="12">
        <f>'Rep quarterly'!I59</f>
      </c>
      <c r="E71" s="12">
        <f>'Rep quarterly'!I59</f>
      </c>
      <c r="F71" s="12">
        <f>'Rep quarterly'!I59</f>
      </c>
      <c r="G71" s="12">
        <f>'Rep quarterly'!I59</f>
      </c>
      <c r="H71" s="12">
        <f>'Rep quarterly'!I59</f>
      </c>
      <c r="I71" s="12">
        <f>'Rep quarterly'!I59</f>
      </c>
    </row>
    <row r="72">
      <c r="A72" s="0" t="inlineStr">
        <is>
          <t xml:space="preserve">Attainment</t>
        </is>
      </c>
      <c r="B72" s="0" t="inlineStr">
        <is>
          <t xml:space="preserve">Ingrid Kim</t>
        </is>
      </c>
      <c r="C72" s="0" t="inlineStr">
        <is>
          <t xml:space="preserve">Q2 2025</t>
        </is>
      </c>
      <c r="D72" s="12">
        <f>'Rep quarterly'!C60</f>
        <v>0.7196428571428571</v>
      </c>
      <c r="E72" s="12">
        <f>'Rep quarterly'!C60</f>
        <v>0.7196428571428571</v>
      </c>
      <c r="F72" s="12">
        <f>'Rep quarterly'!C60</f>
        <v>0.7196428571428571</v>
      </c>
      <c r="G72" s="12">
        <f>'Rep quarterly'!C60</f>
        <v>0.7196428571428571</v>
      </c>
      <c r="H72" s="12">
        <f>'Rep quarterly'!C60</f>
        <v>0.7196428571428571</v>
      </c>
      <c r="I72" s="12">
        <f>'Rep quarterly'!C60</f>
        <v>0.7196428571428571</v>
      </c>
    </row>
    <row r="73">
      <c r="A73" s="0" t="inlineStr">
        <is>
          <t xml:space="preserve">Attainment</t>
        </is>
      </c>
      <c r="B73" s="0" t="inlineStr">
        <is>
          <t xml:space="preserve">Ingrid Kim</t>
        </is>
      </c>
      <c r="C73" s="0" t="inlineStr">
        <is>
          <t xml:space="preserve">Q3 2025</t>
        </is>
      </c>
      <c r="D73" s="12">
        <f>'Rep quarterly'!D60</f>
        <v>0.7732142857142857</v>
      </c>
      <c r="E73" s="12">
        <f>'Rep quarterly'!D60</f>
        <v>0.7732142857142857</v>
      </c>
      <c r="F73" s="12">
        <f>'Rep quarterly'!D60</f>
        <v>0.7732142857142857</v>
      </c>
      <c r="G73" s="12">
        <f>'Rep quarterly'!D60</f>
        <v>0.7732142857142857</v>
      </c>
      <c r="H73" s="12">
        <f>'Rep quarterly'!D60</f>
        <v>0.7732142857142857</v>
      </c>
      <c r="I73" s="12">
        <f>'Rep quarterly'!D60</f>
        <v>0.7732142857142857</v>
      </c>
    </row>
    <row r="74">
      <c r="A74" s="0" t="inlineStr">
        <is>
          <t xml:space="preserve">Attainment</t>
        </is>
      </c>
      <c r="B74" s="0" t="inlineStr">
        <is>
          <t xml:space="preserve">Ingrid Kim</t>
        </is>
      </c>
      <c r="C74" s="0" t="inlineStr">
        <is>
          <t xml:space="preserve">Q4 2025</t>
        </is>
      </c>
      <c r="D74" s="12">
        <f>'Rep quarterly'!E60</f>
        <v>1.1232142857142857</v>
      </c>
      <c r="E74" s="12">
        <f>'Rep quarterly'!E60</f>
        <v>1.1232142857142857</v>
      </c>
      <c r="F74" s="12">
        <f>'Rep quarterly'!E60</f>
        <v>1.1232142857142857</v>
      </c>
      <c r="G74" s="12">
        <f>'Rep quarterly'!E60</f>
        <v>1.1232142857142857</v>
      </c>
      <c r="H74" s="12">
        <f>'Rep quarterly'!E60</f>
        <v>1.1232142857142857</v>
      </c>
      <c r="I74" s="12">
        <f>'Rep quarterly'!E60</f>
        <v>1.1232142857142857</v>
      </c>
    </row>
    <row r="75">
      <c r="A75" s="0" t="inlineStr">
        <is>
          <t xml:space="preserve">Attainment</t>
        </is>
      </c>
      <c r="B75" s="0" t="inlineStr">
        <is>
          <t xml:space="preserve">Ingrid Kim</t>
        </is>
      </c>
      <c r="C75" s="0" t="inlineStr">
        <is>
          <t xml:space="preserve">Q1 2026</t>
        </is>
      </c>
      <c r="D75" s="12">
        <f>'Rep quarterly'!F60</f>
        <v>0.9508928571428571</v>
      </c>
      <c r="E75" s="12">
        <f>'Rep quarterly'!F60</f>
        <v>0.9508928571428571</v>
      </c>
      <c r="F75" s="12">
        <f>'Rep quarterly'!F60</f>
        <v>0.9508928571428571</v>
      </c>
      <c r="G75" s="12">
        <f>'Rep quarterly'!F60</f>
        <v>0.9508928571428571</v>
      </c>
      <c r="H75" s="12">
        <f>'Rep quarterly'!F60</f>
        <v>0.9508928571428571</v>
      </c>
      <c r="I75" s="12">
        <f>'Rep quarterly'!F60</f>
        <v>0.9508928571428571</v>
      </c>
    </row>
    <row r="76">
      <c r="A76" s="0" t="inlineStr">
        <is>
          <t xml:space="preserve">Attainment</t>
        </is>
      </c>
      <c r="B76" s="0" t="inlineStr">
        <is>
          <t xml:space="preserve">Ingrid Kim</t>
        </is>
      </c>
      <c r="C76" s="0" t="inlineStr">
        <is>
          <t xml:space="preserve">Q2 2026</t>
        </is>
      </c>
      <c r="D76" s="12">
        <f>'Rep quarterly'!G60</f>
        <v>0.23660714285714285</v>
      </c>
      <c r="E76" s="12">
        <f>'Rep quarterly'!G60</f>
        <v>0.23660714285714285</v>
      </c>
      <c r="F76" s="12">
        <f>'Rep quarterly'!G60</f>
        <v>0.23660714285714285</v>
      </c>
      <c r="G76" s="12">
        <f>'Rep quarterly'!G60</f>
        <v>0.23660714285714285</v>
      </c>
      <c r="H76" s="12">
        <f>'Rep quarterly'!G60</f>
        <v>0.23660714285714285</v>
      </c>
      <c r="I76" s="12">
        <f>'Rep quarterly'!G60</f>
        <v>0.23660714285714285</v>
      </c>
    </row>
    <row r="77">
      <c r="A77" s="0" t="inlineStr">
        <is>
          <t xml:space="preserve">Attainment</t>
        </is>
      </c>
      <c r="B77" s="0" t="inlineStr">
        <is>
          <t xml:space="preserve">Ingrid Kim</t>
        </is>
      </c>
      <c r="C77" s="0" t="inlineStr">
        <is>
          <t xml:space="preserve">Q3 2026</t>
        </is>
      </c>
      <c r="D77" s="12">
        <f>'Rep quarterly'!H60</f>
        <v>0.7955357142857142</v>
      </c>
      <c r="E77" s="12">
        <f>'Rep quarterly'!H60</f>
        <v>0.7955357142857142</v>
      </c>
      <c r="F77" s="12">
        <f>'Rep quarterly'!H60</f>
        <v>0.7955357142857142</v>
      </c>
      <c r="G77" s="12">
        <f>'Rep quarterly'!H60</f>
        <v>0.7955357142857142</v>
      </c>
      <c r="H77" s="12">
        <f>'Rep quarterly'!H60</f>
        <v>0.7955357142857142</v>
      </c>
      <c r="I77" s="12">
        <f>'Rep quarterly'!H60</f>
        <v>0.7955357142857142</v>
      </c>
    </row>
    <row r="78">
      <c r="A78" s="0" t="inlineStr">
        <is>
          <t xml:space="preserve">Attainment</t>
        </is>
      </c>
      <c r="B78" s="0" t="inlineStr">
        <is>
          <t xml:space="preserve">Ingrid Kim</t>
        </is>
      </c>
      <c r="C78" s="0" t="inlineStr">
        <is>
          <t xml:space="preserve">Q4 2026</t>
        </is>
      </c>
      <c r="D78" s="12">
        <f>'Rep quarterly'!I60</f>
      </c>
      <c r="E78" s="12">
        <f>'Rep quarterly'!I60</f>
      </c>
      <c r="F78" s="12">
        <f>'Rep quarterly'!I60</f>
      </c>
      <c r="G78" s="12">
        <f>'Rep quarterly'!I60</f>
      </c>
      <c r="H78" s="12">
        <f>'Rep quarterly'!I60</f>
      </c>
      <c r="I78" s="12">
        <f>'Rep quarterly'!I60</f>
      </c>
    </row>
    <row r="79">
      <c r="A79" s="0" t="inlineStr">
        <is>
          <t xml:space="preserve">Attainment</t>
        </is>
      </c>
      <c r="B79" s="0" t="inlineStr">
        <is>
          <t xml:space="preserve">Priya Nair</t>
        </is>
      </c>
      <c r="C79" s="0" t="inlineStr">
        <is>
          <t xml:space="preserve">Q2 2025</t>
        </is>
      </c>
      <c r="D79" s="12">
        <f>'Rep quarterly'!C61</f>
        <v>0.6303571428571428</v>
      </c>
      <c r="E79" s="12">
        <f>'Rep quarterly'!C61</f>
        <v>0.6303571428571428</v>
      </c>
      <c r="F79" s="12">
        <f>'Rep quarterly'!C61</f>
        <v>0.6303571428571428</v>
      </c>
      <c r="G79" s="12">
        <f>'Rep quarterly'!C61</f>
        <v>0.6303571428571428</v>
      </c>
      <c r="H79" s="12">
        <f>'Rep quarterly'!C61</f>
        <v>0.6303571428571428</v>
      </c>
      <c r="I79" s="12">
        <f>'Rep quarterly'!C61</f>
        <v>0.6303571428571428</v>
      </c>
    </row>
    <row r="80">
      <c r="A80" s="0" t="inlineStr">
        <is>
          <t xml:space="preserve">Attainment</t>
        </is>
      </c>
      <c r="B80" s="0" t="inlineStr">
        <is>
          <t xml:space="preserve">Priya Nair</t>
        </is>
      </c>
      <c r="C80" s="0" t="inlineStr">
        <is>
          <t xml:space="preserve">Q3 2025</t>
        </is>
      </c>
      <c r="D80" s="12">
        <f>'Rep quarterly'!D61</f>
        <v>0.9017857142857143</v>
      </c>
      <c r="E80" s="12">
        <f>'Rep quarterly'!D61</f>
        <v>0.9017857142857143</v>
      </c>
      <c r="F80" s="12">
        <f>'Rep quarterly'!D61</f>
        <v>0.9017857142857143</v>
      </c>
      <c r="G80" s="12">
        <f>'Rep quarterly'!D61</f>
        <v>0.9017857142857143</v>
      </c>
      <c r="H80" s="12">
        <f>'Rep quarterly'!D61</f>
        <v>0.9017857142857143</v>
      </c>
      <c r="I80" s="12">
        <f>'Rep quarterly'!D61</f>
        <v>0.9017857142857143</v>
      </c>
    </row>
    <row r="81">
      <c r="A81" s="0" t="inlineStr">
        <is>
          <t xml:space="preserve">Attainment</t>
        </is>
      </c>
      <c r="B81" s="0" t="inlineStr">
        <is>
          <t xml:space="preserve">Priya Nair</t>
        </is>
      </c>
      <c r="C81" s="0" t="inlineStr">
        <is>
          <t xml:space="preserve">Q4 2025</t>
        </is>
      </c>
      <c r="D81" s="12">
        <f>'Rep quarterly'!E61</f>
        <v>0.9964285714285714</v>
      </c>
      <c r="E81" s="12">
        <f>'Rep quarterly'!E61</f>
        <v>0.9964285714285714</v>
      </c>
      <c r="F81" s="12">
        <f>'Rep quarterly'!E61</f>
        <v>0.9964285714285714</v>
      </c>
      <c r="G81" s="12">
        <f>'Rep quarterly'!E61</f>
        <v>0.9964285714285714</v>
      </c>
      <c r="H81" s="12">
        <f>'Rep quarterly'!E61</f>
        <v>0.9964285714285714</v>
      </c>
      <c r="I81" s="12">
        <f>'Rep quarterly'!E61</f>
        <v>0.9964285714285714</v>
      </c>
    </row>
    <row r="82">
      <c r="A82" s="0" t="inlineStr">
        <is>
          <t xml:space="preserve">Attainment</t>
        </is>
      </c>
      <c r="B82" s="0" t="inlineStr">
        <is>
          <t xml:space="preserve">Priya Nair</t>
        </is>
      </c>
      <c r="C82" s="0" t="inlineStr">
        <is>
          <t xml:space="preserve">Q1 2026</t>
        </is>
      </c>
      <c r="D82" s="12">
        <f>'Rep quarterly'!F61</f>
        <v>0.6758928571428572</v>
      </c>
      <c r="E82" s="12">
        <f>'Rep quarterly'!F61</f>
        <v>0.6758928571428572</v>
      </c>
      <c r="F82" s="12">
        <f>'Rep quarterly'!F61</f>
        <v>0.6758928571428572</v>
      </c>
      <c r="G82" s="12">
        <f>'Rep quarterly'!F61</f>
        <v>0.6758928571428572</v>
      </c>
      <c r="H82" s="12">
        <f>'Rep quarterly'!F61</f>
        <v>0.6758928571428572</v>
      </c>
      <c r="I82" s="12">
        <f>'Rep quarterly'!F61</f>
        <v>0.6758928571428572</v>
      </c>
    </row>
    <row r="83">
      <c r="A83" s="0" t="inlineStr">
        <is>
          <t xml:space="preserve">Attainment</t>
        </is>
      </c>
      <c r="B83" s="0" t="inlineStr">
        <is>
          <t xml:space="preserve">Priya Nair</t>
        </is>
      </c>
      <c r="C83" s="0" t="inlineStr">
        <is>
          <t xml:space="preserve">Q2 2026</t>
        </is>
      </c>
      <c r="D83" s="12">
        <f>'Rep quarterly'!G61</f>
        <v>0.925</v>
      </c>
      <c r="E83" s="12">
        <f>'Rep quarterly'!G61</f>
        <v>0.925</v>
      </c>
      <c r="F83" s="12">
        <f>'Rep quarterly'!G61</f>
        <v>0.925</v>
      </c>
      <c r="G83" s="12">
        <f>'Rep quarterly'!G61</f>
        <v>0.925</v>
      </c>
      <c r="H83" s="12">
        <f>'Rep quarterly'!G61</f>
        <v>0.925</v>
      </c>
      <c r="I83" s="12">
        <f>'Rep quarterly'!G61</f>
        <v>0.925</v>
      </c>
    </row>
    <row r="84">
      <c r="A84" s="0" t="inlineStr">
        <is>
          <t xml:space="preserve">Attainment</t>
        </is>
      </c>
      <c r="B84" s="0" t="inlineStr">
        <is>
          <t xml:space="preserve">Priya Nair</t>
        </is>
      </c>
      <c r="C84" s="0" t="inlineStr">
        <is>
          <t xml:space="preserve">Q3 2026</t>
        </is>
      </c>
      <c r="D84" s="12">
        <f>'Rep quarterly'!H61</f>
        <v>0.33214285714285713</v>
      </c>
      <c r="E84" s="12">
        <f>'Rep quarterly'!H61</f>
        <v>0.33214285714285713</v>
      </c>
      <c r="F84" s="12">
        <f>'Rep quarterly'!H61</f>
        <v>0.33214285714285713</v>
      </c>
      <c r="G84" s="12">
        <f>'Rep quarterly'!H61</f>
        <v>0.33214285714285713</v>
      </c>
      <c r="H84" s="12">
        <f>'Rep quarterly'!H61</f>
        <v>0.33214285714285713</v>
      </c>
      <c r="I84" s="12">
        <f>'Rep quarterly'!H61</f>
        <v>0.33214285714285713</v>
      </c>
    </row>
    <row r="85">
      <c r="A85" s="0" t="inlineStr">
        <is>
          <t xml:space="preserve">Attainment</t>
        </is>
      </c>
      <c r="B85" s="0" t="inlineStr">
        <is>
          <t xml:space="preserve">Priya Nair</t>
        </is>
      </c>
      <c r="C85" s="0" t="inlineStr">
        <is>
          <t xml:space="preserve">Q4 2026</t>
        </is>
      </c>
      <c r="D85" s="12">
        <f>'Rep quarterly'!I61</f>
      </c>
      <c r="E85" s="12">
        <f>'Rep quarterly'!I61</f>
      </c>
      <c r="F85" s="12">
        <f>'Rep quarterly'!I61</f>
      </c>
      <c r="G85" s="12">
        <f>'Rep quarterly'!I61</f>
      </c>
      <c r="H85" s="12">
        <f>'Rep quarterly'!I61</f>
      </c>
      <c r="I85" s="12">
        <f>'Rep quarterly'!I61</f>
      </c>
    </row>
    <row r="86">
      <c r="A86" s="0" t="inlineStr">
        <is>
          <t xml:space="preserve">Attainment</t>
        </is>
      </c>
      <c r="B86" s="0" t="inlineStr">
        <is>
          <t xml:space="preserve">Hugo Lindqvist</t>
        </is>
      </c>
      <c r="C86" s="0" t="inlineStr">
        <is>
          <t xml:space="preserve">Q2 2025</t>
        </is>
      </c>
      <c r="D86" s="12">
        <f>'Rep quarterly'!C62</f>
        <v>0.7272189349112426</v>
      </c>
      <c r="E86" s="12">
        <f>'Rep quarterly'!C62</f>
        <v>0.7272189349112426</v>
      </c>
      <c r="F86" s="12">
        <f>'Rep quarterly'!C62</f>
        <v>0.7272189349112426</v>
      </c>
      <c r="G86" s="12">
        <f>'Rep quarterly'!C62</f>
        <v>0.7272189349112426</v>
      </c>
      <c r="H86" s="12">
        <f>'Rep quarterly'!C62</f>
        <v>0.7272189349112426</v>
      </c>
      <c r="I86" s="12">
        <f>'Rep quarterly'!C62</f>
        <v>0.7272189349112426</v>
      </c>
    </row>
    <row r="87">
      <c r="A87" s="0" t="inlineStr">
        <is>
          <t xml:space="preserve">Attainment</t>
        </is>
      </c>
      <c r="B87" s="0" t="inlineStr">
        <is>
          <t xml:space="preserve">Hugo Lindqvist</t>
        </is>
      </c>
      <c r="C87" s="0" t="inlineStr">
        <is>
          <t xml:space="preserve">Q3 2025</t>
        </is>
      </c>
      <c r="D87" s="12">
        <f>'Rep quarterly'!D62</f>
        <v>2.1671597633136095</v>
      </c>
      <c r="E87" s="12">
        <f>'Rep quarterly'!D62</f>
        <v>2.1671597633136095</v>
      </c>
      <c r="F87" s="12">
        <f>'Rep quarterly'!D62</f>
        <v>2.1671597633136095</v>
      </c>
      <c r="G87" s="12">
        <f>'Rep quarterly'!D62</f>
        <v>2.1671597633136095</v>
      </c>
      <c r="H87" s="12">
        <f>'Rep quarterly'!D62</f>
        <v>2.1671597633136095</v>
      </c>
      <c r="I87" s="12">
        <f>'Rep quarterly'!D62</f>
        <v>2.1671597633136095</v>
      </c>
    </row>
    <row r="88">
      <c r="A88" s="0" t="inlineStr">
        <is>
          <t xml:space="preserve">Attainment</t>
        </is>
      </c>
      <c r="B88" s="0" t="inlineStr">
        <is>
          <t xml:space="preserve">Hugo Lindqvist</t>
        </is>
      </c>
      <c r="C88" s="0" t="inlineStr">
        <is>
          <t xml:space="preserve">Q4 2025</t>
        </is>
      </c>
      <c r="D88" s="12">
        <f>'Rep quarterly'!E62</f>
        <v>0.8035502958579882</v>
      </c>
      <c r="E88" s="12">
        <f>'Rep quarterly'!E62</f>
        <v>0.8035502958579882</v>
      </c>
      <c r="F88" s="12">
        <f>'Rep quarterly'!E62</f>
        <v>0.8035502958579882</v>
      </c>
      <c r="G88" s="12">
        <f>'Rep quarterly'!E62</f>
        <v>0.8035502958579882</v>
      </c>
      <c r="H88" s="12">
        <f>'Rep quarterly'!E62</f>
        <v>0.8035502958579882</v>
      </c>
      <c r="I88" s="12">
        <f>'Rep quarterly'!E62</f>
        <v>0.8035502958579882</v>
      </c>
    </row>
    <row r="89">
      <c r="A89" s="0" t="inlineStr">
        <is>
          <t xml:space="preserve">Attainment</t>
        </is>
      </c>
      <c r="B89" s="0" t="inlineStr">
        <is>
          <t xml:space="preserve">Hugo Lindqvist</t>
        </is>
      </c>
      <c r="C89" s="0" t="inlineStr">
        <is>
          <t xml:space="preserve">Q1 2026</t>
        </is>
      </c>
      <c r="D89" s="12">
        <f>'Rep quarterly'!F62</f>
        <v>1.607396449704142</v>
      </c>
      <c r="E89" s="12">
        <f>'Rep quarterly'!F62</f>
        <v>1.607396449704142</v>
      </c>
      <c r="F89" s="12">
        <f>'Rep quarterly'!F62</f>
        <v>1.607396449704142</v>
      </c>
      <c r="G89" s="12">
        <f>'Rep quarterly'!F62</f>
        <v>1.607396449704142</v>
      </c>
      <c r="H89" s="12">
        <f>'Rep quarterly'!F62</f>
        <v>1.607396449704142</v>
      </c>
      <c r="I89" s="12">
        <f>'Rep quarterly'!F62</f>
        <v>1.607396449704142</v>
      </c>
    </row>
    <row r="90">
      <c r="A90" s="0" t="inlineStr">
        <is>
          <t xml:space="preserve">Attainment</t>
        </is>
      </c>
      <c r="B90" s="0" t="inlineStr">
        <is>
          <t xml:space="preserve">Hugo Lindqvist</t>
        </is>
      </c>
      <c r="C90" s="0" t="inlineStr">
        <is>
          <t xml:space="preserve">Q2 2026</t>
        </is>
      </c>
      <c r="D90" s="12">
        <f>'Rep quarterly'!G62</f>
        <v>1.3520710059171597</v>
      </c>
      <c r="E90" s="12">
        <f>'Rep quarterly'!G62</f>
        <v>1.3520710059171597</v>
      </c>
      <c r="F90" s="12">
        <f>'Rep quarterly'!G62</f>
        <v>1.3520710059171597</v>
      </c>
      <c r="G90" s="12">
        <f>'Rep quarterly'!G62</f>
        <v>1.3520710059171597</v>
      </c>
      <c r="H90" s="12">
        <f>'Rep quarterly'!G62</f>
        <v>1.3520710059171597</v>
      </c>
      <c r="I90" s="12">
        <f>'Rep quarterly'!G62</f>
        <v>1.3520710059171597</v>
      </c>
    </row>
    <row r="91">
      <c r="A91" s="0" t="inlineStr">
        <is>
          <t xml:space="preserve">Attainment</t>
        </is>
      </c>
      <c r="B91" s="0" t="inlineStr">
        <is>
          <t xml:space="preserve">Hugo Lindqvist</t>
        </is>
      </c>
      <c r="C91" s="0" t="inlineStr">
        <is>
          <t xml:space="preserve">Q3 2026</t>
        </is>
      </c>
      <c r="D91" s="12">
        <f>'Rep quarterly'!H62</f>
        <v>1.1142011834319527</v>
      </c>
      <c r="E91" s="12">
        <f>'Rep quarterly'!H62</f>
        <v>1.1142011834319527</v>
      </c>
      <c r="F91" s="12">
        <f>'Rep quarterly'!H62</f>
        <v>1.1142011834319527</v>
      </c>
      <c r="G91" s="12">
        <f>'Rep quarterly'!H62</f>
        <v>1.1142011834319527</v>
      </c>
      <c r="H91" s="12">
        <f>'Rep quarterly'!H62</f>
        <v>1.1142011834319527</v>
      </c>
      <c r="I91" s="12">
        <f>'Rep quarterly'!H62</f>
        <v>1.1142011834319527</v>
      </c>
    </row>
    <row r="92">
      <c r="A92" s="0" t="inlineStr">
        <is>
          <t xml:space="preserve">Attainment</t>
        </is>
      </c>
      <c r="B92" s="0" t="inlineStr">
        <is>
          <t xml:space="preserve">Hugo Lindqvist</t>
        </is>
      </c>
      <c r="C92" s="0" t="inlineStr">
        <is>
          <t xml:space="preserve">Q4 2026</t>
        </is>
      </c>
      <c r="D92" s="12">
        <f>'Rep quarterly'!I62</f>
      </c>
      <c r="E92" s="12">
        <f>'Rep quarterly'!I62</f>
      </c>
      <c r="F92" s="12">
        <f>'Rep quarterly'!I62</f>
      </c>
      <c r="G92" s="12">
        <f>'Rep quarterly'!I62</f>
      </c>
      <c r="H92" s="12">
        <f>'Rep quarterly'!I62</f>
      </c>
      <c r="I92" s="12">
        <f>'Rep quarterly'!I62</f>
      </c>
    </row>
    <row r="93">
      <c r="A93" s="0" t="inlineStr">
        <is>
          <t xml:space="preserve">Attainment</t>
        </is>
      </c>
      <c r="B93" s="0" t="inlineStr">
        <is>
          <t xml:space="preserve">Wei Novak</t>
        </is>
      </c>
      <c r="C93" s="0" t="inlineStr">
        <is>
          <t xml:space="preserve">Q2 2025</t>
        </is>
      </c>
      <c r="D93" s="12">
        <f>'Rep quarterly'!C63</f>
        <v>0</v>
      </c>
      <c r="E93" s="12">
        <f>'Rep quarterly'!C63</f>
        <v>0</v>
      </c>
      <c r="F93" s="12">
        <f>'Rep quarterly'!C63</f>
        <v>0</v>
      </c>
      <c r="G93" s="12">
        <f>'Rep quarterly'!C63</f>
        <v>0</v>
      </c>
      <c r="H93" s="12">
        <f>'Rep quarterly'!C63</f>
        <v>0</v>
      </c>
      <c r="I93" s="12">
        <f>'Rep quarterly'!C63</f>
        <v>0</v>
      </c>
    </row>
    <row r="94">
      <c r="A94" s="0" t="inlineStr">
        <is>
          <t xml:space="preserve">Attainment</t>
        </is>
      </c>
      <c r="B94" s="0" t="inlineStr">
        <is>
          <t xml:space="preserve">Wei Novak</t>
        </is>
      </c>
      <c r="C94" s="0" t="inlineStr">
        <is>
          <t xml:space="preserve">Q3 2025</t>
        </is>
      </c>
      <c r="D94" s="12">
        <f>'Rep quarterly'!D63</f>
        <v>0</v>
      </c>
      <c r="E94" s="12">
        <f>'Rep quarterly'!D63</f>
        <v>0</v>
      </c>
      <c r="F94" s="12">
        <f>'Rep quarterly'!D63</f>
        <v>0</v>
      </c>
      <c r="G94" s="12">
        <f>'Rep quarterly'!D63</f>
        <v>0</v>
      </c>
      <c r="H94" s="12">
        <f>'Rep quarterly'!D63</f>
        <v>0</v>
      </c>
      <c r="I94" s="12">
        <f>'Rep quarterly'!D63</f>
        <v>0</v>
      </c>
    </row>
    <row r="95">
      <c r="A95" s="0" t="inlineStr">
        <is>
          <t xml:space="preserve">Attainment</t>
        </is>
      </c>
      <c r="B95" s="0" t="inlineStr">
        <is>
          <t xml:space="preserve">Wei Novak</t>
        </is>
      </c>
      <c r="C95" s="0" t="inlineStr">
        <is>
          <t xml:space="preserve">Q4 2025</t>
        </is>
      </c>
      <c r="D95" s="12">
        <f>'Rep quarterly'!E63</f>
        <v>0</v>
      </c>
      <c r="E95" s="12">
        <f>'Rep quarterly'!E63</f>
        <v>0</v>
      </c>
      <c r="F95" s="12">
        <f>'Rep quarterly'!E63</f>
        <v>0</v>
      </c>
      <c r="G95" s="12">
        <f>'Rep quarterly'!E63</f>
        <v>0</v>
      </c>
      <c r="H95" s="12">
        <f>'Rep quarterly'!E63</f>
        <v>0</v>
      </c>
      <c r="I95" s="12">
        <f>'Rep quarterly'!E63</f>
        <v>0</v>
      </c>
    </row>
    <row r="96">
      <c r="A96" s="0" t="inlineStr">
        <is>
          <t xml:space="preserve">Attainment</t>
        </is>
      </c>
      <c r="B96" s="0" t="inlineStr">
        <is>
          <t xml:space="preserve">Wei Novak</t>
        </is>
      </c>
      <c r="C96" s="0" t="inlineStr">
        <is>
          <t xml:space="preserve">Q1 2026</t>
        </is>
      </c>
      <c r="D96" s="12">
        <f>'Rep quarterly'!F63</f>
        <v>0.2714285714285714</v>
      </c>
      <c r="E96" s="12">
        <f>'Rep quarterly'!F63</f>
        <v>0.2714285714285714</v>
      </c>
      <c r="F96" s="12">
        <f>'Rep quarterly'!F63</f>
        <v>0.2714285714285714</v>
      </c>
      <c r="G96" s="12">
        <f>'Rep quarterly'!F63</f>
        <v>0.2714285714285714</v>
      </c>
      <c r="H96" s="12">
        <f>'Rep quarterly'!F63</f>
        <v>0.2714285714285714</v>
      </c>
      <c r="I96" s="12">
        <f>'Rep quarterly'!F63</f>
        <v>0.2714285714285714</v>
      </c>
    </row>
    <row r="97">
      <c r="A97" s="0" t="inlineStr">
        <is>
          <t xml:space="preserve">Attainment</t>
        </is>
      </c>
      <c r="B97" s="0" t="inlineStr">
        <is>
          <t xml:space="preserve">Wei Novak</t>
        </is>
      </c>
      <c r="C97" s="0" t="inlineStr">
        <is>
          <t xml:space="preserve">Q2 2026</t>
        </is>
      </c>
      <c r="D97" s="12">
        <f>'Rep quarterly'!G63</f>
        <v>0.35502958579881655</v>
      </c>
      <c r="E97" s="12">
        <f>'Rep quarterly'!G63</f>
        <v>0.35502958579881655</v>
      </c>
      <c r="F97" s="12">
        <f>'Rep quarterly'!G63</f>
        <v>0.35502958579881655</v>
      </c>
      <c r="G97" s="12">
        <f>'Rep quarterly'!G63</f>
        <v>0.35502958579881655</v>
      </c>
      <c r="H97" s="12">
        <f>'Rep quarterly'!G63</f>
        <v>0.35502958579881655</v>
      </c>
      <c r="I97" s="12">
        <f>'Rep quarterly'!G63</f>
        <v>0.35502958579881655</v>
      </c>
    </row>
    <row r="98">
      <c r="A98" s="0" t="inlineStr">
        <is>
          <t xml:space="preserve">Attainment</t>
        </is>
      </c>
      <c r="B98" s="0" t="inlineStr">
        <is>
          <t xml:space="preserve">Wei Novak</t>
        </is>
      </c>
      <c r="C98" s="0" t="inlineStr">
        <is>
          <t xml:space="preserve">Q3 2026</t>
        </is>
      </c>
      <c r="D98" s="12">
        <f>'Rep quarterly'!H63</f>
        <v>0.36719367588932805</v>
      </c>
      <c r="E98" s="12">
        <f>'Rep quarterly'!H63</f>
        <v>0.36719367588932805</v>
      </c>
      <c r="F98" s="12">
        <f>'Rep quarterly'!H63</f>
        <v>0.36719367588932805</v>
      </c>
      <c r="G98" s="12">
        <f>'Rep quarterly'!H63</f>
        <v>0.36719367588932805</v>
      </c>
      <c r="H98" s="12">
        <f>'Rep quarterly'!H63</f>
        <v>0.36719367588932805</v>
      </c>
      <c r="I98" s="12">
        <f>'Rep quarterly'!H63</f>
        <v>0.36719367588932805</v>
      </c>
    </row>
    <row r="99">
      <c r="A99" s="0" t="inlineStr">
        <is>
          <t xml:space="preserve">Attainment</t>
        </is>
      </c>
      <c r="B99" s="0" t="inlineStr">
        <is>
          <t xml:space="preserve">Wei Novak</t>
        </is>
      </c>
      <c r="C99" s="0" t="inlineStr">
        <is>
          <t xml:space="preserve">Q4 2026</t>
        </is>
      </c>
      <c r="D99" s="12">
        <f>'Rep quarterly'!I63</f>
      </c>
      <c r="E99" s="12">
        <f>'Rep quarterly'!I63</f>
      </c>
      <c r="F99" s="12">
        <f>'Rep quarterly'!I63</f>
      </c>
      <c r="G99" s="12">
        <f>'Rep quarterly'!I63</f>
      </c>
      <c r="H99" s="12">
        <f>'Rep quarterly'!I63</f>
      </c>
      <c r="I99" s="12">
        <f>'Rep quarterly'!I63</f>
      </c>
    </row>
    <row r="100">
      <c r="A100" s="0" t="inlineStr">
        <is>
          <t xml:space="preserve">Attainment</t>
        </is>
      </c>
      <c r="B100" s="0" t="inlineStr">
        <is>
          <t xml:space="preserve">Nikolai Kim</t>
        </is>
      </c>
      <c r="C100" s="0" t="inlineStr">
        <is>
          <t xml:space="preserve">Q2 2025</t>
        </is>
      </c>
      <c r="D100" s="12">
        <f>'Rep quarterly'!C64</f>
        <v>1.3768421052631579</v>
      </c>
      <c r="E100" s="12">
        <f>'Rep quarterly'!C64</f>
        <v>1.3768421052631579</v>
      </c>
      <c r="F100" s="12">
        <f>'Rep quarterly'!C64</f>
        <v>1.3768421052631579</v>
      </c>
      <c r="G100" s="12">
        <f>'Rep quarterly'!C64</f>
        <v>1.3768421052631579</v>
      </c>
      <c r="H100" s="12">
        <f>'Rep quarterly'!C64</f>
        <v>1.3768421052631579</v>
      </c>
      <c r="I100" s="12">
        <f>'Rep quarterly'!C64</f>
        <v>1.3768421052631579</v>
      </c>
    </row>
    <row r="101">
      <c r="A101" s="0" t="inlineStr">
        <is>
          <t xml:space="preserve">Attainment</t>
        </is>
      </c>
      <c r="B101" s="0" t="inlineStr">
        <is>
          <t xml:space="preserve">Nikolai Kim</t>
        </is>
      </c>
      <c r="C101" s="0" t="inlineStr">
        <is>
          <t xml:space="preserve">Q3 2025</t>
        </is>
      </c>
      <c r="D101" s="12">
        <f>'Rep quarterly'!D64</f>
        <v>1.6657894736842105</v>
      </c>
      <c r="E101" s="12">
        <f>'Rep quarterly'!D64</f>
        <v>1.6657894736842105</v>
      </c>
      <c r="F101" s="12">
        <f>'Rep quarterly'!D64</f>
        <v>1.6657894736842105</v>
      </c>
      <c r="G101" s="12">
        <f>'Rep quarterly'!D64</f>
        <v>1.6657894736842105</v>
      </c>
      <c r="H101" s="12">
        <f>'Rep quarterly'!D64</f>
        <v>1.6657894736842105</v>
      </c>
      <c r="I101" s="12">
        <f>'Rep quarterly'!D64</f>
        <v>1.6657894736842105</v>
      </c>
    </row>
    <row r="102">
      <c r="A102" s="0" t="inlineStr">
        <is>
          <t xml:space="preserve">Attainment</t>
        </is>
      </c>
      <c r="B102" s="0" t="inlineStr">
        <is>
          <t xml:space="preserve">Nikolai Kim</t>
        </is>
      </c>
      <c r="C102" s="0" t="inlineStr">
        <is>
          <t xml:space="preserve">Q4 2025</t>
        </is>
      </c>
      <c r="D102" s="12">
        <f>'Rep quarterly'!E64</f>
        <v>1.6036842105263158</v>
      </c>
      <c r="E102" s="12">
        <f>'Rep quarterly'!E64</f>
        <v>1.6036842105263158</v>
      </c>
      <c r="F102" s="12">
        <f>'Rep quarterly'!E64</f>
        <v>1.6036842105263158</v>
      </c>
      <c r="G102" s="12">
        <f>'Rep quarterly'!E64</f>
        <v>1.6036842105263158</v>
      </c>
      <c r="H102" s="12">
        <f>'Rep quarterly'!E64</f>
        <v>1.6036842105263158</v>
      </c>
      <c r="I102" s="12">
        <f>'Rep quarterly'!E64</f>
        <v>1.6036842105263158</v>
      </c>
    </row>
    <row r="103">
      <c r="A103" s="0" t="inlineStr">
        <is>
          <t xml:space="preserve">Attainment</t>
        </is>
      </c>
      <c r="B103" s="0" t="inlineStr">
        <is>
          <t xml:space="preserve">Nikolai Kim</t>
        </is>
      </c>
      <c r="C103" s="0" t="inlineStr">
        <is>
          <t xml:space="preserve">Q1 2026</t>
        </is>
      </c>
      <c r="D103" s="12">
        <f>'Rep quarterly'!F64</f>
        <v>0.8552631578947368</v>
      </c>
      <c r="E103" s="12">
        <f>'Rep quarterly'!F64</f>
        <v>0.8552631578947368</v>
      </c>
      <c r="F103" s="12">
        <f>'Rep quarterly'!F64</f>
        <v>0.8552631578947368</v>
      </c>
      <c r="G103" s="12">
        <f>'Rep quarterly'!F64</f>
        <v>0.8552631578947368</v>
      </c>
      <c r="H103" s="12">
        <f>'Rep quarterly'!F64</f>
        <v>0.8552631578947368</v>
      </c>
      <c r="I103" s="12">
        <f>'Rep quarterly'!F64</f>
        <v>0.8552631578947368</v>
      </c>
    </row>
    <row r="104">
      <c r="A104" s="0" t="inlineStr">
        <is>
          <t xml:space="preserve">Attainment</t>
        </is>
      </c>
      <c r="B104" s="0" t="inlineStr">
        <is>
          <t xml:space="preserve">Nikolai Kim</t>
        </is>
      </c>
      <c r="C104" s="0" t="inlineStr">
        <is>
          <t xml:space="preserve">Q2 2026</t>
        </is>
      </c>
      <c r="D104" s="12">
        <f>'Rep quarterly'!G64</f>
        <v>1.2189473684210526</v>
      </c>
      <c r="E104" s="12">
        <f>'Rep quarterly'!G64</f>
        <v>1.2189473684210526</v>
      </c>
      <c r="F104" s="12">
        <f>'Rep quarterly'!G64</f>
        <v>1.2189473684210526</v>
      </c>
      <c r="G104" s="12">
        <f>'Rep quarterly'!G64</f>
        <v>1.2189473684210526</v>
      </c>
      <c r="H104" s="12">
        <f>'Rep quarterly'!G64</f>
        <v>1.2189473684210526</v>
      </c>
      <c r="I104" s="12">
        <f>'Rep quarterly'!G64</f>
        <v>1.2189473684210526</v>
      </c>
    </row>
    <row r="105">
      <c r="A105" s="0" t="inlineStr">
        <is>
          <t xml:space="preserve">Attainment</t>
        </is>
      </c>
      <c r="B105" s="0" t="inlineStr">
        <is>
          <t xml:space="preserve">Nikolai Kim</t>
        </is>
      </c>
      <c r="C105" s="0" t="inlineStr">
        <is>
          <t xml:space="preserve">Q3 2026</t>
        </is>
      </c>
      <c r="D105" s="12">
        <f>'Rep quarterly'!H64</f>
        <v>0.7178947368421053</v>
      </c>
      <c r="E105" s="12">
        <f>'Rep quarterly'!H64</f>
        <v>0.7178947368421053</v>
      </c>
      <c r="F105" s="12">
        <f>'Rep quarterly'!H64</f>
        <v>0.7178947368421053</v>
      </c>
      <c r="G105" s="12">
        <f>'Rep quarterly'!H64</f>
        <v>0.7178947368421053</v>
      </c>
      <c r="H105" s="12">
        <f>'Rep quarterly'!H64</f>
        <v>0.7178947368421053</v>
      </c>
      <c r="I105" s="12">
        <f>'Rep quarterly'!H64</f>
        <v>0.7178947368421053</v>
      </c>
    </row>
    <row r="106">
      <c r="A106" s="0" t="inlineStr">
        <is>
          <t xml:space="preserve">Attainment</t>
        </is>
      </c>
      <c r="B106" s="0" t="inlineStr">
        <is>
          <t xml:space="preserve">Nikolai Kim</t>
        </is>
      </c>
      <c r="C106" s="0" t="inlineStr">
        <is>
          <t xml:space="preserve">Q4 2026</t>
        </is>
      </c>
      <c r="D106" s="12">
        <f>'Rep quarterly'!I64</f>
      </c>
      <c r="E106" s="12">
        <f>'Rep quarterly'!I64</f>
      </c>
      <c r="F106" s="12">
        <f>'Rep quarterly'!I64</f>
      </c>
      <c r="G106" s="12">
        <f>'Rep quarterly'!I64</f>
      </c>
      <c r="H106" s="12">
        <f>'Rep quarterly'!I64</f>
      </c>
      <c r="I106" s="12">
        <f>'Rep quarterly'!I64</f>
      </c>
    </row>
    <row r="107">
      <c r="A107" s="0" t="inlineStr">
        <is>
          <t xml:space="preserve">Attainment</t>
        </is>
      </c>
      <c r="B107" s="0" t="inlineStr">
        <is>
          <t xml:space="preserve">Wei Nair</t>
        </is>
      </c>
      <c r="C107" s="0" t="inlineStr">
        <is>
          <t xml:space="preserve">Q2 2025</t>
        </is>
      </c>
      <c r="D107" s="12">
        <f>'Rep quarterly'!C65</f>
        <v>0.6873684210526316</v>
      </c>
      <c r="E107" s="12">
        <f>'Rep quarterly'!C65</f>
        <v>0.6873684210526316</v>
      </c>
      <c r="F107" s="12">
        <f>'Rep quarterly'!C65</f>
        <v>0.6873684210526316</v>
      </c>
      <c r="G107" s="12">
        <f>'Rep quarterly'!C65</f>
        <v>0.6873684210526316</v>
      </c>
      <c r="H107" s="12">
        <f>'Rep quarterly'!C65</f>
        <v>0.6873684210526316</v>
      </c>
      <c r="I107" s="12">
        <f>'Rep quarterly'!C65</f>
        <v>0.6873684210526316</v>
      </c>
    </row>
    <row r="108">
      <c r="A108" s="0" t="inlineStr">
        <is>
          <t xml:space="preserve">Attainment</t>
        </is>
      </c>
      <c r="B108" s="0" t="inlineStr">
        <is>
          <t xml:space="preserve">Wei Nair</t>
        </is>
      </c>
      <c r="C108" s="0" t="inlineStr">
        <is>
          <t xml:space="preserve">Q3 2025</t>
        </is>
      </c>
      <c r="D108" s="12">
        <f>'Rep quarterly'!D65</f>
        <v>0.5931578947368421</v>
      </c>
      <c r="E108" s="12">
        <f>'Rep quarterly'!D65</f>
        <v>0.5931578947368421</v>
      </c>
      <c r="F108" s="12">
        <f>'Rep quarterly'!D65</f>
        <v>0.5931578947368421</v>
      </c>
      <c r="G108" s="12">
        <f>'Rep quarterly'!D65</f>
        <v>0.5931578947368421</v>
      </c>
      <c r="H108" s="12">
        <f>'Rep quarterly'!D65</f>
        <v>0.5931578947368421</v>
      </c>
      <c r="I108" s="12">
        <f>'Rep quarterly'!D65</f>
        <v>0.5931578947368421</v>
      </c>
    </row>
    <row r="109">
      <c r="A109" s="0" t="inlineStr">
        <is>
          <t xml:space="preserve">Attainment</t>
        </is>
      </c>
      <c r="B109" s="0" t="inlineStr">
        <is>
          <t xml:space="preserve">Wei Nair</t>
        </is>
      </c>
      <c r="C109" s="0" t="inlineStr">
        <is>
          <t xml:space="preserve">Q4 2025</t>
        </is>
      </c>
      <c r="D109" s="12">
        <f>'Rep quarterly'!E65</f>
        <v>0.988421052631579</v>
      </c>
      <c r="E109" s="12">
        <f>'Rep quarterly'!E65</f>
        <v>0.988421052631579</v>
      </c>
      <c r="F109" s="12">
        <f>'Rep quarterly'!E65</f>
        <v>0.988421052631579</v>
      </c>
      <c r="G109" s="12">
        <f>'Rep quarterly'!E65</f>
        <v>0.988421052631579</v>
      </c>
      <c r="H109" s="12">
        <f>'Rep quarterly'!E65</f>
        <v>0.988421052631579</v>
      </c>
      <c r="I109" s="12">
        <f>'Rep quarterly'!E65</f>
        <v>0.988421052631579</v>
      </c>
    </row>
    <row r="110">
      <c r="A110" s="0" t="inlineStr">
        <is>
          <t xml:space="preserve">Attainment</t>
        </is>
      </c>
      <c r="B110" s="0" t="inlineStr">
        <is>
          <t xml:space="preserve">Wei Nair</t>
        </is>
      </c>
      <c r="C110" s="0" t="inlineStr">
        <is>
          <t xml:space="preserve">Q1 2026</t>
        </is>
      </c>
      <c r="D110" s="12">
        <f>'Rep quarterly'!F65</f>
        <v>0.8057894736842105</v>
      </c>
      <c r="E110" s="12">
        <f>'Rep quarterly'!F65</f>
        <v>0.8057894736842105</v>
      </c>
      <c r="F110" s="12">
        <f>'Rep quarterly'!F65</f>
        <v>0.8057894736842105</v>
      </c>
      <c r="G110" s="12">
        <f>'Rep quarterly'!F65</f>
        <v>0.8057894736842105</v>
      </c>
      <c r="H110" s="12">
        <f>'Rep quarterly'!F65</f>
        <v>0.8057894736842105</v>
      </c>
      <c r="I110" s="12">
        <f>'Rep quarterly'!F65</f>
        <v>0.8057894736842105</v>
      </c>
    </row>
    <row r="111">
      <c r="A111" s="0" t="inlineStr">
        <is>
          <t xml:space="preserve">Attainment</t>
        </is>
      </c>
      <c r="B111" s="0" t="inlineStr">
        <is>
          <t xml:space="preserve">Wei Nair</t>
        </is>
      </c>
      <c r="C111" s="0" t="inlineStr">
        <is>
          <t xml:space="preserve">Q2 2026</t>
        </is>
      </c>
      <c r="D111" s="12">
        <f>'Rep quarterly'!G65</f>
        <v>0.32894736842105265</v>
      </c>
      <c r="E111" s="12">
        <f>'Rep quarterly'!G65</f>
        <v>0.32894736842105265</v>
      </c>
      <c r="F111" s="12">
        <f>'Rep quarterly'!G65</f>
        <v>0.32894736842105265</v>
      </c>
      <c r="G111" s="12">
        <f>'Rep quarterly'!G65</f>
        <v>0.32894736842105265</v>
      </c>
      <c r="H111" s="12">
        <f>'Rep quarterly'!G65</f>
        <v>0.32894736842105265</v>
      </c>
      <c r="I111" s="12">
        <f>'Rep quarterly'!G65</f>
        <v>0.32894736842105265</v>
      </c>
    </row>
    <row r="112">
      <c r="A112" s="0" t="inlineStr">
        <is>
          <t xml:space="preserve">Attainment</t>
        </is>
      </c>
      <c r="B112" s="0" t="inlineStr">
        <is>
          <t xml:space="preserve">Wei Nair</t>
        </is>
      </c>
      <c r="C112" s="0" t="inlineStr">
        <is>
          <t xml:space="preserve">Q3 2026</t>
        </is>
      </c>
      <c r="D112" s="12">
        <f>'Rep quarterly'!H65</f>
        <v>0.5663157894736842</v>
      </c>
      <c r="E112" s="12">
        <f>'Rep quarterly'!H65</f>
        <v>0.5663157894736842</v>
      </c>
      <c r="F112" s="12">
        <f>'Rep quarterly'!H65</f>
        <v>0.5663157894736842</v>
      </c>
      <c r="G112" s="12">
        <f>'Rep quarterly'!H65</f>
        <v>0.5663157894736842</v>
      </c>
      <c r="H112" s="12">
        <f>'Rep quarterly'!H65</f>
        <v>0.5663157894736842</v>
      </c>
      <c r="I112" s="12">
        <f>'Rep quarterly'!H65</f>
        <v>0.5663157894736842</v>
      </c>
    </row>
    <row r="113">
      <c r="A113" s="0" t="inlineStr">
        <is>
          <t xml:space="preserve">Attainment</t>
        </is>
      </c>
      <c r="B113" s="0" t="inlineStr">
        <is>
          <t xml:space="preserve">Wei Nair</t>
        </is>
      </c>
      <c r="C113" s="0" t="inlineStr">
        <is>
          <t xml:space="preserve">Q4 2026</t>
        </is>
      </c>
      <c r="D113" s="12">
        <f>'Rep quarterly'!I65</f>
      </c>
      <c r="E113" s="12">
        <f>'Rep quarterly'!I65</f>
      </c>
      <c r="F113" s="12">
        <f>'Rep quarterly'!I65</f>
      </c>
      <c r="G113" s="12">
        <f>'Rep quarterly'!I65</f>
      </c>
      <c r="H113" s="12">
        <f>'Rep quarterly'!I65</f>
      </c>
      <c r="I113" s="12">
        <f>'Rep quarterly'!I65</f>
      </c>
    </row>
    <row r="114">
      <c r="A114" s="0" t="inlineStr">
        <is>
          <t xml:space="preserve">Attainment</t>
        </is>
      </c>
      <c r="B114" s="0" t="inlineStr">
        <is>
          <t xml:space="preserve">Liam Silva</t>
        </is>
      </c>
      <c r="C114" s="0" t="inlineStr">
        <is>
          <t xml:space="preserve">Q2 2025</t>
        </is>
      </c>
      <c r="D114" s="12">
        <f>'Rep quarterly'!C66</f>
        <v>0.14</v>
      </c>
      <c r="E114" s="12">
        <f>'Rep quarterly'!C66</f>
        <v>0.14</v>
      </c>
      <c r="F114" s="12">
        <f>'Rep quarterly'!C66</f>
        <v>0.14</v>
      </c>
      <c r="G114" s="12">
        <f>'Rep quarterly'!C66</f>
        <v>0.14</v>
      </c>
      <c r="H114" s="12">
        <f>'Rep quarterly'!C66</f>
        <v>0.14</v>
      </c>
      <c r="I114" s="12">
        <f>'Rep quarterly'!C66</f>
        <v>0.14</v>
      </c>
    </row>
    <row r="115">
      <c r="A115" s="0" t="inlineStr">
        <is>
          <t xml:space="preserve">Attainment</t>
        </is>
      </c>
      <c r="B115" s="0" t="inlineStr">
        <is>
          <t xml:space="preserve">Liam Silva</t>
        </is>
      </c>
      <c r="C115" s="0" t="inlineStr">
        <is>
          <t xml:space="preserve">Q3 2025</t>
        </is>
      </c>
      <c r="D115" s="12">
        <f>'Rep quarterly'!D66</f>
        <v>1.43</v>
      </c>
      <c r="E115" s="12">
        <f>'Rep quarterly'!D66</f>
        <v>1.43</v>
      </c>
      <c r="F115" s="12">
        <f>'Rep quarterly'!D66</f>
        <v>1.43</v>
      </c>
      <c r="G115" s="12">
        <f>'Rep quarterly'!D66</f>
        <v>1.43</v>
      </c>
      <c r="H115" s="12">
        <f>'Rep quarterly'!D66</f>
        <v>1.43</v>
      </c>
      <c r="I115" s="12">
        <f>'Rep quarterly'!D66</f>
        <v>1.43</v>
      </c>
    </row>
    <row r="116">
      <c r="A116" s="0" t="inlineStr">
        <is>
          <t xml:space="preserve">Attainment</t>
        </is>
      </c>
      <c r="B116" s="0" t="inlineStr">
        <is>
          <t xml:space="preserve">Liam Silva</t>
        </is>
      </c>
      <c r="C116" s="0" t="inlineStr">
        <is>
          <t xml:space="preserve">Q4 2025</t>
        </is>
      </c>
      <c r="D116" s="12">
        <f>'Rep quarterly'!E66</f>
        <v>1.356</v>
      </c>
      <c r="E116" s="12">
        <f>'Rep quarterly'!E66</f>
        <v>1.356</v>
      </c>
      <c r="F116" s="12">
        <f>'Rep quarterly'!E66</f>
        <v>1.356</v>
      </c>
      <c r="G116" s="12">
        <f>'Rep quarterly'!E66</f>
        <v>1.356</v>
      </c>
      <c r="H116" s="12">
        <f>'Rep quarterly'!E66</f>
        <v>1.356</v>
      </c>
      <c r="I116" s="12">
        <f>'Rep quarterly'!E66</f>
        <v>1.356</v>
      </c>
    </row>
    <row r="117">
      <c r="A117" s="0" t="inlineStr">
        <is>
          <t xml:space="preserve">Attainment</t>
        </is>
      </c>
      <c r="B117" s="0" t="inlineStr">
        <is>
          <t xml:space="preserve">Liam Silva</t>
        </is>
      </c>
      <c r="C117" s="0" t="inlineStr">
        <is>
          <t xml:space="preserve">Q1 2026</t>
        </is>
      </c>
      <c r="D117" s="12">
        <f>'Rep quarterly'!F66</f>
        <v>1.239</v>
      </c>
      <c r="E117" s="12">
        <f>'Rep quarterly'!F66</f>
        <v>1.239</v>
      </c>
      <c r="F117" s="12">
        <f>'Rep quarterly'!F66</f>
        <v>1.239</v>
      </c>
      <c r="G117" s="12">
        <f>'Rep quarterly'!F66</f>
        <v>1.239</v>
      </c>
      <c r="H117" s="12">
        <f>'Rep quarterly'!F66</f>
        <v>1.239</v>
      </c>
      <c r="I117" s="12">
        <f>'Rep quarterly'!F66</f>
        <v>1.239</v>
      </c>
    </row>
    <row r="118">
      <c r="A118" s="0" t="inlineStr">
        <is>
          <t xml:space="preserve">Attainment</t>
        </is>
      </c>
      <c r="B118" s="0" t="inlineStr">
        <is>
          <t xml:space="preserve">Liam Silva</t>
        </is>
      </c>
      <c r="C118" s="0" t="inlineStr">
        <is>
          <t xml:space="preserve">Q2 2026</t>
        </is>
      </c>
      <c r="D118" s="12">
        <f>'Rep quarterly'!G66</f>
        <v>0.445</v>
      </c>
      <c r="E118" s="12">
        <f>'Rep quarterly'!G66</f>
        <v>0.445</v>
      </c>
      <c r="F118" s="12">
        <f>'Rep quarterly'!G66</f>
        <v>0.445</v>
      </c>
      <c r="G118" s="12">
        <f>'Rep quarterly'!G66</f>
        <v>0.445</v>
      </c>
      <c r="H118" s="12">
        <f>'Rep quarterly'!G66</f>
        <v>0.445</v>
      </c>
      <c r="I118" s="12">
        <f>'Rep quarterly'!G66</f>
        <v>0.445</v>
      </c>
    </row>
    <row r="119">
      <c r="A119" s="0" t="inlineStr">
        <is>
          <t xml:space="preserve">Attainment</t>
        </is>
      </c>
      <c r="B119" s="0" t="inlineStr">
        <is>
          <t xml:space="preserve">Liam Silva</t>
        </is>
      </c>
      <c r="C119" s="0" t="inlineStr">
        <is>
          <t xml:space="preserve">Q3 2026</t>
        </is>
      </c>
      <c r="D119" s="12">
        <f>'Rep quarterly'!H66</f>
        <v>1.03</v>
      </c>
      <c r="E119" s="12">
        <f>'Rep quarterly'!H66</f>
        <v>1.03</v>
      </c>
      <c r="F119" s="12">
        <f>'Rep quarterly'!H66</f>
        <v>1.03</v>
      </c>
      <c r="G119" s="12">
        <f>'Rep quarterly'!H66</f>
        <v>1.03</v>
      </c>
      <c r="H119" s="12">
        <f>'Rep quarterly'!H66</f>
        <v>1.03</v>
      </c>
      <c r="I119" s="12">
        <f>'Rep quarterly'!H66</f>
        <v>1.03</v>
      </c>
    </row>
    <row r="120">
      <c r="A120" s="0" t="inlineStr">
        <is>
          <t xml:space="preserve">Attainment</t>
        </is>
      </c>
      <c r="B120" s="0" t="inlineStr">
        <is>
          <t xml:space="preserve">Liam Silva</t>
        </is>
      </c>
      <c r="C120" s="0" t="inlineStr">
        <is>
          <t xml:space="preserve">Q4 2026</t>
        </is>
      </c>
      <c r="D120" s="12">
        <f>'Rep quarterly'!I66</f>
      </c>
      <c r="E120" s="12">
        <f>'Rep quarterly'!I66</f>
      </c>
      <c r="F120" s="12">
        <f>'Rep quarterly'!I66</f>
      </c>
      <c r="G120" s="12">
        <f>'Rep quarterly'!I66</f>
      </c>
      <c r="H120" s="12">
        <f>'Rep quarterly'!I66</f>
      </c>
      <c r="I120" s="12">
        <f>'Rep quarterly'!I66</f>
      </c>
    </row>
    <row r="121">
      <c r="A121" s="0" t="inlineStr">
        <is>
          <t xml:space="preserve">Attainment</t>
        </is>
      </c>
      <c r="B121" s="0" t="inlineStr">
        <is>
          <t xml:space="preserve">Samuel Silva</t>
        </is>
      </c>
      <c r="C121" s="0" t="inlineStr">
        <is>
          <t xml:space="preserve">Q2 2025</t>
        </is>
      </c>
      <c r="D121" s="12">
        <f>'Rep quarterly'!C67</f>
        <v>0.339</v>
      </c>
      <c r="E121" s="12">
        <f>'Rep quarterly'!C67</f>
        <v>0.339</v>
      </c>
      <c r="F121" s="12">
        <f>'Rep quarterly'!C67</f>
        <v>0.339</v>
      </c>
      <c r="G121" s="12">
        <f>'Rep quarterly'!C67</f>
        <v>0.339</v>
      </c>
      <c r="H121" s="12">
        <f>'Rep quarterly'!C67</f>
        <v>0.339</v>
      </c>
      <c r="I121" s="12">
        <f>'Rep quarterly'!C67</f>
        <v>0.339</v>
      </c>
    </row>
    <row r="122">
      <c r="A122" s="0" t="inlineStr">
        <is>
          <t xml:space="preserve">Attainment</t>
        </is>
      </c>
      <c r="B122" s="0" t="inlineStr">
        <is>
          <t xml:space="preserve">Samuel Silva</t>
        </is>
      </c>
      <c r="C122" s="0" t="inlineStr">
        <is>
          <t xml:space="preserve">Q3 2025</t>
        </is>
      </c>
      <c r="D122" s="12">
        <f>'Rep quarterly'!D67</f>
        <v>1.541</v>
      </c>
      <c r="E122" s="12">
        <f>'Rep quarterly'!D67</f>
        <v>1.541</v>
      </c>
      <c r="F122" s="12">
        <f>'Rep quarterly'!D67</f>
        <v>1.541</v>
      </c>
      <c r="G122" s="12">
        <f>'Rep quarterly'!D67</f>
        <v>1.541</v>
      </c>
      <c r="H122" s="12">
        <f>'Rep quarterly'!D67</f>
        <v>1.541</v>
      </c>
      <c r="I122" s="12">
        <f>'Rep quarterly'!D67</f>
        <v>1.541</v>
      </c>
    </row>
    <row r="123">
      <c r="A123" s="0" t="inlineStr">
        <is>
          <t xml:space="preserve">Attainment</t>
        </is>
      </c>
      <c r="B123" s="0" t="inlineStr">
        <is>
          <t xml:space="preserve">Samuel Silva</t>
        </is>
      </c>
      <c r="C123" s="0" t="inlineStr">
        <is>
          <t xml:space="preserve">Q4 2025</t>
        </is>
      </c>
      <c r="D123" s="12">
        <f>'Rep quarterly'!E67</f>
        <v>0.969</v>
      </c>
      <c r="E123" s="12">
        <f>'Rep quarterly'!E67</f>
        <v>0.969</v>
      </c>
      <c r="F123" s="12">
        <f>'Rep quarterly'!E67</f>
        <v>0.969</v>
      </c>
      <c r="G123" s="12">
        <f>'Rep quarterly'!E67</f>
        <v>0.969</v>
      </c>
      <c r="H123" s="12">
        <f>'Rep quarterly'!E67</f>
        <v>0.969</v>
      </c>
      <c r="I123" s="12">
        <f>'Rep quarterly'!E67</f>
        <v>0.969</v>
      </c>
    </row>
    <row r="124">
      <c r="A124" s="0" t="inlineStr">
        <is>
          <t xml:space="preserve">Attainment</t>
        </is>
      </c>
      <c r="B124" s="0" t="inlineStr">
        <is>
          <t xml:space="preserve">Samuel Silva</t>
        </is>
      </c>
      <c r="C124" s="0" t="inlineStr">
        <is>
          <t xml:space="preserve">Q1 2026</t>
        </is>
      </c>
      <c r="D124" s="12">
        <f>'Rep quarterly'!F67</f>
        <v>1.694</v>
      </c>
      <c r="E124" s="12">
        <f>'Rep quarterly'!F67</f>
        <v>1.694</v>
      </c>
      <c r="F124" s="12">
        <f>'Rep quarterly'!F67</f>
        <v>1.694</v>
      </c>
      <c r="G124" s="12">
        <f>'Rep quarterly'!F67</f>
        <v>1.694</v>
      </c>
      <c r="H124" s="12">
        <f>'Rep quarterly'!F67</f>
        <v>1.694</v>
      </c>
      <c r="I124" s="12">
        <f>'Rep quarterly'!F67</f>
        <v>1.694</v>
      </c>
    </row>
    <row r="125">
      <c r="A125" s="0" t="inlineStr">
        <is>
          <t xml:space="preserve">Attainment</t>
        </is>
      </c>
      <c r="B125" s="0" t="inlineStr">
        <is>
          <t xml:space="preserve">Samuel Silva</t>
        </is>
      </c>
      <c r="C125" s="0" t="inlineStr">
        <is>
          <t xml:space="preserve">Q2 2026</t>
        </is>
      </c>
      <c r="D125" s="12">
        <f>'Rep quarterly'!G67</f>
        <v>1.001</v>
      </c>
      <c r="E125" s="12">
        <f>'Rep quarterly'!G67</f>
        <v>1.001</v>
      </c>
      <c r="F125" s="12">
        <f>'Rep quarterly'!G67</f>
        <v>1.001</v>
      </c>
      <c r="G125" s="12">
        <f>'Rep quarterly'!G67</f>
        <v>1.001</v>
      </c>
      <c r="H125" s="12">
        <f>'Rep quarterly'!G67</f>
        <v>1.001</v>
      </c>
      <c r="I125" s="12">
        <f>'Rep quarterly'!G67</f>
        <v>1.001</v>
      </c>
    </row>
    <row r="126">
      <c r="A126" s="0" t="inlineStr">
        <is>
          <t xml:space="preserve">Attainment</t>
        </is>
      </c>
      <c r="B126" s="0" t="inlineStr">
        <is>
          <t xml:space="preserve">Samuel Silva</t>
        </is>
      </c>
      <c r="C126" s="0" t="inlineStr">
        <is>
          <t xml:space="preserve">Q3 2026</t>
        </is>
      </c>
      <c r="D126" s="12">
        <f>'Rep quarterly'!H67</f>
        <v>0.713</v>
      </c>
      <c r="E126" s="12">
        <f>'Rep quarterly'!H67</f>
        <v>0.713</v>
      </c>
      <c r="F126" s="12">
        <f>'Rep quarterly'!H67</f>
        <v>0.713</v>
      </c>
      <c r="G126" s="12">
        <f>'Rep quarterly'!H67</f>
        <v>0.713</v>
      </c>
      <c r="H126" s="12">
        <f>'Rep quarterly'!H67</f>
        <v>0.713</v>
      </c>
      <c r="I126" s="12">
        <f>'Rep quarterly'!H67</f>
        <v>0.713</v>
      </c>
    </row>
    <row r="127">
      <c r="A127" s="0" t="inlineStr">
        <is>
          <t xml:space="preserve">Attainment</t>
        </is>
      </c>
      <c r="B127" s="0" t="inlineStr">
        <is>
          <t xml:space="preserve">Samuel Silva</t>
        </is>
      </c>
      <c r="C127" s="0" t="inlineStr">
        <is>
          <t xml:space="preserve">Q4 2026</t>
        </is>
      </c>
      <c r="D127" s="12">
        <f>'Rep quarterly'!I67</f>
      </c>
      <c r="E127" s="12">
        <f>'Rep quarterly'!I67</f>
      </c>
      <c r="F127" s="12">
        <f>'Rep quarterly'!I67</f>
      </c>
      <c r="G127" s="12">
        <f>'Rep quarterly'!I67</f>
      </c>
      <c r="H127" s="12">
        <f>'Rep quarterly'!I67</f>
      </c>
      <c r="I127" s="12">
        <f>'Rep quarterly'!I67</f>
      </c>
    </row>
    <row r="128">
      <c r="A128" s="0" t="inlineStr">
        <is>
          <t xml:space="preserve">Attainment</t>
        </is>
      </c>
      <c r="B128" s="0" t="inlineStr">
        <is>
          <t xml:space="preserve">Yuki Larsen</t>
        </is>
      </c>
      <c r="C128" s="0" t="inlineStr">
        <is>
          <t xml:space="preserve">Q2 2025</t>
        </is>
      </c>
      <c r="D128" s="12">
        <f>'Rep quarterly'!C68</f>
        <v>0</v>
      </c>
      <c r="E128" s="12">
        <f>'Rep quarterly'!C68</f>
        <v>0</v>
      </c>
      <c r="F128" s="12">
        <f>'Rep quarterly'!C68</f>
        <v>0</v>
      </c>
      <c r="G128" s="12">
        <f>'Rep quarterly'!C68</f>
        <v>0</v>
      </c>
      <c r="H128" s="12">
        <f>'Rep quarterly'!C68</f>
        <v>0</v>
      </c>
      <c r="I128" s="12">
        <f>'Rep quarterly'!C68</f>
        <v>0</v>
      </c>
    </row>
    <row r="129">
      <c r="A129" s="0" t="inlineStr">
        <is>
          <t xml:space="preserve">Attainment</t>
        </is>
      </c>
      <c r="B129" s="0" t="inlineStr">
        <is>
          <t xml:space="preserve">Yuki Larsen</t>
        </is>
      </c>
      <c r="C129" s="0" t="inlineStr">
        <is>
          <t xml:space="preserve">Q3 2025</t>
        </is>
      </c>
      <c r="D129" s="12">
        <f>'Rep quarterly'!D68</f>
        <v>0.566793893129771</v>
      </c>
      <c r="E129" s="12">
        <f>'Rep quarterly'!D68</f>
        <v>0.566793893129771</v>
      </c>
      <c r="F129" s="12">
        <f>'Rep quarterly'!D68</f>
        <v>0.566793893129771</v>
      </c>
      <c r="G129" s="12">
        <f>'Rep quarterly'!D68</f>
        <v>0.566793893129771</v>
      </c>
      <c r="H129" s="12">
        <f>'Rep quarterly'!D68</f>
        <v>0.566793893129771</v>
      </c>
      <c r="I129" s="12">
        <f>'Rep quarterly'!D68</f>
        <v>0.566793893129771</v>
      </c>
    </row>
    <row r="130">
      <c r="A130" s="0" t="inlineStr">
        <is>
          <t xml:space="preserve">Attainment</t>
        </is>
      </c>
      <c r="B130" s="0" t="inlineStr">
        <is>
          <t xml:space="preserve">Yuki Larsen</t>
        </is>
      </c>
      <c r="C130" s="0" t="inlineStr">
        <is>
          <t xml:space="preserve">Q4 2025</t>
        </is>
      </c>
      <c r="D130" s="12">
        <f>'Rep quarterly'!E68</f>
        <v>0</v>
      </c>
      <c r="E130" s="12">
        <f>'Rep quarterly'!E68</f>
        <v>0</v>
      </c>
      <c r="F130" s="12">
        <f>'Rep quarterly'!E68</f>
        <v>0</v>
      </c>
      <c r="G130" s="12">
        <f>'Rep quarterly'!E68</f>
        <v>0</v>
      </c>
      <c r="H130" s="12">
        <f>'Rep quarterly'!E68</f>
        <v>0</v>
      </c>
      <c r="I130" s="12">
        <f>'Rep quarterly'!E68</f>
        <v>0</v>
      </c>
    </row>
    <row r="131">
      <c r="A131" s="0" t="inlineStr">
        <is>
          <t xml:space="preserve">Attainment</t>
        </is>
      </c>
      <c r="B131" s="0" t="inlineStr">
        <is>
          <t xml:space="preserve">Yuki Larsen</t>
        </is>
      </c>
      <c r="C131" s="0" t="inlineStr">
        <is>
          <t xml:space="preserve">Q1 2026</t>
        </is>
      </c>
      <c r="D131" s="12">
        <f>'Rep quarterly'!F68</f>
        <v>0</v>
      </c>
      <c r="E131" s="12">
        <f>'Rep quarterly'!F68</f>
        <v>0</v>
      </c>
      <c r="F131" s="12">
        <f>'Rep quarterly'!F68</f>
        <v>0</v>
      </c>
      <c r="G131" s="12">
        <f>'Rep quarterly'!F68</f>
        <v>0</v>
      </c>
      <c r="H131" s="12">
        <f>'Rep quarterly'!F68</f>
        <v>0</v>
      </c>
      <c r="I131" s="12">
        <f>'Rep quarterly'!F68</f>
        <v>0</v>
      </c>
    </row>
    <row r="132">
      <c r="A132" s="0" t="inlineStr">
        <is>
          <t xml:space="preserve">Attainment</t>
        </is>
      </c>
      <c r="B132" s="0" t="inlineStr">
        <is>
          <t xml:space="preserve">Yuki Larsen</t>
        </is>
      </c>
      <c r="C132" s="0" t="inlineStr">
        <is>
          <t xml:space="preserve">Q2 2026</t>
        </is>
      </c>
      <c r="D132" s="12">
        <f>'Rep quarterly'!G68</f>
        <v>0.7190839694656489</v>
      </c>
      <c r="E132" s="12">
        <f>'Rep quarterly'!G68</f>
        <v>0.7190839694656489</v>
      </c>
      <c r="F132" s="12">
        <f>'Rep quarterly'!G68</f>
        <v>0.7190839694656489</v>
      </c>
      <c r="G132" s="12">
        <f>'Rep quarterly'!G68</f>
        <v>0.7190839694656489</v>
      </c>
      <c r="H132" s="12">
        <f>'Rep quarterly'!G68</f>
        <v>0.7190839694656489</v>
      </c>
      <c r="I132" s="12">
        <f>'Rep quarterly'!G68</f>
        <v>0.7190839694656489</v>
      </c>
    </row>
    <row r="133">
      <c r="A133" s="0" t="inlineStr">
        <is>
          <t xml:space="preserve">Attainment</t>
        </is>
      </c>
      <c r="B133" s="0" t="inlineStr">
        <is>
          <t xml:space="preserve">Yuki Larsen</t>
        </is>
      </c>
      <c r="C133" s="0" t="inlineStr">
        <is>
          <t xml:space="preserve">Q3 2026</t>
        </is>
      </c>
      <c r="D133" s="12">
        <f>'Rep quarterly'!H68</f>
        <v>0.601526717557252</v>
      </c>
      <c r="E133" s="12">
        <f>'Rep quarterly'!H68</f>
        <v>0.601526717557252</v>
      </c>
      <c r="F133" s="12">
        <f>'Rep quarterly'!H68</f>
        <v>0.601526717557252</v>
      </c>
      <c r="G133" s="12">
        <f>'Rep quarterly'!H68</f>
        <v>0.601526717557252</v>
      </c>
      <c r="H133" s="12">
        <f>'Rep quarterly'!H68</f>
        <v>0.601526717557252</v>
      </c>
      <c r="I133" s="12">
        <f>'Rep quarterly'!H68</f>
        <v>0.601526717557252</v>
      </c>
    </row>
    <row r="134">
      <c r="A134" s="0" t="inlineStr">
        <is>
          <t xml:space="preserve">Attainment</t>
        </is>
      </c>
      <c r="B134" s="0" t="inlineStr">
        <is>
          <t xml:space="preserve">Yuki Larsen</t>
        </is>
      </c>
      <c r="C134" s="0" t="inlineStr">
        <is>
          <t xml:space="preserve">Q4 2026</t>
        </is>
      </c>
      <c r="D134" s="12">
        <f>'Rep quarterly'!I68</f>
      </c>
      <c r="E134" s="12">
        <f>'Rep quarterly'!I68</f>
      </c>
      <c r="F134" s="12">
        <f>'Rep quarterly'!I68</f>
      </c>
      <c r="G134" s="12">
        <f>'Rep quarterly'!I68</f>
      </c>
      <c r="H134" s="12">
        <f>'Rep quarterly'!I68</f>
      </c>
      <c r="I134" s="12">
        <f>'Rep quarterly'!I68</f>
      </c>
    </row>
    <row r="135">
      <c r="A135" s="0" t="inlineStr">
        <is>
          <t xml:space="preserve">Attainment</t>
        </is>
      </c>
      <c r="B135" s="0" t="inlineStr">
        <is>
          <t xml:space="preserve">Nikolai Sato</t>
        </is>
      </c>
      <c r="C135" s="0" t="inlineStr">
        <is>
          <t xml:space="preserve">Q2 2025</t>
        </is>
      </c>
      <c r="D135" s="12">
        <f>'Rep quarterly'!C69</f>
        <v>0.38053435114503814</v>
      </c>
      <c r="E135" s="12">
        <f>'Rep quarterly'!C69</f>
        <v>0.38053435114503814</v>
      </c>
      <c r="F135" s="12">
        <f>'Rep quarterly'!C69</f>
        <v>0.38053435114503814</v>
      </c>
      <c r="G135" s="12">
        <f>'Rep quarterly'!C69</f>
        <v>0.38053435114503814</v>
      </c>
      <c r="H135" s="12">
        <f>'Rep quarterly'!C69</f>
        <v>0.38053435114503814</v>
      </c>
      <c r="I135" s="12">
        <f>'Rep quarterly'!C69</f>
        <v>0.38053435114503814</v>
      </c>
    </row>
    <row r="136">
      <c r="A136" s="0" t="inlineStr">
        <is>
          <t xml:space="preserve">Attainment</t>
        </is>
      </c>
      <c r="B136" s="0" t="inlineStr">
        <is>
          <t xml:space="preserve">Nikolai Sato</t>
        </is>
      </c>
      <c r="C136" s="0" t="inlineStr">
        <is>
          <t xml:space="preserve">Q3 2025</t>
        </is>
      </c>
      <c r="D136" s="12">
        <f>'Rep quarterly'!D69</f>
        <v>1.0637404580152672</v>
      </c>
      <c r="E136" s="12">
        <f>'Rep quarterly'!D69</f>
        <v>1.0637404580152672</v>
      </c>
      <c r="F136" s="12">
        <f>'Rep quarterly'!D69</f>
        <v>1.0637404580152672</v>
      </c>
      <c r="G136" s="12">
        <f>'Rep quarterly'!D69</f>
        <v>1.0637404580152672</v>
      </c>
      <c r="H136" s="12">
        <f>'Rep quarterly'!D69</f>
        <v>1.0637404580152672</v>
      </c>
      <c r="I136" s="12">
        <f>'Rep quarterly'!D69</f>
        <v>1.0637404580152672</v>
      </c>
    </row>
    <row r="137">
      <c r="A137" s="0" t="inlineStr">
        <is>
          <t xml:space="preserve">Attainment</t>
        </is>
      </c>
      <c r="B137" s="0" t="inlineStr">
        <is>
          <t xml:space="preserve">Nikolai Sato</t>
        </is>
      </c>
      <c r="C137" s="0" t="inlineStr">
        <is>
          <t xml:space="preserve">Q4 2025</t>
        </is>
      </c>
      <c r="D137" s="12">
        <f>'Rep quarterly'!E69</f>
        <v>0.24541984732824426</v>
      </c>
      <c r="E137" s="12">
        <f>'Rep quarterly'!E69</f>
        <v>0.24541984732824426</v>
      </c>
      <c r="F137" s="12">
        <f>'Rep quarterly'!E69</f>
        <v>0.24541984732824426</v>
      </c>
      <c r="G137" s="12">
        <f>'Rep quarterly'!E69</f>
        <v>0.24541984732824426</v>
      </c>
      <c r="H137" s="12">
        <f>'Rep quarterly'!E69</f>
        <v>0.24541984732824426</v>
      </c>
      <c r="I137" s="12">
        <f>'Rep quarterly'!E69</f>
        <v>0.24541984732824426</v>
      </c>
    </row>
    <row r="138">
      <c r="A138" s="0" t="inlineStr">
        <is>
          <t xml:space="preserve">Attainment</t>
        </is>
      </c>
      <c r="B138" s="0" t="inlineStr">
        <is>
          <t xml:space="preserve">Nikolai Sato</t>
        </is>
      </c>
      <c r="C138" s="0" t="inlineStr">
        <is>
          <t xml:space="preserve">Q1 2026</t>
        </is>
      </c>
      <c r="D138" s="12">
        <f>'Rep quarterly'!F69</f>
        <v>0.3427480916030534</v>
      </c>
      <c r="E138" s="12">
        <f>'Rep quarterly'!F69</f>
        <v>0.3427480916030534</v>
      </c>
      <c r="F138" s="12">
        <f>'Rep quarterly'!F69</f>
        <v>0.3427480916030534</v>
      </c>
      <c r="G138" s="12">
        <f>'Rep quarterly'!F69</f>
        <v>0.3427480916030534</v>
      </c>
      <c r="H138" s="12">
        <f>'Rep quarterly'!F69</f>
        <v>0.3427480916030534</v>
      </c>
      <c r="I138" s="12">
        <f>'Rep quarterly'!F69</f>
        <v>0.3427480916030534</v>
      </c>
    </row>
    <row r="139">
      <c r="A139" s="0" t="inlineStr">
        <is>
          <t xml:space="preserve">Attainment</t>
        </is>
      </c>
      <c r="B139" s="0" t="inlineStr">
        <is>
          <t xml:space="preserve">Nikolai Sato</t>
        </is>
      </c>
      <c r="C139" s="0" t="inlineStr">
        <is>
          <t xml:space="preserve">Q2 2026</t>
        </is>
      </c>
      <c r="D139" s="12">
        <f>'Rep quarterly'!G69</f>
        <v>0</v>
      </c>
      <c r="E139" s="12">
        <f>'Rep quarterly'!G69</f>
        <v>0</v>
      </c>
      <c r="F139" s="12">
        <f>'Rep quarterly'!G69</f>
        <v>0</v>
      </c>
      <c r="G139" s="12">
        <f>'Rep quarterly'!G69</f>
        <v>0</v>
      </c>
      <c r="H139" s="12">
        <f>'Rep quarterly'!G69</f>
        <v>0</v>
      </c>
      <c r="I139" s="12">
        <f>'Rep quarterly'!G69</f>
        <v>0</v>
      </c>
    </row>
    <row r="140">
      <c r="A140" s="0" t="inlineStr">
        <is>
          <t xml:space="preserve">Attainment</t>
        </is>
      </c>
      <c r="B140" s="0" t="inlineStr">
        <is>
          <t xml:space="preserve">Nikolai Sato</t>
        </is>
      </c>
      <c r="C140" s="0" t="inlineStr">
        <is>
          <t xml:space="preserve">Q3 2026</t>
        </is>
      </c>
      <c r="D140" s="12">
        <f>'Rep quarterly'!H69</f>
        <v>0.3946564885496183</v>
      </c>
      <c r="E140" s="12">
        <f>'Rep quarterly'!H69</f>
        <v>0.3946564885496183</v>
      </c>
      <c r="F140" s="12">
        <f>'Rep quarterly'!H69</f>
        <v>0.3946564885496183</v>
      </c>
      <c r="G140" s="12">
        <f>'Rep quarterly'!H69</f>
        <v>0.3946564885496183</v>
      </c>
      <c r="H140" s="12">
        <f>'Rep quarterly'!H69</f>
        <v>0.3946564885496183</v>
      </c>
      <c r="I140" s="12">
        <f>'Rep quarterly'!H69</f>
        <v>0.3946564885496183</v>
      </c>
    </row>
    <row r="141">
      <c r="A141" s="0" t="inlineStr">
        <is>
          <t xml:space="preserve">Attainment</t>
        </is>
      </c>
      <c r="B141" s="0" t="inlineStr">
        <is>
          <t xml:space="preserve">Nikolai Sato</t>
        </is>
      </c>
      <c r="C141" s="0" t="inlineStr">
        <is>
          <t xml:space="preserve">Q4 2026</t>
        </is>
      </c>
      <c r="D141" s="12">
        <f>'Rep quarterly'!I69</f>
      </c>
      <c r="E141" s="12">
        <f>'Rep quarterly'!I69</f>
      </c>
      <c r="F141" s="12">
        <f>'Rep quarterly'!I69</f>
      </c>
      <c r="G141" s="12">
        <f>'Rep quarterly'!I69</f>
      </c>
      <c r="H141" s="12">
        <f>'Rep quarterly'!I69</f>
      </c>
      <c r="I141" s="12">
        <f>'Rep quarterly'!I69</f>
      </c>
    </row>
    <row r="142">
      <c r="A142" s="0" t="inlineStr">
        <is>
          <t xml:space="preserve">Attainment</t>
        </is>
      </c>
      <c r="B142" s="0" t="inlineStr">
        <is>
          <t xml:space="preserve">Elena Silva</t>
        </is>
      </c>
      <c r="C142" s="0" t="inlineStr">
        <is>
          <t xml:space="preserve">Q2 2025</t>
        </is>
      </c>
      <c r="D142" s="12">
        <f>'Rep quarterly'!C70</f>
        <v>0.9928571428571429</v>
      </c>
      <c r="E142" s="12">
        <f>'Rep quarterly'!C70</f>
        <v>0.9928571428571429</v>
      </c>
      <c r="F142" s="12">
        <f>'Rep quarterly'!C70</f>
        <v>0.9928571428571429</v>
      </c>
      <c r="G142" s="12">
        <f>'Rep quarterly'!C70</f>
        <v>0.9928571428571429</v>
      </c>
      <c r="H142" s="12">
        <f>'Rep quarterly'!C70</f>
        <v>0.9928571428571429</v>
      </c>
      <c r="I142" s="12">
        <f>'Rep quarterly'!C70</f>
        <v>0.9928571428571429</v>
      </c>
    </row>
    <row r="143">
      <c r="A143" s="0" t="inlineStr">
        <is>
          <t xml:space="preserve">Attainment</t>
        </is>
      </c>
      <c r="B143" s="0" t="inlineStr">
        <is>
          <t xml:space="preserve">Elena Silva</t>
        </is>
      </c>
      <c r="C143" s="0" t="inlineStr">
        <is>
          <t xml:space="preserve">Q3 2025</t>
        </is>
      </c>
      <c r="D143" s="12">
        <f>'Rep quarterly'!D70</f>
        <v>1.9073333333333333</v>
      </c>
      <c r="E143" s="12">
        <f>'Rep quarterly'!D70</f>
        <v>1.9073333333333333</v>
      </c>
      <c r="F143" s="12">
        <f>'Rep quarterly'!D70</f>
        <v>1.9073333333333333</v>
      </c>
      <c r="G143" s="12">
        <f>'Rep quarterly'!D70</f>
        <v>1.9073333333333333</v>
      </c>
      <c r="H143" s="12">
        <f>'Rep quarterly'!D70</f>
        <v>1.9073333333333333</v>
      </c>
      <c r="I143" s="12">
        <f>'Rep quarterly'!D70</f>
        <v>1.9073333333333333</v>
      </c>
    </row>
    <row r="144">
      <c r="A144" s="0" t="inlineStr">
        <is>
          <t xml:space="preserve">Attainment</t>
        </is>
      </c>
      <c r="B144" s="0" t="inlineStr">
        <is>
          <t xml:space="preserve">Elena Silva</t>
        </is>
      </c>
      <c r="C144" s="0" t="inlineStr">
        <is>
          <t xml:space="preserve">Q4 2025</t>
        </is>
      </c>
      <c r="D144" s="12">
        <f>'Rep quarterly'!E70</f>
        <v>1.536</v>
      </c>
      <c r="E144" s="12">
        <f>'Rep quarterly'!E70</f>
        <v>1.536</v>
      </c>
      <c r="F144" s="12">
        <f>'Rep quarterly'!E70</f>
        <v>1.536</v>
      </c>
      <c r="G144" s="12">
        <f>'Rep quarterly'!E70</f>
        <v>1.536</v>
      </c>
      <c r="H144" s="12">
        <f>'Rep quarterly'!E70</f>
        <v>1.536</v>
      </c>
      <c r="I144" s="12">
        <f>'Rep quarterly'!E70</f>
        <v>1.536</v>
      </c>
    </row>
    <row r="145">
      <c r="A145" s="0" t="inlineStr">
        <is>
          <t xml:space="preserve">Attainment</t>
        </is>
      </c>
      <c r="B145" s="0" t="inlineStr">
        <is>
          <t xml:space="preserve">Elena Silva</t>
        </is>
      </c>
      <c r="C145" s="0" t="inlineStr">
        <is>
          <t xml:space="preserve">Q1 2026</t>
        </is>
      </c>
      <c r="D145" s="12">
        <f>'Rep quarterly'!F70</f>
        <v>0.9146666666666666</v>
      </c>
      <c r="E145" s="12">
        <f>'Rep quarterly'!F70</f>
        <v>0.9146666666666666</v>
      </c>
      <c r="F145" s="12">
        <f>'Rep quarterly'!F70</f>
        <v>0.9146666666666666</v>
      </c>
      <c r="G145" s="12">
        <f>'Rep quarterly'!F70</f>
        <v>0.9146666666666666</v>
      </c>
      <c r="H145" s="12">
        <f>'Rep quarterly'!F70</f>
        <v>0.9146666666666666</v>
      </c>
      <c r="I145" s="12">
        <f>'Rep quarterly'!F70</f>
        <v>0.9146666666666666</v>
      </c>
    </row>
    <row r="146">
      <c r="A146" s="0" t="inlineStr">
        <is>
          <t xml:space="preserve">Attainment</t>
        </is>
      </c>
      <c r="B146" s="0" t="inlineStr">
        <is>
          <t xml:space="preserve">Elena Silva</t>
        </is>
      </c>
      <c r="C146" s="0" t="inlineStr">
        <is>
          <t xml:space="preserve">Q2 2026</t>
        </is>
      </c>
      <c r="D146" s="12">
        <f>'Rep quarterly'!G70</f>
        <v>1.226</v>
      </c>
      <c r="E146" s="12">
        <f>'Rep quarterly'!G70</f>
        <v>1.226</v>
      </c>
      <c r="F146" s="12">
        <f>'Rep quarterly'!G70</f>
        <v>1.226</v>
      </c>
      <c r="G146" s="12">
        <f>'Rep quarterly'!G70</f>
        <v>1.226</v>
      </c>
      <c r="H146" s="12">
        <f>'Rep quarterly'!G70</f>
        <v>1.226</v>
      </c>
      <c r="I146" s="12">
        <f>'Rep quarterly'!G70</f>
        <v>1.226</v>
      </c>
    </row>
    <row r="147">
      <c r="A147" s="0" t="inlineStr">
        <is>
          <t xml:space="preserve">Attainment</t>
        </is>
      </c>
      <c r="B147" s="0" t="inlineStr">
        <is>
          <t xml:space="preserve">Elena Silva</t>
        </is>
      </c>
      <c r="C147" s="0" t="inlineStr">
        <is>
          <t xml:space="preserve">Q3 2026</t>
        </is>
      </c>
      <c r="D147" s="12">
        <f>'Rep quarterly'!H70</f>
        <v>1.2773333333333334</v>
      </c>
      <c r="E147" s="12">
        <f>'Rep quarterly'!H70</f>
        <v>1.2773333333333334</v>
      </c>
      <c r="F147" s="12">
        <f>'Rep quarterly'!H70</f>
        <v>1.2773333333333334</v>
      </c>
      <c r="G147" s="12">
        <f>'Rep quarterly'!H70</f>
        <v>1.2773333333333334</v>
      </c>
      <c r="H147" s="12">
        <f>'Rep quarterly'!H70</f>
        <v>1.2773333333333334</v>
      </c>
      <c r="I147" s="12">
        <f>'Rep quarterly'!H70</f>
        <v>1.2773333333333334</v>
      </c>
    </row>
    <row r="148">
      <c r="A148" s="0" t="inlineStr">
        <is>
          <t xml:space="preserve">Attainment</t>
        </is>
      </c>
      <c r="B148" s="0" t="inlineStr">
        <is>
          <t xml:space="preserve">Elena Silva</t>
        </is>
      </c>
      <c r="C148" s="0" t="inlineStr">
        <is>
          <t xml:space="preserve">Q4 2026</t>
        </is>
      </c>
      <c r="D148" s="12">
        <f>'Rep quarterly'!I70</f>
      </c>
      <c r="E148" s="12">
        <f>'Rep quarterly'!I70</f>
      </c>
      <c r="F148" s="12">
        <f>'Rep quarterly'!I70</f>
      </c>
      <c r="G148" s="12">
        <f>'Rep quarterly'!I70</f>
      </c>
      <c r="H148" s="12">
        <f>'Rep quarterly'!I70</f>
      </c>
      <c r="I148" s="12">
        <f>'Rep quarterly'!I70</f>
      </c>
    </row>
    <row r="149">
      <c r="A149" s="0" t="inlineStr">
        <is>
          <t xml:space="preserve">Attainment</t>
        </is>
      </c>
      <c r="B149" s="0" t="inlineStr">
        <is>
          <t xml:space="preserve">Arjun Müller</t>
        </is>
      </c>
      <c r="C149" s="0" t="inlineStr">
        <is>
          <t xml:space="preserve">Q2 2025</t>
        </is>
      </c>
      <c r="D149" s="12">
        <f>'Rep quarterly'!C71</f>
        <v>0.16666666666666666</v>
      </c>
      <c r="E149" s="12">
        <f>'Rep quarterly'!C71</f>
        <v>0.16666666666666666</v>
      </c>
      <c r="F149" s="12">
        <f>'Rep quarterly'!C71</f>
        <v>0.16666666666666666</v>
      </c>
      <c r="G149" s="12">
        <f>'Rep quarterly'!C71</f>
        <v>0.16666666666666666</v>
      </c>
      <c r="H149" s="12">
        <f>'Rep quarterly'!C71</f>
        <v>0.16666666666666666</v>
      </c>
      <c r="I149" s="12">
        <f>'Rep quarterly'!C71</f>
        <v>0.16666666666666666</v>
      </c>
    </row>
    <row r="150">
      <c r="A150" s="0" t="inlineStr">
        <is>
          <t xml:space="preserve">Attainment</t>
        </is>
      </c>
      <c r="B150" s="0" t="inlineStr">
        <is>
          <t xml:space="preserve">Arjun Müller</t>
        </is>
      </c>
      <c r="C150" s="0" t="inlineStr">
        <is>
          <t xml:space="preserve">Q3 2025</t>
        </is>
      </c>
      <c r="D150" s="12">
        <f>'Rep quarterly'!D71</f>
        <v>0.5173333333333333</v>
      </c>
      <c r="E150" s="12">
        <f>'Rep quarterly'!D71</f>
        <v>0.5173333333333333</v>
      </c>
      <c r="F150" s="12">
        <f>'Rep quarterly'!D71</f>
        <v>0.5173333333333333</v>
      </c>
      <c r="G150" s="12">
        <f>'Rep quarterly'!D71</f>
        <v>0.5173333333333333</v>
      </c>
      <c r="H150" s="12">
        <f>'Rep quarterly'!D71</f>
        <v>0.5173333333333333</v>
      </c>
      <c r="I150" s="12">
        <f>'Rep quarterly'!D71</f>
        <v>0.5173333333333333</v>
      </c>
    </row>
    <row r="151">
      <c r="A151" s="0" t="inlineStr">
        <is>
          <t xml:space="preserve">Attainment</t>
        </is>
      </c>
      <c r="B151" s="0" t="inlineStr">
        <is>
          <t xml:space="preserve">Arjun Müller</t>
        </is>
      </c>
      <c r="C151" s="0" t="inlineStr">
        <is>
          <t xml:space="preserve">Q4 2025</t>
        </is>
      </c>
      <c r="D151" s="12">
        <f>'Rep quarterly'!E71</f>
        <v>1.172</v>
      </c>
      <c r="E151" s="12">
        <f>'Rep quarterly'!E71</f>
        <v>1.172</v>
      </c>
      <c r="F151" s="12">
        <f>'Rep quarterly'!E71</f>
        <v>1.172</v>
      </c>
      <c r="G151" s="12">
        <f>'Rep quarterly'!E71</f>
        <v>1.172</v>
      </c>
      <c r="H151" s="12">
        <f>'Rep quarterly'!E71</f>
        <v>1.172</v>
      </c>
      <c r="I151" s="12">
        <f>'Rep quarterly'!E71</f>
        <v>1.172</v>
      </c>
    </row>
    <row r="152">
      <c r="A152" s="0" t="inlineStr">
        <is>
          <t xml:space="preserve">Attainment</t>
        </is>
      </c>
      <c r="B152" s="0" t="inlineStr">
        <is>
          <t xml:space="preserve">Arjun Müller</t>
        </is>
      </c>
      <c r="C152" s="0" t="inlineStr">
        <is>
          <t xml:space="preserve">Q1 2026</t>
        </is>
      </c>
      <c r="D152" s="12">
        <f>'Rep quarterly'!F71</f>
        <v>0</v>
      </c>
      <c r="E152" s="12">
        <f>'Rep quarterly'!F71</f>
        <v>0</v>
      </c>
      <c r="F152" s="12">
        <f>'Rep quarterly'!F71</f>
        <v>0</v>
      </c>
      <c r="G152" s="12">
        <f>'Rep quarterly'!F71</f>
        <v>0</v>
      </c>
      <c r="H152" s="12">
        <f>'Rep quarterly'!F71</f>
        <v>0</v>
      </c>
      <c r="I152" s="12">
        <f>'Rep quarterly'!F71</f>
        <v>0</v>
      </c>
    </row>
    <row r="153">
      <c r="A153" s="0" t="inlineStr">
        <is>
          <t xml:space="preserve">Attainment</t>
        </is>
      </c>
      <c r="B153" s="0" t="inlineStr">
        <is>
          <t xml:space="preserve">Arjun Müller</t>
        </is>
      </c>
      <c r="C153" s="0" t="inlineStr">
        <is>
          <t xml:space="preserve">Q2 2026</t>
        </is>
      </c>
      <c r="D153" s="12">
        <f>'Rep quarterly'!G71</f>
        <v>1.2926666666666666</v>
      </c>
      <c r="E153" s="12">
        <f>'Rep quarterly'!G71</f>
        <v>1.2926666666666666</v>
      </c>
      <c r="F153" s="12">
        <f>'Rep quarterly'!G71</f>
        <v>1.2926666666666666</v>
      </c>
      <c r="G153" s="12">
        <f>'Rep quarterly'!G71</f>
        <v>1.2926666666666666</v>
      </c>
      <c r="H153" s="12">
        <f>'Rep quarterly'!G71</f>
        <v>1.2926666666666666</v>
      </c>
      <c r="I153" s="12">
        <f>'Rep quarterly'!G71</f>
        <v>1.2926666666666666</v>
      </c>
    </row>
    <row r="154">
      <c r="A154" s="0" t="inlineStr">
        <is>
          <t xml:space="preserve">Attainment</t>
        </is>
      </c>
      <c r="B154" s="0" t="inlineStr">
        <is>
          <t xml:space="preserve">Arjun Müller</t>
        </is>
      </c>
      <c r="C154" s="0" t="inlineStr">
        <is>
          <t xml:space="preserve">Q3 2026</t>
        </is>
      </c>
      <c r="D154" s="12">
        <f>'Rep quarterly'!H71</f>
        <v>1.0813333333333333</v>
      </c>
      <c r="E154" s="12">
        <f>'Rep quarterly'!H71</f>
        <v>1.0813333333333333</v>
      </c>
      <c r="F154" s="12">
        <f>'Rep quarterly'!H71</f>
        <v>1.0813333333333333</v>
      </c>
      <c r="G154" s="12">
        <f>'Rep quarterly'!H71</f>
        <v>1.0813333333333333</v>
      </c>
      <c r="H154" s="12">
        <f>'Rep quarterly'!H71</f>
        <v>1.0813333333333333</v>
      </c>
      <c r="I154" s="12">
        <f>'Rep quarterly'!H71</f>
        <v>1.0813333333333333</v>
      </c>
    </row>
    <row r="155">
      <c r="A155" s="0" t="inlineStr">
        <is>
          <t xml:space="preserve">Attainment</t>
        </is>
      </c>
      <c r="B155" s="0" t="inlineStr">
        <is>
          <t xml:space="preserve">Arjun Müller</t>
        </is>
      </c>
      <c r="C155" s="0" t="inlineStr">
        <is>
          <t xml:space="preserve">Q4 2026</t>
        </is>
      </c>
      <c r="D155" s="12">
        <f>'Rep quarterly'!I71</f>
      </c>
      <c r="E155" s="12">
        <f>'Rep quarterly'!I71</f>
      </c>
      <c r="F155" s="12">
        <f>'Rep quarterly'!I71</f>
      </c>
      <c r="G155" s="12">
        <f>'Rep quarterly'!I71</f>
      </c>
      <c r="H155" s="12">
        <f>'Rep quarterly'!I71</f>
      </c>
      <c r="I155" s="12">
        <f>'Rep quarterly'!I71</f>
      </c>
    </row>
    <row r="156">
      <c r="A156" s="0" t="inlineStr">
        <is>
          <t xml:space="preserve">Attainment</t>
        </is>
      </c>
      <c r="B156" s="0" t="inlineStr">
        <is>
          <t xml:space="preserve">Nikolai Park</t>
        </is>
      </c>
      <c r="C156" s="0" t="inlineStr">
        <is>
          <t xml:space="preserve">Q2 2025</t>
        </is>
      </c>
      <c r="D156" s="12">
        <f>'Rep quarterly'!C72</f>
        <v>0</v>
      </c>
      <c r="E156" s="12">
        <f>'Rep quarterly'!C72</f>
        <v>0</v>
      </c>
      <c r="F156" s="12">
        <f>'Rep quarterly'!C72</f>
        <v>0</v>
      </c>
      <c r="G156" s="12">
        <f>'Rep quarterly'!C72</f>
        <v>0</v>
      </c>
      <c r="H156" s="12">
        <f>'Rep quarterly'!C72</f>
        <v>0</v>
      </c>
      <c r="I156" s="12">
        <f>'Rep quarterly'!C72</f>
        <v>0</v>
      </c>
    </row>
    <row r="157">
      <c r="A157" s="0" t="inlineStr">
        <is>
          <t xml:space="preserve">Attainment</t>
        </is>
      </c>
      <c r="B157" s="0" t="inlineStr">
        <is>
          <t xml:space="preserve">Nikolai Park</t>
        </is>
      </c>
      <c r="C157" s="0" t="inlineStr">
        <is>
          <t xml:space="preserve">Q3 2025</t>
        </is>
      </c>
      <c r="D157" s="12">
        <f>'Rep quarterly'!D72</f>
        <v>0</v>
      </c>
      <c r="E157" s="12">
        <f>'Rep quarterly'!D72</f>
        <v>0</v>
      </c>
      <c r="F157" s="12">
        <f>'Rep quarterly'!D72</f>
        <v>0</v>
      </c>
      <c r="G157" s="12">
        <f>'Rep quarterly'!D72</f>
        <v>0</v>
      </c>
      <c r="H157" s="12">
        <f>'Rep quarterly'!D72</f>
        <v>0</v>
      </c>
      <c r="I157" s="12">
        <f>'Rep quarterly'!D72</f>
        <v>0</v>
      </c>
    </row>
    <row r="158">
      <c r="A158" s="0" t="inlineStr">
        <is>
          <t xml:space="preserve">Attainment</t>
        </is>
      </c>
      <c r="B158" s="0" t="inlineStr">
        <is>
          <t xml:space="preserve">Nikolai Park</t>
        </is>
      </c>
      <c r="C158" s="0" t="inlineStr">
        <is>
          <t xml:space="preserve">Q4 2025</t>
        </is>
      </c>
      <c r="D158" s="12">
        <f>'Rep quarterly'!E72</f>
        <v>0</v>
      </c>
      <c r="E158" s="12">
        <f>'Rep quarterly'!E72</f>
        <v>0</v>
      </c>
      <c r="F158" s="12">
        <f>'Rep quarterly'!E72</f>
        <v>0</v>
      </c>
      <c r="G158" s="12">
        <f>'Rep quarterly'!E72</f>
        <v>0</v>
      </c>
      <c r="H158" s="12">
        <f>'Rep quarterly'!E72</f>
        <v>0</v>
      </c>
      <c r="I158" s="12">
        <f>'Rep quarterly'!E72</f>
        <v>0</v>
      </c>
    </row>
    <row r="159">
      <c r="A159" s="0" t="inlineStr">
        <is>
          <t xml:space="preserve">Attainment</t>
        </is>
      </c>
      <c r="B159" s="0" t="inlineStr">
        <is>
          <t xml:space="preserve">Nikolai Park</t>
        </is>
      </c>
      <c r="C159" s="0" t="inlineStr">
        <is>
          <t xml:space="preserve">Q1 2026</t>
        </is>
      </c>
      <c r="D159" s="12">
        <f>'Rep quarterly'!F72</f>
        <v>0</v>
      </c>
      <c r="E159" s="12">
        <f>'Rep quarterly'!F72</f>
        <v>0</v>
      </c>
      <c r="F159" s="12">
        <f>'Rep quarterly'!F72</f>
        <v>0</v>
      </c>
      <c r="G159" s="12">
        <f>'Rep quarterly'!F72</f>
        <v>0</v>
      </c>
      <c r="H159" s="12">
        <f>'Rep quarterly'!F72</f>
        <v>0</v>
      </c>
      <c r="I159" s="12">
        <f>'Rep quarterly'!F72</f>
        <v>0</v>
      </c>
    </row>
    <row r="160">
      <c r="A160" s="0" t="inlineStr">
        <is>
          <t xml:space="preserve">Attainment</t>
        </is>
      </c>
      <c r="B160" s="0" t="inlineStr">
        <is>
          <t xml:space="preserve">Nikolai Park</t>
        </is>
      </c>
      <c r="C160" s="0" t="inlineStr">
        <is>
          <t xml:space="preserve">Q2 2026</t>
        </is>
      </c>
      <c r="D160" s="12">
        <f>'Rep quarterly'!G72</f>
        <v>0.55</v>
      </c>
      <c r="E160" s="12">
        <f>'Rep quarterly'!G72</f>
        <v>0.55</v>
      </c>
      <c r="F160" s="12">
        <f>'Rep quarterly'!G72</f>
        <v>0.55</v>
      </c>
      <c r="G160" s="12">
        <f>'Rep quarterly'!G72</f>
        <v>0.55</v>
      </c>
      <c r="H160" s="12">
        <f>'Rep quarterly'!G72</f>
        <v>0.55</v>
      </c>
      <c r="I160" s="12">
        <f>'Rep quarterly'!G72</f>
        <v>0.55</v>
      </c>
    </row>
    <row r="161">
      <c r="A161" s="0" t="inlineStr">
        <is>
          <t xml:space="preserve">Attainment</t>
        </is>
      </c>
      <c r="B161" s="0" t="inlineStr">
        <is>
          <t xml:space="preserve">Nikolai Park</t>
        </is>
      </c>
      <c r="C161" s="0" t="inlineStr">
        <is>
          <t xml:space="preserve">Q3 2026</t>
        </is>
      </c>
      <c r="D161" s="12">
        <f>'Rep quarterly'!H72</f>
        <v>0.695</v>
      </c>
      <c r="E161" s="12">
        <f>'Rep quarterly'!H72</f>
        <v>0.695</v>
      </c>
      <c r="F161" s="12">
        <f>'Rep quarterly'!H72</f>
        <v>0.695</v>
      </c>
      <c r="G161" s="12">
        <f>'Rep quarterly'!H72</f>
        <v>0.695</v>
      </c>
      <c r="H161" s="12">
        <f>'Rep quarterly'!H72</f>
        <v>0.695</v>
      </c>
      <c r="I161" s="12">
        <f>'Rep quarterly'!H72</f>
        <v>0.695</v>
      </c>
    </row>
    <row r="162">
      <c r="A162" s="0" t="inlineStr">
        <is>
          <t xml:space="preserve">Attainment</t>
        </is>
      </c>
      <c r="B162" s="0" t="inlineStr">
        <is>
          <t xml:space="preserve">Nikolai Park</t>
        </is>
      </c>
      <c r="C162" s="0" t="inlineStr">
        <is>
          <t xml:space="preserve">Q4 2026</t>
        </is>
      </c>
      <c r="D162" s="12">
        <f>'Rep quarterly'!I72</f>
      </c>
      <c r="E162" s="12">
        <f>'Rep quarterly'!I72</f>
      </c>
      <c r="F162" s="12">
        <f>'Rep quarterly'!I72</f>
      </c>
      <c r="G162" s="12">
        <f>'Rep quarterly'!I72</f>
      </c>
      <c r="H162" s="12">
        <f>'Rep quarterly'!I72</f>
      </c>
      <c r="I162" s="12">
        <f>'Rep quarterly'!I72</f>
      </c>
    </row>
    <row r="163">
      <c r="A163" s="0" t="inlineStr">
        <is>
          <t xml:space="preserve">Attainment</t>
        </is>
      </c>
      <c r="B163" s="0" t="inlineStr">
        <is>
          <t xml:space="preserve">Ingrid Dubois</t>
        </is>
      </c>
      <c r="C163" s="0" t="inlineStr">
        <is>
          <t xml:space="preserve">Q2 2025</t>
        </is>
      </c>
      <c r="D163" s="12">
        <f>'Rep quarterly'!C73</f>
        <v>0</v>
      </c>
      <c r="E163" s="12">
        <f>'Rep quarterly'!C73</f>
        <v>0</v>
      </c>
      <c r="F163" s="12">
        <f>'Rep quarterly'!C73</f>
        <v>0</v>
      </c>
      <c r="G163" s="12">
        <f>'Rep quarterly'!C73</f>
        <v>0</v>
      </c>
      <c r="H163" s="12">
        <f>'Rep quarterly'!C73</f>
        <v>0</v>
      </c>
      <c r="I163" s="12">
        <f>'Rep quarterly'!C73</f>
        <v>0</v>
      </c>
    </row>
    <row r="164">
      <c r="A164" s="0" t="inlineStr">
        <is>
          <t xml:space="preserve">Attainment</t>
        </is>
      </c>
      <c r="B164" s="0" t="inlineStr">
        <is>
          <t xml:space="preserve">Ingrid Dubois</t>
        </is>
      </c>
      <c r="C164" s="0" t="inlineStr">
        <is>
          <t xml:space="preserve">Q3 2025</t>
        </is>
      </c>
      <c r="D164" s="12">
        <f>'Rep quarterly'!D73</f>
        <v>1.55375</v>
      </c>
      <c r="E164" s="12">
        <f>'Rep quarterly'!D73</f>
        <v>1.55375</v>
      </c>
      <c r="F164" s="12">
        <f>'Rep quarterly'!D73</f>
        <v>1.55375</v>
      </c>
      <c r="G164" s="12">
        <f>'Rep quarterly'!D73</f>
        <v>1.55375</v>
      </c>
      <c r="H164" s="12">
        <f>'Rep quarterly'!D73</f>
        <v>1.55375</v>
      </c>
      <c r="I164" s="12">
        <f>'Rep quarterly'!D73</f>
        <v>1.55375</v>
      </c>
    </row>
    <row r="165">
      <c r="A165" s="0" t="inlineStr">
        <is>
          <t xml:space="preserve">Attainment</t>
        </is>
      </c>
      <c r="B165" s="0" t="inlineStr">
        <is>
          <t xml:space="preserve">Ingrid Dubois</t>
        </is>
      </c>
      <c r="C165" s="0" t="inlineStr">
        <is>
          <t xml:space="preserve">Q4 2025</t>
        </is>
      </c>
      <c r="D165" s="12">
        <f>'Rep quarterly'!E73</f>
        <v>1.0425</v>
      </c>
      <c r="E165" s="12">
        <f>'Rep quarterly'!E73</f>
        <v>1.0425</v>
      </c>
      <c r="F165" s="12">
        <f>'Rep quarterly'!E73</f>
        <v>1.0425</v>
      </c>
      <c r="G165" s="12">
        <f>'Rep quarterly'!E73</f>
        <v>1.0425</v>
      </c>
      <c r="H165" s="12">
        <f>'Rep quarterly'!E73</f>
        <v>1.0425</v>
      </c>
      <c r="I165" s="12">
        <f>'Rep quarterly'!E73</f>
        <v>1.0425</v>
      </c>
    </row>
    <row r="166">
      <c r="A166" s="0" t="inlineStr">
        <is>
          <t xml:space="preserve">Attainment</t>
        </is>
      </c>
      <c r="B166" s="0" t="inlineStr">
        <is>
          <t xml:space="preserve">Ingrid Dubois</t>
        </is>
      </c>
      <c r="C166" s="0" t="inlineStr">
        <is>
          <t xml:space="preserve">Q1 2026</t>
        </is>
      </c>
      <c r="D166" s="12">
        <f>'Rep quarterly'!F73</f>
        <v>0.38625</v>
      </c>
      <c r="E166" s="12">
        <f>'Rep quarterly'!F73</f>
        <v>0.38625</v>
      </c>
      <c r="F166" s="12">
        <f>'Rep quarterly'!F73</f>
        <v>0.38625</v>
      </c>
      <c r="G166" s="12">
        <f>'Rep quarterly'!F73</f>
        <v>0.38625</v>
      </c>
      <c r="H166" s="12">
        <f>'Rep quarterly'!F73</f>
        <v>0.38625</v>
      </c>
      <c r="I166" s="12">
        <f>'Rep quarterly'!F73</f>
        <v>0.38625</v>
      </c>
    </row>
    <row r="167">
      <c r="A167" s="0" t="inlineStr">
        <is>
          <t xml:space="preserve">Attainment</t>
        </is>
      </c>
      <c r="B167" s="0" t="inlineStr">
        <is>
          <t xml:space="preserve">Ingrid Dubois</t>
        </is>
      </c>
      <c r="C167" s="0" t="inlineStr">
        <is>
          <t xml:space="preserve">Q2 2026</t>
        </is>
      </c>
      <c r="D167" s="12">
        <f>'Rep quarterly'!G73</f>
        <v>1.50875</v>
      </c>
      <c r="E167" s="12">
        <f>'Rep quarterly'!G73</f>
        <v>1.50875</v>
      </c>
      <c r="F167" s="12">
        <f>'Rep quarterly'!G73</f>
        <v>1.50875</v>
      </c>
      <c r="G167" s="12">
        <f>'Rep quarterly'!G73</f>
        <v>1.50875</v>
      </c>
      <c r="H167" s="12">
        <f>'Rep quarterly'!G73</f>
        <v>1.50875</v>
      </c>
      <c r="I167" s="12">
        <f>'Rep quarterly'!G73</f>
        <v>1.50875</v>
      </c>
    </row>
    <row r="168">
      <c r="A168" s="0" t="inlineStr">
        <is>
          <t xml:space="preserve">Attainment</t>
        </is>
      </c>
      <c r="B168" s="0" t="inlineStr">
        <is>
          <t xml:space="preserve">Ingrid Dubois</t>
        </is>
      </c>
      <c r="C168" s="0" t="inlineStr">
        <is>
          <t xml:space="preserve">Q3 2026</t>
        </is>
      </c>
      <c r="D168" s="12">
        <f>'Rep quarterly'!H73</f>
        <v>1.47375</v>
      </c>
      <c r="E168" s="12">
        <f>'Rep quarterly'!H73</f>
        <v>1.47375</v>
      </c>
      <c r="F168" s="12">
        <f>'Rep quarterly'!H73</f>
        <v>1.47375</v>
      </c>
      <c r="G168" s="12">
        <f>'Rep quarterly'!H73</f>
        <v>1.47375</v>
      </c>
      <c r="H168" s="12">
        <f>'Rep quarterly'!H73</f>
        <v>1.47375</v>
      </c>
      <c r="I168" s="12">
        <f>'Rep quarterly'!H73</f>
        <v>1.47375</v>
      </c>
    </row>
    <row r="169">
      <c r="A169" s="0" t="inlineStr">
        <is>
          <t xml:space="preserve">Attainment</t>
        </is>
      </c>
      <c r="B169" s="0" t="inlineStr">
        <is>
          <t xml:space="preserve">Ingrid Dubois</t>
        </is>
      </c>
      <c r="C169" s="0" t="inlineStr">
        <is>
          <t xml:space="preserve">Q4 2026</t>
        </is>
      </c>
      <c r="D169" s="12">
        <f>'Rep quarterly'!I73</f>
      </c>
      <c r="E169" s="12">
        <f>'Rep quarterly'!I73</f>
      </c>
      <c r="F169" s="12">
        <f>'Rep quarterly'!I73</f>
      </c>
      <c r="G169" s="12">
        <f>'Rep quarterly'!I73</f>
      </c>
      <c r="H169" s="12">
        <f>'Rep quarterly'!I73</f>
      </c>
      <c r="I169" s="12">
        <f>'Rep quarterly'!I73</f>
      </c>
    </row>
    <row r="170">
      <c r="A170" s="0" t="inlineStr">
        <is>
          <t xml:space="preserve">Attainment in tranche</t>
        </is>
      </c>
      <c r="B170" s="0" t="inlineStr">
        <is>
          <t xml:space="preserve">Noor Ortiz</t>
        </is>
      </c>
      <c r="C170" s="0" t="inlineStr">
        <is>
          <t xml:space="preserve">Q2 2025</t>
        </is>
      </c>
      <c r="D170" s="12">
        <f>IF((D2&lt;='Commission plan'!B2),0,IF((D2&gt;='Commission plan'!B3),('Commission plan'!B3-'Commission plan'!B2),(D2-'Commission plan'!B2)))</f>
        <v>0</v>
      </c>
      <c r="E170" s="12">
        <f>IF((E2&lt;='Commission plan'!C2),0,IF((E2&gt;='Commission plan'!C3),('Commission plan'!C3-'Commission plan'!C2),(E2-'Commission plan'!C2)))</f>
        <v>0</v>
      </c>
      <c r="F170" s="12">
        <f>IF((F2&lt;='Commission plan'!D2),0,IF((F2&gt;='Commission plan'!D3),('Commission plan'!D3-'Commission plan'!D2),(F2-'Commission plan'!D2)))</f>
        <v>0</v>
      </c>
      <c r="G170" s="12">
        <f>IF((G2&lt;='Commission plan'!E2),0,IF((G2&gt;='Commission plan'!E3),('Commission plan'!E3-'Commission plan'!E2),(G2-'Commission plan'!E2)))</f>
        <v>0</v>
      </c>
      <c r="H170" s="12">
        <f>IF((H2&lt;='Commission plan'!F2),0,IF((H2&gt;='Commission plan'!F3),('Commission plan'!F3-'Commission plan'!F2),(H2-'Commission plan'!F2)))</f>
        <v>0</v>
      </c>
      <c r="I170" s="12">
        <f>SUM(D170:H170)</f>
        <v>0</v>
      </c>
    </row>
    <row r="171">
      <c r="A171" s="0" t="inlineStr">
        <is>
          <t xml:space="preserve">Attainment in tranche</t>
        </is>
      </c>
      <c r="B171" s="0" t="inlineStr">
        <is>
          <t xml:space="preserve">Noor Ortiz</t>
        </is>
      </c>
      <c r="C171" s="0" t="inlineStr">
        <is>
          <t xml:space="preserve">Q3 2025</t>
        </is>
      </c>
      <c r="D171" s="12">
        <f>IF((D3&lt;='Commission plan'!B2),0,IF((D3&gt;='Commission plan'!B3),('Commission plan'!B3-'Commission plan'!B2),(D3-'Commission plan'!B2)))</f>
        <v>0</v>
      </c>
      <c r="E171" s="12">
        <f>IF((E3&lt;='Commission plan'!C2),0,IF((E3&gt;='Commission plan'!C3),('Commission plan'!C3-'Commission plan'!C2),(E3-'Commission plan'!C2)))</f>
        <v>0</v>
      </c>
      <c r="F171" s="12">
        <f>IF((F3&lt;='Commission plan'!D2),0,IF((F3&gt;='Commission plan'!D3),('Commission plan'!D3-'Commission plan'!D2),(F3-'Commission plan'!D2)))</f>
        <v>0</v>
      </c>
      <c r="G171" s="12">
        <f>IF((G3&lt;='Commission plan'!E2),0,IF((G3&gt;='Commission plan'!E3),('Commission plan'!E3-'Commission plan'!E2),(G3-'Commission plan'!E2)))</f>
        <v>0</v>
      </c>
      <c r="H171" s="12">
        <f>IF((H3&lt;='Commission plan'!F2),0,IF((H3&gt;='Commission plan'!F3),('Commission plan'!F3-'Commission plan'!F2),(H3-'Commission plan'!F2)))</f>
        <v>0</v>
      </c>
      <c r="I171" s="12">
        <f>SUM(D171:H171)</f>
        <v>0</v>
      </c>
    </row>
    <row r="172">
      <c r="A172" s="0" t="inlineStr">
        <is>
          <t xml:space="preserve">Attainment in tranche</t>
        </is>
      </c>
      <c r="B172" s="0" t="inlineStr">
        <is>
          <t xml:space="preserve">Noor Ortiz</t>
        </is>
      </c>
      <c r="C172" s="0" t="inlineStr">
        <is>
          <t xml:space="preserve">Q4 2025</t>
        </is>
      </c>
      <c r="D172" s="12">
        <f>IF((D4&lt;='Commission plan'!B2),0,IF((D4&gt;='Commission plan'!B3),('Commission plan'!B3-'Commission plan'!B2),(D4-'Commission plan'!B2)))</f>
        <v>0.5</v>
      </c>
      <c r="E172" s="12">
        <f>IF((E4&lt;='Commission plan'!C2),0,IF((E4&gt;='Commission plan'!C3),('Commission plan'!C3-'Commission plan'!C2),(E4-'Commission plan'!C2)))</f>
        <v>0.03653333333333331</v>
      </c>
      <c r="F172" s="12">
        <f>IF((F4&lt;='Commission plan'!D2),0,IF((F4&gt;='Commission plan'!D3),('Commission plan'!D3-'Commission plan'!D2),(F4-'Commission plan'!D2)))</f>
        <v>0</v>
      </c>
      <c r="G172" s="12">
        <f>IF((G4&lt;='Commission plan'!E2),0,IF((G4&gt;='Commission plan'!E3),('Commission plan'!E3-'Commission plan'!E2),(G4-'Commission plan'!E2)))</f>
        <v>0</v>
      </c>
      <c r="H172" s="12">
        <f>IF((H4&lt;='Commission plan'!F2),0,IF((H4&gt;='Commission plan'!F3),('Commission plan'!F3-'Commission plan'!F2),(H4-'Commission plan'!F2)))</f>
        <v>0</v>
      </c>
      <c r="I172" s="12">
        <f>SUM(D172:H172)</f>
        <v>0.5365333333333333</v>
      </c>
    </row>
    <row r="173">
      <c r="A173" s="0" t="inlineStr">
        <is>
          <t xml:space="preserve">Attainment in tranche</t>
        </is>
      </c>
      <c r="B173" s="0" t="inlineStr">
        <is>
          <t xml:space="preserve">Noor Ortiz</t>
        </is>
      </c>
      <c r="C173" s="0" t="inlineStr">
        <is>
          <t xml:space="preserve">Q1 2026</t>
        </is>
      </c>
      <c r="D173" s="12">
        <f>IF((D5&lt;='Commission plan'!B2),0,IF((D5&gt;='Commission plan'!B3),('Commission plan'!B3-'Commission plan'!B2),(D5-'Commission plan'!B2)))</f>
        <v>0.5</v>
      </c>
      <c r="E173" s="12">
        <f>IF((E5&lt;='Commission plan'!C2),0,IF((E5&gt;='Commission plan'!C3),('Commission plan'!C3-'Commission plan'!C2),(E5-'Commission plan'!C2)))</f>
        <v>0.5</v>
      </c>
      <c r="F173" s="12">
        <f>IF((F5&lt;='Commission plan'!D2),0,IF((F5&gt;='Commission plan'!D3),('Commission plan'!D3-'Commission plan'!D2),(F5-'Commission plan'!D2)))</f>
        <v>0.25</v>
      </c>
      <c r="G173" s="12">
        <f>IF((G5&lt;='Commission plan'!E2),0,IF((G5&gt;='Commission plan'!E3),('Commission plan'!E3-'Commission plan'!E2),(G5-'Commission plan'!E2)))</f>
        <v>0.09906666666666664</v>
      </c>
      <c r="H173" s="12">
        <f>IF((H5&lt;='Commission plan'!F2),0,IF((H5&gt;='Commission plan'!F3),('Commission plan'!F3-'Commission plan'!F2),(H5-'Commission plan'!F2)))</f>
        <v>0</v>
      </c>
      <c r="I173" s="12">
        <f>SUM(D173:H173)</f>
        <v>1.3490666666666666</v>
      </c>
    </row>
    <row r="174">
      <c r="A174" s="0" t="inlineStr">
        <is>
          <t xml:space="preserve">Attainment in tranche</t>
        </is>
      </c>
      <c r="B174" s="0" t="inlineStr">
        <is>
          <t xml:space="preserve">Noor Ortiz</t>
        </is>
      </c>
      <c r="C174" s="0" t="inlineStr">
        <is>
          <t xml:space="preserve">Q2 2026</t>
        </is>
      </c>
      <c r="D174" s="12">
        <f>IF((D6&lt;='Commission plan'!B2),0,IF((D6&gt;='Commission plan'!B3),('Commission plan'!B3-'Commission plan'!B2),(D6-'Commission plan'!B2)))</f>
        <v>0.5</v>
      </c>
      <c r="E174" s="12">
        <f>IF((E6&lt;='Commission plan'!C2),0,IF((E6&gt;='Commission plan'!C3),('Commission plan'!C3-'Commission plan'!C2),(E6-'Commission plan'!C2)))</f>
        <v>0.5</v>
      </c>
      <c r="F174" s="12">
        <f>IF((F6&lt;='Commission plan'!D2),0,IF((F6&gt;='Commission plan'!D3),('Commission plan'!D3-'Commission plan'!D2),(F6-'Commission plan'!D2)))</f>
        <v>0.16453333333333342</v>
      </c>
      <c r="G174" s="12">
        <f>IF((G6&lt;='Commission plan'!E2),0,IF((G6&gt;='Commission plan'!E3),('Commission plan'!E3-'Commission plan'!E2),(G6-'Commission plan'!E2)))</f>
        <v>0</v>
      </c>
      <c r="H174" s="12">
        <f>IF((H6&lt;='Commission plan'!F2),0,IF((H6&gt;='Commission plan'!F3),('Commission plan'!F3-'Commission plan'!F2),(H6-'Commission plan'!F2)))</f>
        <v>0</v>
      </c>
      <c r="I174" s="12">
        <f>SUM(D174:H174)</f>
        <v>1.1645333333333334</v>
      </c>
    </row>
    <row r="175">
      <c r="A175" s="0" t="inlineStr">
        <is>
          <t xml:space="preserve">Attainment in tranche</t>
        </is>
      </c>
      <c r="B175" s="0" t="inlineStr">
        <is>
          <t xml:space="preserve">Noor Ortiz</t>
        </is>
      </c>
      <c r="C175" s="0" t="inlineStr">
        <is>
          <t xml:space="preserve">Q3 2026</t>
        </is>
      </c>
      <c r="D175" s="12">
        <f>IF((D7&lt;='Commission plan'!B2),0,IF((D7&gt;='Commission plan'!B3),('Commission plan'!B3-'Commission plan'!B2),(D7-'Commission plan'!B2)))</f>
        <v>0.3696</v>
      </c>
      <c r="E175" s="12">
        <f>IF((E7&lt;='Commission plan'!C2),0,IF((E7&gt;='Commission plan'!C3),('Commission plan'!C3-'Commission plan'!C2),(E7-'Commission plan'!C2)))</f>
        <v>0</v>
      </c>
      <c r="F175" s="12">
        <f>IF((F7&lt;='Commission plan'!D2),0,IF((F7&gt;='Commission plan'!D3),('Commission plan'!D3-'Commission plan'!D2),(F7-'Commission plan'!D2)))</f>
        <v>0</v>
      </c>
      <c r="G175" s="12">
        <f>IF((G7&lt;='Commission plan'!E2),0,IF((G7&gt;='Commission plan'!E3),('Commission plan'!E3-'Commission plan'!E2),(G7-'Commission plan'!E2)))</f>
        <v>0</v>
      </c>
      <c r="H175" s="12">
        <f>IF((H7&lt;='Commission plan'!F2),0,IF((H7&gt;='Commission plan'!F3),('Commission plan'!F3-'Commission plan'!F2),(H7-'Commission plan'!F2)))</f>
        <v>0</v>
      </c>
      <c r="I175" s="12">
        <f>SUM(D175:H175)</f>
        <v>0.3696</v>
      </c>
    </row>
    <row r="176">
      <c r="A176" s="0" t="inlineStr">
        <is>
          <t xml:space="preserve">Attainment in tranche</t>
        </is>
      </c>
      <c r="B176" s="0" t="inlineStr">
        <is>
          <t xml:space="preserve">Noor Ortiz</t>
        </is>
      </c>
      <c r="C176" s="0" t="inlineStr">
        <is>
          <t xml:space="preserve">Q4 2026</t>
        </is>
      </c>
      <c r="D176" s="12">
        <f>IF((D8&lt;='Commission plan'!B2),0,IF((D8&gt;='Commission plan'!B3),('Commission plan'!B3-'Commission plan'!B2),(D8-'Commission plan'!B2)))</f>
        <v>0</v>
      </c>
      <c r="E176" s="12">
        <f>IF((E8&lt;='Commission plan'!C2),0,IF((E8&gt;='Commission plan'!C3),('Commission plan'!C3-'Commission plan'!C2),(E8-'Commission plan'!C2)))</f>
        <v>0</v>
      </c>
      <c r="F176" s="12">
        <f>IF((F8&lt;='Commission plan'!D2),0,IF((F8&gt;='Commission plan'!D3),('Commission plan'!D3-'Commission plan'!D2),(F8-'Commission plan'!D2)))</f>
        <v>0</v>
      </c>
      <c r="G176" s="12">
        <f>IF((G8&lt;='Commission plan'!E2),0,IF((G8&gt;='Commission plan'!E3),('Commission plan'!E3-'Commission plan'!E2),(G8-'Commission plan'!E2)))</f>
        <v>0</v>
      </c>
      <c r="H176" s="12">
        <f>IF((H8&lt;='Commission plan'!F2),0,IF((H8&gt;='Commission plan'!F3),('Commission plan'!F3-'Commission plan'!F2),(H8-'Commission plan'!F2)))</f>
        <v>0</v>
      </c>
      <c r="I176" s="12">
        <f>SUM(D176:H176)</f>
        <v>0</v>
      </c>
    </row>
    <row r="177">
      <c r="A177" s="0" t="inlineStr">
        <is>
          <t xml:space="preserve">Attainment in tranche</t>
        </is>
      </c>
      <c r="B177" s="0" t="inlineStr">
        <is>
          <t xml:space="preserve">Priya Yilmaz</t>
        </is>
      </c>
      <c r="C177" s="0" t="inlineStr">
        <is>
          <t xml:space="preserve">Q2 2025</t>
        </is>
      </c>
      <c r="D177" s="12">
        <f>IF((D9&lt;='Commission plan'!B2),0,IF((D9&gt;='Commission plan'!B3),('Commission plan'!B3-'Commission plan'!B2),(D9-'Commission plan'!B2)))</f>
        <v>0</v>
      </c>
      <c r="E177" s="12">
        <f>IF((E9&lt;='Commission plan'!C2),0,IF((E9&gt;='Commission plan'!C3),('Commission plan'!C3-'Commission plan'!C2),(E9-'Commission plan'!C2)))</f>
        <v>0</v>
      </c>
      <c r="F177" s="12">
        <f>IF((F9&lt;='Commission plan'!D2),0,IF((F9&gt;='Commission plan'!D3),('Commission plan'!D3-'Commission plan'!D2),(F9-'Commission plan'!D2)))</f>
        <v>0</v>
      </c>
      <c r="G177" s="12">
        <f>IF((G9&lt;='Commission plan'!E2),0,IF((G9&gt;='Commission plan'!E3),('Commission plan'!E3-'Commission plan'!E2),(G9-'Commission plan'!E2)))</f>
        <v>0</v>
      </c>
      <c r="H177" s="12">
        <f>IF((H9&lt;='Commission plan'!F2),0,IF((H9&gt;='Commission plan'!F3),('Commission plan'!F3-'Commission plan'!F2),(H9-'Commission plan'!F2)))</f>
        <v>0</v>
      </c>
      <c r="I177" s="12">
        <f>SUM(D177:H177)</f>
        <v>0</v>
      </c>
    </row>
    <row r="178">
      <c r="A178" s="0" t="inlineStr">
        <is>
          <t xml:space="preserve">Attainment in tranche</t>
        </is>
      </c>
      <c r="B178" s="0" t="inlineStr">
        <is>
          <t xml:space="preserve">Priya Yilmaz</t>
        </is>
      </c>
      <c r="C178" s="0" t="inlineStr">
        <is>
          <t xml:space="preserve">Q3 2025</t>
        </is>
      </c>
      <c r="D178" s="12">
        <f>IF((D10&lt;='Commission plan'!B2),0,IF((D10&gt;='Commission plan'!B3),('Commission plan'!B3-'Commission plan'!B2),(D10-'Commission plan'!B2)))</f>
        <v>0</v>
      </c>
      <c r="E178" s="12">
        <f>IF((E10&lt;='Commission plan'!C2),0,IF((E10&gt;='Commission plan'!C3),('Commission plan'!C3-'Commission plan'!C2),(E10-'Commission plan'!C2)))</f>
        <v>0</v>
      </c>
      <c r="F178" s="12">
        <f>IF((F10&lt;='Commission plan'!D2),0,IF((F10&gt;='Commission plan'!D3),('Commission plan'!D3-'Commission plan'!D2),(F10-'Commission plan'!D2)))</f>
        <v>0</v>
      </c>
      <c r="G178" s="12">
        <f>IF((G10&lt;='Commission plan'!E2),0,IF((G10&gt;='Commission plan'!E3),('Commission plan'!E3-'Commission plan'!E2),(G10-'Commission plan'!E2)))</f>
        <v>0</v>
      </c>
      <c r="H178" s="12">
        <f>IF((H10&lt;='Commission plan'!F2),0,IF((H10&gt;='Commission plan'!F3),('Commission plan'!F3-'Commission plan'!F2),(H10-'Commission plan'!F2)))</f>
        <v>0</v>
      </c>
      <c r="I178" s="12">
        <f>SUM(D178:H178)</f>
        <v>0</v>
      </c>
    </row>
    <row r="179">
      <c r="A179" s="0" t="inlineStr">
        <is>
          <t xml:space="preserve">Attainment in tranche</t>
        </is>
      </c>
      <c r="B179" s="0" t="inlineStr">
        <is>
          <t xml:space="preserve">Priya Yilmaz</t>
        </is>
      </c>
      <c r="C179" s="0" t="inlineStr">
        <is>
          <t xml:space="preserve">Q4 2025</t>
        </is>
      </c>
      <c r="D179" s="12">
        <f>IF((D11&lt;='Commission plan'!B2),0,IF((D11&gt;='Commission plan'!B3),('Commission plan'!B3-'Commission plan'!B2),(D11-'Commission plan'!B2)))</f>
        <v>0</v>
      </c>
      <c r="E179" s="12">
        <f>IF((E11&lt;='Commission plan'!C2),0,IF((E11&gt;='Commission plan'!C3),('Commission plan'!C3-'Commission plan'!C2),(E11-'Commission plan'!C2)))</f>
        <v>0</v>
      </c>
      <c r="F179" s="12">
        <f>IF((F11&lt;='Commission plan'!D2),0,IF((F11&gt;='Commission plan'!D3),('Commission plan'!D3-'Commission plan'!D2),(F11-'Commission plan'!D2)))</f>
        <v>0</v>
      </c>
      <c r="G179" s="12">
        <f>IF((G11&lt;='Commission plan'!E2),0,IF((G11&gt;='Commission plan'!E3),('Commission plan'!E3-'Commission plan'!E2),(G11-'Commission plan'!E2)))</f>
        <v>0</v>
      </c>
      <c r="H179" s="12">
        <f>IF((H11&lt;='Commission plan'!F2),0,IF((H11&gt;='Commission plan'!F3),('Commission plan'!F3-'Commission plan'!F2),(H11-'Commission plan'!F2)))</f>
        <v>0</v>
      </c>
      <c r="I179" s="12">
        <f>SUM(D179:H179)</f>
        <v>0</v>
      </c>
    </row>
    <row r="180">
      <c r="A180" s="0" t="inlineStr">
        <is>
          <t xml:space="preserve">Attainment in tranche</t>
        </is>
      </c>
      <c r="B180" s="0" t="inlineStr">
        <is>
          <t xml:space="preserve">Priya Yilmaz</t>
        </is>
      </c>
      <c r="C180" s="0" t="inlineStr">
        <is>
          <t xml:space="preserve">Q1 2026</t>
        </is>
      </c>
      <c r="D180" s="12">
        <f>IF((D12&lt;='Commission plan'!B2),0,IF((D12&gt;='Commission plan'!B3),('Commission plan'!B3-'Commission plan'!B2),(D12-'Commission plan'!B2)))</f>
        <v>0</v>
      </c>
      <c r="E180" s="12">
        <f>IF((E12&lt;='Commission plan'!C2),0,IF((E12&gt;='Commission plan'!C3),('Commission plan'!C3-'Commission plan'!C2),(E12-'Commission plan'!C2)))</f>
        <v>0</v>
      </c>
      <c r="F180" s="12">
        <f>IF((F12&lt;='Commission plan'!D2),0,IF((F12&gt;='Commission plan'!D3),('Commission plan'!D3-'Commission plan'!D2),(F12-'Commission plan'!D2)))</f>
        <v>0</v>
      </c>
      <c r="G180" s="12">
        <f>IF((G12&lt;='Commission plan'!E2),0,IF((G12&gt;='Commission plan'!E3),('Commission plan'!E3-'Commission plan'!E2),(G12-'Commission plan'!E2)))</f>
        <v>0</v>
      </c>
      <c r="H180" s="12">
        <f>IF((H12&lt;='Commission plan'!F2),0,IF((H12&gt;='Commission plan'!F3),('Commission plan'!F3-'Commission plan'!F2),(H12-'Commission plan'!F2)))</f>
        <v>0</v>
      </c>
      <c r="I180" s="12">
        <f>SUM(D180:H180)</f>
        <v>0</v>
      </c>
    </row>
    <row r="181">
      <c r="A181" s="0" t="inlineStr">
        <is>
          <t xml:space="preserve">Attainment in tranche</t>
        </is>
      </c>
      <c r="B181" s="0" t="inlineStr">
        <is>
          <t xml:space="preserve">Priya Yilmaz</t>
        </is>
      </c>
      <c r="C181" s="0" t="inlineStr">
        <is>
          <t xml:space="preserve">Q2 2026</t>
        </is>
      </c>
      <c r="D181" s="12">
        <f>IF((D13&lt;='Commission plan'!B2),0,IF((D13&gt;='Commission plan'!B3),('Commission plan'!B3-'Commission plan'!B2),(D13-'Commission plan'!B2)))</f>
        <v>0</v>
      </c>
      <c r="E181" s="12">
        <f>IF((E13&lt;='Commission plan'!C2),0,IF((E13&gt;='Commission plan'!C3),('Commission plan'!C3-'Commission plan'!C2),(E13-'Commission plan'!C2)))</f>
        <v>0</v>
      </c>
      <c r="F181" s="12">
        <f>IF((F13&lt;='Commission plan'!D2),0,IF((F13&gt;='Commission plan'!D3),('Commission plan'!D3-'Commission plan'!D2),(F13-'Commission plan'!D2)))</f>
        <v>0</v>
      </c>
      <c r="G181" s="12">
        <f>IF((G13&lt;='Commission plan'!E2),0,IF((G13&gt;='Commission plan'!E3),('Commission plan'!E3-'Commission plan'!E2),(G13-'Commission plan'!E2)))</f>
        <v>0</v>
      </c>
      <c r="H181" s="12">
        <f>IF((H13&lt;='Commission plan'!F2),0,IF((H13&gt;='Commission plan'!F3),('Commission plan'!F3-'Commission plan'!F2),(H13-'Commission plan'!F2)))</f>
        <v>0</v>
      </c>
      <c r="I181" s="12">
        <f>SUM(D181:H181)</f>
        <v>0</v>
      </c>
    </row>
    <row r="182">
      <c r="A182" s="0" t="inlineStr">
        <is>
          <t xml:space="preserve">Attainment in tranche</t>
        </is>
      </c>
      <c r="B182" s="0" t="inlineStr">
        <is>
          <t xml:space="preserve">Priya Yilmaz</t>
        </is>
      </c>
      <c r="C182" s="0" t="inlineStr">
        <is>
          <t xml:space="preserve">Q3 2026</t>
        </is>
      </c>
      <c r="D182" s="12">
        <f>IF((D14&lt;='Commission plan'!B2),0,IF((D14&gt;='Commission plan'!B3),('Commission plan'!B3-'Commission plan'!B2),(D14-'Commission plan'!B2)))</f>
        <v>0</v>
      </c>
      <c r="E182" s="12">
        <f>IF((E14&lt;='Commission plan'!C2),0,IF((E14&gt;='Commission plan'!C3),('Commission plan'!C3-'Commission plan'!C2),(E14-'Commission plan'!C2)))</f>
        <v>0</v>
      </c>
      <c r="F182" s="12">
        <f>IF((F14&lt;='Commission plan'!D2),0,IF((F14&gt;='Commission plan'!D3),('Commission plan'!D3-'Commission plan'!D2),(F14-'Commission plan'!D2)))</f>
        <v>0</v>
      </c>
      <c r="G182" s="12">
        <f>IF((G14&lt;='Commission plan'!E2),0,IF((G14&gt;='Commission plan'!E3),('Commission plan'!E3-'Commission plan'!E2),(G14-'Commission plan'!E2)))</f>
        <v>0</v>
      </c>
      <c r="H182" s="12">
        <f>IF((H14&lt;='Commission plan'!F2),0,IF((H14&gt;='Commission plan'!F3),('Commission plan'!F3-'Commission plan'!F2),(H14-'Commission plan'!F2)))</f>
        <v>0</v>
      </c>
      <c r="I182" s="12">
        <f>SUM(D182:H182)</f>
        <v>0</v>
      </c>
    </row>
    <row r="183">
      <c r="A183" s="0" t="inlineStr">
        <is>
          <t xml:space="preserve">Attainment in tranche</t>
        </is>
      </c>
      <c r="B183" s="0" t="inlineStr">
        <is>
          <t xml:space="preserve">Priya Yilmaz</t>
        </is>
      </c>
      <c r="C183" s="0" t="inlineStr">
        <is>
          <t xml:space="preserve">Q4 2026</t>
        </is>
      </c>
      <c r="D183" s="12">
        <f>IF((D15&lt;='Commission plan'!B2),0,IF((D15&gt;='Commission plan'!B3),('Commission plan'!B3-'Commission plan'!B2),(D15-'Commission plan'!B2)))</f>
        <v>0</v>
      </c>
      <c r="E183" s="12">
        <f>IF((E15&lt;='Commission plan'!C2),0,IF((E15&gt;='Commission plan'!C3),('Commission plan'!C3-'Commission plan'!C2),(E15-'Commission plan'!C2)))</f>
        <v>0</v>
      </c>
      <c r="F183" s="12">
        <f>IF((F15&lt;='Commission plan'!D2),0,IF((F15&gt;='Commission plan'!D3),('Commission plan'!D3-'Commission plan'!D2),(F15-'Commission plan'!D2)))</f>
        <v>0</v>
      </c>
      <c r="G183" s="12">
        <f>IF((G15&lt;='Commission plan'!E2),0,IF((G15&gt;='Commission plan'!E3),('Commission plan'!E3-'Commission plan'!E2),(G15-'Commission plan'!E2)))</f>
        <v>0</v>
      </c>
      <c r="H183" s="12">
        <f>IF((H15&lt;='Commission plan'!F2),0,IF((H15&gt;='Commission plan'!F3),('Commission plan'!F3-'Commission plan'!F2),(H15-'Commission plan'!F2)))</f>
        <v>0</v>
      </c>
      <c r="I183" s="12">
        <f>SUM(D183:H183)</f>
        <v>0</v>
      </c>
    </row>
    <row r="184">
      <c r="A184" s="0" t="inlineStr">
        <is>
          <t xml:space="preserve">Attainment in tranche</t>
        </is>
      </c>
      <c r="B184" s="0" t="inlineStr">
        <is>
          <t xml:space="preserve">Marcus Schmidt</t>
        </is>
      </c>
      <c r="C184" s="0" t="inlineStr">
        <is>
          <t xml:space="preserve">Q2 2025</t>
        </is>
      </c>
      <c r="D184" s="12">
        <f>IF((D16&lt;='Commission plan'!B2),0,IF((D16&gt;='Commission plan'!B3),('Commission plan'!B3-'Commission plan'!B2),(D16-'Commission plan'!B2)))</f>
        <v>0</v>
      </c>
      <c r="E184" s="12">
        <f>IF((E16&lt;='Commission plan'!C2),0,IF((E16&gt;='Commission plan'!C3),('Commission plan'!C3-'Commission plan'!C2),(E16-'Commission plan'!C2)))</f>
        <v>0</v>
      </c>
      <c r="F184" s="12">
        <f>IF((F16&lt;='Commission plan'!D2),0,IF((F16&gt;='Commission plan'!D3),('Commission plan'!D3-'Commission plan'!D2),(F16-'Commission plan'!D2)))</f>
        <v>0</v>
      </c>
      <c r="G184" s="12">
        <f>IF((G16&lt;='Commission plan'!E2),0,IF((G16&gt;='Commission plan'!E3),('Commission plan'!E3-'Commission plan'!E2),(G16-'Commission plan'!E2)))</f>
        <v>0</v>
      </c>
      <c r="H184" s="12">
        <f>IF((H16&lt;='Commission plan'!F2),0,IF((H16&gt;='Commission plan'!F3),('Commission plan'!F3-'Commission plan'!F2),(H16-'Commission plan'!F2)))</f>
        <v>0</v>
      </c>
      <c r="I184" s="12">
        <f>SUM(D184:H184)</f>
        <v>0</v>
      </c>
    </row>
    <row r="185">
      <c r="A185" s="0" t="inlineStr">
        <is>
          <t xml:space="preserve">Attainment in tranche</t>
        </is>
      </c>
      <c r="B185" s="0" t="inlineStr">
        <is>
          <t xml:space="preserve">Marcus Schmidt</t>
        </is>
      </c>
      <c r="C185" s="0" t="inlineStr">
        <is>
          <t xml:space="preserve">Q3 2025</t>
        </is>
      </c>
      <c r="D185" s="12">
        <f>IF((D17&lt;='Commission plan'!B2),0,IF((D17&gt;='Commission plan'!B3),('Commission plan'!B3-'Commission plan'!B2),(D17-'Commission plan'!B2)))</f>
        <v>0.5</v>
      </c>
      <c r="E185" s="12">
        <f>IF((E17&lt;='Commission plan'!C2),0,IF((E17&gt;='Commission plan'!C3),('Commission plan'!C3-'Commission plan'!C2),(E17-'Commission plan'!C2)))</f>
        <v>0.5</v>
      </c>
      <c r="F185" s="12">
        <f>IF((F17&lt;='Commission plan'!D2),0,IF((F17&gt;='Commission plan'!D3),('Commission plan'!D3-'Commission plan'!D2),(F17-'Commission plan'!D2)))</f>
        <v>0.25</v>
      </c>
      <c r="G185" s="12">
        <f>IF((G17&lt;='Commission plan'!E2),0,IF((G17&gt;='Commission plan'!E3),('Commission plan'!E3-'Commission plan'!E2),(G17-'Commission plan'!E2)))</f>
        <v>0.25</v>
      </c>
      <c r="H185" s="12">
        <f>IF((H17&lt;='Commission plan'!F2),0,IF((H17&gt;='Commission plan'!F3),('Commission plan'!F3-'Commission plan'!F2),(H17-'Commission plan'!F2)))</f>
        <v>0.15660377358490574</v>
      </c>
      <c r="I185" s="12">
        <f>SUM(D185:H185)</f>
        <v>1.6566037735849057</v>
      </c>
    </row>
    <row r="186">
      <c r="A186" s="0" t="inlineStr">
        <is>
          <t xml:space="preserve">Attainment in tranche</t>
        </is>
      </c>
      <c r="B186" s="0" t="inlineStr">
        <is>
          <t xml:space="preserve">Marcus Schmidt</t>
        </is>
      </c>
      <c r="C186" s="0" t="inlineStr">
        <is>
          <t xml:space="preserve">Q4 2025</t>
        </is>
      </c>
      <c r="D186" s="12">
        <f>IF((D18&lt;='Commission plan'!B2),0,IF((D18&gt;='Commission plan'!B3),('Commission plan'!B3-'Commission plan'!B2),(D18-'Commission plan'!B2)))</f>
        <v>0.5</v>
      </c>
      <c r="E186" s="12">
        <f>IF((E18&lt;='Commission plan'!C2),0,IF((E18&gt;='Commission plan'!C3),('Commission plan'!C3-'Commission plan'!C2),(E18-'Commission plan'!C2)))</f>
        <v>0.5</v>
      </c>
      <c r="F186" s="12">
        <f>IF((F18&lt;='Commission plan'!D2),0,IF((F18&gt;='Commission plan'!D3),('Commission plan'!D3-'Commission plan'!D2),(F18-'Commission plan'!D2)))</f>
        <v>0.25</v>
      </c>
      <c r="G186" s="12">
        <f>IF((G18&lt;='Commission plan'!E2),0,IF((G18&gt;='Commission plan'!E3),('Commission plan'!E3-'Commission plan'!E2),(G18-'Commission plan'!E2)))</f>
        <v>0.25</v>
      </c>
      <c r="H186" s="12">
        <f>IF((H18&lt;='Commission plan'!F2),0,IF((H18&gt;='Commission plan'!F3),('Commission plan'!F3-'Commission plan'!F2),(H18-'Commission plan'!F2)))</f>
        <v>0.29811320754716975</v>
      </c>
      <c r="I186" s="12">
        <f>SUM(D186:H186)</f>
        <v>1.7981132075471697</v>
      </c>
    </row>
    <row r="187">
      <c r="A187" s="0" t="inlineStr">
        <is>
          <t xml:space="preserve">Attainment in tranche</t>
        </is>
      </c>
      <c r="B187" s="0" t="inlineStr">
        <is>
          <t xml:space="preserve">Marcus Schmidt</t>
        </is>
      </c>
      <c r="C187" s="0" t="inlineStr">
        <is>
          <t xml:space="preserve">Q1 2026</t>
        </is>
      </c>
      <c r="D187" s="12">
        <f>IF((D19&lt;='Commission plan'!B2),0,IF((D19&gt;='Commission plan'!B3),('Commission plan'!B3-'Commission plan'!B2),(D19-'Commission plan'!B2)))</f>
        <v>0.5</v>
      </c>
      <c r="E187" s="12">
        <f>IF((E19&lt;='Commission plan'!C2),0,IF((E19&gt;='Commission plan'!C3),('Commission plan'!C3-'Commission plan'!C2),(E19-'Commission plan'!C2)))</f>
        <v>0.5</v>
      </c>
      <c r="F187" s="12">
        <f>IF((F19&lt;='Commission plan'!D2),0,IF((F19&gt;='Commission plan'!D3),('Commission plan'!D3-'Commission plan'!D2),(F19-'Commission plan'!D2)))</f>
        <v>0.25</v>
      </c>
      <c r="G187" s="12">
        <f>IF((G19&lt;='Commission plan'!E2),0,IF((G19&gt;='Commission plan'!E3),('Commission plan'!E3-'Commission plan'!E2),(G19-'Commission plan'!E2)))</f>
        <v>0.25</v>
      </c>
      <c r="H187" s="12">
        <f>IF((H19&lt;='Commission plan'!F2),0,IF((H19&gt;='Commission plan'!F3),('Commission plan'!F3-'Commission plan'!F2),(H19-'Commission plan'!F2)))</f>
        <v>1.0138364779874216</v>
      </c>
      <c r="I187" s="12">
        <f>SUM(D187:H187)</f>
        <v>2.5138364779874216</v>
      </c>
    </row>
    <row r="188">
      <c r="A188" s="0" t="inlineStr">
        <is>
          <t xml:space="preserve">Attainment in tranche</t>
        </is>
      </c>
      <c r="B188" s="0" t="inlineStr">
        <is>
          <t xml:space="preserve">Marcus Schmidt</t>
        </is>
      </c>
      <c r="C188" s="0" t="inlineStr">
        <is>
          <t xml:space="preserve">Q2 2026</t>
        </is>
      </c>
      <c r="D188" s="12">
        <f>IF((D20&lt;='Commission plan'!B2),0,IF((D20&gt;='Commission plan'!B3),('Commission plan'!B3-'Commission plan'!B2),(D20-'Commission plan'!B2)))</f>
        <v>0.5</v>
      </c>
      <c r="E188" s="12">
        <f>IF((E20&lt;='Commission plan'!C2),0,IF((E20&gt;='Commission plan'!C3),('Commission plan'!C3-'Commission plan'!C2),(E20-'Commission plan'!C2)))</f>
        <v>0.32028301886792454</v>
      </c>
      <c r="F188" s="12">
        <f>IF((F20&lt;='Commission plan'!D2),0,IF((F20&gt;='Commission plan'!D3),('Commission plan'!D3-'Commission plan'!D2),(F20-'Commission plan'!D2)))</f>
        <v>0</v>
      </c>
      <c r="G188" s="12">
        <f>IF((G20&lt;='Commission plan'!E2),0,IF((G20&gt;='Commission plan'!E3),('Commission plan'!E3-'Commission plan'!E2),(G20-'Commission plan'!E2)))</f>
        <v>0</v>
      </c>
      <c r="H188" s="12">
        <f>IF((H20&lt;='Commission plan'!F2),0,IF((H20&gt;='Commission plan'!F3),('Commission plan'!F3-'Commission plan'!F2),(H20-'Commission plan'!F2)))</f>
        <v>0</v>
      </c>
      <c r="I188" s="12">
        <f>SUM(D188:H188)</f>
        <v>0.8202830188679245</v>
      </c>
    </row>
    <row r="189">
      <c r="A189" s="0" t="inlineStr">
        <is>
          <t xml:space="preserve">Attainment in tranche</t>
        </is>
      </c>
      <c r="B189" s="0" t="inlineStr">
        <is>
          <t xml:space="preserve">Marcus Schmidt</t>
        </is>
      </c>
      <c r="C189" s="0" t="inlineStr">
        <is>
          <t xml:space="preserve">Q3 2026</t>
        </is>
      </c>
      <c r="D189" s="12">
        <f>IF((D21&lt;='Commission plan'!B2),0,IF((D21&gt;='Commission plan'!B3),('Commission plan'!B3-'Commission plan'!B2),(D21-'Commission plan'!B2)))</f>
        <v>0.5</v>
      </c>
      <c r="E189" s="12">
        <f>IF((E21&lt;='Commission plan'!C2),0,IF((E21&gt;='Commission plan'!C3),('Commission plan'!C3-'Commission plan'!C2),(E21-'Commission plan'!C2)))</f>
        <v>0.11226415094339626</v>
      </c>
      <c r="F189" s="12">
        <f>IF((F21&lt;='Commission plan'!D2),0,IF((F21&gt;='Commission plan'!D3),('Commission plan'!D3-'Commission plan'!D2),(F21-'Commission plan'!D2)))</f>
        <v>0</v>
      </c>
      <c r="G189" s="12">
        <f>IF((G21&lt;='Commission plan'!E2),0,IF((G21&gt;='Commission plan'!E3),('Commission plan'!E3-'Commission plan'!E2),(G21-'Commission plan'!E2)))</f>
        <v>0</v>
      </c>
      <c r="H189" s="12">
        <f>IF((H21&lt;='Commission plan'!F2),0,IF((H21&gt;='Commission plan'!F3),('Commission plan'!F3-'Commission plan'!F2),(H21-'Commission plan'!F2)))</f>
        <v>0</v>
      </c>
      <c r="I189" s="12">
        <f>SUM(D189:H189)</f>
        <v>0.6122641509433963</v>
      </c>
    </row>
    <row r="190">
      <c r="A190" s="0" t="inlineStr">
        <is>
          <t xml:space="preserve">Attainment in tranche</t>
        </is>
      </c>
      <c r="B190" s="0" t="inlineStr">
        <is>
          <t xml:space="preserve">Marcus Schmidt</t>
        </is>
      </c>
      <c r="C190" s="0" t="inlineStr">
        <is>
          <t xml:space="preserve">Q4 2026</t>
        </is>
      </c>
      <c r="D190" s="12">
        <f>IF((D22&lt;='Commission plan'!B2),0,IF((D22&gt;='Commission plan'!B3),('Commission plan'!B3-'Commission plan'!B2),(D22-'Commission plan'!B2)))</f>
        <v>0</v>
      </c>
      <c r="E190" s="12">
        <f>IF((E22&lt;='Commission plan'!C2),0,IF((E22&gt;='Commission plan'!C3),('Commission plan'!C3-'Commission plan'!C2),(E22-'Commission plan'!C2)))</f>
        <v>0</v>
      </c>
      <c r="F190" s="12">
        <f>IF((F22&lt;='Commission plan'!D2),0,IF((F22&gt;='Commission plan'!D3),('Commission plan'!D3-'Commission plan'!D2),(F22-'Commission plan'!D2)))</f>
        <v>0</v>
      </c>
      <c r="G190" s="12">
        <f>IF((G22&lt;='Commission plan'!E2),0,IF((G22&gt;='Commission plan'!E3),('Commission plan'!E3-'Commission plan'!E2),(G22-'Commission plan'!E2)))</f>
        <v>0</v>
      </c>
      <c r="H190" s="12">
        <f>IF((H22&lt;='Commission plan'!F2),0,IF((H22&gt;='Commission plan'!F3),('Commission plan'!F3-'Commission plan'!F2),(H22-'Commission plan'!F2)))</f>
        <v>0</v>
      </c>
      <c r="I190" s="12">
        <f>SUM(D190:H190)</f>
        <v>0</v>
      </c>
    </row>
    <row r="191">
      <c r="A191" s="0" t="inlineStr">
        <is>
          <t xml:space="preserve">Attainment in tranche</t>
        </is>
      </c>
      <c r="B191" s="0" t="inlineStr">
        <is>
          <t xml:space="preserve">Amara Haddad</t>
        </is>
      </c>
      <c r="C191" s="0" t="inlineStr">
        <is>
          <t xml:space="preserve">Q2 2025</t>
        </is>
      </c>
      <c r="D191" s="12">
        <f>IF((D23&lt;='Commission plan'!B2),0,IF((D23&gt;='Commission plan'!B3),('Commission plan'!B3-'Commission plan'!B2),(D23-'Commission plan'!B2)))</f>
        <v>0.5</v>
      </c>
      <c r="E191" s="12">
        <f>IF((E23&lt;='Commission plan'!C2),0,IF((E23&gt;='Commission plan'!C3),('Commission plan'!C3-'Commission plan'!C2),(E23-'Commission plan'!C2)))</f>
        <v>0.48018867924528297</v>
      </c>
      <c r="F191" s="12">
        <f>IF((F23&lt;='Commission plan'!D2),0,IF((F23&gt;='Commission plan'!D3),('Commission plan'!D3-'Commission plan'!D2),(F23-'Commission plan'!D2)))</f>
        <v>0</v>
      </c>
      <c r="G191" s="12">
        <f>IF((G23&lt;='Commission plan'!E2),0,IF((G23&gt;='Commission plan'!E3),('Commission plan'!E3-'Commission plan'!E2),(G23-'Commission plan'!E2)))</f>
        <v>0</v>
      </c>
      <c r="H191" s="12">
        <f>IF((H23&lt;='Commission plan'!F2),0,IF((H23&gt;='Commission plan'!F3),('Commission plan'!F3-'Commission plan'!F2),(H23-'Commission plan'!F2)))</f>
        <v>0</v>
      </c>
      <c r="I191" s="12">
        <f>SUM(D191:H191)</f>
        <v>0.980188679245283</v>
      </c>
    </row>
    <row r="192">
      <c r="A192" s="0" t="inlineStr">
        <is>
          <t xml:space="preserve">Attainment in tranche</t>
        </is>
      </c>
      <c r="B192" s="0" t="inlineStr">
        <is>
          <t xml:space="preserve">Amara Haddad</t>
        </is>
      </c>
      <c r="C192" s="0" t="inlineStr">
        <is>
          <t xml:space="preserve">Q3 2025</t>
        </is>
      </c>
      <c r="D192" s="12">
        <f>IF((D24&lt;='Commission plan'!B2),0,IF((D24&gt;='Commission plan'!B3),('Commission plan'!B3-'Commission plan'!B2),(D24-'Commission plan'!B2)))</f>
        <v>0.5</v>
      </c>
      <c r="E192" s="12">
        <f>IF((E24&lt;='Commission plan'!C2),0,IF((E24&gt;='Commission plan'!C3),('Commission plan'!C3-'Commission plan'!C2),(E24-'Commission plan'!C2)))</f>
        <v>0.5</v>
      </c>
      <c r="F192" s="12">
        <f>IF((F24&lt;='Commission plan'!D2),0,IF((F24&gt;='Commission plan'!D3),('Commission plan'!D3-'Commission plan'!D2),(F24-'Commission plan'!D2)))</f>
        <v>0.23396226415094334</v>
      </c>
      <c r="G192" s="12">
        <f>IF((G24&lt;='Commission plan'!E2),0,IF((G24&gt;='Commission plan'!E3),('Commission plan'!E3-'Commission plan'!E2),(G24-'Commission plan'!E2)))</f>
        <v>0</v>
      </c>
      <c r="H192" s="12">
        <f>IF((H24&lt;='Commission plan'!F2),0,IF((H24&gt;='Commission plan'!F3),('Commission plan'!F3-'Commission plan'!F2),(H24-'Commission plan'!F2)))</f>
        <v>0</v>
      </c>
      <c r="I192" s="12">
        <f>SUM(D192:H192)</f>
        <v>1.2339622641509433</v>
      </c>
    </row>
    <row r="193">
      <c r="A193" s="0" t="inlineStr">
        <is>
          <t xml:space="preserve">Attainment in tranche</t>
        </is>
      </c>
      <c r="B193" s="0" t="inlineStr">
        <is>
          <t xml:space="preserve">Amara Haddad</t>
        </is>
      </c>
      <c r="C193" s="0" t="inlineStr">
        <is>
          <t xml:space="preserve">Q4 2025</t>
        </is>
      </c>
      <c r="D193" s="12">
        <f>IF((D25&lt;='Commission plan'!B2),0,IF((D25&gt;='Commission plan'!B3),('Commission plan'!B3-'Commission plan'!B2),(D25-'Commission plan'!B2)))</f>
        <v>0.5</v>
      </c>
      <c r="E193" s="12">
        <f>IF((E25&lt;='Commission plan'!C2),0,IF((E25&gt;='Commission plan'!C3),('Commission plan'!C3-'Commission plan'!C2),(E25-'Commission plan'!C2)))</f>
        <v>0.15141509433962264</v>
      </c>
      <c r="F193" s="12">
        <f>IF((F25&lt;='Commission plan'!D2),0,IF((F25&gt;='Commission plan'!D3),('Commission plan'!D3-'Commission plan'!D2),(F25-'Commission plan'!D2)))</f>
        <v>0</v>
      </c>
      <c r="G193" s="12">
        <f>IF((G25&lt;='Commission plan'!E2),0,IF((G25&gt;='Commission plan'!E3),('Commission plan'!E3-'Commission plan'!E2),(G25-'Commission plan'!E2)))</f>
        <v>0</v>
      </c>
      <c r="H193" s="12">
        <f>IF((H25&lt;='Commission plan'!F2),0,IF((H25&gt;='Commission plan'!F3),('Commission plan'!F3-'Commission plan'!F2),(H25-'Commission plan'!F2)))</f>
        <v>0</v>
      </c>
      <c r="I193" s="12">
        <f>SUM(D193:H193)</f>
        <v>0.6514150943396226</v>
      </c>
    </row>
    <row r="194">
      <c r="A194" s="0" t="inlineStr">
        <is>
          <t xml:space="preserve">Attainment in tranche</t>
        </is>
      </c>
      <c r="B194" s="0" t="inlineStr">
        <is>
          <t xml:space="preserve">Amara Haddad</t>
        </is>
      </c>
      <c r="C194" s="0" t="inlineStr">
        <is>
          <t xml:space="preserve">Q1 2026</t>
        </is>
      </c>
      <c r="D194" s="12">
        <f>IF((D26&lt;='Commission plan'!B2),0,IF((D26&gt;='Commission plan'!B3),('Commission plan'!B3-'Commission plan'!B2),(D26-'Commission plan'!B2)))</f>
        <v>0.23773584905660378</v>
      </c>
      <c r="E194" s="12">
        <f>IF((E26&lt;='Commission plan'!C2),0,IF((E26&gt;='Commission plan'!C3),('Commission plan'!C3-'Commission plan'!C2),(E26-'Commission plan'!C2)))</f>
        <v>0</v>
      </c>
      <c r="F194" s="12">
        <f>IF((F26&lt;='Commission plan'!D2),0,IF((F26&gt;='Commission plan'!D3),('Commission plan'!D3-'Commission plan'!D2),(F26-'Commission plan'!D2)))</f>
        <v>0</v>
      </c>
      <c r="G194" s="12">
        <f>IF((G26&lt;='Commission plan'!E2),0,IF((G26&gt;='Commission plan'!E3),('Commission plan'!E3-'Commission plan'!E2),(G26-'Commission plan'!E2)))</f>
        <v>0</v>
      </c>
      <c r="H194" s="12">
        <f>IF((H26&lt;='Commission plan'!F2),0,IF((H26&gt;='Commission plan'!F3),('Commission plan'!F3-'Commission plan'!F2),(H26-'Commission plan'!F2)))</f>
        <v>0</v>
      </c>
      <c r="I194" s="12">
        <f>SUM(D194:H194)</f>
        <v>0.23773584905660378</v>
      </c>
    </row>
    <row r="195">
      <c r="A195" s="0" t="inlineStr">
        <is>
          <t xml:space="preserve">Attainment in tranche</t>
        </is>
      </c>
      <c r="B195" s="0" t="inlineStr">
        <is>
          <t xml:space="preserve">Amara Haddad</t>
        </is>
      </c>
      <c r="C195" s="0" t="inlineStr">
        <is>
          <t xml:space="preserve">Q2 2026</t>
        </is>
      </c>
      <c r="D195" s="12">
        <f>IF((D27&lt;='Commission plan'!B2),0,IF((D27&gt;='Commission plan'!B3),('Commission plan'!B3-'Commission plan'!B2),(D27-'Commission plan'!B2)))</f>
        <v>0.17783018867924527</v>
      </c>
      <c r="E195" s="12">
        <f>IF((E27&lt;='Commission plan'!C2),0,IF((E27&gt;='Commission plan'!C3),('Commission plan'!C3-'Commission plan'!C2),(E27-'Commission plan'!C2)))</f>
        <v>0</v>
      </c>
      <c r="F195" s="12">
        <f>IF((F27&lt;='Commission plan'!D2),0,IF((F27&gt;='Commission plan'!D3),('Commission plan'!D3-'Commission plan'!D2),(F27-'Commission plan'!D2)))</f>
        <v>0</v>
      </c>
      <c r="G195" s="12">
        <f>IF((G27&lt;='Commission plan'!E2),0,IF((G27&gt;='Commission plan'!E3),('Commission plan'!E3-'Commission plan'!E2),(G27-'Commission plan'!E2)))</f>
        <v>0</v>
      </c>
      <c r="H195" s="12">
        <f>IF((H27&lt;='Commission plan'!F2),0,IF((H27&gt;='Commission plan'!F3),('Commission plan'!F3-'Commission plan'!F2),(H27-'Commission plan'!F2)))</f>
        <v>0</v>
      </c>
      <c r="I195" s="12">
        <f>SUM(D195:H195)</f>
        <v>0.17783018867924527</v>
      </c>
    </row>
    <row r="196">
      <c r="A196" s="0" t="inlineStr">
        <is>
          <t xml:space="preserve">Attainment in tranche</t>
        </is>
      </c>
      <c r="B196" s="0" t="inlineStr">
        <is>
          <t xml:space="preserve">Amara Haddad</t>
        </is>
      </c>
      <c r="C196" s="0" t="inlineStr">
        <is>
          <t xml:space="preserve">Q3 2026</t>
        </is>
      </c>
      <c r="D196" s="12">
        <f>IF((D28&lt;='Commission plan'!B2),0,IF((D28&gt;='Commission plan'!B3),('Commission plan'!B3-'Commission plan'!B2),(D28-'Commission plan'!B2)))</f>
        <v>0.2608490566037736</v>
      </c>
      <c r="E196" s="12">
        <f>IF((E28&lt;='Commission plan'!C2),0,IF((E28&gt;='Commission plan'!C3),('Commission plan'!C3-'Commission plan'!C2),(E28-'Commission plan'!C2)))</f>
        <v>0</v>
      </c>
      <c r="F196" s="12">
        <f>IF((F28&lt;='Commission plan'!D2),0,IF((F28&gt;='Commission plan'!D3),('Commission plan'!D3-'Commission plan'!D2),(F28-'Commission plan'!D2)))</f>
        <v>0</v>
      </c>
      <c r="G196" s="12">
        <f>IF((G28&lt;='Commission plan'!E2),0,IF((G28&gt;='Commission plan'!E3),('Commission plan'!E3-'Commission plan'!E2),(G28-'Commission plan'!E2)))</f>
        <v>0</v>
      </c>
      <c r="H196" s="12">
        <f>IF((H28&lt;='Commission plan'!F2),0,IF((H28&gt;='Commission plan'!F3),('Commission plan'!F3-'Commission plan'!F2),(H28-'Commission plan'!F2)))</f>
        <v>0</v>
      </c>
      <c r="I196" s="12">
        <f>SUM(D196:H196)</f>
        <v>0.2608490566037736</v>
      </c>
    </row>
    <row r="197">
      <c r="A197" s="0" t="inlineStr">
        <is>
          <t xml:space="preserve">Attainment in tranche</t>
        </is>
      </c>
      <c r="B197" s="0" t="inlineStr">
        <is>
          <t xml:space="preserve">Amara Haddad</t>
        </is>
      </c>
      <c r="C197" s="0" t="inlineStr">
        <is>
          <t xml:space="preserve">Q4 2026</t>
        </is>
      </c>
      <c r="D197" s="12">
        <f>IF((D29&lt;='Commission plan'!B2),0,IF((D29&gt;='Commission plan'!B3),('Commission plan'!B3-'Commission plan'!B2),(D29-'Commission plan'!B2)))</f>
        <v>0</v>
      </c>
      <c r="E197" s="12">
        <f>IF((E29&lt;='Commission plan'!C2),0,IF((E29&gt;='Commission plan'!C3),('Commission plan'!C3-'Commission plan'!C2),(E29-'Commission plan'!C2)))</f>
        <v>0</v>
      </c>
      <c r="F197" s="12">
        <f>IF((F29&lt;='Commission plan'!D2),0,IF((F29&gt;='Commission plan'!D3),('Commission plan'!D3-'Commission plan'!D2),(F29-'Commission plan'!D2)))</f>
        <v>0</v>
      </c>
      <c r="G197" s="12">
        <f>IF((G29&lt;='Commission plan'!E2),0,IF((G29&gt;='Commission plan'!E3),('Commission plan'!E3-'Commission plan'!E2),(G29-'Commission plan'!E2)))</f>
        <v>0</v>
      </c>
      <c r="H197" s="12">
        <f>IF((H29&lt;='Commission plan'!F2),0,IF((H29&gt;='Commission plan'!F3),('Commission plan'!F3-'Commission plan'!F2),(H29-'Commission plan'!F2)))</f>
        <v>0</v>
      </c>
      <c r="I197" s="12">
        <f>SUM(D197:H197)</f>
        <v>0</v>
      </c>
    </row>
    <row r="198">
      <c r="A198" s="0" t="inlineStr">
        <is>
          <t xml:space="preserve">Attainment in tranche</t>
        </is>
      </c>
      <c r="B198" s="0" t="inlineStr">
        <is>
          <t xml:space="preserve">Fatima Silva</t>
        </is>
      </c>
      <c r="C198" s="0" t="inlineStr">
        <is>
          <t xml:space="preserve">Q2 2025</t>
        </is>
      </c>
      <c r="D198" s="12">
        <f>IF((D30&lt;='Commission plan'!B2),0,IF((D30&gt;='Commission plan'!B3),('Commission plan'!B3-'Commission plan'!B2),(D30-'Commission plan'!B2)))</f>
        <v>0.5</v>
      </c>
      <c r="E198" s="12">
        <f>IF((E30&lt;='Commission plan'!C2),0,IF((E30&gt;='Commission plan'!C3),('Commission plan'!C3-'Commission plan'!C2),(E30-'Commission plan'!C2)))</f>
        <v>0.45892857142857146</v>
      </c>
      <c r="F198" s="12">
        <f>IF((F30&lt;='Commission plan'!D2),0,IF((F30&gt;='Commission plan'!D3),('Commission plan'!D3-'Commission plan'!D2),(F30-'Commission plan'!D2)))</f>
        <v>0</v>
      </c>
      <c r="G198" s="12">
        <f>IF((G30&lt;='Commission plan'!E2),0,IF((G30&gt;='Commission plan'!E3),('Commission plan'!E3-'Commission plan'!E2),(G30-'Commission plan'!E2)))</f>
        <v>0</v>
      </c>
      <c r="H198" s="12">
        <f>IF((H30&lt;='Commission plan'!F2),0,IF((H30&gt;='Commission plan'!F3),('Commission plan'!F3-'Commission plan'!F2),(H30-'Commission plan'!F2)))</f>
        <v>0</v>
      </c>
      <c r="I198" s="12">
        <f>SUM(D198:H198)</f>
        <v>0.9589285714285715</v>
      </c>
    </row>
    <row r="199">
      <c r="A199" s="0" t="inlineStr">
        <is>
          <t xml:space="preserve">Attainment in tranche</t>
        </is>
      </c>
      <c r="B199" s="0" t="inlineStr">
        <is>
          <t xml:space="preserve">Fatima Silva</t>
        </is>
      </c>
      <c r="C199" s="0" t="inlineStr">
        <is>
          <t xml:space="preserve">Q3 2025</t>
        </is>
      </c>
      <c r="D199" s="12">
        <f>IF((D31&lt;='Commission plan'!B2),0,IF((D31&gt;='Commission plan'!B3),('Commission plan'!B3-'Commission plan'!B2),(D31-'Commission plan'!B2)))</f>
        <v>0.5</v>
      </c>
      <c r="E199" s="12">
        <f>IF((E31&lt;='Commission plan'!C2),0,IF((E31&gt;='Commission plan'!C3),('Commission plan'!C3-'Commission plan'!C2),(E31-'Commission plan'!C2)))</f>
        <v>0.4866071428571429</v>
      </c>
      <c r="F199" s="12">
        <f>IF((F31&lt;='Commission plan'!D2),0,IF((F31&gt;='Commission plan'!D3),('Commission plan'!D3-'Commission plan'!D2),(F31-'Commission plan'!D2)))</f>
        <v>0</v>
      </c>
      <c r="G199" s="12">
        <f>IF((G31&lt;='Commission plan'!E2),0,IF((G31&gt;='Commission plan'!E3),('Commission plan'!E3-'Commission plan'!E2),(G31-'Commission plan'!E2)))</f>
        <v>0</v>
      </c>
      <c r="H199" s="12">
        <f>IF((H31&lt;='Commission plan'!F2),0,IF((H31&gt;='Commission plan'!F3),('Commission plan'!F3-'Commission plan'!F2),(H31-'Commission plan'!F2)))</f>
        <v>0</v>
      </c>
      <c r="I199" s="12">
        <f>SUM(D199:H199)</f>
        <v>0.9866071428571429</v>
      </c>
    </row>
    <row r="200">
      <c r="A200" s="0" t="inlineStr">
        <is>
          <t xml:space="preserve">Attainment in tranche</t>
        </is>
      </c>
      <c r="B200" s="0" t="inlineStr">
        <is>
          <t xml:space="preserve">Fatima Silva</t>
        </is>
      </c>
      <c r="C200" s="0" t="inlineStr">
        <is>
          <t xml:space="preserve">Q4 2025</t>
        </is>
      </c>
      <c r="D200" s="12">
        <f>IF((D32&lt;='Commission plan'!B2),0,IF((D32&gt;='Commission plan'!B3),('Commission plan'!B3-'Commission plan'!B2),(D32-'Commission plan'!B2)))</f>
        <v>0.5</v>
      </c>
      <c r="E200" s="12">
        <f>IF((E32&lt;='Commission plan'!C2),0,IF((E32&gt;='Commission plan'!C3),('Commission plan'!C3-'Commission plan'!C2),(E32-'Commission plan'!C2)))</f>
        <v>0.5</v>
      </c>
      <c r="F200" s="12">
        <f>IF((F32&lt;='Commission plan'!D2),0,IF((F32&gt;='Commission plan'!D3),('Commission plan'!D3-'Commission plan'!D2),(F32-'Commission plan'!D2)))</f>
        <v>0.0848214285714286</v>
      </c>
      <c r="G200" s="12">
        <f>IF((G32&lt;='Commission plan'!E2),0,IF((G32&gt;='Commission plan'!E3),('Commission plan'!E3-'Commission plan'!E2),(G32-'Commission plan'!E2)))</f>
        <v>0</v>
      </c>
      <c r="H200" s="12">
        <f>IF((H32&lt;='Commission plan'!F2),0,IF((H32&gt;='Commission plan'!F3),('Commission plan'!F3-'Commission plan'!F2),(H32-'Commission plan'!F2)))</f>
        <v>0</v>
      </c>
      <c r="I200" s="12">
        <f>SUM(D200:H200)</f>
        <v>1.0848214285714286</v>
      </c>
    </row>
    <row r="201">
      <c r="A201" s="0" t="inlineStr">
        <is>
          <t xml:space="preserve">Attainment in tranche</t>
        </is>
      </c>
      <c r="B201" s="0" t="inlineStr">
        <is>
          <t xml:space="preserve">Fatima Silva</t>
        </is>
      </c>
      <c r="C201" s="0" t="inlineStr">
        <is>
          <t xml:space="preserve">Q1 2026</t>
        </is>
      </c>
      <c r="D201" s="12">
        <f>IF((D33&lt;='Commission plan'!B2),0,IF((D33&gt;='Commission plan'!B3),('Commission plan'!B3-'Commission plan'!B2),(D33-'Commission plan'!B2)))</f>
        <v>0.5</v>
      </c>
      <c r="E201" s="12">
        <f>IF((E33&lt;='Commission plan'!C2),0,IF((E33&gt;='Commission plan'!C3),('Commission plan'!C3-'Commission plan'!C2),(E33-'Commission plan'!C2)))</f>
        <v>0.0580357142857143</v>
      </c>
      <c r="F201" s="12">
        <f>IF((F33&lt;='Commission plan'!D2),0,IF((F33&gt;='Commission plan'!D3),('Commission plan'!D3-'Commission plan'!D2),(F33-'Commission plan'!D2)))</f>
        <v>0</v>
      </c>
      <c r="G201" s="12">
        <f>IF((G33&lt;='Commission plan'!E2),0,IF((G33&gt;='Commission plan'!E3),('Commission plan'!E3-'Commission plan'!E2),(G33-'Commission plan'!E2)))</f>
        <v>0</v>
      </c>
      <c r="H201" s="12">
        <f>IF((H33&lt;='Commission plan'!F2),0,IF((H33&gt;='Commission plan'!F3),('Commission plan'!F3-'Commission plan'!F2),(H33-'Commission plan'!F2)))</f>
        <v>0</v>
      </c>
      <c r="I201" s="12">
        <f>SUM(D201:H201)</f>
        <v>0.5580357142857143</v>
      </c>
    </row>
    <row r="202">
      <c r="A202" s="0" t="inlineStr">
        <is>
          <t xml:space="preserve">Attainment in tranche</t>
        </is>
      </c>
      <c r="B202" s="0" t="inlineStr">
        <is>
          <t xml:space="preserve">Fatima Silva</t>
        </is>
      </c>
      <c r="C202" s="0" t="inlineStr">
        <is>
          <t xml:space="preserve">Q2 2026</t>
        </is>
      </c>
      <c r="D202" s="12">
        <f>IF((D34&lt;='Commission plan'!B2),0,IF((D34&gt;='Commission plan'!B3),('Commission plan'!B3-'Commission plan'!B2),(D34-'Commission plan'!B2)))</f>
        <v>0.5</v>
      </c>
      <c r="E202" s="12">
        <f>IF((E34&lt;='Commission plan'!C2),0,IF((E34&gt;='Commission plan'!C3),('Commission plan'!C3-'Commission plan'!C2),(E34-'Commission plan'!C2)))</f>
        <v>0.49642857142857144</v>
      </c>
      <c r="F202" s="12">
        <f>IF((F34&lt;='Commission plan'!D2),0,IF((F34&gt;='Commission plan'!D3),('Commission plan'!D3-'Commission plan'!D2),(F34-'Commission plan'!D2)))</f>
        <v>0</v>
      </c>
      <c r="G202" s="12">
        <f>IF((G34&lt;='Commission plan'!E2),0,IF((G34&gt;='Commission plan'!E3),('Commission plan'!E3-'Commission plan'!E2),(G34-'Commission plan'!E2)))</f>
        <v>0</v>
      </c>
      <c r="H202" s="12">
        <f>IF((H34&lt;='Commission plan'!F2),0,IF((H34&gt;='Commission plan'!F3),('Commission plan'!F3-'Commission plan'!F2),(H34-'Commission plan'!F2)))</f>
        <v>0</v>
      </c>
      <c r="I202" s="12">
        <f>SUM(D202:H202)</f>
        <v>0.9964285714285714</v>
      </c>
    </row>
    <row r="203">
      <c r="A203" s="0" t="inlineStr">
        <is>
          <t xml:space="preserve">Attainment in tranche</t>
        </is>
      </c>
      <c r="B203" s="0" t="inlineStr">
        <is>
          <t xml:space="preserve">Fatima Silva</t>
        </is>
      </c>
      <c r="C203" s="0" t="inlineStr">
        <is>
          <t xml:space="preserve">Q3 2026</t>
        </is>
      </c>
      <c r="D203" s="12">
        <f>IF((D35&lt;='Commission plan'!B2),0,IF((D35&gt;='Commission plan'!B3),('Commission plan'!B3-'Commission plan'!B2),(D35-'Commission plan'!B2)))</f>
        <v>0.5</v>
      </c>
      <c r="E203" s="12">
        <f>IF((E35&lt;='Commission plan'!C2),0,IF((E35&gt;='Commission plan'!C3),('Commission plan'!C3-'Commission plan'!C2),(E35-'Commission plan'!C2)))</f>
        <v>0.5</v>
      </c>
      <c r="F203" s="12">
        <f>IF((F35&lt;='Commission plan'!D2),0,IF((F35&gt;='Commission plan'!D3),('Commission plan'!D3-'Commission plan'!D2),(F35-'Commission plan'!D2)))</f>
        <v>0.019642857142857073</v>
      </c>
      <c r="G203" s="12">
        <f>IF((G35&lt;='Commission plan'!E2),0,IF((G35&gt;='Commission plan'!E3),('Commission plan'!E3-'Commission plan'!E2),(G35-'Commission plan'!E2)))</f>
        <v>0</v>
      </c>
      <c r="H203" s="12">
        <f>IF((H35&lt;='Commission plan'!F2),0,IF((H35&gt;='Commission plan'!F3),('Commission plan'!F3-'Commission plan'!F2),(H35-'Commission plan'!F2)))</f>
        <v>0</v>
      </c>
      <c r="I203" s="12">
        <f>SUM(D203:H203)</f>
        <v>1.019642857142857</v>
      </c>
    </row>
    <row r="204">
      <c r="A204" s="0" t="inlineStr">
        <is>
          <t xml:space="preserve">Attainment in tranche</t>
        </is>
      </c>
      <c r="B204" s="0" t="inlineStr">
        <is>
          <t xml:space="preserve">Fatima Silva</t>
        </is>
      </c>
      <c r="C204" s="0" t="inlineStr">
        <is>
          <t xml:space="preserve">Q4 2026</t>
        </is>
      </c>
      <c r="D204" s="12">
        <f>IF((D36&lt;='Commission plan'!B2),0,IF((D36&gt;='Commission plan'!B3),('Commission plan'!B3-'Commission plan'!B2),(D36-'Commission plan'!B2)))</f>
        <v>0</v>
      </c>
      <c r="E204" s="12">
        <f>IF((E36&lt;='Commission plan'!C2),0,IF((E36&gt;='Commission plan'!C3),('Commission plan'!C3-'Commission plan'!C2),(E36-'Commission plan'!C2)))</f>
        <v>0</v>
      </c>
      <c r="F204" s="12">
        <f>IF((F36&lt;='Commission plan'!D2),0,IF((F36&gt;='Commission plan'!D3),('Commission plan'!D3-'Commission plan'!D2),(F36-'Commission plan'!D2)))</f>
        <v>0</v>
      </c>
      <c r="G204" s="12">
        <f>IF((G36&lt;='Commission plan'!E2),0,IF((G36&gt;='Commission plan'!E3),('Commission plan'!E3-'Commission plan'!E2),(G36-'Commission plan'!E2)))</f>
        <v>0</v>
      </c>
      <c r="H204" s="12">
        <f>IF((H36&lt;='Commission plan'!F2),0,IF((H36&gt;='Commission plan'!F3),('Commission plan'!F3-'Commission plan'!F2),(H36-'Commission plan'!F2)))</f>
        <v>0</v>
      </c>
      <c r="I204" s="12">
        <f>SUM(D204:H204)</f>
        <v>0</v>
      </c>
    </row>
    <row r="205">
      <c r="A205" s="0" t="inlineStr">
        <is>
          <t xml:space="preserve">Attainment in tranche</t>
        </is>
      </c>
      <c r="B205" s="0" t="inlineStr">
        <is>
          <t xml:space="preserve">Ana Ortiz</t>
        </is>
      </c>
      <c r="C205" s="0" t="inlineStr">
        <is>
          <t xml:space="preserve">Q2 2025</t>
        </is>
      </c>
      <c r="D205" s="12">
        <f>IF((D37&lt;='Commission plan'!B2),0,IF((D37&gt;='Commission plan'!B3),('Commission plan'!B3-'Commission plan'!B2),(D37-'Commission plan'!B2)))</f>
        <v>0.5</v>
      </c>
      <c r="E205" s="12">
        <f>IF((E37&lt;='Commission plan'!C2),0,IF((E37&gt;='Commission plan'!C3),('Commission plan'!C3-'Commission plan'!C2),(E37-'Commission plan'!C2)))</f>
        <v>0.25</v>
      </c>
      <c r="F205" s="12">
        <f>IF((F37&lt;='Commission plan'!D2),0,IF((F37&gt;='Commission plan'!D3),('Commission plan'!D3-'Commission plan'!D2),(F37-'Commission plan'!D2)))</f>
        <v>0</v>
      </c>
      <c r="G205" s="12">
        <f>IF((G37&lt;='Commission plan'!E2),0,IF((G37&gt;='Commission plan'!E3),('Commission plan'!E3-'Commission plan'!E2),(G37-'Commission plan'!E2)))</f>
        <v>0</v>
      </c>
      <c r="H205" s="12">
        <f>IF((H37&lt;='Commission plan'!F2),0,IF((H37&gt;='Commission plan'!F3),('Commission plan'!F3-'Commission plan'!F2),(H37-'Commission plan'!F2)))</f>
        <v>0</v>
      </c>
      <c r="I205" s="12">
        <f>SUM(D205:H205)</f>
        <v>0.75</v>
      </c>
    </row>
    <row r="206">
      <c r="A206" s="0" t="inlineStr">
        <is>
          <t xml:space="preserve">Attainment in tranche</t>
        </is>
      </c>
      <c r="B206" s="0" t="inlineStr">
        <is>
          <t xml:space="preserve">Ana Ortiz</t>
        </is>
      </c>
      <c r="C206" s="0" t="inlineStr">
        <is>
          <t xml:space="preserve">Q3 2025</t>
        </is>
      </c>
      <c r="D206" s="12">
        <f>IF((D38&lt;='Commission plan'!B2),0,IF((D38&gt;='Commission plan'!B3),('Commission plan'!B3-'Commission plan'!B2),(D38-'Commission plan'!B2)))</f>
        <v>0.5</v>
      </c>
      <c r="E206" s="12">
        <f>IF((E38&lt;='Commission plan'!C2),0,IF((E38&gt;='Commission plan'!C3),('Commission plan'!C3-'Commission plan'!C2),(E38-'Commission plan'!C2)))</f>
        <v>0.5</v>
      </c>
      <c r="F206" s="12">
        <f>IF((F38&lt;='Commission plan'!D2),0,IF((F38&gt;='Commission plan'!D3),('Commission plan'!D3-'Commission plan'!D2),(F38-'Commission plan'!D2)))</f>
        <v>0.25</v>
      </c>
      <c r="G206" s="12">
        <f>IF((G38&lt;='Commission plan'!E2),0,IF((G38&gt;='Commission plan'!E3),('Commission plan'!E3-'Commission plan'!E2),(G38-'Commission plan'!E2)))</f>
        <v>0.25</v>
      </c>
      <c r="H206" s="12">
        <f>IF((H38&lt;='Commission plan'!F2),0,IF((H38&gt;='Commission plan'!F3),('Commission plan'!F3-'Commission plan'!F2),(H38-'Commission plan'!F2)))</f>
        <v>0.2321428571428572</v>
      </c>
      <c r="I206" s="12">
        <f>SUM(D206:H206)</f>
        <v>1.7321428571428572</v>
      </c>
    </row>
    <row r="207">
      <c r="A207" s="0" t="inlineStr">
        <is>
          <t xml:space="preserve">Attainment in tranche</t>
        </is>
      </c>
      <c r="B207" s="0" t="inlineStr">
        <is>
          <t xml:space="preserve">Ana Ortiz</t>
        </is>
      </c>
      <c r="C207" s="0" t="inlineStr">
        <is>
          <t xml:space="preserve">Q4 2025</t>
        </is>
      </c>
      <c r="D207" s="12">
        <f>IF((D39&lt;='Commission plan'!B2),0,IF((D39&gt;='Commission plan'!B3),('Commission plan'!B3-'Commission plan'!B2),(D39-'Commission plan'!B2)))</f>
        <v>0.4166666666666667</v>
      </c>
      <c r="E207" s="12">
        <f>IF((E39&lt;='Commission plan'!C2),0,IF((E39&gt;='Commission plan'!C3),('Commission plan'!C3-'Commission plan'!C2),(E39-'Commission plan'!C2)))</f>
        <v>0</v>
      </c>
      <c r="F207" s="12">
        <f>IF((F39&lt;='Commission plan'!D2),0,IF((F39&gt;='Commission plan'!D3),('Commission plan'!D3-'Commission plan'!D2),(F39-'Commission plan'!D2)))</f>
        <v>0</v>
      </c>
      <c r="G207" s="12">
        <f>IF((G39&lt;='Commission plan'!E2),0,IF((G39&gt;='Commission plan'!E3),('Commission plan'!E3-'Commission plan'!E2),(G39-'Commission plan'!E2)))</f>
        <v>0</v>
      </c>
      <c r="H207" s="12">
        <f>IF((H39&lt;='Commission plan'!F2),0,IF((H39&gt;='Commission plan'!F3),('Commission plan'!F3-'Commission plan'!F2),(H39-'Commission plan'!F2)))</f>
        <v>0</v>
      </c>
      <c r="I207" s="12">
        <f>SUM(D207:H207)</f>
        <v>0.4166666666666667</v>
      </c>
    </row>
    <row r="208">
      <c r="A208" s="0" t="inlineStr">
        <is>
          <t xml:space="preserve">Attainment in tranche</t>
        </is>
      </c>
      <c r="B208" s="0" t="inlineStr">
        <is>
          <t xml:space="preserve">Ana Ortiz</t>
        </is>
      </c>
      <c r="C208" s="0" t="inlineStr">
        <is>
          <t xml:space="preserve">Q1 2026</t>
        </is>
      </c>
      <c r="D208" s="12">
        <f>IF((D40&lt;='Commission plan'!B2),0,IF((D40&gt;='Commission plan'!B3),('Commission plan'!B3-'Commission plan'!B2),(D40-'Commission plan'!B2)))</f>
        <v>0.5</v>
      </c>
      <c r="E208" s="12">
        <f>IF((E40&lt;='Commission plan'!C2),0,IF((E40&gt;='Commission plan'!C3),('Commission plan'!C3-'Commission plan'!C2),(E40-'Commission plan'!C2)))</f>
        <v>0.008928571428571397</v>
      </c>
      <c r="F208" s="12">
        <f>IF((F40&lt;='Commission plan'!D2),0,IF((F40&gt;='Commission plan'!D3),('Commission plan'!D3-'Commission plan'!D2),(F40-'Commission plan'!D2)))</f>
        <v>0</v>
      </c>
      <c r="G208" s="12">
        <f>IF((G40&lt;='Commission plan'!E2),0,IF((G40&gt;='Commission plan'!E3),('Commission plan'!E3-'Commission plan'!E2),(G40-'Commission plan'!E2)))</f>
        <v>0</v>
      </c>
      <c r="H208" s="12">
        <f>IF((H40&lt;='Commission plan'!F2),0,IF((H40&gt;='Commission plan'!F3),('Commission plan'!F3-'Commission plan'!F2),(H40-'Commission plan'!F2)))</f>
        <v>0</v>
      </c>
      <c r="I208" s="12">
        <f>SUM(D208:H208)</f>
        <v>0.5089285714285714</v>
      </c>
    </row>
    <row r="209">
      <c r="A209" s="0" t="inlineStr">
        <is>
          <t xml:space="preserve">Attainment in tranche</t>
        </is>
      </c>
      <c r="B209" s="0" t="inlineStr">
        <is>
          <t xml:space="preserve">Ana Ortiz</t>
        </is>
      </c>
      <c r="C209" s="0" t="inlineStr">
        <is>
          <t xml:space="preserve">Q2 2026</t>
        </is>
      </c>
      <c r="D209" s="12">
        <f>IF((D41&lt;='Commission plan'!B2),0,IF((D41&gt;='Commission plan'!B3),('Commission plan'!B3-'Commission plan'!B2),(D41-'Commission plan'!B2)))</f>
        <v>0.5</v>
      </c>
      <c r="E209" s="12">
        <f>IF((E41&lt;='Commission plan'!C2),0,IF((E41&gt;='Commission plan'!C3),('Commission plan'!C3-'Commission plan'!C2),(E41-'Commission plan'!C2)))</f>
        <v>0.4732142857142857</v>
      </c>
      <c r="F209" s="12">
        <f>IF((F41&lt;='Commission plan'!D2),0,IF((F41&gt;='Commission plan'!D3),('Commission plan'!D3-'Commission plan'!D2),(F41-'Commission plan'!D2)))</f>
        <v>0</v>
      </c>
      <c r="G209" s="12">
        <f>IF((G41&lt;='Commission plan'!E2),0,IF((G41&gt;='Commission plan'!E3),('Commission plan'!E3-'Commission plan'!E2),(G41-'Commission plan'!E2)))</f>
        <v>0</v>
      </c>
      <c r="H209" s="12">
        <f>IF((H41&lt;='Commission plan'!F2),0,IF((H41&gt;='Commission plan'!F3),('Commission plan'!F3-'Commission plan'!F2),(H41-'Commission plan'!F2)))</f>
        <v>0</v>
      </c>
      <c r="I209" s="12">
        <f>SUM(D209:H209)</f>
        <v>0.9732142857142857</v>
      </c>
    </row>
    <row r="210">
      <c r="A210" s="0" t="inlineStr">
        <is>
          <t xml:space="preserve">Attainment in tranche</t>
        </is>
      </c>
      <c r="B210" s="0" t="inlineStr">
        <is>
          <t xml:space="preserve">Ana Ortiz</t>
        </is>
      </c>
      <c r="C210" s="0" t="inlineStr">
        <is>
          <t xml:space="preserve">Q3 2026</t>
        </is>
      </c>
      <c r="D210" s="12">
        <f>IF((D42&lt;='Commission plan'!B2),0,IF((D42&gt;='Commission plan'!B3),('Commission plan'!B3-'Commission plan'!B2),(D42-'Commission plan'!B2)))</f>
        <v>0.5</v>
      </c>
      <c r="E210" s="12">
        <f>IF((E42&lt;='Commission plan'!C2),0,IF((E42&gt;='Commission plan'!C3),('Commission plan'!C3-'Commission plan'!C2),(E42-'Commission plan'!C2)))</f>
        <v>0.11339285714285718</v>
      </c>
      <c r="F210" s="12">
        <f>IF((F42&lt;='Commission plan'!D2),0,IF((F42&gt;='Commission plan'!D3),('Commission plan'!D3-'Commission plan'!D2),(F42-'Commission plan'!D2)))</f>
        <v>0</v>
      </c>
      <c r="G210" s="12">
        <f>IF((G42&lt;='Commission plan'!E2),0,IF((G42&gt;='Commission plan'!E3),('Commission plan'!E3-'Commission plan'!E2),(G42-'Commission plan'!E2)))</f>
        <v>0</v>
      </c>
      <c r="H210" s="12">
        <f>IF((H42&lt;='Commission plan'!F2),0,IF((H42&gt;='Commission plan'!F3),('Commission plan'!F3-'Commission plan'!F2),(H42-'Commission plan'!F2)))</f>
        <v>0</v>
      </c>
      <c r="I210" s="12">
        <f>SUM(D210:H210)</f>
        <v>0.6133928571428572</v>
      </c>
    </row>
    <row r="211">
      <c r="A211" s="0" t="inlineStr">
        <is>
          <t xml:space="preserve">Attainment in tranche</t>
        </is>
      </c>
      <c r="B211" s="0" t="inlineStr">
        <is>
          <t xml:space="preserve">Ana Ortiz</t>
        </is>
      </c>
      <c r="C211" s="0" t="inlineStr">
        <is>
          <t xml:space="preserve">Q4 2026</t>
        </is>
      </c>
      <c r="D211" s="12">
        <f>IF((D43&lt;='Commission plan'!B2),0,IF((D43&gt;='Commission plan'!B3),('Commission plan'!B3-'Commission plan'!B2),(D43-'Commission plan'!B2)))</f>
        <v>0</v>
      </c>
      <c r="E211" s="12">
        <f>IF((E43&lt;='Commission plan'!C2),0,IF((E43&gt;='Commission plan'!C3),('Commission plan'!C3-'Commission plan'!C2),(E43-'Commission plan'!C2)))</f>
        <v>0</v>
      </c>
      <c r="F211" s="12">
        <f>IF((F43&lt;='Commission plan'!D2),0,IF((F43&gt;='Commission plan'!D3),('Commission plan'!D3-'Commission plan'!D2),(F43-'Commission plan'!D2)))</f>
        <v>0</v>
      </c>
      <c r="G211" s="12">
        <f>IF((G43&lt;='Commission plan'!E2),0,IF((G43&gt;='Commission plan'!E3),('Commission plan'!E3-'Commission plan'!E2),(G43-'Commission plan'!E2)))</f>
        <v>0</v>
      </c>
      <c r="H211" s="12">
        <f>IF((H43&lt;='Commission plan'!F2),0,IF((H43&gt;='Commission plan'!F3),('Commission plan'!F3-'Commission plan'!F2),(H43-'Commission plan'!F2)))</f>
        <v>0</v>
      </c>
      <c r="I211" s="12">
        <f>SUM(D211:H211)</f>
        <v>0</v>
      </c>
    </row>
    <row r="212">
      <c r="A212" s="0" t="inlineStr">
        <is>
          <t xml:space="preserve">Attainment in tranche</t>
        </is>
      </c>
      <c r="B212" s="0" t="inlineStr">
        <is>
          <t xml:space="preserve">Tobias Silva</t>
        </is>
      </c>
      <c r="C212" s="0" t="inlineStr">
        <is>
          <t xml:space="preserve">Q2 2025</t>
        </is>
      </c>
      <c r="D212" s="12">
        <f>IF((D44&lt;='Commission plan'!B2),0,IF((D44&gt;='Commission plan'!B3),('Commission plan'!B3-'Commission plan'!B2),(D44-'Commission plan'!B2)))</f>
        <v>0</v>
      </c>
      <c r="E212" s="12">
        <f>IF((E44&lt;='Commission plan'!C2),0,IF((E44&gt;='Commission plan'!C3),('Commission plan'!C3-'Commission plan'!C2),(E44-'Commission plan'!C2)))</f>
        <v>0</v>
      </c>
      <c r="F212" s="12">
        <f>IF((F44&lt;='Commission plan'!D2),0,IF((F44&gt;='Commission plan'!D3),('Commission plan'!D3-'Commission plan'!D2),(F44-'Commission plan'!D2)))</f>
        <v>0</v>
      </c>
      <c r="G212" s="12">
        <f>IF((G44&lt;='Commission plan'!E2),0,IF((G44&gt;='Commission plan'!E3),('Commission plan'!E3-'Commission plan'!E2),(G44-'Commission plan'!E2)))</f>
        <v>0</v>
      </c>
      <c r="H212" s="12">
        <f>IF((H44&lt;='Commission plan'!F2),0,IF((H44&gt;='Commission plan'!F3),('Commission plan'!F3-'Commission plan'!F2),(H44-'Commission plan'!F2)))</f>
        <v>0</v>
      </c>
      <c r="I212" s="12">
        <f>SUM(D212:H212)</f>
        <v>0</v>
      </c>
    </row>
    <row r="213">
      <c r="A213" s="0" t="inlineStr">
        <is>
          <t xml:space="preserve">Attainment in tranche</t>
        </is>
      </c>
      <c r="B213" s="0" t="inlineStr">
        <is>
          <t xml:space="preserve">Tobias Silva</t>
        </is>
      </c>
      <c r="C213" s="0" t="inlineStr">
        <is>
          <t xml:space="preserve">Q3 2025</t>
        </is>
      </c>
      <c r="D213" s="12">
        <f>IF((D45&lt;='Commission plan'!B2),0,IF((D45&gt;='Commission plan'!B3),('Commission plan'!B3-'Commission plan'!B2),(D45-'Commission plan'!B2)))</f>
        <v>0.3914666666666667</v>
      </c>
      <c r="E213" s="12">
        <f>IF((E45&lt;='Commission plan'!C2),0,IF((E45&gt;='Commission plan'!C3),('Commission plan'!C3-'Commission plan'!C2),(E45-'Commission plan'!C2)))</f>
        <v>0</v>
      </c>
      <c r="F213" s="12">
        <f>IF((F45&lt;='Commission plan'!D2),0,IF((F45&gt;='Commission plan'!D3),('Commission plan'!D3-'Commission plan'!D2),(F45-'Commission plan'!D2)))</f>
        <v>0</v>
      </c>
      <c r="G213" s="12">
        <f>IF((G45&lt;='Commission plan'!E2),0,IF((G45&gt;='Commission plan'!E3),('Commission plan'!E3-'Commission plan'!E2),(G45-'Commission plan'!E2)))</f>
        <v>0</v>
      </c>
      <c r="H213" s="12">
        <f>IF((H45&lt;='Commission plan'!F2),0,IF((H45&gt;='Commission plan'!F3),('Commission plan'!F3-'Commission plan'!F2),(H45-'Commission plan'!F2)))</f>
        <v>0</v>
      </c>
      <c r="I213" s="12">
        <f>SUM(D213:H213)</f>
        <v>0.3914666666666667</v>
      </c>
    </row>
    <row r="214">
      <c r="A214" s="0" t="inlineStr">
        <is>
          <t xml:space="preserve">Attainment in tranche</t>
        </is>
      </c>
      <c r="B214" s="0" t="inlineStr">
        <is>
          <t xml:space="preserve">Tobias Silva</t>
        </is>
      </c>
      <c r="C214" s="0" t="inlineStr">
        <is>
          <t xml:space="preserve">Q4 2025</t>
        </is>
      </c>
      <c r="D214" s="12">
        <f>IF((D46&lt;='Commission plan'!B2),0,IF((D46&gt;='Commission plan'!B3),('Commission plan'!B3-'Commission plan'!B2),(D46-'Commission plan'!B2)))</f>
        <v>0</v>
      </c>
      <c r="E214" s="12">
        <f>IF((E46&lt;='Commission plan'!C2),0,IF((E46&gt;='Commission plan'!C3),('Commission plan'!C3-'Commission plan'!C2),(E46-'Commission plan'!C2)))</f>
        <v>0</v>
      </c>
      <c r="F214" s="12">
        <f>IF((F46&lt;='Commission plan'!D2),0,IF((F46&gt;='Commission plan'!D3),('Commission plan'!D3-'Commission plan'!D2),(F46-'Commission plan'!D2)))</f>
        <v>0</v>
      </c>
      <c r="G214" s="12">
        <f>IF((G46&lt;='Commission plan'!E2),0,IF((G46&gt;='Commission plan'!E3),('Commission plan'!E3-'Commission plan'!E2),(G46-'Commission plan'!E2)))</f>
        <v>0</v>
      </c>
      <c r="H214" s="12">
        <f>IF((H46&lt;='Commission plan'!F2),0,IF((H46&gt;='Commission plan'!F3),('Commission plan'!F3-'Commission plan'!F2),(H46-'Commission plan'!F2)))</f>
        <v>0</v>
      </c>
      <c r="I214" s="12">
        <f>SUM(D214:H214)</f>
        <v>0</v>
      </c>
    </row>
    <row r="215">
      <c r="A215" s="0" t="inlineStr">
        <is>
          <t xml:space="preserve">Attainment in tranche</t>
        </is>
      </c>
      <c r="B215" s="0" t="inlineStr">
        <is>
          <t xml:space="preserve">Tobias Silva</t>
        </is>
      </c>
      <c r="C215" s="0" t="inlineStr">
        <is>
          <t xml:space="preserve">Q1 2026</t>
        </is>
      </c>
      <c r="D215" s="12">
        <f>IF((D47&lt;='Commission plan'!B2),0,IF((D47&gt;='Commission plan'!B3),('Commission plan'!B3-'Commission plan'!B2),(D47-'Commission plan'!B2)))</f>
        <v>0.5</v>
      </c>
      <c r="E215" s="12">
        <f>IF((E47&lt;='Commission plan'!C2),0,IF((E47&gt;='Commission plan'!C3),('Commission plan'!C3-'Commission plan'!C2),(E47-'Commission plan'!C2)))</f>
        <v>0.5</v>
      </c>
      <c r="F215" s="12">
        <f>IF((F47&lt;='Commission plan'!D2),0,IF((F47&gt;='Commission plan'!D3),('Commission plan'!D3-'Commission plan'!D2),(F47-'Commission plan'!D2)))</f>
        <v>0.25</v>
      </c>
      <c r="G215" s="12">
        <f>IF((G47&lt;='Commission plan'!E2),0,IF((G47&gt;='Commission plan'!E3),('Commission plan'!E3-'Commission plan'!E2),(G47-'Commission plan'!E2)))</f>
        <v>0.25</v>
      </c>
      <c r="H215" s="12">
        <f>IF((H47&lt;='Commission plan'!F2),0,IF((H47&gt;='Commission plan'!F3),('Commission plan'!F3-'Commission plan'!F2),(H47-'Commission plan'!F2)))</f>
        <v>2.2661333333333333</v>
      </c>
      <c r="I215" s="12">
        <f>SUM(D215:H215)</f>
        <v>3.7661333333333333</v>
      </c>
    </row>
    <row r="216">
      <c r="A216" s="0" t="inlineStr">
        <is>
          <t xml:space="preserve">Attainment in tranche</t>
        </is>
      </c>
      <c r="B216" s="0" t="inlineStr">
        <is>
          <t xml:space="preserve">Tobias Silva</t>
        </is>
      </c>
      <c r="C216" s="0" t="inlineStr">
        <is>
          <t xml:space="preserve">Q2 2026</t>
        </is>
      </c>
      <c r="D216" s="12">
        <f>IF((D48&lt;='Commission plan'!B2),0,IF((D48&gt;='Commission plan'!B3),('Commission plan'!B3-'Commission plan'!B2),(D48-'Commission plan'!B2)))</f>
        <v>0.14133333333333334</v>
      </c>
      <c r="E216" s="12">
        <f>IF((E48&lt;='Commission plan'!C2),0,IF((E48&gt;='Commission plan'!C3),('Commission plan'!C3-'Commission plan'!C2),(E48-'Commission plan'!C2)))</f>
        <v>0</v>
      </c>
      <c r="F216" s="12">
        <f>IF((F48&lt;='Commission plan'!D2),0,IF((F48&gt;='Commission plan'!D3),('Commission plan'!D3-'Commission plan'!D2),(F48-'Commission plan'!D2)))</f>
        <v>0</v>
      </c>
      <c r="G216" s="12">
        <f>IF((G48&lt;='Commission plan'!E2),0,IF((G48&gt;='Commission plan'!E3),('Commission plan'!E3-'Commission plan'!E2),(G48-'Commission plan'!E2)))</f>
        <v>0</v>
      </c>
      <c r="H216" s="12">
        <f>IF((H48&lt;='Commission plan'!F2),0,IF((H48&gt;='Commission plan'!F3),('Commission plan'!F3-'Commission plan'!F2),(H48-'Commission plan'!F2)))</f>
        <v>0</v>
      </c>
      <c r="I216" s="12">
        <f>SUM(D216:H216)</f>
        <v>0.14133333333333334</v>
      </c>
    </row>
    <row r="217">
      <c r="A217" s="0" t="inlineStr">
        <is>
          <t xml:space="preserve">Attainment in tranche</t>
        </is>
      </c>
      <c r="B217" s="0" t="inlineStr">
        <is>
          <t xml:space="preserve">Tobias Silva</t>
        </is>
      </c>
      <c r="C217" s="0" t="inlineStr">
        <is>
          <t xml:space="preserve">Q3 2026</t>
        </is>
      </c>
      <c r="D217" s="12">
        <f>IF((D49&lt;='Commission plan'!B2),0,IF((D49&gt;='Commission plan'!B3),('Commission plan'!B3-'Commission plan'!B2),(D49-'Commission plan'!B2)))</f>
        <v>0.5</v>
      </c>
      <c r="E217" s="12">
        <f>IF((E49&lt;='Commission plan'!C2),0,IF((E49&gt;='Commission plan'!C3),('Commission plan'!C3-'Commission plan'!C2),(E49-'Commission plan'!C2)))</f>
        <v>0.5</v>
      </c>
      <c r="F217" s="12">
        <f>IF((F49&lt;='Commission plan'!D2),0,IF((F49&gt;='Commission plan'!D3),('Commission plan'!D3-'Commission plan'!D2),(F49-'Commission plan'!D2)))</f>
        <v>0.25</v>
      </c>
      <c r="G217" s="12">
        <f>IF((G49&lt;='Commission plan'!E2),0,IF((G49&gt;='Commission plan'!E3),('Commission plan'!E3-'Commission plan'!E2),(G49-'Commission plan'!E2)))</f>
        <v>0.07346666666666657</v>
      </c>
      <c r="H217" s="12">
        <f>IF((H49&lt;='Commission plan'!F2),0,IF((H49&gt;='Commission plan'!F3),('Commission plan'!F3-'Commission plan'!F2),(H49-'Commission plan'!F2)))</f>
        <v>0</v>
      </c>
      <c r="I217" s="12">
        <f>SUM(D217:H217)</f>
        <v>1.3234666666666666</v>
      </c>
    </row>
    <row r="218">
      <c r="A218" s="0" t="inlineStr">
        <is>
          <t xml:space="preserve">Attainment in tranche</t>
        </is>
      </c>
      <c r="B218" s="0" t="inlineStr">
        <is>
          <t xml:space="preserve">Tobias Silva</t>
        </is>
      </c>
      <c r="C218" s="0" t="inlineStr">
        <is>
          <t xml:space="preserve">Q4 2026</t>
        </is>
      </c>
      <c r="D218" s="12">
        <f>IF((D50&lt;='Commission plan'!B2),0,IF((D50&gt;='Commission plan'!B3),('Commission plan'!B3-'Commission plan'!B2),(D50-'Commission plan'!B2)))</f>
        <v>0</v>
      </c>
      <c r="E218" s="12">
        <f>IF((E50&lt;='Commission plan'!C2),0,IF((E50&gt;='Commission plan'!C3),('Commission plan'!C3-'Commission plan'!C2),(E50-'Commission plan'!C2)))</f>
        <v>0</v>
      </c>
      <c r="F218" s="12">
        <f>IF((F50&lt;='Commission plan'!D2),0,IF((F50&gt;='Commission plan'!D3),('Commission plan'!D3-'Commission plan'!D2),(F50-'Commission plan'!D2)))</f>
        <v>0</v>
      </c>
      <c r="G218" s="12">
        <f>IF((G50&lt;='Commission plan'!E2),0,IF((G50&gt;='Commission plan'!E3),('Commission plan'!E3-'Commission plan'!E2),(G50-'Commission plan'!E2)))</f>
        <v>0</v>
      </c>
      <c r="H218" s="12">
        <f>IF((H50&lt;='Commission plan'!F2),0,IF((H50&gt;='Commission plan'!F3),('Commission plan'!F3-'Commission plan'!F2),(H50-'Commission plan'!F2)))</f>
        <v>0</v>
      </c>
      <c r="I218" s="12">
        <f>SUM(D218:H218)</f>
        <v>0</v>
      </c>
    </row>
    <row r="219">
      <c r="A219" s="0" t="inlineStr">
        <is>
          <t xml:space="preserve">Attainment in tranche</t>
        </is>
      </c>
      <c r="B219" s="0" t="inlineStr">
        <is>
          <t xml:space="preserve">Leila Osei</t>
        </is>
      </c>
      <c r="C219" s="0" t="inlineStr">
        <is>
          <t xml:space="preserve">Q2 2025</t>
        </is>
      </c>
      <c r="D219" s="12">
        <f>IF((D51&lt;='Commission plan'!B2),0,IF((D51&gt;='Commission plan'!B3),('Commission plan'!B3-'Commission plan'!B2),(D51-'Commission plan'!B2)))</f>
        <v>0</v>
      </c>
      <c r="E219" s="12">
        <f>IF((E51&lt;='Commission plan'!C2),0,IF((E51&gt;='Commission plan'!C3),('Commission plan'!C3-'Commission plan'!C2),(E51-'Commission plan'!C2)))</f>
        <v>0</v>
      </c>
      <c r="F219" s="12">
        <f>IF((F51&lt;='Commission plan'!D2),0,IF((F51&gt;='Commission plan'!D3),('Commission plan'!D3-'Commission plan'!D2),(F51-'Commission plan'!D2)))</f>
        <v>0</v>
      </c>
      <c r="G219" s="12">
        <f>IF((G51&lt;='Commission plan'!E2),0,IF((G51&gt;='Commission plan'!E3),('Commission plan'!E3-'Commission plan'!E2),(G51-'Commission plan'!E2)))</f>
        <v>0</v>
      </c>
      <c r="H219" s="12">
        <f>IF((H51&lt;='Commission plan'!F2),0,IF((H51&gt;='Commission plan'!F3),('Commission plan'!F3-'Commission plan'!F2),(H51-'Commission plan'!F2)))</f>
        <v>0</v>
      </c>
      <c r="I219" s="12">
        <f>SUM(D219:H219)</f>
        <v>0</v>
      </c>
    </row>
    <row r="220">
      <c r="A220" s="0" t="inlineStr">
        <is>
          <t xml:space="preserve">Attainment in tranche</t>
        </is>
      </c>
      <c r="B220" s="0" t="inlineStr">
        <is>
          <t xml:space="preserve">Leila Osei</t>
        </is>
      </c>
      <c r="C220" s="0" t="inlineStr">
        <is>
          <t xml:space="preserve">Q3 2025</t>
        </is>
      </c>
      <c r="D220" s="12">
        <f>IF((D52&lt;='Commission plan'!B2),0,IF((D52&gt;='Commission plan'!B3),('Commission plan'!B3-'Commission plan'!B2),(D52-'Commission plan'!B2)))</f>
        <v>0</v>
      </c>
      <c r="E220" s="12">
        <f>IF((E52&lt;='Commission plan'!C2),0,IF((E52&gt;='Commission plan'!C3),('Commission plan'!C3-'Commission plan'!C2),(E52-'Commission plan'!C2)))</f>
        <v>0</v>
      </c>
      <c r="F220" s="12">
        <f>IF((F52&lt;='Commission plan'!D2),0,IF((F52&gt;='Commission plan'!D3),('Commission plan'!D3-'Commission plan'!D2),(F52-'Commission plan'!D2)))</f>
        <v>0</v>
      </c>
      <c r="G220" s="12">
        <f>IF((G52&lt;='Commission plan'!E2),0,IF((G52&gt;='Commission plan'!E3),('Commission plan'!E3-'Commission plan'!E2),(G52-'Commission plan'!E2)))</f>
        <v>0</v>
      </c>
      <c r="H220" s="12">
        <f>IF((H52&lt;='Commission plan'!F2),0,IF((H52&gt;='Commission plan'!F3),('Commission plan'!F3-'Commission plan'!F2),(H52-'Commission plan'!F2)))</f>
        <v>0</v>
      </c>
      <c r="I220" s="12">
        <f>SUM(D220:H220)</f>
        <v>0</v>
      </c>
    </row>
    <row r="221">
      <c r="A221" s="0" t="inlineStr">
        <is>
          <t xml:space="preserve">Attainment in tranche</t>
        </is>
      </c>
      <c r="B221" s="0" t="inlineStr">
        <is>
          <t xml:space="preserve">Leila Osei</t>
        </is>
      </c>
      <c r="C221" s="0" t="inlineStr">
        <is>
          <t xml:space="preserve">Q4 2025</t>
        </is>
      </c>
      <c r="D221" s="12">
        <f>IF((D53&lt;='Commission plan'!B2),0,IF((D53&gt;='Commission plan'!B3),('Commission plan'!B3-'Commission plan'!B2),(D53-'Commission plan'!B2)))</f>
        <v>0</v>
      </c>
      <c r="E221" s="12">
        <f>IF((E53&lt;='Commission plan'!C2),0,IF((E53&gt;='Commission plan'!C3),('Commission plan'!C3-'Commission plan'!C2),(E53-'Commission plan'!C2)))</f>
        <v>0</v>
      </c>
      <c r="F221" s="12">
        <f>IF((F53&lt;='Commission plan'!D2),0,IF((F53&gt;='Commission plan'!D3),('Commission plan'!D3-'Commission plan'!D2),(F53-'Commission plan'!D2)))</f>
        <v>0</v>
      </c>
      <c r="G221" s="12">
        <f>IF((G53&lt;='Commission plan'!E2),0,IF((G53&gt;='Commission plan'!E3),('Commission plan'!E3-'Commission plan'!E2),(G53-'Commission plan'!E2)))</f>
        <v>0</v>
      </c>
      <c r="H221" s="12">
        <f>IF((H53&lt;='Commission plan'!F2),0,IF((H53&gt;='Commission plan'!F3),('Commission plan'!F3-'Commission plan'!F2),(H53-'Commission plan'!F2)))</f>
        <v>0</v>
      </c>
      <c r="I221" s="12">
        <f>SUM(D221:H221)</f>
        <v>0</v>
      </c>
    </row>
    <row r="222">
      <c r="A222" s="0" t="inlineStr">
        <is>
          <t xml:space="preserve">Attainment in tranche</t>
        </is>
      </c>
      <c r="B222" s="0" t="inlineStr">
        <is>
          <t xml:space="preserve">Leila Osei</t>
        </is>
      </c>
      <c r="C222" s="0" t="inlineStr">
        <is>
          <t xml:space="preserve">Q1 2026</t>
        </is>
      </c>
      <c r="D222" s="12">
        <f>IF((D54&lt;='Commission plan'!B2),0,IF((D54&gt;='Commission plan'!B3),('Commission plan'!B3-'Commission plan'!B2),(D54-'Commission plan'!B2)))</f>
        <v>0.09466666666666666</v>
      </c>
      <c r="E222" s="12">
        <f>IF((E54&lt;='Commission plan'!C2),0,IF((E54&gt;='Commission plan'!C3),('Commission plan'!C3-'Commission plan'!C2),(E54-'Commission plan'!C2)))</f>
        <v>0</v>
      </c>
      <c r="F222" s="12">
        <f>IF((F54&lt;='Commission plan'!D2),0,IF((F54&gt;='Commission plan'!D3),('Commission plan'!D3-'Commission plan'!D2),(F54-'Commission plan'!D2)))</f>
        <v>0</v>
      </c>
      <c r="G222" s="12">
        <f>IF((G54&lt;='Commission plan'!E2),0,IF((G54&gt;='Commission plan'!E3),('Commission plan'!E3-'Commission plan'!E2),(G54-'Commission plan'!E2)))</f>
        <v>0</v>
      </c>
      <c r="H222" s="12">
        <f>IF((H54&lt;='Commission plan'!F2),0,IF((H54&gt;='Commission plan'!F3),('Commission plan'!F3-'Commission plan'!F2),(H54-'Commission plan'!F2)))</f>
        <v>0</v>
      </c>
      <c r="I222" s="12">
        <f>SUM(D222:H222)</f>
        <v>0.09466666666666666</v>
      </c>
    </row>
    <row r="223">
      <c r="A223" s="0" t="inlineStr">
        <is>
          <t xml:space="preserve">Attainment in tranche</t>
        </is>
      </c>
      <c r="B223" s="0" t="inlineStr">
        <is>
          <t xml:space="preserve">Leila Osei</t>
        </is>
      </c>
      <c r="C223" s="0" t="inlineStr">
        <is>
          <t xml:space="preserve">Q2 2026</t>
        </is>
      </c>
      <c r="D223" s="12">
        <f>IF((D55&lt;='Commission plan'!B2),0,IF((D55&gt;='Commission plan'!B3),('Commission plan'!B3-'Commission plan'!B2),(D55-'Commission plan'!B2)))</f>
        <v>0.5</v>
      </c>
      <c r="E223" s="12">
        <f>IF((E55&lt;='Commission plan'!C2),0,IF((E55&gt;='Commission plan'!C3),('Commission plan'!C3-'Commission plan'!C2),(E55-'Commission plan'!C2)))</f>
        <v>0.44666666666666666</v>
      </c>
      <c r="F223" s="12">
        <f>IF((F55&lt;='Commission plan'!D2),0,IF((F55&gt;='Commission plan'!D3),('Commission plan'!D3-'Commission plan'!D2),(F55-'Commission plan'!D2)))</f>
        <v>0</v>
      </c>
      <c r="G223" s="12">
        <f>IF((G55&lt;='Commission plan'!E2),0,IF((G55&gt;='Commission plan'!E3),('Commission plan'!E3-'Commission plan'!E2),(G55-'Commission plan'!E2)))</f>
        <v>0</v>
      </c>
      <c r="H223" s="12">
        <f>IF((H55&lt;='Commission plan'!F2),0,IF((H55&gt;='Commission plan'!F3),('Commission plan'!F3-'Commission plan'!F2),(H55-'Commission plan'!F2)))</f>
        <v>0</v>
      </c>
      <c r="I223" s="12">
        <f>SUM(D223:H223)</f>
        <v>0.9466666666666667</v>
      </c>
    </row>
    <row r="224">
      <c r="A224" s="0" t="inlineStr">
        <is>
          <t xml:space="preserve">Attainment in tranche</t>
        </is>
      </c>
      <c r="B224" s="0" t="inlineStr">
        <is>
          <t xml:space="preserve">Leila Osei</t>
        </is>
      </c>
      <c r="C224" s="0" t="inlineStr">
        <is>
          <t xml:space="preserve">Q3 2026</t>
        </is>
      </c>
      <c r="D224" s="12">
        <f>IF((D56&lt;='Commission plan'!B2),0,IF((D56&gt;='Commission plan'!B3),('Commission plan'!B3-'Commission plan'!B2),(D56-'Commission plan'!B2)))</f>
        <v>0.5</v>
      </c>
      <c r="E224" s="12">
        <f>IF((E56&lt;='Commission plan'!C2),0,IF((E56&gt;='Commission plan'!C3),('Commission plan'!C3-'Commission plan'!C2),(E56-'Commission plan'!C2)))</f>
        <v>0.5</v>
      </c>
      <c r="F224" s="12">
        <f>IF((F56&lt;='Commission plan'!D2),0,IF((F56&gt;='Commission plan'!D3),('Commission plan'!D3-'Commission plan'!D2),(F56-'Commission plan'!D2)))</f>
        <v>0.25</v>
      </c>
      <c r="G224" s="12">
        <f>IF((G56&lt;='Commission plan'!E2),0,IF((G56&gt;='Commission plan'!E3),('Commission plan'!E3-'Commission plan'!E2),(G56-'Commission plan'!E2)))</f>
        <v>0.25</v>
      </c>
      <c r="H224" s="12">
        <f>IF((H56&lt;='Commission plan'!F2),0,IF((H56&gt;='Commission plan'!F3),('Commission plan'!F3-'Commission plan'!F2),(H56-'Commission plan'!F2)))</f>
        <v>0.3613333333333333</v>
      </c>
      <c r="I224" s="12">
        <f>SUM(D224:H224)</f>
        <v>1.8613333333333333</v>
      </c>
    </row>
    <row r="225">
      <c r="A225" s="0" t="inlineStr">
        <is>
          <t xml:space="preserve">Attainment in tranche</t>
        </is>
      </c>
      <c r="B225" s="0" t="inlineStr">
        <is>
          <t xml:space="preserve">Leila Osei</t>
        </is>
      </c>
      <c r="C225" s="0" t="inlineStr">
        <is>
          <t xml:space="preserve">Q4 2026</t>
        </is>
      </c>
      <c r="D225" s="12">
        <f>IF((D57&lt;='Commission plan'!B2),0,IF((D57&gt;='Commission plan'!B3),('Commission plan'!B3-'Commission plan'!B2),(D57-'Commission plan'!B2)))</f>
        <v>0</v>
      </c>
      <c r="E225" s="12">
        <f>IF((E57&lt;='Commission plan'!C2),0,IF((E57&gt;='Commission plan'!C3),('Commission plan'!C3-'Commission plan'!C2),(E57-'Commission plan'!C2)))</f>
        <v>0</v>
      </c>
      <c r="F225" s="12">
        <f>IF((F57&lt;='Commission plan'!D2),0,IF((F57&gt;='Commission plan'!D3),('Commission plan'!D3-'Commission plan'!D2),(F57-'Commission plan'!D2)))</f>
        <v>0</v>
      </c>
      <c r="G225" s="12">
        <f>IF((G57&lt;='Commission plan'!E2),0,IF((G57&gt;='Commission plan'!E3),('Commission plan'!E3-'Commission plan'!E2),(G57-'Commission plan'!E2)))</f>
        <v>0</v>
      </c>
      <c r="H225" s="12">
        <f>IF((H57&lt;='Commission plan'!F2),0,IF((H57&gt;='Commission plan'!F3),('Commission plan'!F3-'Commission plan'!F2),(H57-'Commission plan'!F2)))</f>
        <v>0</v>
      </c>
      <c r="I225" s="12">
        <f>SUM(D225:H225)</f>
        <v>0</v>
      </c>
    </row>
    <row r="226">
      <c r="A226" s="0" t="inlineStr">
        <is>
          <t xml:space="preserve">Attainment in tranche</t>
        </is>
      </c>
      <c r="B226" s="0" t="inlineStr">
        <is>
          <t xml:space="preserve">Grace Costa</t>
        </is>
      </c>
      <c r="C226" s="0" t="inlineStr">
        <is>
          <t xml:space="preserve">Q2 2025</t>
        </is>
      </c>
      <c r="D226" s="12">
        <f>IF((D58&lt;='Commission plan'!B2),0,IF((D58&gt;='Commission plan'!B3),('Commission plan'!B3-'Commission plan'!B2),(D58-'Commission plan'!B2)))</f>
        <v>0.3410377358490566</v>
      </c>
      <c r="E226" s="12">
        <f>IF((E58&lt;='Commission plan'!C2),0,IF((E58&gt;='Commission plan'!C3),('Commission plan'!C3-'Commission plan'!C2),(E58-'Commission plan'!C2)))</f>
        <v>0</v>
      </c>
      <c r="F226" s="12">
        <f>IF((F58&lt;='Commission plan'!D2),0,IF((F58&gt;='Commission plan'!D3),('Commission plan'!D3-'Commission plan'!D2),(F58-'Commission plan'!D2)))</f>
        <v>0</v>
      </c>
      <c r="G226" s="12">
        <f>IF((G58&lt;='Commission plan'!E2),0,IF((G58&gt;='Commission plan'!E3),('Commission plan'!E3-'Commission plan'!E2),(G58-'Commission plan'!E2)))</f>
        <v>0</v>
      </c>
      <c r="H226" s="12">
        <f>IF((H58&lt;='Commission plan'!F2),0,IF((H58&gt;='Commission plan'!F3),('Commission plan'!F3-'Commission plan'!F2),(H58-'Commission plan'!F2)))</f>
        <v>0</v>
      </c>
      <c r="I226" s="12">
        <f>SUM(D226:H226)</f>
        <v>0.3410377358490566</v>
      </c>
    </row>
    <row r="227">
      <c r="A227" s="0" t="inlineStr">
        <is>
          <t xml:space="preserve">Attainment in tranche</t>
        </is>
      </c>
      <c r="B227" s="0" t="inlineStr">
        <is>
          <t xml:space="preserve">Grace Costa</t>
        </is>
      </c>
      <c r="C227" s="0" t="inlineStr">
        <is>
          <t xml:space="preserve">Q3 2025</t>
        </is>
      </c>
      <c r="D227" s="12">
        <f>IF((D59&lt;='Commission plan'!B2),0,IF((D59&gt;='Commission plan'!B3),('Commission plan'!B3-'Commission plan'!B2),(D59-'Commission plan'!B2)))</f>
        <v>0.5</v>
      </c>
      <c r="E227" s="12">
        <f>IF((E59&lt;='Commission plan'!C2),0,IF((E59&gt;='Commission plan'!C3),('Commission plan'!C3-'Commission plan'!C2),(E59-'Commission plan'!C2)))</f>
        <v>0.037735849056603765</v>
      </c>
      <c r="F227" s="12">
        <f>IF((F59&lt;='Commission plan'!D2),0,IF((F59&gt;='Commission plan'!D3),('Commission plan'!D3-'Commission plan'!D2),(F59-'Commission plan'!D2)))</f>
        <v>0</v>
      </c>
      <c r="G227" s="12">
        <f>IF((G59&lt;='Commission plan'!E2),0,IF((G59&gt;='Commission plan'!E3),('Commission plan'!E3-'Commission plan'!E2),(G59-'Commission plan'!E2)))</f>
        <v>0</v>
      </c>
      <c r="H227" s="12">
        <f>IF((H59&lt;='Commission plan'!F2),0,IF((H59&gt;='Commission plan'!F3),('Commission plan'!F3-'Commission plan'!F2),(H59-'Commission plan'!F2)))</f>
        <v>0</v>
      </c>
      <c r="I227" s="12">
        <f>SUM(D227:H227)</f>
        <v>0.5377358490566038</v>
      </c>
    </row>
    <row r="228">
      <c r="A228" s="0" t="inlineStr">
        <is>
          <t xml:space="preserve">Attainment in tranche</t>
        </is>
      </c>
      <c r="B228" s="0" t="inlineStr">
        <is>
          <t xml:space="preserve">Grace Costa</t>
        </is>
      </c>
      <c r="C228" s="0" t="inlineStr">
        <is>
          <t xml:space="preserve">Q4 2025</t>
        </is>
      </c>
      <c r="D228" s="12">
        <f>IF((D60&lt;='Commission plan'!B2),0,IF((D60&gt;='Commission plan'!B3),('Commission plan'!B3-'Commission plan'!B2),(D60-'Commission plan'!B2)))</f>
        <v>0.5</v>
      </c>
      <c r="E228" s="12">
        <f>IF((E60&lt;='Commission plan'!C2),0,IF((E60&gt;='Commission plan'!C3),('Commission plan'!C3-'Commission plan'!C2),(E60-'Commission plan'!C2)))</f>
        <v>0.5</v>
      </c>
      <c r="F228" s="12">
        <f>IF((F60&lt;='Commission plan'!D2),0,IF((F60&gt;='Commission plan'!D3),('Commission plan'!D3-'Commission plan'!D2),(F60-'Commission plan'!D2)))</f>
        <v>0.25</v>
      </c>
      <c r="G228" s="12">
        <f>IF((G60&lt;='Commission plan'!E2),0,IF((G60&gt;='Commission plan'!E3),('Commission plan'!E3-'Commission plan'!E2),(G60-'Commission plan'!E2)))</f>
        <v>0.25</v>
      </c>
      <c r="H228" s="12">
        <f>IF((H60&lt;='Commission plan'!F2),0,IF((H60&gt;='Commission plan'!F3),('Commission plan'!F3-'Commission plan'!F2),(H60-'Commission plan'!F2)))</f>
        <v>0.1316037735849056</v>
      </c>
      <c r="I228" s="12">
        <f>SUM(D228:H228)</f>
        <v>1.6316037735849056</v>
      </c>
    </row>
    <row r="229">
      <c r="A229" s="0" t="inlineStr">
        <is>
          <t xml:space="preserve">Attainment in tranche</t>
        </is>
      </c>
      <c r="B229" s="0" t="inlineStr">
        <is>
          <t xml:space="preserve">Grace Costa</t>
        </is>
      </c>
      <c r="C229" s="0" t="inlineStr">
        <is>
          <t xml:space="preserve">Q1 2026</t>
        </is>
      </c>
      <c r="D229" s="12">
        <f>IF((D61&lt;='Commission plan'!B2),0,IF((D61&gt;='Commission plan'!B3),('Commission plan'!B3-'Commission plan'!B2),(D61-'Commission plan'!B2)))</f>
        <v>0.5</v>
      </c>
      <c r="E229" s="12">
        <f>IF((E61&lt;='Commission plan'!C2),0,IF((E61&gt;='Commission plan'!C3),('Commission plan'!C3-'Commission plan'!C2),(E61-'Commission plan'!C2)))</f>
        <v>0.5</v>
      </c>
      <c r="F229" s="12">
        <f>IF((F61&lt;='Commission plan'!D2),0,IF((F61&gt;='Commission plan'!D3),('Commission plan'!D3-'Commission plan'!D2),(F61-'Commission plan'!D2)))</f>
        <v>0.25</v>
      </c>
      <c r="G229" s="12">
        <f>IF((G61&lt;='Commission plan'!E2),0,IF((G61&gt;='Commission plan'!E3),('Commission plan'!E3-'Commission plan'!E2),(G61-'Commission plan'!E2)))</f>
        <v>0.25</v>
      </c>
      <c r="H229" s="12">
        <f>IF((H61&lt;='Commission plan'!F2),0,IF((H61&gt;='Commission plan'!F3),('Commission plan'!F3-'Commission plan'!F2),(H61-'Commission plan'!F2)))</f>
        <v>0.026415094339622636</v>
      </c>
      <c r="I229" s="12">
        <f>SUM(D229:H229)</f>
        <v>1.5264150943396226</v>
      </c>
    </row>
    <row r="230">
      <c r="A230" s="0" t="inlineStr">
        <is>
          <t xml:space="preserve">Attainment in tranche</t>
        </is>
      </c>
      <c r="B230" s="0" t="inlineStr">
        <is>
          <t xml:space="preserve">Grace Costa</t>
        </is>
      </c>
      <c r="C230" s="0" t="inlineStr">
        <is>
          <t xml:space="preserve">Q2 2026</t>
        </is>
      </c>
      <c r="D230" s="12">
        <f>IF((D62&lt;='Commission plan'!B2),0,IF((D62&gt;='Commission plan'!B3),('Commission plan'!B3-'Commission plan'!B2),(D62-'Commission plan'!B2)))</f>
        <v>0.5</v>
      </c>
      <c r="E230" s="12">
        <f>IF((E62&lt;='Commission plan'!C2),0,IF((E62&gt;='Commission plan'!C3),('Commission plan'!C3-'Commission plan'!C2),(E62-'Commission plan'!C2)))</f>
        <v>0.5</v>
      </c>
      <c r="F230" s="12">
        <f>IF((F62&lt;='Commission plan'!D2),0,IF((F62&gt;='Commission plan'!D3),('Commission plan'!D3-'Commission plan'!D2),(F62-'Commission plan'!D2)))</f>
        <v>0.25</v>
      </c>
      <c r="G230" s="12">
        <f>IF((G62&lt;='Commission plan'!E2),0,IF((G62&gt;='Commission plan'!E3),('Commission plan'!E3-'Commission plan'!E2),(G62-'Commission plan'!E2)))</f>
        <v>0.25</v>
      </c>
      <c r="H230" s="12">
        <f>IF((H62&lt;='Commission plan'!F2),0,IF((H62&gt;='Commission plan'!F3),('Commission plan'!F3-'Commission plan'!F2),(H62-'Commission plan'!F2)))</f>
        <v>1.555188679245283</v>
      </c>
      <c r="I230" s="12">
        <f>SUM(D230:H230)</f>
        <v>3.055188679245283</v>
      </c>
    </row>
    <row r="231">
      <c r="A231" s="0" t="inlineStr">
        <is>
          <t xml:space="preserve">Attainment in tranche</t>
        </is>
      </c>
      <c r="B231" s="0" t="inlineStr">
        <is>
          <t xml:space="preserve">Grace Costa</t>
        </is>
      </c>
      <c r="C231" s="0" t="inlineStr">
        <is>
          <t xml:space="preserve">Q3 2026</t>
        </is>
      </c>
      <c r="D231" s="12">
        <f>IF((D63&lt;='Commission plan'!B2),0,IF((D63&gt;='Commission plan'!B3),('Commission plan'!B3-'Commission plan'!B2),(D63-'Commission plan'!B2)))</f>
        <v>0.5</v>
      </c>
      <c r="E231" s="12">
        <f>IF((E63&lt;='Commission plan'!C2),0,IF((E63&gt;='Commission plan'!C3),('Commission plan'!C3-'Commission plan'!C2),(E63-'Commission plan'!C2)))</f>
        <v>0.5</v>
      </c>
      <c r="F231" s="12">
        <f>IF((F63&lt;='Commission plan'!D2),0,IF((F63&gt;='Commission plan'!D3),('Commission plan'!D3-'Commission plan'!D2),(F63-'Commission plan'!D2)))</f>
        <v>0.25</v>
      </c>
      <c r="G231" s="12">
        <f>IF((G63&lt;='Commission plan'!E2),0,IF((G63&gt;='Commission plan'!E3),('Commission plan'!E3-'Commission plan'!E2),(G63-'Commission plan'!E2)))</f>
        <v>0.25</v>
      </c>
      <c r="H231" s="12">
        <f>IF((H63&lt;='Commission plan'!F2),0,IF((H63&gt;='Commission plan'!F3),('Commission plan'!F3-'Commission plan'!F2),(H63-'Commission plan'!F2)))</f>
        <v>0.30471698113207557</v>
      </c>
      <c r="I231" s="12">
        <f>SUM(D231:H231)</f>
        <v>1.8047169811320756</v>
      </c>
    </row>
    <row r="232">
      <c r="A232" s="0" t="inlineStr">
        <is>
          <t xml:space="preserve">Attainment in tranche</t>
        </is>
      </c>
      <c r="B232" s="0" t="inlineStr">
        <is>
          <t xml:space="preserve">Grace Costa</t>
        </is>
      </c>
      <c r="C232" s="0" t="inlineStr">
        <is>
          <t xml:space="preserve">Q4 2026</t>
        </is>
      </c>
      <c r="D232" s="12">
        <f>IF((D64&lt;='Commission plan'!B2),0,IF((D64&gt;='Commission plan'!B3),('Commission plan'!B3-'Commission plan'!B2),(D64-'Commission plan'!B2)))</f>
        <v>0</v>
      </c>
      <c r="E232" s="12">
        <f>IF((E64&lt;='Commission plan'!C2),0,IF((E64&gt;='Commission plan'!C3),('Commission plan'!C3-'Commission plan'!C2),(E64-'Commission plan'!C2)))</f>
        <v>0</v>
      </c>
      <c r="F232" s="12">
        <f>IF((F64&lt;='Commission plan'!D2),0,IF((F64&gt;='Commission plan'!D3),('Commission plan'!D3-'Commission plan'!D2),(F64-'Commission plan'!D2)))</f>
        <v>0</v>
      </c>
      <c r="G232" s="12">
        <f>IF((G64&lt;='Commission plan'!E2),0,IF((G64&gt;='Commission plan'!E3),('Commission plan'!E3-'Commission plan'!E2),(G64-'Commission plan'!E2)))</f>
        <v>0</v>
      </c>
      <c r="H232" s="12">
        <f>IF((H64&lt;='Commission plan'!F2),0,IF((H64&gt;='Commission plan'!F3),('Commission plan'!F3-'Commission plan'!F2),(H64-'Commission plan'!F2)))</f>
        <v>0</v>
      </c>
      <c r="I232" s="12">
        <f>SUM(D232:H232)</f>
        <v>0</v>
      </c>
    </row>
    <row r="233">
      <c r="A233" s="0" t="inlineStr">
        <is>
          <t xml:space="preserve">Attainment in tranche</t>
        </is>
      </c>
      <c r="B233" s="0" t="inlineStr">
        <is>
          <t xml:space="preserve">Ingrid Müller</t>
        </is>
      </c>
      <c r="C233" s="0" t="inlineStr">
        <is>
          <t xml:space="preserve">Q2 2025</t>
        </is>
      </c>
      <c r="D233" s="12">
        <f>IF((D65&lt;='Commission plan'!B2),0,IF((D65&gt;='Commission plan'!B3),('Commission plan'!B3-'Commission plan'!B2),(D65-'Commission plan'!B2)))</f>
        <v>0</v>
      </c>
      <c r="E233" s="12">
        <f>IF((E65&lt;='Commission plan'!C2),0,IF((E65&gt;='Commission plan'!C3),('Commission plan'!C3-'Commission plan'!C2),(E65-'Commission plan'!C2)))</f>
        <v>0</v>
      </c>
      <c r="F233" s="12">
        <f>IF((F65&lt;='Commission plan'!D2),0,IF((F65&gt;='Commission plan'!D3),('Commission plan'!D3-'Commission plan'!D2),(F65-'Commission plan'!D2)))</f>
        <v>0</v>
      </c>
      <c r="G233" s="12">
        <f>IF((G65&lt;='Commission plan'!E2),0,IF((G65&gt;='Commission plan'!E3),('Commission plan'!E3-'Commission plan'!E2),(G65-'Commission plan'!E2)))</f>
        <v>0</v>
      </c>
      <c r="H233" s="12">
        <f>IF((H65&lt;='Commission plan'!F2),0,IF((H65&gt;='Commission plan'!F3),('Commission plan'!F3-'Commission plan'!F2),(H65-'Commission plan'!F2)))</f>
        <v>0</v>
      </c>
      <c r="I233" s="12">
        <f>SUM(D233:H233)</f>
        <v>0</v>
      </c>
    </row>
    <row r="234">
      <c r="A234" s="0" t="inlineStr">
        <is>
          <t xml:space="preserve">Attainment in tranche</t>
        </is>
      </c>
      <c r="B234" s="0" t="inlineStr">
        <is>
          <t xml:space="preserve">Ingrid Müller</t>
        </is>
      </c>
      <c r="C234" s="0" t="inlineStr">
        <is>
          <t xml:space="preserve">Q3 2025</t>
        </is>
      </c>
      <c r="D234" s="12">
        <f>IF((D66&lt;='Commission plan'!B2),0,IF((D66&gt;='Commission plan'!B3),('Commission plan'!B3-'Commission plan'!B2),(D66-'Commission plan'!B2)))</f>
        <v>0</v>
      </c>
      <c r="E234" s="12">
        <f>IF((E66&lt;='Commission plan'!C2),0,IF((E66&gt;='Commission plan'!C3),('Commission plan'!C3-'Commission plan'!C2),(E66-'Commission plan'!C2)))</f>
        <v>0</v>
      </c>
      <c r="F234" s="12">
        <f>IF((F66&lt;='Commission plan'!D2),0,IF((F66&gt;='Commission plan'!D3),('Commission plan'!D3-'Commission plan'!D2),(F66-'Commission plan'!D2)))</f>
        <v>0</v>
      </c>
      <c r="G234" s="12">
        <f>IF((G66&lt;='Commission plan'!E2),0,IF((G66&gt;='Commission plan'!E3),('Commission plan'!E3-'Commission plan'!E2),(G66-'Commission plan'!E2)))</f>
        <v>0</v>
      </c>
      <c r="H234" s="12">
        <f>IF((H66&lt;='Commission plan'!F2),0,IF((H66&gt;='Commission plan'!F3),('Commission plan'!F3-'Commission plan'!F2),(H66-'Commission plan'!F2)))</f>
        <v>0</v>
      </c>
      <c r="I234" s="12">
        <f>SUM(D234:H234)</f>
        <v>0</v>
      </c>
    </row>
    <row r="235">
      <c r="A235" s="0" t="inlineStr">
        <is>
          <t xml:space="preserve">Attainment in tranche</t>
        </is>
      </c>
      <c r="B235" s="0" t="inlineStr">
        <is>
          <t xml:space="preserve">Ingrid Müller</t>
        </is>
      </c>
      <c r="C235" s="0" t="inlineStr">
        <is>
          <t xml:space="preserve">Q4 2025</t>
        </is>
      </c>
      <c r="D235" s="12">
        <f>IF((D67&lt;='Commission plan'!B2),0,IF((D67&gt;='Commission plan'!B3),('Commission plan'!B3-'Commission plan'!B2),(D67-'Commission plan'!B2)))</f>
        <v>0</v>
      </c>
      <c r="E235" s="12">
        <f>IF((E67&lt;='Commission plan'!C2),0,IF((E67&gt;='Commission plan'!C3),('Commission plan'!C3-'Commission plan'!C2),(E67-'Commission plan'!C2)))</f>
        <v>0</v>
      </c>
      <c r="F235" s="12">
        <f>IF((F67&lt;='Commission plan'!D2),0,IF((F67&gt;='Commission plan'!D3),('Commission plan'!D3-'Commission plan'!D2),(F67-'Commission plan'!D2)))</f>
        <v>0</v>
      </c>
      <c r="G235" s="12">
        <f>IF((G67&lt;='Commission plan'!E2),0,IF((G67&gt;='Commission plan'!E3),('Commission plan'!E3-'Commission plan'!E2),(G67-'Commission plan'!E2)))</f>
        <v>0</v>
      </c>
      <c r="H235" s="12">
        <f>IF((H67&lt;='Commission plan'!F2),0,IF((H67&gt;='Commission plan'!F3),('Commission plan'!F3-'Commission plan'!F2),(H67-'Commission plan'!F2)))</f>
        <v>0</v>
      </c>
      <c r="I235" s="12">
        <f>SUM(D235:H235)</f>
        <v>0</v>
      </c>
    </row>
    <row r="236">
      <c r="A236" s="0" t="inlineStr">
        <is>
          <t xml:space="preserve">Attainment in tranche</t>
        </is>
      </c>
      <c r="B236" s="0" t="inlineStr">
        <is>
          <t xml:space="preserve">Ingrid Müller</t>
        </is>
      </c>
      <c r="C236" s="0" t="inlineStr">
        <is>
          <t xml:space="preserve">Q1 2026</t>
        </is>
      </c>
      <c r="D236" s="12">
        <f>IF((D68&lt;='Commission plan'!B2),0,IF((D68&gt;='Commission plan'!B3),('Commission plan'!B3-'Commission plan'!B2),(D68-'Commission plan'!B2)))</f>
        <v>0</v>
      </c>
      <c r="E236" s="12">
        <f>IF((E68&lt;='Commission plan'!C2),0,IF((E68&gt;='Commission plan'!C3),('Commission plan'!C3-'Commission plan'!C2),(E68-'Commission plan'!C2)))</f>
        <v>0</v>
      </c>
      <c r="F236" s="12">
        <f>IF((F68&lt;='Commission plan'!D2),0,IF((F68&gt;='Commission plan'!D3),('Commission plan'!D3-'Commission plan'!D2),(F68-'Commission plan'!D2)))</f>
        <v>0</v>
      </c>
      <c r="G236" s="12">
        <f>IF((G68&lt;='Commission plan'!E2),0,IF((G68&gt;='Commission plan'!E3),('Commission plan'!E3-'Commission plan'!E2),(G68-'Commission plan'!E2)))</f>
        <v>0</v>
      </c>
      <c r="H236" s="12">
        <f>IF((H68&lt;='Commission plan'!F2),0,IF((H68&gt;='Commission plan'!F3),('Commission plan'!F3-'Commission plan'!F2),(H68-'Commission plan'!F2)))</f>
        <v>0</v>
      </c>
      <c r="I236" s="12">
        <f>SUM(D236:H236)</f>
        <v>0</v>
      </c>
    </row>
    <row r="237">
      <c r="A237" s="0" t="inlineStr">
        <is>
          <t xml:space="preserve">Attainment in tranche</t>
        </is>
      </c>
      <c r="B237" s="0" t="inlineStr">
        <is>
          <t xml:space="preserve">Ingrid Müller</t>
        </is>
      </c>
      <c r="C237" s="0" t="inlineStr">
        <is>
          <t xml:space="preserve">Q2 2026</t>
        </is>
      </c>
      <c r="D237" s="12">
        <f>IF((D69&lt;='Commission plan'!B2),0,IF((D69&gt;='Commission plan'!B3),('Commission plan'!B3-'Commission plan'!B2),(D69-'Commission plan'!B2)))</f>
        <v>0.5</v>
      </c>
      <c r="E237" s="12">
        <f>IF((E69&lt;='Commission plan'!C2),0,IF((E69&gt;='Commission plan'!C3),('Commission plan'!C3-'Commission plan'!C2),(E69-'Commission plan'!C2)))</f>
        <v>0.5</v>
      </c>
      <c r="F237" s="12">
        <f>IF((F69&lt;='Commission plan'!D2),0,IF((F69&gt;='Commission plan'!D3),('Commission plan'!D3-'Commission plan'!D2),(F69-'Commission plan'!D2)))</f>
        <v>0.25</v>
      </c>
      <c r="G237" s="12">
        <f>IF((G69&lt;='Commission plan'!E2),0,IF((G69&gt;='Commission plan'!E3),('Commission plan'!E3-'Commission plan'!E2),(G69-'Commission plan'!E2)))</f>
        <v>0.25</v>
      </c>
      <c r="H237" s="12">
        <f>IF((H69&lt;='Commission plan'!F2),0,IF((H69&gt;='Commission plan'!F3),('Commission plan'!F3-'Commission plan'!F2),(H69-'Commission plan'!F2)))</f>
        <v>1.267924528301887</v>
      </c>
      <c r="I237" s="12">
        <f>SUM(D237:H237)</f>
        <v>2.767924528301887</v>
      </c>
    </row>
    <row r="238">
      <c r="A238" s="0" t="inlineStr">
        <is>
          <t xml:space="preserve">Attainment in tranche</t>
        </is>
      </c>
      <c r="B238" s="0" t="inlineStr">
        <is>
          <t xml:space="preserve">Ingrid Müller</t>
        </is>
      </c>
      <c r="C238" s="0" t="inlineStr">
        <is>
          <t xml:space="preserve">Q3 2026</t>
        </is>
      </c>
      <c r="D238" s="12">
        <f>IF((D70&lt;='Commission plan'!B2),0,IF((D70&gt;='Commission plan'!B3),('Commission plan'!B3-'Commission plan'!B2),(D70-'Commission plan'!B2)))</f>
        <v>0.5</v>
      </c>
      <c r="E238" s="12">
        <f>IF((E70&lt;='Commission plan'!C2),0,IF((E70&gt;='Commission plan'!C3),('Commission plan'!C3-'Commission plan'!C2),(E70-'Commission plan'!C2)))</f>
        <v>0.5</v>
      </c>
      <c r="F238" s="12">
        <f>IF((F70&lt;='Commission plan'!D2),0,IF((F70&gt;='Commission plan'!D3),('Commission plan'!D3-'Commission plan'!D2),(F70-'Commission plan'!D2)))</f>
        <v>0.25</v>
      </c>
      <c r="G238" s="12">
        <f>IF((G70&lt;='Commission plan'!E2),0,IF((G70&gt;='Commission plan'!E3),('Commission plan'!E3-'Commission plan'!E2),(G70-'Commission plan'!E2)))</f>
        <v>0.25</v>
      </c>
      <c r="H238" s="12">
        <f>IF((H70&lt;='Commission plan'!F2),0,IF((H70&gt;='Commission plan'!F3),('Commission plan'!F3-'Commission plan'!F2),(H70-'Commission plan'!F2)))</f>
        <v>0.8179245283018868</v>
      </c>
      <c r="I238" s="12">
        <f>SUM(D238:H238)</f>
        <v>2.3179245283018868</v>
      </c>
    </row>
    <row r="239">
      <c r="A239" s="0" t="inlineStr">
        <is>
          <t xml:space="preserve">Attainment in tranche</t>
        </is>
      </c>
      <c r="B239" s="0" t="inlineStr">
        <is>
          <t xml:space="preserve">Ingrid Müller</t>
        </is>
      </c>
      <c r="C239" s="0" t="inlineStr">
        <is>
          <t xml:space="preserve">Q4 2026</t>
        </is>
      </c>
      <c r="D239" s="12">
        <f>IF((D71&lt;='Commission plan'!B2),0,IF((D71&gt;='Commission plan'!B3),('Commission plan'!B3-'Commission plan'!B2),(D71-'Commission plan'!B2)))</f>
        <v>0</v>
      </c>
      <c r="E239" s="12">
        <f>IF((E71&lt;='Commission plan'!C2),0,IF((E71&gt;='Commission plan'!C3),('Commission plan'!C3-'Commission plan'!C2),(E71-'Commission plan'!C2)))</f>
        <v>0</v>
      </c>
      <c r="F239" s="12">
        <f>IF((F71&lt;='Commission plan'!D2),0,IF((F71&gt;='Commission plan'!D3),('Commission plan'!D3-'Commission plan'!D2),(F71-'Commission plan'!D2)))</f>
        <v>0</v>
      </c>
      <c r="G239" s="12">
        <f>IF((G71&lt;='Commission plan'!E2),0,IF((G71&gt;='Commission plan'!E3),('Commission plan'!E3-'Commission plan'!E2),(G71-'Commission plan'!E2)))</f>
        <v>0</v>
      </c>
      <c r="H239" s="12">
        <f>IF((H71&lt;='Commission plan'!F2),0,IF((H71&gt;='Commission plan'!F3),('Commission plan'!F3-'Commission plan'!F2),(H71-'Commission plan'!F2)))</f>
        <v>0</v>
      </c>
      <c r="I239" s="12">
        <f>SUM(D239:H239)</f>
        <v>0</v>
      </c>
    </row>
    <row r="240">
      <c r="A240" s="0" t="inlineStr">
        <is>
          <t xml:space="preserve">Attainment in tranche</t>
        </is>
      </c>
      <c r="B240" s="0" t="inlineStr">
        <is>
          <t xml:space="preserve">Ingrid Kim</t>
        </is>
      </c>
      <c r="C240" s="0" t="inlineStr">
        <is>
          <t xml:space="preserve">Q2 2025</t>
        </is>
      </c>
      <c r="D240" s="12">
        <f>IF((D72&lt;='Commission plan'!B2),0,IF((D72&gt;='Commission plan'!B3),('Commission plan'!B3-'Commission plan'!B2),(D72-'Commission plan'!B2)))</f>
        <v>0.5</v>
      </c>
      <c r="E240" s="12">
        <f>IF((E72&lt;='Commission plan'!C2),0,IF((E72&gt;='Commission plan'!C3),('Commission plan'!C3-'Commission plan'!C2),(E72-'Commission plan'!C2)))</f>
        <v>0.21964285714285714</v>
      </c>
      <c r="F240" s="12">
        <f>IF((F72&lt;='Commission plan'!D2),0,IF((F72&gt;='Commission plan'!D3),('Commission plan'!D3-'Commission plan'!D2),(F72-'Commission plan'!D2)))</f>
        <v>0</v>
      </c>
      <c r="G240" s="12">
        <f>IF((G72&lt;='Commission plan'!E2),0,IF((G72&gt;='Commission plan'!E3),('Commission plan'!E3-'Commission plan'!E2),(G72-'Commission plan'!E2)))</f>
        <v>0</v>
      </c>
      <c r="H240" s="12">
        <f>IF((H72&lt;='Commission plan'!F2),0,IF((H72&gt;='Commission plan'!F3),('Commission plan'!F3-'Commission plan'!F2),(H72-'Commission plan'!F2)))</f>
        <v>0</v>
      </c>
      <c r="I240" s="12">
        <f>SUM(D240:H240)</f>
        <v>0.7196428571428571</v>
      </c>
    </row>
    <row r="241">
      <c r="A241" s="0" t="inlineStr">
        <is>
          <t xml:space="preserve">Attainment in tranche</t>
        </is>
      </c>
      <c r="B241" s="0" t="inlineStr">
        <is>
          <t xml:space="preserve">Ingrid Kim</t>
        </is>
      </c>
      <c r="C241" s="0" t="inlineStr">
        <is>
          <t xml:space="preserve">Q3 2025</t>
        </is>
      </c>
      <c r="D241" s="12">
        <f>IF((D73&lt;='Commission plan'!B2),0,IF((D73&gt;='Commission plan'!B3),('Commission plan'!B3-'Commission plan'!B2),(D73-'Commission plan'!B2)))</f>
        <v>0.5</v>
      </c>
      <c r="E241" s="12">
        <f>IF((E73&lt;='Commission plan'!C2),0,IF((E73&gt;='Commission plan'!C3),('Commission plan'!C3-'Commission plan'!C2),(E73-'Commission plan'!C2)))</f>
        <v>0.27321428571428574</v>
      </c>
      <c r="F241" s="12">
        <f>IF((F73&lt;='Commission plan'!D2),0,IF((F73&gt;='Commission plan'!D3),('Commission plan'!D3-'Commission plan'!D2),(F73-'Commission plan'!D2)))</f>
        <v>0</v>
      </c>
      <c r="G241" s="12">
        <f>IF((G73&lt;='Commission plan'!E2),0,IF((G73&gt;='Commission plan'!E3),('Commission plan'!E3-'Commission plan'!E2),(G73-'Commission plan'!E2)))</f>
        <v>0</v>
      </c>
      <c r="H241" s="12">
        <f>IF((H73&lt;='Commission plan'!F2),0,IF((H73&gt;='Commission plan'!F3),('Commission plan'!F3-'Commission plan'!F2),(H73-'Commission plan'!F2)))</f>
        <v>0</v>
      </c>
      <c r="I241" s="12">
        <f>SUM(D241:H241)</f>
        <v>0.7732142857142857</v>
      </c>
    </row>
    <row r="242">
      <c r="A242" s="0" t="inlineStr">
        <is>
          <t xml:space="preserve">Attainment in tranche</t>
        </is>
      </c>
      <c r="B242" s="0" t="inlineStr">
        <is>
          <t xml:space="preserve">Ingrid Kim</t>
        </is>
      </c>
      <c r="C242" s="0" t="inlineStr">
        <is>
          <t xml:space="preserve">Q4 2025</t>
        </is>
      </c>
      <c r="D242" s="12">
        <f>IF((D74&lt;='Commission plan'!B2),0,IF((D74&gt;='Commission plan'!B3),('Commission plan'!B3-'Commission plan'!B2),(D74-'Commission plan'!B2)))</f>
        <v>0.5</v>
      </c>
      <c r="E242" s="12">
        <f>IF((E74&lt;='Commission plan'!C2),0,IF((E74&gt;='Commission plan'!C3),('Commission plan'!C3-'Commission plan'!C2),(E74-'Commission plan'!C2)))</f>
        <v>0.5</v>
      </c>
      <c r="F242" s="12">
        <f>IF((F74&lt;='Commission plan'!D2),0,IF((F74&gt;='Commission plan'!D3),('Commission plan'!D3-'Commission plan'!D2),(F74-'Commission plan'!D2)))</f>
        <v>0.12321428571428572</v>
      </c>
      <c r="G242" s="12">
        <f>IF((G74&lt;='Commission plan'!E2),0,IF((G74&gt;='Commission plan'!E3),('Commission plan'!E3-'Commission plan'!E2),(G74-'Commission plan'!E2)))</f>
        <v>0</v>
      </c>
      <c r="H242" s="12">
        <f>IF((H74&lt;='Commission plan'!F2),0,IF((H74&gt;='Commission plan'!F3),('Commission plan'!F3-'Commission plan'!F2),(H74-'Commission plan'!F2)))</f>
        <v>0</v>
      </c>
      <c r="I242" s="12">
        <f>SUM(D242:H242)</f>
        <v>1.1232142857142857</v>
      </c>
    </row>
    <row r="243">
      <c r="A243" s="0" t="inlineStr">
        <is>
          <t xml:space="preserve">Attainment in tranche</t>
        </is>
      </c>
      <c r="B243" s="0" t="inlineStr">
        <is>
          <t xml:space="preserve">Ingrid Kim</t>
        </is>
      </c>
      <c r="C243" s="0" t="inlineStr">
        <is>
          <t xml:space="preserve">Q1 2026</t>
        </is>
      </c>
      <c r="D243" s="12">
        <f>IF((D75&lt;='Commission plan'!B2),0,IF((D75&gt;='Commission plan'!B3),('Commission plan'!B3-'Commission plan'!B2),(D75-'Commission plan'!B2)))</f>
        <v>0.5</v>
      </c>
      <c r="E243" s="12">
        <f>IF((E75&lt;='Commission plan'!C2),0,IF((E75&gt;='Commission plan'!C3),('Commission plan'!C3-'Commission plan'!C2),(E75-'Commission plan'!C2)))</f>
        <v>0.4508928571428571</v>
      </c>
      <c r="F243" s="12">
        <f>IF((F75&lt;='Commission plan'!D2),0,IF((F75&gt;='Commission plan'!D3),('Commission plan'!D3-'Commission plan'!D2),(F75-'Commission plan'!D2)))</f>
        <v>0</v>
      </c>
      <c r="G243" s="12">
        <f>IF((G75&lt;='Commission plan'!E2),0,IF((G75&gt;='Commission plan'!E3),('Commission plan'!E3-'Commission plan'!E2),(G75-'Commission plan'!E2)))</f>
        <v>0</v>
      </c>
      <c r="H243" s="12">
        <f>IF((H75&lt;='Commission plan'!F2),0,IF((H75&gt;='Commission plan'!F3),('Commission plan'!F3-'Commission plan'!F2),(H75-'Commission plan'!F2)))</f>
        <v>0</v>
      </c>
      <c r="I243" s="12">
        <f>SUM(D243:H243)</f>
        <v>0.9508928571428571</v>
      </c>
    </row>
    <row r="244">
      <c r="A244" s="0" t="inlineStr">
        <is>
          <t xml:space="preserve">Attainment in tranche</t>
        </is>
      </c>
      <c r="B244" s="0" t="inlineStr">
        <is>
          <t xml:space="preserve">Ingrid Kim</t>
        </is>
      </c>
      <c r="C244" s="0" t="inlineStr">
        <is>
          <t xml:space="preserve">Q2 2026</t>
        </is>
      </c>
      <c r="D244" s="12">
        <f>IF((D76&lt;='Commission plan'!B2),0,IF((D76&gt;='Commission plan'!B3),('Commission plan'!B3-'Commission plan'!B2),(D76-'Commission plan'!B2)))</f>
        <v>0.23660714285714285</v>
      </c>
      <c r="E244" s="12">
        <f>IF((E76&lt;='Commission plan'!C2),0,IF((E76&gt;='Commission plan'!C3),('Commission plan'!C3-'Commission plan'!C2),(E76-'Commission plan'!C2)))</f>
        <v>0</v>
      </c>
      <c r="F244" s="12">
        <f>IF((F76&lt;='Commission plan'!D2),0,IF((F76&gt;='Commission plan'!D3),('Commission plan'!D3-'Commission plan'!D2),(F76-'Commission plan'!D2)))</f>
        <v>0</v>
      </c>
      <c r="G244" s="12">
        <f>IF((G76&lt;='Commission plan'!E2),0,IF((G76&gt;='Commission plan'!E3),('Commission plan'!E3-'Commission plan'!E2),(G76-'Commission plan'!E2)))</f>
        <v>0</v>
      </c>
      <c r="H244" s="12">
        <f>IF((H76&lt;='Commission plan'!F2),0,IF((H76&gt;='Commission plan'!F3),('Commission plan'!F3-'Commission plan'!F2),(H76-'Commission plan'!F2)))</f>
        <v>0</v>
      </c>
      <c r="I244" s="12">
        <f>SUM(D244:H244)</f>
        <v>0.23660714285714285</v>
      </c>
    </row>
    <row r="245">
      <c r="A245" s="0" t="inlineStr">
        <is>
          <t xml:space="preserve">Attainment in tranche</t>
        </is>
      </c>
      <c r="B245" s="0" t="inlineStr">
        <is>
          <t xml:space="preserve">Ingrid Kim</t>
        </is>
      </c>
      <c r="C245" s="0" t="inlineStr">
        <is>
          <t xml:space="preserve">Q3 2026</t>
        </is>
      </c>
      <c r="D245" s="12">
        <f>IF((D77&lt;='Commission plan'!B2),0,IF((D77&gt;='Commission plan'!B3),('Commission plan'!B3-'Commission plan'!B2),(D77-'Commission plan'!B2)))</f>
        <v>0.5</v>
      </c>
      <c r="E245" s="12">
        <f>IF((E77&lt;='Commission plan'!C2),0,IF((E77&gt;='Commission plan'!C3),('Commission plan'!C3-'Commission plan'!C2),(E77-'Commission plan'!C2)))</f>
        <v>0.29553571428571423</v>
      </c>
      <c r="F245" s="12">
        <f>IF((F77&lt;='Commission plan'!D2),0,IF((F77&gt;='Commission plan'!D3),('Commission plan'!D3-'Commission plan'!D2),(F77-'Commission plan'!D2)))</f>
        <v>0</v>
      </c>
      <c r="G245" s="12">
        <f>IF((G77&lt;='Commission plan'!E2),0,IF((G77&gt;='Commission plan'!E3),('Commission plan'!E3-'Commission plan'!E2),(G77-'Commission plan'!E2)))</f>
        <v>0</v>
      </c>
      <c r="H245" s="12">
        <f>IF((H77&lt;='Commission plan'!F2),0,IF((H77&gt;='Commission plan'!F3),('Commission plan'!F3-'Commission plan'!F2),(H77-'Commission plan'!F2)))</f>
        <v>0</v>
      </c>
      <c r="I245" s="12">
        <f>SUM(D245:H245)</f>
        <v>0.7955357142857142</v>
      </c>
    </row>
    <row r="246">
      <c r="A246" s="0" t="inlineStr">
        <is>
          <t xml:space="preserve">Attainment in tranche</t>
        </is>
      </c>
      <c r="B246" s="0" t="inlineStr">
        <is>
          <t xml:space="preserve">Ingrid Kim</t>
        </is>
      </c>
      <c r="C246" s="0" t="inlineStr">
        <is>
          <t xml:space="preserve">Q4 2026</t>
        </is>
      </c>
      <c r="D246" s="12">
        <f>IF((D78&lt;='Commission plan'!B2),0,IF((D78&gt;='Commission plan'!B3),('Commission plan'!B3-'Commission plan'!B2),(D78-'Commission plan'!B2)))</f>
        <v>0</v>
      </c>
      <c r="E246" s="12">
        <f>IF((E78&lt;='Commission plan'!C2),0,IF((E78&gt;='Commission plan'!C3),('Commission plan'!C3-'Commission plan'!C2),(E78-'Commission plan'!C2)))</f>
        <v>0</v>
      </c>
      <c r="F246" s="12">
        <f>IF((F78&lt;='Commission plan'!D2),0,IF((F78&gt;='Commission plan'!D3),('Commission plan'!D3-'Commission plan'!D2),(F78-'Commission plan'!D2)))</f>
        <v>0</v>
      </c>
      <c r="G246" s="12">
        <f>IF((G78&lt;='Commission plan'!E2),0,IF((G78&gt;='Commission plan'!E3),('Commission plan'!E3-'Commission plan'!E2),(G78-'Commission plan'!E2)))</f>
        <v>0</v>
      </c>
      <c r="H246" s="12">
        <f>IF((H78&lt;='Commission plan'!F2),0,IF((H78&gt;='Commission plan'!F3),('Commission plan'!F3-'Commission plan'!F2),(H78-'Commission plan'!F2)))</f>
        <v>0</v>
      </c>
      <c r="I246" s="12">
        <f>SUM(D246:H246)</f>
        <v>0</v>
      </c>
    </row>
    <row r="247">
      <c r="A247" s="0" t="inlineStr">
        <is>
          <t xml:space="preserve">Attainment in tranche</t>
        </is>
      </c>
      <c r="B247" s="0" t="inlineStr">
        <is>
          <t xml:space="preserve">Priya Nair</t>
        </is>
      </c>
      <c r="C247" s="0" t="inlineStr">
        <is>
          <t xml:space="preserve">Q2 2025</t>
        </is>
      </c>
      <c r="D247" s="12">
        <f>IF((D79&lt;='Commission plan'!B2),0,IF((D79&gt;='Commission plan'!B3),('Commission plan'!B3-'Commission plan'!B2),(D79-'Commission plan'!B2)))</f>
        <v>0.5</v>
      </c>
      <c r="E247" s="12">
        <f>IF((E79&lt;='Commission plan'!C2),0,IF((E79&gt;='Commission plan'!C3),('Commission plan'!C3-'Commission plan'!C2),(E79-'Commission plan'!C2)))</f>
        <v>0.13035714285714284</v>
      </c>
      <c r="F247" s="12">
        <f>IF((F79&lt;='Commission plan'!D2),0,IF((F79&gt;='Commission plan'!D3),('Commission plan'!D3-'Commission plan'!D2),(F79-'Commission plan'!D2)))</f>
        <v>0</v>
      </c>
      <c r="G247" s="12">
        <f>IF((G79&lt;='Commission plan'!E2),0,IF((G79&gt;='Commission plan'!E3),('Commission plan'!E3-'Commission plan'!E2),(G79-'Commission plan'!E2)))</f>
        <v>0</v>
      </c>
      <c r="H247" s="12">
        <f>IF((H79&lt;='Commission plan'!F2),0,IF((H79&gt;='Commission plan'!F3),('Commission plan'!F3-'Commission plan'!F2),(H79-'Commission plan'!F2)))</f>
        <v>0</v>
      </c>
      <c r="I247" s="12">
        <f>SUM(D247:H247)</f>
        <v>0.6303571428571428</v>
      </c>
    </row>
    <row r="248">
      <c r="A248" s="0" t="inlineStr">
        <is>
          <t xml:space="preserve">Attainment in tranche</t>
        </is>
      </c>
      <c r="B248" s="0" t="inlineStr">
        <is>
          <t xml:space="preserve">Priya Nair</t>
        </is>
      </c>
      <c r="C248" s="0" t="inlineStr">
        <is>
          <t xml:space="preserve">Q3 2025</t>
        </is>
      </c>
      <c r="D248" s="12">
        <f>IF((D80&lt;='Commission plan'!B2),0,IF((D80&gt;='Commission plan'!B3),('Commission plan'!B3-'Commission plan'!B2),(D80-'Commission plan'!B2)))</f>
        <v>0.5</v>
      </c>
      <c r="E248" s="12">
        <f>IF((E80&lt;='Commission plan'!C2),0,IF((E80&gt;='Commission plan'!C3),('Commission plan'!C3-'Commission plan'!C2),(E80-'Commission plan'!C2)))</f>
        <v>0.4017857142857143</v>
      </c>
      <c r="F248" s="12">
        <f>IF((F80&lt;='Commission plan'!D2),0,IF((F80&gt;='Commission plan'!D3),('Commission plan'!D3-'Commission plan'!D2),(F80-'Commission plan'!D2)))</f>
        <v>0</v>
      </c>
      <c r="G248" s="12">
        <f>IF((G80&lt;='Commission plan'!E2),0,IF((G80&gt;='Commission plan'!E3),('Commission plan'!E3-'Commission plan'!E2),(G80-'Commission plan'!E2)))</f>
        <v>0</v>
      </c>
      <c r="H248" s="12">
        <f>IF((H80&lt;='Commission plan'!F2),0,IF((H80&gt;='Commission plan'!F3),('Commission plan'!F3-'Commission plan'!F2),(H80-'Commission plan'!F2)))</f>
        <v>0</v>
      </c>
      <c r="I248" s="12">
        <f>SUM(D248:H248)</f>
        <v>0.9017857142857143</v>
      </c>
    </row>
    <row r="249">
      <c r="A249" s="0" t="inlineStr">
        <is>
          <t xml:space="preserve">Attainment in tranche</t>
        </is>
      </c>
      <c r="B249" s="0" t="inlineStr">
        <is>
          <t xml:space="preserve">Priya Nair</t>
        </is>
      </c>
      <c r="C249" s="0" t="inlineStr">
        <is>
          <t xml:space="preserve">Q4 2025</t>
        </is>
      </c>
      <c r="D249" s="12">
        <f>IF((D81&lt;='Commission plan'!B2),0,IF((D81&gt;='Commission plan'!B3),('Commission plan'!B3-'Commission plan'!B2),(D81-'Commission plan'!B2)))</f>
        <v>0.5</v>
      </c>
      <c r="E249" s="12">
        <f>IF((E81&lt;='Commission plan'!C2),0,IF((E81&gt;='Commission plan'!C3),('Commission plan'!C3-'Commission plan'!C2),(E81-'Commission plan'!C2)))</f>
        <v>0.49642857142857144</v>
      </c>
      <c r="F249" s="12">
        <f>IF((F81&lt;='Commission plan'!D2),0,IF((F81&gt;='Commission plan'!D3),('Commission plan'!D3-'Commission plan'!D2),(F81-'Commission plan'!D2)))</f>
        <v>0</v>
      </c>
      <c r="G249" s="12">
        <f>IF((G81&lt;='Commission plan'!E2),0,IF((G81&gt;='Commission plan'!E3),('Commission plan'!E3-'Commission plan'!E2),(G81-'Commission plan'!E2)))</f>
        <v>0</v>
      </c>
      <c r="H249" s="12">
        <f>IF((H81&lt;='Commission plan'!F2),0,IF((H81&gt;='Commission plan'!F3),('Commission plan'!F3-'Commission plan'!F2),(H81-'Commission plan'!F2)))</f>
        <v>0</v>
      </c>
      <c r="I249" s="12">
        <f>SUM(D249:H249)</f>
        <v>0.9964285714285714</v>
      </c>
    </row>
    <row r="250">
      <c r="A250" s="0" t="inlineStr">
        <is>
          <t xml:space="preserve">Attainment in tranche</t>
        </is>
      </c>
      <c r="B250" s="0" t="inlineStr">
        <is>
          <t xml:space="preserve">Priya Nair</t>
        </is>
      </c>
      <c r="C250" s="0" t="inlineStr">
        <is>
          <t xml:space="preserve">Q1 2026</t>
        </is>
      </c>
      <c r="D250" s="12">
        <f>IF((D82&lt;='Commission plan'!B2),0,IF((D82&gt;='Commission plan'!B3),('Commission plan'!B3-'Commission plan'!B2),(D82-'Commission plan'!B2)))</f>
        <v>0.5</v>
      </c>
      <c r="E250" s="12">
        <f>IF((E82&lt;='Commission plan'!C2),0,IF((E82&gt;='Commission plan'!C3),('Commission plan'!C3-'Commission plan'!C2),(E82-'Commission plan'!C2)))</f>
        <v>0.17589285714285718</v>
      </c>
      <c r="F250" s="12">
        <f>IF((F82&lt;='Commission plan'!D2),0,IF((F82&gt;='Commission plan'!D3),('Commission plan'!D3-'Commission plan'!D2),(F82-'Commission plan'!D2)))</f>
        <v>0</v>
      </c>
      <c r="G250" s="12">
        <f>IF((G82&lt;='Commission plan'!E2),0,IF((G82&gt;='Commission plan'!E3),('Commission plan'!E3-'Commission plan'!E2),(G82-'Commission plan'!E2)))</f>
        <v>0</v>
      </c>
      <c r="H250" s="12">
        <f>IF((H82&lt;='Commission plan'!F2),0,IF((H82&gt;='Commission plan'!F3),('Commission plan'!F3-'Commission plan'!F2),(H82-'Commission plan'!F2)))</f>
        <v>0</v>
      </c>
      <c r="I250" s="12">
        <f>SUM(D250:H250)</f>
        <v>0.6758928571428572</v>
      </c>
    </row>
    <row r="251">
      <c r="A251" s="0" t="inlineStr">
        <is>
          <t xml:space="preserve">Attainment in tranche</t>
        </is>
      </c>
      <c r="B251" s="0" t="inlineStr">
        <is>
          <t xml:space="preserve">Priya Nair</t>
        </is>
      </c>
      <c r="C251" s="0" t="inlineStr">
        <is>
          <t xml:space="preserve">Q2 2026</t>
        </is>
      </c>
      <c r="D251" s="12">
        <f>IF((D83&lt;='Commission plan'!B2),0,IF((D83&gt;='Commission plan'!B3),('Commission plan'!B3-'Commission plan'!B2),(D83-'Commission plan'!B2)))</f>
        <v>0.5</v>
      </c>
      <c r="E251" s="12">
        <f>IF((E83&lt;='Commission plan'!C2),0,IF((E83&gt;='Commission plan'!C3),('Commission plan'!C3-'Commission plan'!C2),(E83-'Commission plan'!C2)))</f>
        <v>0.42500000000000004</v>
      </c>
      <c r="F251" s="12">
        <f>IF((F83&lt;='Commission plan'!D2),0,IF((F83&gt;='Commission plan'!D3),('Commission plan'!D3-'Commission plan'!D2),(F83-'Commission plan'!D2)))</f>
        <v>0</v>
      </c>
      <c r="G251" s="12">
        <f>IF((G83&lt;='Commission plan'!E2),0,IF((G83&gt;='Commission plan'!E3),('Commission plan'!E3-'Commission plan'!E2),(G83-'Commission plan'!E2)))</f>
        <v>0</v>
      </c>
      <c r="H251" s="12">
        <f>IF((H83&lt;='Commission plan'!F2),0,IF((H83&gt;='Commission plan'!F3),('Commission plan'!F3-'Commission plan'!F2),(H83-'Commission plan'!F2)))</f>
        <v>0</v>
      </c>
      <c r="I251" s="12">
        <f>SUM(D251:H251)</f>
        <v>0.925</v>
      </c>
    </row>
    <row r="252">
      <c r="A252" s="0" t="inlineStr">
        <is>
          <t xml:space="preserve">Attainment in tranche</t>
        </is>
      </c>
      <c r="B252" s="0" t="inlineStr">
        <is>
          <t xml:space="preserve">Priya Nair</t>
        </is>
      </c>
      <c r="C252" s="0" t="inlineStr">
        <is>
          <t xml:space="preserve">Q3 2026</t>
        </is>
      </c>
      <c r="D252" s="12">
        <f>IF((D84&lt;='Commission plan'!B2),0,IF((D84&gt;='Commission plan'!B3),('Commission plan'!B3-'Commission plan'!B2),(D84-'Commission plan'!B2)))</f>
        <v>0.33214285714285713</v>
      </c>
      <c r="E252" s="12">
        <f>IF((E84&lt;='Commission plan'!C2),0,IF((E84&gt;='Commission plan'!C3),('Commission plan'!C3-'Commission plan'!C2),(E84-'Commission plan'!C2)))</f>
        <v>0</v>
      </c>
      <c r="F252" s="12">
        <f>IF((F84&lt;='Commission plan'!D2),0,IF((F84&gt;='Commission plan'!D3),('Commission plan'!D3-'Commission plan'!D2),(F84-'Commission plan'!D2)))</f>
        <v>0</v>
      </c>
      <c r="G252" s="12">
        <f>IF((G84&lt;='Commission plan'!E2),0,IF((G84&gt;='Commission plan'!E3),('Commission plan'!E3-'Commission plan'!E2),(G84-'Commission plan'!E2)))</f>
        <v>0</v>
      </c>
      <c r="H252" s="12">
        <f>IF((H84&lt;='Commission plan'!F2),0,IF((H84&gt;='Commission plan'!F3),('Commission plan'!F3-'Commission plan'!F2),(H84-'Commission plan'!F2)))</f>
        <v>0</v>
      </c>
      <c r="I252" s="12">
        <f>SUM(D252:H252)</f>
        <v>0.33214285714285713</v>
      </c>
    </row>
    <row r="253">
      <c r="A253" s="0" t="inlineStr">
        <is>
          <t xml:space="preserve">Attainment in tranche</t>
        </is>
      </c>
      <c r="B253" s="0" t="inlineStr">
        <is>
          <t xml:space="preserve">Priya Nair</t>
        </is>
      </c>
      <c r="C253" s="0" t="inlineStr">
        <is>
          <t xml:space="preserve">Q4 2026</t>
        </is>
      </c>
      <c r="D253" s="12">
        <f>IF((D85&lt;='Commission plan'!B2),0,IF((D85&gt;='Commission plan'!B3),('Commission plan'!B3-'Commission plan'!B2),(D85-'Commission plan'!B2)))</f>
        <v>0</v>
      </c>
      <c r="E253" s="12">
        <f>IF((E85&lt;='Commission plan'!C2),0,IF((E85&gt;='Commission plan'!C3),('Commission plan'!C3-'Commission plan'!C2),(E85-'Commission plan'!C2)))</f>
        <v>0</v>
      </c>
      <c r="F253" s="12">
        <f>IF((F85&lt;='Commission plan'!D2),0,IF((F85&gt;='Commission plan'!D3),('Commission plan'!D3-'Commission plan'!D2),(F85-'Commission plan'!D2)))</f>
        <v>0</v>
      </c>
      <c r="G253" s="12">
        <f>IF((G85&lt;='Commission plan'!E2),0,IF((G85&gt;='Commission plan'!E3),('Commission plan'!E3-'Commission plan'!E2),(G85-'Commission plan'!E2)))</f>
        <v>0</v>
      </c>
      <c r="H253" s="12">
        <f>IF((H85&lt;='Commission plan'!F2),0,IF((H85&gt;='Commission plan'!F3),('Commission plan'!F3-'Commission plan'!F2),(H85-'Commission plan'!F2)))</f>
        <v>0</v>
      </c>
      <c r="I253" s="12">
        <f>SUM(D253:H253)</f>
        <v>0</v>
      </c>
    </row>
    <row r="254">
      <c r="A254" s="0" t="inlineStr">
        <is>
          <t xml:space="preserve">Attainment in tranche</t>
        </is>
      </c>
      <c r="B254" s="0" t="inlineStr">
        <is>
          <t xml:space="preserve">Hugo Lindqvist</t>
        </is>
      </c>
      <c r="C254" s="0" t="inlineStr">
        <is>
          <t xml:space="preserve">Q2 2025</t>
        </is>
      </c>
      <c r="D254" s="12">
        <f>IF((D86&lt;='Commission plan'!B2),0,IF((D86&gt;='Commission plan'!B3),('Commission plan'!B3-'Commission plan'!B2),(D86-'Commission plan'!B2)))</f>
        <v>0.5</v>
      </c>
      <c r="E254" s="12">
        <f>IF((E86&lt;='Commission plan'!C2),0,IF((E86&gt;='Commission plan'!C3),('Commission plan'!C3-'Commission plan'!C2),(E86-'Commission plan'!C2)))</f>
        <v>0.22721893491124256</v>
      </c>
      <c r="F254" s="12">
        <f>IF((F86&lt;='Commission plan'!D2),0,IF((F86&gt;='Commission plan'!D3),('Commission plan'!D3-'Commission plan'!D2),(F86-'Commission plan'!D2)))</f>
        <v>0</v>
      </c>
      <c r="G254" s="12">
        <f>IF((G86&lt;='Commission plan'!E2),0,IF((G86&gt;='Commission plan'!E3),('Commission plan'!E3-'Commission plan'!E2),(G86-'Commission plan'!E2)))</f>
        <v>0</v>
      </c>
      <c r="H254" s="12">
        <f>IF((H86&lt;='Commission plan'!F2),0,IF((H86&gt;='Commission plan'!F3),('Commission plan'!F3-'Commission plan'!F2),(H86-'Commission plan'!F2)))</f>
        <v>0</v>
      </c>
      <c r="I254" s="12">
        <f>SUM(D254:H254)</f>
        <v>0.7272189349112426</v>
      </c>
    </row>
    <row r="255">
      <c r="A255" s="0" t="inlineStr">
        <is>
          <t xml:space="preserve">Attainment in tranche</t>
        </is>
      </c>
      <c r="B255" s="0" t="inlineStr">
        <is>
          <t xml:space="preserve">Hugo Lindqvist</t>
        </is>
      </c>
      <c r="C255" s="0" t="inlineStr">
        <is>
          <t xml:space="preserve">Q3 2025</t>
        </is>
      </c>
      <c r="D255" s="12">
        <f>IF((D87&lt;='Commission plan'!B2),0,IF((D87&gt;='Commission plan'!B3),('Commission plan'!B3-'Commission plan'!B2),(D87-'Commission plan'!B2)))</f>
        <v>0.5</v>
      </c>
      <c r="E255" s="12">
        <f>IF((E87&lt;='Commission plan'!C2),0,IF((E87&gt;='Commission plan'!C3),('Commission plan'!C3-'Commission plan'!C2),(E87-'Commission plan'!C2)))</f>
        <v>0.5</v>
      </c>
      <c r="F255" s="12">
        <f>IF((F87&lt;='Commission plan'!D2),0,IF((F87&gt;='Commission plan'!D3),('Commission plan'!D3-'Commission plan'!D2),(F87-'Commission plan'!D2)))</f>
        <v>0.25</v>
      </c>
      <c r="G255" s="12">
        <f>IF((G87&lt;='Commission plan'!E2),0,IF((G87&gt;='Commission plan'!E3),('Commission plan'!E3-'Commission plan'!E2),(G87-'Commission plan'!E2)))</f>
        <v>0.25</v>
      </c>
      <c r="H255" s="12">
        <f>IF((H87&lt;='Commission plan'!F2),0,IF((H87&gt;='Commission plan'!F3),('Commission plan'!F3-'Commission plan'!F2),(H87-'Commission plan'!F2)))</f>
        <v>0.6671597633136095</v>
      </c>
      <c r="I255" s="12">
        <f>SUM(D255:H255)</f>
        <v>2.1671597633136095</v>
      </c>
    </row>
    <row r="256">
      <c r="A256" s="0" t="inlineStr">
        <is>
          <t xml:space="preserve">Attainment in tranche</t>
        </is>
      </c>
      <c r="B256" s="0" t="inlineStr">
        <is>
          <t xml:space="preserve">Hugo Lindqvist</t>
        </is>
      </c>
      <c r="C256" s="0" t="inlineStr">
        <is>
          <t xml:space="preserve">Q4 2025</t>
        </is>
      </c>
      <c r="D256" s="12">
        <f>IF((D88&lt;='Commission plan'!B2),0,IF((D88&gt;='Commission plan'!B3),('Commission plan'!B3-'Commission plan'!B2),(D88-'Commission plan'!B2)))</f>
        <v>0.5</v>
      </c>
      <c r="E256" s="12">
        <f>IF((E88&lt;='Commission plan'!C2),0,IF((E88&gt;='Commission plan'!C3),('Commission plan'!C3-'Commission plan'!C2),(E88-'Commission plan'!C2)))</f>
        <v>0.3035502958579882</v>
      </c>
      <c r="F256" s="12">
        <f>IF((F88&lt;='Commission plan'!D2),0,IF((F88&gt;='Commission plan'!D3),('Commission plan'!D3-'Commission plan'!D2),(F88-'Commission plan'!D2)))</f>
        <v>0</v>
      </c>
      <c r="G256" s="12">
        <f>IF((G88&lt;='Commission plan'!E2),0,IF((G88&gt;='Commission plan'!E3),('Commission plan'!E3-'Commission plan'!E2),(G88-'Commission plan'!E2)))</f>
        <v>0</v>
      </c>
      <c r="H256" s="12">
        <f>IF((H88&lt;='Commission plan'!F2),0,IF((H88&gt;='Commission plan'!F3),('Commission plan'!F3-'Commission plan'!F2),(H88-'Commission plan'!F2)))</f>
        <v>0</v>
      </c>
      <c r="I256" s="12">
        <f>SUM(D256:H256)</f>
        <v>0.8035502958579882</v>
      </c>
    </row>
    <row r="257">
      <c r="A257" s="0" t="inlineStr">
        <is>
          <t xml:space="preserve">Attainment in tranche</t>
        </is>
      </c>
      <c r="B257" s="0" t="inlineStr">
        <is>
          <t xml:space="preserve">Hugo Lindqvist</t>
        </is>
      </c>
      <c r="C257" s="0" t="inlineStr">
        <is>
          <t xml:space="preserve">Q1 2026</t>
        </is>
      </c>
      <c r="D257" s="12">
        <f>IF((D89&lt;='Commission plan'!B2),0,IF((D89&gt;='Commission plan'!B3),('Commission plan'!B3-'Commission plan'!B2),(D89-'Commission plan'!B2)))</f>
        <v>0.5</v>
      </c>
      <c r="E257" s="12">
        <f>IF((E89&lt;='Commission plan'!C2),0,IF((E89&gt;='Commission plan'!C3),('Commission plan'!C3-'Commission plan'!C2),(E89-'Commission plan'!C2)))</f>
        <v>0.5</v>
      </c>
      <c r="F257" s="12">
        <f>IF((F89&lt;='Commission plan'!D2),0,IF((F89&gt;='Commission plan'!D3),('Commission plan'!D3-'Commission plan'!D2),(F89-'Commission plan'!D2)))</f>
        <v>0.25</v>
      </c>
      <c r="G257" s="12">
        <f>IF((G89&lt;='Commission plan'!E2),0,IF((G89&gt;='Commission plan'!E3),('Commission plan'!E3-'Commission plan'!E2),(G89-'Commission plan'!E2)))</f>
        <v>0.25</v>
      </c>
      <c r="H257" s="12">
        <f>IF((H89&lt;='Commission plan'!F2),0,IF((H89&gt;='Commission plan'!F3),('Commission plan'!F3-'Commission plan'!F2),(H89-'Commission plan'!F2)))</f>
        <v>0.10739644970414197</v>
      </c>
      <c r="I257" s="12">
        <f>SUM(D257:H257)</f>
        <v>1.607396449704142</v>
      </c>
    </row>
    <row r="258">
      <c r="A258" s="0" t="inlineStr">
        <is>
          <t xml:space="preserve">Attainment in tranche</t>
        </is>
      </c>
      <c r="B258" s="0" t="inlineStr">
        <is>
          <t xml:space="preserve">Hugo Lindqvist</t>
        </is>
      </c>
      <c r="C258" s="0" t="inlineStr">
        <is>
          <t xml:space="preserve">Q2 2026</t>
        </is>
      </c>
      <c r="D258" s="12">
        <f>IF((D90&lt;='Commission plan'!B2),0,IF((D90&gt;='Commission plan'!B3),('Commission plan'!B3-'Commission plan'!B2),(D90-'Commission plan'!B2)))</f>
        <v>0.5</v>
      </c>
      <c r="E258" s="12">
        <f>IF((E90&lt;='Commission plan'!C2),0,IF((E90&gt;='Commission plan'!C3),('Commission plan'!C3-'Commission plan'!C2),(E90-'Commission plan'!C2)))</f>
        <v>0.5</v>
      </c>
      <c r="F258" s="12">
        <f>IF((F90&lt;='Commission plan'!D2),0,IF((F90&gt;='Commission plan'!D3),('Commission plan'!D3-'Commission plan'!D2),(F90-'Commission plan'!D2)))</f>
        <v>0.25</v>
      </c>
      <c r="G258" s="12">
        <f>IF((G90&lt;='Commission plan'!E2),0,IF((G90&gt;='Commission plan'!E3),('Commission plan'!E3-'Commission plan'!E2),(G90-'Commission plan'!E2)))</f>
        <v>0.10207100591715967</v>
      </c>
      <c r="H258" s="12">
        <f>IF((H90&lt;='Commission plan'!F2),0,IF((H90&gt;='Commission plan'!F3),('Commission plan'!F3-'Commission plan'!F2),(H90-'Commission plan'!F2)))</f>
        <v>0</v>
      </c>
      <c r="I258" s="12">
        <f>SUM(D258:H258)</f>
        <v>1.3520710059171597</v>
      </c>
    </row>
    <row r="259">
      <c r="A259" s="0" t="inlineStr">
        <is>
          <t xml:space="preserve">Attainment in tranche</t>
        </is>
      </c>
      <c r="B259" s="0" t="inlineStr">
        <is>
          <t xml:space="preserve">Hugo Lindqvist</t>
        </is>
      </c>
      <c r="C259" s="0" t="inlineStr">
        <is>
          <t xml:space="preserve">Q3 2026</t>
        </is>
      </c>
      <c r="D259" s="12">
        <f>IF((D91&lt;='Commission plan'!B2),0,IF((D91&gt;='Commission plan'!B3),('Commission plan'!B3-'Commission plan'!B2),(D91-'Commission plan'!B2)))</f>
        <v>0.5</v>
      </c>
      <c r="E259" s="12">
        <f>IF((E91&lt;='Commission plan'!C2),0,IF((E91&gt;='Commission plan'!C3),('Commission plan'!C3-'Commission plan'!C2),(E91-'Commission plan'!C2)))</f>
        <v>0.5</v>
      </c>
      <c r="F259" s="12">
        <f>IF((F91&lt;='Commission plan'!D2),0,IF((F91&gt;='Commission plan'!D3),('Commission plan'!D3-'Commission plan'!D2),(F91-'Commission plan'!D2)))</f>
        <v>0.11420118343195274</v>
      </c>
      <c r="G259" s="12">
        <f>IF((G91&lt;='Commission plan'!E2),0,IF((G91&gt;='Commission plan'!E3),('Commission plan'!E3-'Commission plan'!E2),(G91-'Commission plan'!E2)))</f>
        <v>0</v>
      </c>
      <c r="H259" s="12">
        <f>IF((H91&lt;='Commission plan'!F2),0,IF((H91&gt;='Commission plan'!F3),('Commission plan'!F3-'Commission plan'!F2),(H91-'Commission plan'!F2)))</f>
        <v>0</v>
      </c>
      <c r="I259" s="12">
        <f>SUM(D259:H259)</f>
        <v>1.1142011834319527</v>
      </c>
    </row>
    <row r="260">
      <c r="A260" s="0" t="inlineStr">
        <is>
          <t xml:space="preserve">Attainment in tranche</t>
        </is>
      </c>
      <c r="B260" s="0" t="inlineStr">
        <is>
          <t xml:space="preserve">Hugo Lindqvist</t>
        </is>
      </c>
      <c r="C260" s="0" t="inlineStr">
        <is>
          <t xml:space="preserve">Q4 2026</t>
        </is>
      </c>
      <c r="D260" s="12">
        <f>IF((D92&lt;='Commission plan'!B2),0,IF((D92&gt;='Commission plan'!B3),('Commission plan'!B3-'Commission plan'!B2),(D92-'Commission plan'!B2)))</f>
        <v>0</v>
      </c>
      <c r="E260" s="12">
        <f>IF((E92&lt;='Commission plan'!C2),0,IF((E92&gt;='Commission plan'!C3),('Commission plan'!C3-'Commission plan'!C2),(E92-'Commission plan'!C2)))</f>
        <v>0</v>
      </c>
      <c r="F260" s="12">
        <f>IF((F92&lt;='Commission plan'!D2),0,IF((F92&gt;='Commission plan'!D3),('Commission plan'!D3-'Commission plan'!D2),(F92-'Commission plan'!D2)))</f>
        <v>0</v>
      </c>
      <c r="G260" s="12">
        <f>IF((G92&lt;='Commission plan'!E2),0,IF((G92&gt;='Commission plan'!E3),('Commission plan'!E3-'Commission plan'!E2),(G92-'Commission plan'!E2)))</f>
        <v>0</v>
      </c>
      <c r="H260" s="12">
        <f>IF((H92&lt;='Commission plan'!F2),0,IF((H92&gt;='Commission plan'!F3),('Commission plan'!F3-'Commission plan'!F2),(H92-'Commission plan'!F2)))</f>
        <v>0</v>
      </c>
      <c r="I260" s="12">
        <f>SUM(D260:H260)</f>
        <v>0</v>
      </c>
    </row>
    <row r="261">
      <c r="A261" s="0" t="inlineStr">
        <is>
          <t xml:space="preserve">Attainment in tranche</t>
        </is>
      </c>
      <c r="B261" s="0" t="inlineStr">
        <is>
          <t xml:space="preserve">Wei Novak</t>
        </is>
      </c>
      <c r="C261" s="0" t="inlineStr">
        <is>
          <t xml:space="preserve">Q2 2025</t>
        </is>
      </c>
      <c r="D261" s="12">
        <f>IF((D93&lt;='Commission plan'!B2),0,IF((D93&gt;='Commission plan'!B3),('Commission plan'!B3-'Commission plan'!B2),(D93-'Commission plan'!B2)))</f>
        <v>0</v>
      </c>
      <c r="E261" s="12">
        <f>IF((E93&lt;='Commission plan'!C2),0,IF((E93&gt;='Commission plan'!C3),('Commission plan'!C3-'Commission plan'!C2),(E93-'Commission plan'!C2)))</f>
        <v>0</v>
      </c>
      <c r="F261" s="12">
        <f>IF((F93&lt;='Commission plan'!D2),0,IF((F93&gt;='Commission plan'!D3),('Commission plan'!D3-'Commission plan'!D2),(F93-'Commission plan'!D2)))</f>
        <v>0</v>
      </c>
      <c r="G261" s="12">
        <f>IF((G93&lt;='Commission plan'!E2),0,IF((G93&gt;='Commission plan'!E3),('Commission plan'!E3-'Commission plan'!E2),(G93-'Commission plan'!E2)))</f>
        <v>0</v>
      </c>
      <c r="H261" s="12">
        <f>IF((H93&lt;='Commission plan'!F2),0,IF((H93&gt;='Commission plan'!F3),('Commission plan'!F3-'Commission plan'!F2),(H93-'Commission plan'!F2)))</f>
        <v>0</v>
      </c>
      <c r="I261" s="12">
        <f>SUM(D261:H261)</f>
        <v>0</v>
      </c>
    </row>
    <row r="262">
      <c r="A262" s="0" t="inlineStr">
        <is>
          <t xml:space="preserve">Attainment in tranche</t>
        </is>
      </c>
      <c r="B262" s="0" t="inlineStr">
        <is>
          <t xml:space="preserve">Wei Novak</t>
        </is>
      </c>
      <c r="C262" s="0" t="inlineStr">
        <is>
          <t xml:space="preserve">Q3 2025</t>
        </is>
      </c>
      <c r="D262" s="12">
        <f>IF((D94&lt;='Commission plan'!B2),0,IF((D94&gt;='Commission plan'!B3),('Commission plan'!B3-'Commission plan'!B2),(D94-'Commission plan'!B2)))</f>
        <v>0</v>
      </c>
      <c r="E262" s="12">
        <f>IF((E94&lt;='Commission plan'!C2),0,IF((E94&gt;='Commission plan'!C3),('Commission plan'!C3-'Commission plan'!C2),(E94-'Commission plan'!C2)))</f>
        <v>0</v>
      </c>
      <c r="F262" s="12">
        <f>IF((F94&lt;='Commission plan'!D2),0,IF((F94&gt;='Commission plan'!D3),('Commission plan'!D3-'Commission plan'!D2),(F94-'Commission plan'!D2)))</f>
        <v>0</v>
      </c>
      <c r="G262" s="12">
        <f>IF((G94&lt;='Commission plan'!E2),0,IF((G94&gt;='Commission plan'!E3),('Commission plan'!E3-'Commission plan'!E2),(G94-'Commission plan'!E2)))</f>
        <v>0</v>
      </c>
      <c r="H262" s="12">
        <f>IF((H94&lt;='Commission plan'!F2),0,IF((H94&gt;='Commission plan'!F3),('Commission plan'!F3-'Commission plan'!F2),(H94-'Commission plan'!F2)))</f>
        <v>0</v>
      </c>
      <c r="I262" s="12">
        <f>SUM(D262:H262)</f>
        <v>0</v>
      </c>
    </row>
    <row r="263">
      <c r="A263" s="0" t="inlineStr">
        <is>
          <t xml:space="preserve">Attainment in tranche</t>
        </is>
      </c>
      <c r="B263" s="0" t="inlineStr">
        <is>
          <t xml:space="preserve">Wei Novak</t>
        </is>
      </c>
      <c r="C263" s="0" t="inlineStr">
        <is>
          <t xml:space="preserve">Q4 2025</t>
        </is>
      </c>
      <c r="D263" s="12">
        <f>IF((D95&lt;='Commission plan'!B2),0,IF((D95&gt;='Commission plan'!B3),('Commission plan'!B3-'Commission plan'!B2),(D95-'Commission plan'!B2)))</f>
        <v>0</v>
      </c>
      <c r="E263" s="12">
        <f>IF((E95&lt;='Commission plan'!C2),0,IF((E95&gt;='Commission plan'!C3),('Commission plan'!C3-'Commission plan'!C2),(E95-'Commission plan'!C2)))</f>
        <v>0</v>
      </c>
      <c r="F263" s="12">
        <f>IF((F95&lt;='Commission plan'!D2),0,IF((F95&gt;='Commission plan'!D3),('Commission plan'!D3-'Commission plan'!D2),(F95-'Commission plan'!D2)))</f>
        <v>0</v>
      </c>
      <c r="G263" s="12">
        <f>IF((G95&lt;='Commission plan'!E2),0,IF((G95&gt;='Commission plan'!E3),('Commission plan'!E3-'Commission plan'!E2),(G95-'Commission plan'!E2)))</f>
        <v>0</v>
      </c>
      <c r="H263" s="12">
        <f>IF((H95&lt;='Commission plan'!F2),0,IF((H95&gt;='Commission plan'!F3),('Commission plan'!F3-'Commission plan'!F2),(H95-'Commission plan'!F2)))</f>
        <v>0</v>
      </c>
      <c r="I263" s="12">
        <f>SUM(D263:H263)</f>
        <v>0</v>
      </c>
    </row>
    <row r="264">
      <c r="A264" s="0" t="inlineStr">
        <is>
          <t xml:space="preserve">Attainment in tranche</t>
        </is>
      </c>
      <c r="B264" s="0" t="inlineStr">
        <is>
          <t xml:space="preserve">Wei Novak</t>
        </is>
      </c>
      <c r="C264" s="0" t="inlineStr">
        <is>
          <t xml:space="preserve">Q1 2026</t>
        </is>
      </c>
      <c r="D264" s="12">
        <f>IF((D96&lt;='Commission plan'!B2),0,IF((D96&gt;='Commission plan'!B3),('Commission plan'!B3-'Commission plan'!B2),(D96-'Commission plan'!B2)))</f>
        <v>0.2714285714285714</v>
      </c>
      <c r="E264" s="12">
        <f>IF((E96&lt;='Commission plan'!C2),0,IF((E96&gt;='Commission plan'!C3),('Commission plan'!C3-'Commission plan'!C2),(E96-'Commission plan'!C2)))</f>
        <v>0</v>
      </c>
      <c r="F264" s="12">
        <f>IF((F96&lt;='Commission plan'!D2),0,IF((F96&gt;='Commission plan'!D3),('Commission plan'!D3-'Commission plan'!D2),(F96-'Commission plan'!D2)))</f>
        <v>0</v>
      </c>
      <c r="G264" s="12">
        <f>IF((G96&lt;='Commission plan'!E2),0,IF((G96&gt;='Commission plan'!E3),('Commission plan'!E3-'Commission plan'!E2),(G96-'Commission plan'!E2)))</f>
        <v>0</v>
      </c>
      <c r="H264" s="12">
        <f>IF((H96&lt;='Commission plan'!F2),0,IF((H96&gt;='Commission plan'!F3),('Commission plan'!F3-'Commission plan'!F2),(H96-'Commission plan'!F2)))</f>
        <v>0</v>
      </c>
      <c r="I264" s="12">
        <f>SUM(D264:H264)</f>
        <v>0.2714285714285714</v>
      </c>
    </row>
    <row r="265">
      <c r="A265" s="0" t="inlineStr">
        <is>
          <t xml:space="preserve">Attainment in tranche</t>
        </is>
      </c>
      <c r="B265" s="0" t="inlineStr">
        <is>
          <t xml:space="preserve">Wei Novak</t>
        </is>
      </c>
      <c r="C265" s="0" t="inlineStr">
        <is>
          <t xml:space="preserve">Q2 2026</t>
        </is>
      </c>
      <c r="D265" s="12">
        <f>IF((D97&lt;='Commission plan'!B2),0,IF((D97&gt;='Commission plan'!B3),('Commission plan'!B3-'Commission plan'!B2),(D97-'Commission plan'!B2)))</f>
        <v>0.35502958579881655</v>
      </c>
      <c r="E265" s="12">
        <f>IF((E97&lt;='Commission plan'!C2),0,IF((E97&gt;='Commission plan'!C3),('Commission plan'!C3-'Commission plan'!C2),(E97-'Commission plan'!C2)))</f>
        <v>0</v>
      </c>
      <c r="F265" s="12">
        <f>IF((F97&lt;='Commission plan'!D2),0,IF((F97&gt;='Commission plan'!D3),('Commission plan'!D3-'Commission plan'!D2),(F97-'Commission plan'!D2)))</f>
        <v>0</v>
      </c>
      <c r="G265" s="12">
        <f>IF((G97&lt;='Commission plan'!E2),0,IF((G97&gt;='Commission plan'!E3),('Commission plan'!E3-'Commission plan'!E2),(G97-'Commission plan'!E2)))</f>
        <v>0</v>
      </c>
      <c r="H265" s="12">
        <f>IF((H97&lt;='Commission plan'!F2),0,IF((H97&gt;='Commission plan'!F3),('Commission plan'!F3-'Commission plan'!F2),(H97-'Commission plan'!F2)))</f>
        <v>0</v>
      </c>
      <c r="I265" s="12">
        <f>SUM(D265:H265)</f>
        <v>0.35502958579881655</v>
      </c>
    </row>
    <row r="266">
      <c r="A266" s="0" t="inlineStr">
        <is>
          <t xml:space="preserve">Attainment in tranche</t>
        </is>
      </c>
      <c r="B266" s="0" t="inlineStr">
        <is>
          <t xml:space="preserve">Wei Novak</t>
        </is>
      </c>
      <c r="C266" s="0" t="inlineStr">
        <is>
          <t xml:space="preserve">Q3 2026</t>
        </is>
      </c>
      <c r="D266" s="12">
        <f>IF((D98&lt;='Commission plan'!B2),0,IF((D98&gt;='Commission plan'!B3),('Commission plan'!B3-'Commission plan'!B2),(D98-'Commission plan'!B2)))</f>
        <v>0.36719367588932805</v>
      </c>
      <c r="E266" s="12">
        <f>IF((E98&lt;='Commission plan'!C2),0,IF((E98&gt;='Commission plan'!C3),('Commission plan'!C3-'Commission plan'!C2),(E98-'Commission plan'!C2)))</f>
        <v>0</v>
      </c>
      <c r="F266" s="12">
        <f>IF((F98&lt;='Commission plan'!D2),0,IF((F98&gt;='Commission plan'!D3),('Commission plan'!D3-'Commission plan'!D2),(F98-'Commission plan'!D2)))</f>
        <v>0</v>
      </c>
      <c r="G266" s="12">
        <f>IF((G98&lt;='Commission plan'!E2),0,IF((G98&gt;='Commission plan'!E3),('Commission plan'!E3-'Commission plan'!E2),(G98-'Commission plan'!E2)))</f>
        <v>0</v>
      </c>
      <c r="H266" s="12">
        <f>IF((H98&lt;='Commission plan'!F2),0,IF((H98&gt;='Commission plan'!F3),('Commission plan'!F3-'Commission plan'!F2),(H98-'Commission plan'!F2)))</f>
        <v>0</v>
      </c>
      <c r="I266" s="12">
        <f>SUM(D266:H266)</f>
        <v>0.36719367588932805</v>
      </c>
    </row>
    <row r="267">
      <c r="A267" s="0" t="inlineStr">
        <is>
          <t xml:space="preserve">Attainment in tranche</t>
        </is>
      </c>
      <c r="B267" s="0" t="inlineStr">
        <is>
          <t xml:space="preserve">Wei Novak</t>
        </is>
      </c>
      <c r="C267" s="0" t="inlineStr">
        <is>
          <t xml:space="preserve">Q4 2026</t>
        </is>
      </c>
      <c r="D267" s="12">
        <f>IF((D99&lt;='Commission plan'!B2),0,IF((D99&gt;='Commission plan'!B3),('Commission plan'!B3-'Commission plan'!B2),(D99-'Commission plan'!B2)))</f>
        <v>0</v>
      </c>
      <c r="E267" s="12">
        <f>IF((E99&lt;='Commission plan'!C2),0,IF((E99&gt;='Commission plan'!C3),('Commission plan'!C3-'Commission plan'!C2),(E99-'Commission plan'!C2)))</f>
        <v>0</v>
      </c>
      <c r="F267" s="12">
        <f>IF((F99&lt;='Commission plan'!D2),0,IF((F99&gt;='Commission plan'!D3),('Commission plan'!D3-'Commission plan'!D2),(F99-'Commission plan'!D2)))</f>
        <v>0</v>
      </c>
      <c r="G267" s="12">
        <f>IF((G99&lt;='Commission plan'!E2),0,IF((G99&gt;='Commission plan'!E3),('Commission plan'!E3-'Commission plan'!E2),(G99-'Commission plan'!E2)))</f>
        <v>0</v>
      </c>
      <c r="H267" s="12">
        <f>IF((H99&lt;='Commission plan'!F2),0,IF((H99&gt;='Commission plan'!F3),('Commission plan'!F3-'Commission plan'!F2),(H99-'Commission plan'!F2)))</f>
        <v>0</v>
      </c>
      <c r="I267" s="12">
        <f>SUM(D267:H267)</f>
        <v>0</v>
      </c>
    </row>
    <row r="268">
      <c r="A268" s="0" t="inlineStr">
        <is>
          <t xml:space="preserve">Attainment in tranche</t>
        </is>
      </c>
      <c r="B268" s="0" t="inlineStr">
        <is>
          <t xml:space="preserve">Nikolai Kim</t>
        </is>
      </c>
      <c r="C268" s="0" t="inlineStr">
        <is>
          <t xml:space="preserve">Q2 2025</t>
        </is>
      </c>
      <c r="D268" s="12">
        <f>IF((D100&lt;='Commission plan'!B2),0,IF((D100&gt;='Commission plan'!B3),('Commission plan'!B3-'Commission plan'!B2),(D100-'Commission plan'!B2)))</f>
        <v>0.5</v>
      </c>
      <c r="E268" s="12">
        <f>IF((E100&lt;='Commission plan'!C2),0,IF((E100&gt;='Commission plan'!C3),('Commission plan'!C3-'Commission plan'!C2),(E100-'Commission plan'!C2)))</f>
        <v>0.5</v>
      </c>
      <c r="F268" s="12">
        <f>IF((F100&lt;='Commission plan'!D2),0,IF((F100&gt;='Commission plan'!D3),('Commission plan'!D3-'Commission plan'!D2),(F100-'Commission plan'!D2)))</f>
        <v>0.25</v>
      </c>
      <c r="G268" s="12">
        <f>IF((G100&lt;='Commission plan'!E2),0,IF((G100&gt;='Commission plan'!E3),('Commission plan'!E3-'Commission plan'!E2),(G100-'Commission plan'!E2)))</f>
        <v>0.12684210526315787</v>
      </c>
      <c r="H268" s="12">
        <f>IF((H100&lt;='Commission plan'!F2),0,IF((H100&gt;='Commission plan'!F3),('Commission plan'!F3-'Commission plan'!F2),(H100-'Commission plan'!F2)))</f>
        <v>0</v>
      </c>
      <c r="I268" s="12">
        <f>SUM(D268:H268)</f>
        <v>1.3768421052631579</v>
      </c>
    </row>
    <row r="269">
      <c r="A269" s="0" t="inlineStr">
        <is>
          <t xml:space="preserve">Attainment in tranche</t>
        </is>
      </c>
      <c r="B269" s="0" t="inlineStr">
        <is>
          <t xml:space="preserve">Nikolai Kim</t>
        </is>
      </c>
      <c r="C269" s="0" t="inlineStr">
        <is>
          <t xml:space="preserve">Q3 2025</t>
        </is>
      </c>
      <c r="D269" s="12">
        <f>IF((D101&lt;='Commission plan'!B2),0,IF((D101&gt;='Commission plan'!B3),('Commission plan'!B3-'Commission plan'!B2),(D101-'Commission plan'!B2)))</f>
        <v>0.5</v>
      </c>
      <c r="E269" s="12">
        <f>IF((E101&lt;='Commission plan'!C2),0,IF((E101&gt;='Commission plan'!C3),('Commission plan'!C3-'Commission plan'!C2),(E101-'Commission plan'!C2)))</f>
        <v>0.5</v>
      </c>
      <c r="F269" s="12">
        <f>IF((F101&lt;='Commission plan'!D2),0,IF((F101&gt;='Commission plan'!D3),('Commission plan'!D3-'Commission plan'!D2),(F101-'Commission plan'!D2)))</f>
        <v>0.25</v>
      </c>
      <c r="G269" s="12">
        <f>IF((G101&lt;='Commission plan'!E2),0,IF((G101&gt;='Commission plan'!E3),('Commission plan'!E3-'Commission plan'!E2),(G101-'Commission plan'!E2)))</f>
        <v>0.25</v>
      </c>
      <c r="H269" s="12">
        <f>IF((H101&lt;='Commission plan'!F2),0,IF((H101&gt;='Commission plan'!F3),('Commission plan'!F3-'Commission plan'!F2),(H101-'Commission plan'!F2)))</f>
        <v>0.1657894736842105</v>
      </c>
      <c r="I269" s="12">
        <f>SUM(D269:H269)</f>
        <v>1.6657894736842105</v>
      </c>
    </row>
    <row r="270">
      <c r="A270" s="0" t="inlineStr">
        <is>
          <t xml:space="preserve">Attainment in tranche</t>
        </is>
      </c>
      <c r="B270" s="0" t="inlineStr">
        <is>
          <t xml:space="preserve">Nikolai Kim</t>
        </is>
      </c>
      <c r="C270" s="0" t="inlineStr">
        <is>
          <t xml:space="preserve">Q4 2025</t>
        </is>
      </c>
      <c r="D270" s="12">
        <f>IF((D102&lt;='Commission plan'!B2),0,IF((D102&gt;='Commission plan'!B3),('Commission plan'!B3-'Commission plan'!B2),(D102-'Commission plan'!B2)))</f>
        <v>0.5</v>
      </c>
      <c r="E270" s="12">
        <f>IF((E102&lt;='Commission plan'!C2),0,IF((E102&gt;='Commission plan'!C3),('Commission plan'!C3-'Commission plan'!C2),(E102-'Commission plan'!C2)))</f>
        <v>0.5</v>
      </c>
      <c r="F270" s="12">
        <f>IF((F102&lt;='Commission plan'!D2),0,IF((F102&gt;='Commission plan'!D3),('Commission plan'!D3-'Commission plan'!D2),(F102-'Commission plan'!D2)))</f>
        <v>0.25</v>
      </c>
      <c r="G270" s="12">
        <f>IF((G102&lt;='Commission plan'!E2),0,IF((G102&gt;='Commission plan'!E3),('Commission plan'!E3-'Commission plan'!E2),(G102-'Commission plan'!E2)))</f>
        <v>0.25</v>
      </c>
      <c r="H270" s="12">
        <f>IF((H102&lt;='Commission plan'!F2),0,IF((H102&gt;='Commission plan'!F3),('Commission plan'!F3-'Commission plan'!F2),(H102-'Commission plan'!F2)))</f>
        <v>0.10368421052631582</v>
      </c>
      <c r="I270" s="12">
        <f>SUM(D270:H270)</f>
        <v>1.6036842105263158</v>
      </c>
    </row>
    <row r="271">
      <c r="A271" s="0" t="inlineStr">
        <is>
          <t xml:space="preserve">Attainment in tranche</t>
        </is>
      </c>
      <c r="B271" s="0" t="inlineStr">
        <is>
          <t xml:space="preserve">Nikolai Kim</t>
        </is>
      </c>
      <c r="C271" s="0" t="inlineStr">
        <is>
          <t xml:space="preserve">Q1 2026</t>
        </is>
      </c>
      <c r="D271" s="12">
        <f>IF((D103&lt;='Commission plan'!B2),0,IF((D103&gt;='Commission plan'!B3),('Commission plan'!B3-'Commission plan'!B2),(D103-'Commission plan'!B2)))</f>
        <v>0.5</v>
      </c>
      <c r="E271" s="12">
        <f>IF((E103&lt;='Commission plan'!C2),0,IF((E103&gt;='Commission plan'!C3),('Commission plan'!C3-'Commission plan'!C2),(E103-'Commission plan'!C2)))</f>
        <v>0.35526315789473684</v>
      </c>
      <c r="F271" s="12">
        <f>IF((F103&lt;='Commission plan'!D2),0,IF((F103&gt;='Commission plan'!D3),('Commission plan'!D3-'Commission plan'!D2),(F103-'Commission plan'!D2)))</f>
        <v>0</v>
      </c>
      <c r="G271" s="12">
        <f>IF((G103&lt;='Commission plan'!E2),0,IF((G103&gt;='Commission plan'!E3),('Commission plan'!E3-'Commission plan'!E2),(G103-'Commission plan'!E2)))</f>
        <v>0</v>
      </c>
      <c r="H271" s="12">
        <f>IF((H103&lt;='Commission plan'!F2),0,IF((H103&gt;='Commission plan'!F3),('Commission plan'!F3-'Commission plan'!F2),(H103-'Commission plan'!F2)))</f>
        <v>0</v>
      </c>
      <c r="I271" s="12">
        <f>SUM(D271:H271)</f>
        <v>0.8552631578947368</v>
      </c>
    </row>
    <row r="272">
      <c r="A272" s="0" t="inlineStr">
        <is>
          <t xml:space="preserve">Attainment in tranche</t>
        </is>
      </c>
      <c r="B272" s="0" t="inlineStr">
        <is>
          <t xml:space="preserve">Nikolai Kim</t>
        </is>
      </c>
      <c r="C272" s="0" t="inlineStr">
        <is>
          <t xml:space="preserve">Q2 2026</t>
        </is>
      </c>
      <c r="D272" s="12">
        <f>IF((D104&lt;='Commission plan'!B2),0,IF((D104&gt;='Commission plan'!B3),('Commission plan'!B3-'Commission plan'!B2),(D104-'Commission plan'!B2)))</f>
        <v>0.5</v>
      </c>
      <c r="E272" s="12">
        <f>IF((E104&lt;='Commission plan'!C2),0,IF((E104&gt;='Commission plan'!C3),('Commission plan'!C3-'Commission plan'!C2),(E104-'Commission plan'!C2)))</f>
        <v>0.5</v>
      </c>
      <c r="F272" s="12">
        <f>IF((F104&lt;='Commission plan'!D2),0,IF((F104&gt;='Commission plan'!D3),('Commission plan'!D3-'Commission plan'!D2),(F104-'Commission plan'!D2)))</f>
        <v>0.21894736842105256</v>
      </c>
      <c r="G272" s="12">
        <f>IF((G104&lt;='Commission plan'!E2),0,IF((G104&gt;='Commission plan'!E3),('Commission plan'!E3-'Commission plan'!E2),(G104-'Commission plan'!E2)))</f>
        <v>0</v>
      </c>
      <c r="H272" s="12">
        <f>IF((H104&lt;='Commission plan'!F2),0,IF((H104&gt;='Commission plan'!F3),('Commission plan'!F3-'Commission plan'!F2),(H104-'Commission plan'!F2)))</f>
        <v>0</v>
      </c>
      <c r="I272" s="12">
        <f>SUM(D272:H272)</f>
        <v>1.2189473684210526</v>
      </c>
    </row>
    <row r="273">
      <c r="A273" s="0" t="inlineStr">
        <is>
          <t xml:space="preserve">Attainment in tranche</t>
        </is>
      </c>
      <c r="B273" s="0" t="inlineStr">
        <is>
          <t xml:space="preserve">Nikolai Kim</t>
        </is>
      </c>
      <c r="C273" s="0" t="inlineStr">
        <is>
          <t xml:space="preserve">Q3 2026</t>
        </is>
      </c>
      <c r="D273" s="12">
        <f>IF((D105&lt;='Commission plan'!B2),0,IF((D105&gt;='Commission plan'!B3),('Commission plan'!B3-'Commission plan'!B2),(D105-'Commission plan'!B2)))</f>
        <v>0.5</v>
      </c>
      <c r="E273" s="12">
        <f>IF((E105&lt;='Commission plan'!C2),0,IF((E105&gt;='Commission plan'!C3),('Commission plan'!C3-'Commission plan'!C2),(E105-'Commission plan'!C2)))</f>
        <v>0.21789473684210525</v>
      </c>
      <c r="F273" s="12">
        <f>IF((F105&lt;='Commission plan'!D2),0,IF((F105&gt;='Commission plan'!D3),('Commission plan'!D3-'Commission plan'!D2),(F105-'Commission plan'!D2)))</f>
        <v>0</v>
      </c>
      <c r="G273" s="12">
        <f>IF((G105&lt;='Commission plan'!E2),0,IF((G105&gt;='Commission plan'!E3),('Commission plan'!E3-'Commission plan'!E2),(G105-'Commission plan'!E2)))</f>
        <v>0</v>
      </c>
      <c r="H273" s="12">
        <f>IF((H105&lt;='Commission plan'!F2),0,IF((H105&gt;='Commission plan'!F3),('Commission plan'!F3-'Commission plan'!F2),(H105-'Commission plan'!F2)))</f>
        <v>0</v>
      </c>
      <c r="I273" s="12">
        <f>SUM(D273:H273)</f>
        <v>0.7178947368421053</v>
      </c>
    </row>
    <row r="274">
      <c r="A274" s="0" t="inlineStr">
        <is>
          <t xml:space="preserve">Attainment in tranche</t>
        </is>
      </c>
      <c r="B274" s="0" t="inlineStr">
        <is>
          <t xml:space="preserve">Nikolai Kim</t>
        </is>
      </c>
      <c r="C274" s="0" t="inlineStr">
        <is>
          <t xml:space="preserve">Q4 2026</t>
        </is>
      </c>
      <c r="D274" s="12">
        <f>IF((D106&lt;='Commission plan'!B2),0,IF((D106&gt;='Commission plan'!B3),('Commission plan'!B3-'Commission plan'!B2),(D106-'Commission plan'!B2)))</f>
        <v>0</v>
      </c>
      <c r="E274" s="12">
        <f>IF((E106&lt;='Commission plan'!C2),0,IF((E106&gt;='Commission plan'!C3),('Commission plan'!C3-'Commission plan'!C2),(E106-'Commission plan'!C2)))</f>
        <v>0</v>
      </c>
      <c r="F274" s="12">
        <f>IF((F106&lt;='Commission plan'!D2),0,IF((F106&gt;='Commission plan'!D3),('Commission plan'!D3-'Commission plan'!D2),(F106-'Commission plan'!D2)))</f>
        <v>0</v>
      </c>
      <c r="G274" s="12">
        <f>IF((G106&lt;='Commission plan'!E2),0,IF((G106&gt;='Commission plan'!E3),('Commission plan'!E3-'Commission plan'!E2),(G106-'Commission plan'!E2)))</f>
        <v>0</v>
      </c>
      <c r="H274" s="12">
        <f>IF((H106&lt;='Commission plan'!F2),0,IF((H106&gt;='Commission plan'!F3),('Commission plan'!F3-'Commission plan'!F2),(H106-'Commission plan'!F2)))</f>
        <v>0</v>
      </c>
      <c r="I274" s="12">
        <f>SUM(D274:H274)</f>
        <v>0</v>
      </c>
    </row>
    <row r="275">
      <c r="A275" s="0" t="inlineStr">
        <is>
          <t xml:space="preserve">Attainment in tranche</t>
        </is>
      </c>
      <c r="B275" s="0" t="inlineStr">
        <is>
          <t xml:space="preserve">Wei Nair</t>
        </is>
      </c>
      <c r="C275" s="0" t="inlineStr">
        <is>
          <t xml:space="preserve">Q2 2025</t>
        </is>
      </c>
      <c r="D275" s="12">
        <f>IF((D107&lt;='Commission plan'!B2),0,IF((D107&gt;='Commission plan'!B3),('Commission plan'!B3-'Commission plan'!B2),(D107-'Commission plan'!B2)))</f>
        <v>0.5</v>
      </c>
      <c r="E275" s="12">
        <f>IF((E107&lt;='Commission plan'!C2),0,IF((E107&gt;='Commission plan'!C3),('Commission plan'!C3-'Commission plan'!C2),(E107-'Commission plan'!C2)))</f>
        <v>0.18736842105263163</v>
      </c>
      <c r="F275" s="12">
        <f>IF((F107&lt;='Commission plan'!D2),0,IF((F107&gt;='Commission plan'!D3),('Commission plan'!D3-'Commission plan'!D2),(F107-'Commission plan'!D2)))</f>
        <v>0</v>
      </c>
      <c r="G275" s="12">
        <f>IF((G107&lt;='Commission plan'!E2),0,IF((G107&gt;='Commission plan'!E3),('Commission plan'!E3-'Commission plan'!E2),(G107-'Commission plan'!E2)))</f>
        <v>0</v>
      </c>
      <c r="H275" s="12">
        <f>IF((H107&lt;='Commission plan'!F2),0,IF((H107&gt;='Commission plan'!F3),('Commission plan'!F3-'Commission plan'!F2),(H107-'Commission plan'!F2)))</f>
        <v>0</v>
      </c>
      <c r="I275" s="12">
        <f>SUM(D275:H275)</f>
        <v>0.6873684210526316</v>
      </c>
    </row>
    <row r="276">
      <c r="A276" s="0" t="inlineStr">
        <is>
          <t xml:space="preserve">Attainment in tranche</t>
        </is>
      </c>
      <c r="B276" s="0" t="inlineStr">
        <is>
          <t xml:space="preserve">Wei Nair</t>
        </is>
      </c>
      <c r="C276" s="0" t="inlineStr">
        <is>
          <t xml:space="preserve">Q3 2025</t>
        </is>
      </c>
      <c r="D276" s="12">
        <f>IF((D108&lt;='Commission plan'!B2),0,IF((D108&gt;='Commission plan'!B3),('Commission plan'!B3-'Commission plan'!B2),(D108-'Commission plan'!B2)))</f>
        <v>0.5</v>
      </c>
      <c r="E276" s="12">
        <f>IF((E108&lt;='Commission plan'!C2),0,IF((E108&gt;='Commission plan'!C3),('Commission plan'!C3-'Commission plan'!C2),(E108-'Commission plan'!C2)))</f>
        <v>0.0931578947368421</v>
      </c>
      <c r="F276" s="12">
        <f>IF((F108&lt;='Commission plan'!D2),0,IF((F108&gt;='Commission plan'!D3),('Commission plan'!D3-'Commission plan'!D2),(F108-'Commission plan'!D2)))</f>
        <v>0</v>
      </c>
      <c r="G276" s="12">
        <f>IF((G108&lt;='Commission plan'!E2),0,IF((G108&gt;='Commission plan'!E3),('Commission plan'!E3-'Commission plan'!E2),(G108-'Commission plan'!E2)))</f>
        <v>0</v>
      </c>
      <c r="H276" s="12">
        <f>IF((H108&lt;='Commission plan'!F2),0,IF((H108&gt;='Commission plan'!F3),('Commission plan'!F3-'Commission plan'!F2),(H108-'Commission plan'!F2)))</f>
        <v>0</v>
      </c>
      <c r="I276" s="12">
        <f>SUM(D276:H276)</f>
        <v>0.5931578947368421</v>
      </c>
    </row>
    <row r="277">
      <c r="A277" s="0" t="inlineStr">
        <is>
          <t xml:space="preserve">Attainment in tranche</t>
        </is>
      </c>
      <c r="B277" s="0" t="inlineStr">
        <is>
          <t xml:space="preserve">Wei Nair</t>
        </is>
      </c>
      <c r="C277" s="0" t="inlineStr">
        <is>
          <t xml:space="preserve">Q4 2025</t>
        </is>
      </c>
      <c r="D277" s="12">
        <f>IF((D109&lt;='Commission plan'!B2),0,IF((D109&gt;='Commission plan'!B3),('Commission plan'!B3-'Commission plan'!B2),(D109-'Commission plan'!B2)))</f>
        <v>0.5</v>
      </c>
      <c r="E277" s="12">
        <f>IF((E109&lt;='Commission plan'!C2),0,IF((E109&gt;='Commission plan'!C3),('Commission plan'!C3-'Commission plan'!C2),(E109-'Commission plan'!C2)))</f>
        <v>0.488421052631579</v>
      </c>
      <c r="F277" s="12">
        <f>IF((F109&lt;='Commission plan'!D2),0,IF((F109&gt;='Commission plan'!D3),('Commission plan'!D3-'Commission plan'!D2),(F109-'Commission plan'!D2)))</f>
        <v>0</v>
      </c>
      <c r="G277" s="12">
        <f>IF((G109&lt;='Commission plan'!E2),0,IF((G109&gt;='Commission plan'!E3),('Commission plan'!E3-'Commission plan'!E2),(G109-'Commission plan'!E2)))</f>
        <v>0</v>
      </c>
      <c r="H277" s="12">
        <f>IF((H109&lt;='Commission plan'!F2),0,IF((H109&gt;='Commission plan'!F3),('Commission plan'!F3-'Commission plan'!F2),(H109-'Commission plan'!F2)))</f>
        <v>0</v>
      </c>
      <c r="I277" s="12">
        <f>SUM(D277:H277)</f>
        <v>0.988421052631579</v>
      </c>
    </row>
    <row r="278">
      <c r="A278" s="0" t="inlineStr">
        <is>
          <t xml:space="preserve">Attainment in tranche</t>
        </is>
      </c>
      <c r="B278" s="0" t="inlineStr">
        <is>
          <t xml:space="preserve">Wei Nair</t>
        </is>
      </c>
      <c r="C278" s="0" t="inlineStr">
        <is>
          <t xml:space="preserve">Q1 2026</t>
        </is>
      </c>
      <c r="D278" s="12">
        <f>IF((D110&lt;='Commission plan'!B2),0,IF((D110&gt;='Commission plan'!B3),('Commission plan'!B3-'Commission plan'!B2),(D110-'Commission plan'!B2)))</f>
        <v>0.5</v>
      </c>
      <c r="E278" s="12">
        <f>IF((E110&lt;='Commission plan'!C2),0,IF((E110&gt;='Commission plan'!C3),('Commission plan'!C3-'Commission plan'!C2),(E110-'Commission plan'!C2)))</f>
        <v>0.3057894736842105</v>
      </c>
      <c r="F278" s="12">
        <f>IF((F110&lt;='Commission plan'!D2),0,IF((F110&gt;='Commission plan'!D3),('Commission plan'!D3-'Commission plan'!D2),(F110-'Commission plan'!D2)))</f>
        <v>0</v>
      </c>
      <c r="G278" s="12">
        <f>IF((G110&lt;='Commission plan'!E2),0,IF((G110&gt;='Commission plan'!E3),('Commission plan'!E3-'Commission plan'!E2),(G110-'Commission plan'!E2)))</f>
        <v>0</v>
      </c>
      <c r="H278" s="12">
        <f>IF((H110&lt;='Commission plan'!F2),0,IF((H110&gt;='Commission plan'!F3),('Commission plan'!F3-'Commission plan'!F2),(H110-'Commission plan'!F2)))</f>
        <v>0</v>
      </c>
      <c r="I278" s="12">
        <f>SUM(D278:H278)</f>
        <v>0.8057894736842105</v>
      </c>
    </row>
    <row r="279">
      <c r="A279" s="0" t="inlineStr">
        <is>
          <t xml:space="preserve">Attainment in tranche</t>
        </is>
      </c>
      <c r="B279" s="0" t="inlineStr">
        <is>
          <t xml:space="preserve">Wei Nair</t>
        </is>
      </c>
      <c r="C279" s="0" t="inlineStr">
        <is>
          <t xml:space="preserve">Q2 2026</t>
        </is>
      </c>
      <c r="D279" s="12">
        <f>IF((D111&lt;='Commission plan'!B2),0,IF((D111&gt;='Commission plan'!B3),('Commission plan'!B3-'Commission plan'!B2),(D111-'Commission plan'!B2)))</f>
        <v>0.32894736842105265</v>
      </c>
      <c r="E279" s="12">
        <f>IF((E111&lt;='Commission plan'!C2),0,IF((E111&gt;='Commission plan'!C3),('Commission plan'!C3-'Commission plan'!C2),(E111-'Commission plan'!C2)))</f>
        <v>0</v>
      </c>
      <c r="F279" s="12">
        <f>IF((F111&lt;='Commission plan'!D2),0,IF((F111&gt;='Commission plan'!D3),('Commission plan'!D3-'Commission plan'!D2),(F111-'Commission plan'!D2)))</f>
        <v>0</v>
      </c>
      <c r="G279" s="12">
        <f>IF((G111&lt;='Commission plan'!E2),0,IF((G111&gt;='Commission plan'!E3),('Commission plan'!E3-'Commission plan'!E2),(G111-'Commission plan'!E2)))</f>
        <v>0</v>
      </c>
      <c r="H279" s="12">
        <f>IF((H111&lt;='Commission plan'!F2),0,IF((H111&gt;='Commission plan'!F3),('Commission plan'!F3-'Commission plan'!F2),(H111-'Commission plan'!F2)))</f>
        <v>0</v>
      </c>
      <c r="I279" s="12">
        <f>SUM(D279:H279)</f>
        <v>0.32894736842105265</v>
      </c>
    </row>
    <row r="280">
      <c r="A280" s="0" t="inlineStr">
        <is>
          <t xml:space="preserve">Attainment in tranche</t>
        </is>
      </c>
      <c r="B280" s="0" t="inlineStr">
        <is>
          <t xml:space="preserve">Wei Nair</t>
        </is>
      </c>
      <c r="C280" s="0" t="inlineStr">
        <is>
          <t xml:space="preserve">Q3 2026</t>
        </is>
      </c>
      <c r="D280" s="12">
        <f>IF((D112&lt;='Commission plan'!B2),0,IF((D112&gt;='Commission plan'!B3),('Commission plan'!B3-'Commission plan'!B2),(D112-'Commission plan'!B2)))</f>
        <v>0.5</v>
      </c>
      <c r="E280" s="12">
        <f>IF((E112&lt;='Commission plan'!C2),0,IF((E112&gt;='Commission plan'!C3),('Commission plan'!C3-'Commission plan'!C2),(E112-'Commission plan'!C2)))</f>
        <v>0.06631578947368422</v>
      </c>
      <c r="F280" s="12">
        <f>IF((F112&lt;='Commission plan'!D2),0,IF((F112&gt;='Commission plan'!D3),('Commission plan'!D3-'Commission plan'!D2),(F112-'Commission plan'!D2)))</f>
        <v>0</v>
      </c>
      <c r="G280" s="12">
        <f>IF((G112&lt;='Commission plan'!E2),0,IF((G112&gt;='Commission plan'!E3),('Commission plan'!E3-'Commission plan'!E2),(G112-'Commission plan'!E2)))</f>
        <v>0</v>
      </c>
      <c r="H280" s="12">
        <f>IF((H112&lt;='Commission plan'!F2),0,IF((H112&gt;='Commission plan'!F3),('Commission plan'!F3-'Commission plan'!F2),(H112-'Commission plan'!F2)))</f>
        <v>0</v>
      </c>
      <c r="I280" s="12">
        <f>SUM(D280:H280)</f>
        <v>0.5663157894736842</v>
      </c>
    </row>
    <row r="281">
      <c r="A281" s="0" t="inlineStr">
        <is>
          <t xml:space="preserve">Attainment in tranche</t>
        </is>
      </c>
      <c r="B281" s="0" t="inlineStr">
        <is>
          <t xml:space="preserve">Wei Nair</t>
        </is>
      </c>
      <c r="C281" s="0" t="inlineStr">
        <is>
          <t xml:space="preserve">Q4 2026</t>
        </is>
      </c>
      <c r="D281" s="12">
        <f>IF((D113&lt;='Commission plan'!B2),0,IF((D113&gt;='Commission plan'!B3),('Commission plan'!B3-'Commission plan'!B2),(D113-'Commission plan'!B2)))</f>
        <v>0</v>
      </c>
      <c r="E281" s="12">
        <f>IF((E113&lt;='Commission plan'!C2),0,IF((E113&gt;='Commission plan'!C3),('Commission plan'!C3-'Commission plan'!C2),(E113-'Commission plan'!C2)))</f>
        <v>0</v>
      </c>
      <c r="F281" s="12">
        <f>IF((F113&lt;='Commission plan'!D2),0,IF((F113&gt;='Commission plan'!D3),('Commission plan'!D3-'Commission plan'!D2),(F113-'Commission plan'!D2)))</f>
        <v>0</v>
      </c>
      <c r="G281" s="12">
        <f>IF((G113&lt;='Commission plan'!E2),0,IF((G113&gt;='Commission plan'!E3),('Commission plan'!E3-'Commission plan'!E2),(G113-'Commission plan'!E2)))</f>
        <v>0</v>
      </c>
      <c r="H281" s="12">
        <f>IF((H113&lt;='Commission plan'!F2),0,IF((H113&gt;='Commission plan'!F3),('Commission plan'!F3-'Commission plan'!F2),(H113-'Commission plan'!F2)))</f>
        <v>0</v>
      </c>
      <c r="I281" s="12">
        <f>SUM(D281:H281)</f>
        <v>0</v>
      </c>
    </row>
    <row r="282">
      <c r="A282" s="0" t="inlineStr">
        <is>
          <t xml:space="preserve">Attainment in tranche</t>
        </is>
      </c>
      <c r="B282" s="0" t="inlineStr">
        <is>
          <t xml:space="preserve">Liam Silva</t>
        </is>
      </c>
      <c r="C282" s="0" t="inlineStr">
        <is>
          <t xml:space="preserve">Q2 2025</t>
        </is>
      </c>
      <c r="D282" s="12">
        <f>IF((D114&lt;='Commission plan'!B2),0,IF((D114&gt;='Commission plan'!B3),('Commission plan'!B3-'Commission plan'!B2),(D114-'Commission plan'!B2)))</f>
        <v>0.14</v>
      </c>
      <c r="E282" s="12">
        <f>IF((E114&lt;='Commission plan'!C2),0,IF((E114&gt;='Commission plan'!C3),('Commission plan'!C3-'Commission plan'!C2),(E114-'Commission plan'!C2)))</f>
        <v>0</v>
      </c>
      <c r="F282" s="12">
        <f>IF((F114&lt;='Commission plan'!D2),0,IF((F114&gt;='Commission plan'!D3),('Commission plan'!D3-'Commission plan'!D2),(F114-'Commission plan'!D2)))</f>
        <v>0</v>
      </c>
      <c r="G282" s="12">
        <f>IF((G114&lt;='Commission plan'!E2),0,IF((G114&gt;='Commission plan'!E3),('Commission plan'!E3-'Commission plan'!E2),(G114-'Commission plan'!E2)))</f>
        <v>0</v>
      </c>
      <c r="H282" s="12">
        <f>IF((H114&lt;='Commission plan'!F2),0,IF((H114&gt;='Commission plan'!F3),('Commission plan'!F3-'Commission plan'!F2),(H114-'Commission plan'!F2)))</f>
        <v>0</v>
      </c>
      <c r="I282" s="12">
        <f>SUM(D282:H282)</f>
        <v>0.14</v>
      </c>
    </row>
    <row r="283">
      <c r="A283" s="0" t="inlineStr">
        <is>
          <t xml:space="preserve">Attainment in tranche</t>
        </is>
      </c>
      <c r="B283" s="0" t="inlineStr">
        <is>
          <t xml:space="preserve">Liam Silva</t>
        </is>
      </c>
      <c r="C283" s="0" t="inlineStr">
        <is>
          <t xml:space="preserve">Q3 2025</t>
        </is>
      </c>
      <c r="D283" s="12">
        <f>IF((D115&lt;='Commission plan'!B2),0,IF((D115&gt;='Commission plan'!B3),('Commission plan'!B3-'Commission plan'!B2),(D115-'Commission plan'!B2)))</f>
        <v>0.5</v>
      </c>
      <c r="E283" s="12">
        <f>IF((E115&lt;='Commission plan'!C2),0,IF((E115&gt;='Commission plan'!C3),('Commission plan'!C3-'Commission plan'!C2),(E115-'Commission plan'!C2)))</f>
        <v>0.5</v>
      </c>
      <c r="F283" s="12">
        <f>IF((F115&lt;='Commission plan'!D2),0,IF((F115&gt;='Commission plan'!D3),('Commission plan'!D3-'Commission plan'!D2),(F115-'Commission plan'!D2)))</f>
        <v>0.25</v>
      </c>
      <c r="G283" s="12">
        <f>IF((G115&lt;='Commission plan'!E2),0,IF((G115&gt;='Commission plan'!E3),('Commission plan'!E3-'Commission plan'!E2),(G115-'Commission plan'!E2)))</f>
        <v>0.17999999999999994</v>
      </c>
      <c r="H283" s="12">
        <f>IF((H115&lt;='Commission plan'!F2),0,IF((H115&gt;='Commission plan'!F3),('Commission plan'!F3-'Commission plan'!F2),(H115-'Commission plan'!F2)))</f>
        <v>0</v>
      </c>
      <c r="I283" s="12">
        <f>SUM(D283:H283)</f>
        <v>1.43</v>
      </c>
    </row>
    <row r="284">
      <c r="A284" s="0" t="inlineStr">
        <is>
          <t xml:space="preserve">Attainment in tranche</t>
        </is>
      </c>
      <c r="B284" s="0" t="inlineStr">
        <is>
          <t xml:space="preserve">Liam Silva</t>
        </is>
      </c>
      <c r="C284" s="0" t="inlineStr">
        <is>
          <t xml:space="preserve">Q4 2025</t>
        </is>
      </c>
      <c r="D284" s="12">
        <f>IF((D116&lt;='Commission plan'!B2),0,IF((D116&gt;='Commission plan'!B3),('Commission plan'!B3-'Commission plan'!B2),(D116-'Commission plan'!B2)))</f>
        <v>0.5</v>
      </c>
      <c r="E284" s="12">
        <f>IF((E116&lt;='Commission plan'!C2),0,IF((E116&gt;='Commission plan'!C3),('Commission plan'!C3-'Commission plan'!C2),(E116-'Commission plan'!C2)))</f>
        <v>0.5</v>
      </c>
      <c r="F284" s="12">
        <f>IF((F116&lt;='Commission plan'!D2),0,IF((F116&gt;='Commission plan'!D3),('Commission plan'!D3-'Commission plan'!D2),(F116-'Commission plan'!D2)))</f>
        <v>0.25</v>
      </c>
      <c r="G284" s="12">
        <f>IF((G116&lt;='Commission plan'!E2),0,IF((G116&gt;='Commission plan'!E3),('Commission plan'!E3-'Commission plan'!E2),(G116-'Commission plan'!E2)))</f>
        <v>0.1060000000000001</v>
      </c>
      <c r="H284" s="12">
        <f>IF((H116&lt;='Commission plan'!F2),0,IF((H116&gt;='Commission plan'!F3),('Commission plan'!F3-'Commission plan'!F2),(H116-'Commission plan'!F2)))</f>
        <v>0</v>
      </c>
      <c r="I284" s="12">
        <f>SUM(D284:H284)</f>
        <v>1.356</v>
      </c>
    </row>
    <row r="285">
      <c r="A285" s="0" t="inlineStr">
        <is>
          <t xml:space="preserve">Attainment in tranche</t>
        </is>
      </c>
      <c r="B285" s="0" t="inlineStr">
        <is>
          <t xml:space="preserve">Liam Silva</t>
        </is>
      </c>
      <c r="C285" s="0" t="inlineStr">
        <is>
          <t xml:space="preserve">Q1 2026</t>
        </is>
      </c>
      <c r="D285" s="12">
        <f>IF((D117&lt;='Commission plan'!B2),0,IF((D117&gt;='Commission plan'!B3),('Commission plan'!B3-'Commission plan'!B2),(D117-'Commission plan'!B2)))</f>
        <v>0.5</v>
      </c>
      <c r="E285" s="12">
        <f>IF((E117&lt;='Commission plan'!C2),0,IF((E117&gt;='Commission plan'!C3),('Commission plan'!C3-'Commission plan'!C2),(E117-'Commission plan'!C2)))</f>
        <v>0.5</v>
      </c>
      <c r="F285" s="12">
        <f>IF((F117&lt;='Commission plan'!D2),0,IF((F117&gt;='Commission plan'!D3),('Commission plan'!D3-'Commission plan'!D2),(F117-'Commission plan'!D2)))</f>
        <v>0.2390000000000001</v>
      </c>
      <c r="G285" s="12">
        <f>IF((G117&lt;='Commission plan'!E2),0,IF((G117&gt;='Commission plan'!E3),('Commission plan'!E3-'Commission plan'!E2),(G117-'Commission plan'!E2)))</f>
        <v>0</v>
      </c>
      <c r="H285" s="12">
        <f>IF((H117&lt;='Commission plan'!F2),0,IF((H117&gt;='Commission plan'!F3),('Commission plan'!F3-'Commission plan'!F2),(H117-'Commission plan'!F2)))</f>
        <v>0</v>
      </c>
      <c r="I285" s="12">
        <f>SUM(D285:H285)</f>
        <v>1.239</v>
      </c>
    </row>
    <row r="286">
      <c r="A286" s="0" t="inlineStr">
        <is>
          <t xml:space="preserve">Attainment in tranche</t>
        </is>
      </c>
      <c r="B286" s="0" t="inlineStr">
        <is>
          <t xml:space="preserve">Liam Silva</t>
        </is>
      </c>
      <c r="C286" s="0" t="inlineStr">
        <is>
          <t xml:space="preserve">Q2 2026</t>
        </is>
      </c>
      <c r="D286" s="12">
        <f>IF((D118&lt;='Commission plan'!B2),0,IF((D118&gt;='Commission plan'!B3),('Commission plan'!B3-'Commission plan'!B2),(D118-'Commission plan'!B2)))</f>
        <v>0.445</v>
      </c>
      <c r="E286" s="12">
        <f>IF((E118&lt;='Commission plan'!C2),0,IF((E118&gt;='Commission plan'!C3),('Commission plan'!C3-'Commission plan'!C2),(E118-'Commission plan'!C2)))</f>
        <v>0</v>
      </c>
      <c r="F286" s="12">
        <f>IF((F118&lt;='Commission plan'!D2),0,IF((F118&gt;='Commission plan'!D3),('Commission plan'!D3-'Commission plan'!D2),(F118-'Commission plan'!D2)))</f>
        <v>0</v>
      </c>
      <c r="G286" s="12">
        <f>IF((G118&lt;='Commission plan'!E2),0,IF((G118&gt;='Commission plan'!E3),('Commission plan'!E3-'Commission plan'!E2),(G118-'Commission plan'!E2)))</f>
        <v>0</v>
      </c>
      <c r="H286" s="12">
        <f>IF((H118&lt;='Commission plan'!F2),0,IF((H118&gt;='Commission plan'!F3),('Commission plan'!F3-'Commission plan'!F2),(H118-'Commission plan'!F2)))</f>
        <v>0</v>
      </c>
      <c r="I286" s="12">
        <f>SUM(D286:H286)</f>
        <v>0.445</v>
      </c>
    </row>
    <row r="287">
      <c r="A287" s="0" t="inlineStr">
        <is>
          <t xml:space="preserve">Attainment in tranche</t>
        </is>
      </c>
      <c r="B287" s="0" t="inlineStr">
        <is>
          <t xml:space="preserve">Liam Silva</t>
        </is>
      </c>
      <c r="C287" s="0" t="inlineStr">
        <is>
          <t xml:space="preserve">Q3 2026</t>
        </is>
      </c>
      <c r="D287" s="12">
        <f>IF((D119&lt;='Commission plan'!B2),0,IF((D119&gt;='Commission plan'!B3),('Commission plan'!B3-'Commission plan'!B2),(D119-'Commission plan'!B2)))</f>
        <v>0.5</v>
      </c>
      <c r="E287" s="12">
        <f>IF((E119&lt;='Commission plan'!C2),0,IF((E119&gt;='Commission plan'!C3),('Commission plan'!C3-'Commission plan'!C2),(E119-'Commission plan'!C2)))</f>
        <v>0.5</v>
      </c>
      <c r="F287" s="12">
        <f>IF((F119&lt;='Commission plan'!D2),0,IF((F119&gt;='Commission plan'!D3),('Commission plan'!D3-'Commission plan'!D2),(F119-'Commission plan'!D2)))</f>
        <v>0.030000000000000027</v>
      </c>
      <c r="G287" s="12">
        <f>IF((G119&lt;='Commission plan'!E2),0,IF((G119&gt;='Commission plan'!E3),('Commission plan'!E3-'Commission plan'!E2),(G119-'Commission plan'!E2)))</f>
        <v>0</v>
      </c>
      <c r="H287" s="12">
        <f>IF((H119&lt;='Commission plan'!F2),0,IF((H119&gt;='Commission plan'!F3),('Commission plan'!F3-'Commission plan'!F2),(H119-'Commission plan'!F2)))</f>
        <v>0</v>
      </c>
      <c r="I287" s="12">
        <f>SUM(D287:H287)</f>
        <v>1.03</v>
      </c>
    </row>
    <row r="288">
      <c r="A288" s="0" t="inlineStr">
        <is>
          <t xml:space="preserve">Attainment in tranche</t>
        </is>
      </c>
      <c r="B288" s="0" t="inlineStr">
        <is>
          <t xml:space="preserve">Liam Silva</t>
        </is>
      </c>
      <c r="C288" s="0" t="inlineStr">
        <is>
          <t xml:space="preserve">Q4 2026</t>
        </is>
      </c>
      <c r="D288" s="12">
        <f>IF((D120&lt;='Commission plan'!B2),0,IF((D120&gt;='Commission plan'!B3),('Commission plan'!B3-'Commission plan'!B2),(D120-'Commission plan'!B2)))</f>
        <v>0</v>
      </c>
      <c r="E288" s="12">
        <f>IF((E120&lt;='Commission plan'!C2),0,IF((E120&gt;='Commission plan'!C3),('Commission plan'!C3-'Commission plan'!C2),(E120-'Commission plan'!C2)))</f>
        <v>0</v>
      </c>
      <c r="F288" s="12">
        <f>IF((F120&lt;='Commission plan'!D2),0,IF((F120&gt;='Commission plan'!D3),('Commission plan'!D3-'Commission plan'!D2),(F120-'Commission plan'!D2)))</f>
        <v>0</v>
      </c>
      <c r="G288" s="12">
        <f>IF((G120&lt;='Commission plan'!E2),0,IF((G120&gt;='Commission plan'!E3),('Commission plan'!E3-'Commission plan'!E2),(G120-'Commission plan'!E2)))</f>
        <v>0</v>
      </c>
      <c r="H288" s="12">
        <f>IF((H120&lt;='Commission plan'!F2),0,IF((H120&gt;='Commission plan'!F3),('Commission plan'!F3-'Commission plan'!F2),(H120-'Commission plan'!F2)))</f>
        <v>0</v>
      </c>
      <c r="I288" s="12">
        <f>SUM(D288:H288)</f>
        <v>0</v>
      </c>
    </row>
    <row r="289">
      <c r="A289" s="0" t="inlineStr">
        <is>
          <t xml:space="preserve">Attainment in tranche</t>
        </is>
      </c>
      <c r="B289" s="0" t="inlineStr">
        <is>
          <t xml:space="preserve">Samuel Silva</t>
        </is>
      </c>
      <c r="C289" s="0" t="inlineStr">
        <is>
          <t xml:space="preserve">Q2 2025</t>
        </is>
      </c>
      <c r="D289" s="12">
        <f>IF((D121&lt;='Commission plan'!B2),0,IF((D121&gt;='Commission plan'!B3),('Commission plan'!B3-'Commission plan'!B2),(D121-'Commission plan'!B2)))</f>
        <v>0.339</v>
      </c>
      <c r="E289" s="12">
        <f>IF((E121&lt;='Commission plan'!C2),0,IF((E121&gt;='Commission plan'!C3),('Commission plan'!C3-'Commission plan'!C2),(E121-'Commission plan'!C2)))</f>
        <v>0</v>
      </c>
      <c r="F289" s="12">
        <f>IF((F121&lt;='Commission plan'!D2),0,IF((F121&gt;='Commission plan'!D3),('Commission plan'!D3-'Commission plan'!D2),(F121-'Commission plan'!D2)))</f>
        <v>0</v>
      </c>
      <c r="G289" s="12">
        <f>IF((G121&lt;='Commission plan'!E2),0,IF((G121&gt;='Commission plan'!E3),('Commission plan'!E3-'Commission plan'!E2),(G121-'Commission plan'!E2)))</f>
        <v>0</v>
      </c>
      <c r="H289" s="12">
        <f>IF((H121&lt;='Commission plan'!F2),0,IF((H121&gt;='Commission plan'!F3),('Commission plan'!F3-'Commission plan'!F2),(H121-'Commission plan'!F2)))</f>
        <v>0</v>
      </c>
      <c r="I289" s="12">
        <f>SUM(D289:H289)</f>
        <v>0.339</v>
      </c>
    </row>
    <row r="290">
      <c r="A290" s="0" t="inlineStr">
        <is>
          <t xml:space="preserve">Attainment in tranche</t>
        </is>
      </c>
      <c r="B290" s="0" t="inlineStr">
        <is>
          <t xml:space="preserve">Samuel Silva</t>
        </is>
      </c>
      <c r="C290" s="0" t="inlineStr">
        <is>
          <t xml:space="preserve">Q3 2025</t>
        </is>
      </c>
      <c r="D290" s="12">
        <f>IF((D122&lt;='Commission plan'!B2),0,IF((D122&gt;='Commission plan'!B3),('Commission plan'!B3-'Commission plan'!B2),(D122-'Commission plan'!B2)))</f>
        <v>0.5</v>
      </c>
      <c r="E290" s="12">
        <f>IF((E122&lt;='Commission plan'!C2),0,IF((E122&gt;='Commission plan'!C3),('Commission plan'!C3-'Commission plan'!C2),(E122-'Commission plan'!C2)))</f>
        <v>0.5</v>
      </c>
      <c r="F290" s="12">
        <f>IF((F122&lt;='Commission plan'!D2),0,IF((F122&gt;='Commission plan'!D3),('Commission plan'!D3-'Commission plan'!D2),(F122-'Commission plan'!D2)))</f>
        <v>0.25</v>
      </c>
      <c r="G290" s="12">
        <f>IF((G122&lt;='Commission plan'!E2),0,IF((G122&gt;='Commission plan'!E3),('Commission plan'!E3-'Commission plan'!E2),(G122-'Commission plan'!E2)))</f>
        <v>0.25</v>
      </c>
      <c r="H290" s="12">
        <f>IF((H122&lt;='Commission plan'!F2),0,IF((H122&gt;='Commission plan'!F3),('Commission plan'!F3-'Commission plan'!F2),(H122-'Commission plan'!F2)))</f>
        <v>0.040999999999999925</v>
      </c>
      <c r="I290" s="12">
        <f>SUM(D290:H290)</f>
        <v>1.541</v>
      </c>
    </row>
    <row r="291">
      <c r="A291" s="0" t="inlineStr">
        <is>
          <t xml:space="preserve">Attainment in tranche</t>
        </is>
      </c>
      <c r="B291" s="0" t="inlineStr">
        <is>
          <t xml:space="preserve">Samuel Silva</t>
        </is>
      </c>
      <c r="C291" s="0" t="inlineStr">
        <is>
          <t xml:space="preserve">Q4 2025</t>
        </is>
      </c>
      <c r="D291" s="12">
        <f>IF((D123&lt;='Commission plan'!B2),0,IF((D123&gt;='Commission plan'!B3),('Commission plan'!B3-'Commission plan'!B2),(D123-'Commission plan'!B2)))</f>
        <v>0.5</v>
      </c>
      <c r="E291" s="12">
        <f>IF((E123&lt;='Commission plan'!C2),0,IF((E123&gt;='Commission plan'!C3),('Commission plan'!C3-'Commission plan'!C2),(E123-'Commission plan'!C2)))</f>
        <v>0.469</v>
      </c>
      <c r="F291" s="12">
        <f>IF((F123&lt;='Commission plan'!D2),0,IF((F123&gt;='Commission plan'!D3),('Commission plan'!D3-'Commission plan'!D2),(F123-'Commission plan'!D2)))</f>
        <v>0</v>
      </c>
      <c r="G291" s="12">
        <f>IF((G123&lt;='Commission plan'!E2),0,IF((G123&gt;='Commission plan'!E3),('Commission plan'!E3-'Commission plan'!E2),(G123-'Commission plan'!E2)))</f>
        <v>0</v>
      </c>
      <c r="H291" s="12">
        <f>IF((H123&lt;='Commission plan'!F2),0,IF((H123&gt;='Commission plan'!F3),('Commission plan'!F3-'Commission plan'!F2),(H123-'Commission plan'!F2)))</f>
        <v>0</v>
      </c>
      <c r="I291" s="12">
        <f>SUM(D291:H291)</f>
        <v>0.969</v>
      </c>
    </row>
    <row r="292">
      <c r="A292" s="0" t="inlineStr">
        <is>
          <t xml:space="preserve">Attainment in tranche</t>
        </is>
      </c>
      <c r="B292" s="0" t="inlineStr">
        <is>
          <t xml:space="preserve">Samuel Silva</t>
        </is>
      </c>
      <c r="C292" s="0" t="inlineStr">
        <is>
          <t xml:space="preserve">Q1 2026</t>
        </is>
      </c>
      <c r="D292" s="12">
        <f>IF((D124&lt;='Commission plan'!B2),0,IF((D124&gt;='Commission plan'!B3),('Commission plan'!B3-'Commission plan'!B2),(D124-'Commission plan'!B2)))</f>
        <v>0.5</v>
      </c>
      <c r="E292" s="12">
        <f>IF((E124&lt;='Commission plan'!C2),0,IF((E124&gt;='Commission plan'!C3),('Commission plan'!C3-'Commission plan'!C2),(E124-'Commission plan'!C2)))</f>
        <v>0.5</v>
      </c>
      <c r="F292" s="12">
        <f>IF((F124&lt;='Commission plan'!D2),0,IF((F124&gt;='Commission plan'!D3),('Commission plan'!D3-'Commission plan'!D2),(F124-'Commission plan'!D2)))</f>
        <v>0.25</v>
      </c>
      <c r="G292" s="12">
        <f>IF((G124&lt;='Commission plan'!E2),0,IF((G124&gt;='Commission plan'!E3),('Commission plan'!E3-'Commission plan'!E2),(G124-'Commission plan'!E2)))</f>
        <v>0.25</v>
      </c>
      <c r="H292" s="12">
        <f>IF((H124&lt;='Commission plan'!F2),0,IF((H124&gt;='Commission plan'!F3),('Commission plan'!F3-'Commission plan'!F2),(H124-'Commission plan'!F2)))</f>
        <v>0.19399999999999995</v>
      </c>
      <c r="I292" s="12">
        <f>SUM(D292:H292)</f>
        <v>1.694</v>
      </c>
    </row>
    <row r="293">
      <c r="A293" s="0" t="inlineStr">
        <is>
          <t xml:space="preserve">Attainment in tranche</t>
        </is>
      </c>
      <c r="B293" s="0" t="inlineStr">
        <is>
          <t xml:space="preserve">Samuel Silva</t>
        </is>
      </c>
      <c r="C293" s="0" t="inlineStr">
        <is>
          <t xml:space="preserve">Q2 2026</t>
        </is>
      </c>
      <c r="D293" s="12">
        <f>IF((D125&lt;='Commission plan'!B2),0,IF((D125&gt;='Commission plan'!B3),('Commission plan'!B3-'Commission plan'!B2),(D125-'Commission plan'!B2)))</f>
        <v>0.5</v>
      </c>
      <c r="E293" s="12">
        <f>IF((E125&lt;='Commission plan'!C2),0,IF((E125&gt;='Commission plan'!C3),('Commission plan'!C3-'Commission plan'!C2),(E125-'Commission plan'!C2)))</f>
        <v>0.5</v>
      </c>
      <c r="F293" s="12">
        <f>IF((F125&lt;='Commission plan'!D2),0,IF((F125&gt;='Commission plan'!D3),('Commission plan'!D3-'Commission plan'!D2),(F125-'Commission plan'!D2)))</f>
        <v>0.0009999999999998899</v>
      </c>
      <c r="G293" s="12">
        <f>IF((G125&lt;='Commission plan'!E2),0,IF((G125&gt;='Commission plan'!E3),('Commission plan'!E3-'Commission plan'!E2),(G125-'Commission plan'!E2)))</f>
        <v>0</v>
      </c>
      <c r="H293" s="12">
        <f>IF((H125&lt;='Commission plan'!F2),0,IF((H125&gt;='Commission plan'!F3),('Commission plan'!F3-'Commission plan'!F2),(H125-'Commission plan'!F2)))</f>
        <v>0</v>
      </c>
      <c r="I293" s="12">
        <f>SUM(D293:H293)</f>
        <v>1.001</v>
      </c>
    </row>
    <row r="294">
      <c r="A294" s="0" t="inlineStr">
        <is>
          <t xml:space="preserve">Attainment in tranche</t>
        </is>
      </c>
      <c r="B294" s="0" t="inlineStr">
        <is>
          <t xml:space="preserve">Samuel Silva</t>
        </is>
      </c>
      <c r="C294" s="0" t="inlineStr">
        <is>
          <t xml:space="preserve">Q3 2026</t>
        </is>
      </c>
      <c r="D294" s="12">
        <f>IF((D126&lt;='Commission plan'!B2),0,IF((D126&gt;='Commission plan'!B3),('Commission plan'!B3-'Commission plan'!B2),(D126-'Commission plan'!B2)))</f>
        <v>0.5</v>
      </c>
      <c r="E294" s="12">
        <f>IF((E126&lt;='Commission plan'!C2),0,IF((E126&gt;='Commission plan'!C3),('Commission plan'!C3-'Commission plan'!C2),(E126-'Commission plan'!C2)))</f>
        <v>0.21299999999999997</v>
      </c>
      <c r="F294" s="12">
        <f>IF((F126&lt;='Commission plan'!D2),0,IF((F126&gt;='Commission plan'!D3),('Commission plan'!D3-'Commission plan'!D2),(F126-'Commission plan'!D2)))</f>
        <v>0</v>
      </c>
      <c r="G294" s="12">
        <f>IF((G126&lt;='Commission plan'!E2),0,IF((G126&gt;='Commission plan'!E3),('Commission plan'!E3-'Commission plan'!E2),(G126-'Commission plan'!E2)))</f>
        <v>0</v>
      </c>
      <c r="H294" s="12">
        <f>IF((H126&lt;='Commission plan'!F2),0,IF((H126&gt;='Commission plan'!F3),('Commission plan'!F3-'Commission plan'!F2),(H126-'Commission plan'!F2)))</f>
        <v>0</v>
      </c>
      <c r="I294" s="12">
        <f>SUM(D294:H294)</f>
        <v>0.713</v>
      </c>
    </row>
    <row r="295">
      <c r="A295" s="0" t="inlineStr">
        <is>
          <t xml:space="preserve">Attainment in tranche</t>
        </is>
      </c>
      <c r="B295" s="0" t="inlineStr">
        <is>
          <t xml:space="preserve">Samuel Silva</t>
        </is>
      </c>
      <c r="C295" s="0" t="inlineStr">
        <is>
          <t xml:space="preserve">Q4 2026</t>
        </is>
      </c>
      <c r="D295" s="12">
        <f>IF((D127&lt;='Commission plan'!B2),0,IF((D127&gt;='Commission plan'!B3),('Commission plan'!B3-'Commission plan'!B2),(D127-'Commission plan'!B2)))</f>
        <v>0</v>
      </c>
      <c r="E295" s="12">
        <f>IF((E127&lt;='Commission plan'!C2),0,IF((E127&gt;='Commission plan'!C3),('Commission plan'!C3-'Commission plan'!C2),(E127-'Commission plan'!C2)))</f>
        <v>0</v>
      </c>
      <c r="F295" s="12">
        <f>IF((F127&lt;='Commission plan'!D2),0,IF((F127&gt;='Commission plan'!D3),('Commission plan'!D3-'Commission plan'!D2),(F127-'Commission plan'!D2)))</f>
        <v>0</v>
      </c>
      <c r="G295" s="12">
        <f>IF((G127&lt;='Commission plan'!E2),0,IF((G127&gt;='Commission plan'!E3),('Commission plan'!E3-'Commission plan'!E2),(G127-'Commission plan'!E2)))</f>
        <v>0</v>
      </c>
      <c r="H295" s="12">
        <f>IF((H127&lt;='Commission plan'!F2),0,IF((H127&gt;='Commission plan'!F3),('Commission plan'!F3-'Commission plan'!F2),(H127-'Commission plan'!F2)))</f>
        <v>0</v>
      </c>
      <c r="I295" s="12">
        <f>SUM(D295:H295)</f>
        <v>0</v>
      </c>
    </row>
    <row r="296">
      <c r="A296" s="0" t="inlineStr">
        <is>
          <t xml:space="preserve">Attainment in tranche</t>
        </is>
      </c>
      <c r="B296" s="0" t="inlineStr">
        <is>
          <t xml:space="preserve">Yuki Larsen</t>
        </is>
      </c>
      <c r="C296" s="0" t="inlineStr">
        <is>
          <t xml:space="preserve">Q2 2025</t>
        </is>
      </c>
      <c r="D296" s="12">
        <f>IF((D128&lt;='Commission plan'!B2),0,IF((D128&gt;='Commission plan'!B3),('Commission plan'!B3-'Commission plan'!B2),(D128-'Commission plan'!B2)))</f>
        <v>0</v>
      </c>
      <c r="E296" s="12">
        <f>IF((E128&lt;='Commission plan'!C2),0,IF((E128&gt;='Commission plan'!C3),('Commission plan'!C3-'Commission plan'!C2),(E128-'Commission plan'!C2)))</f>
        <v>0</v>
      </c>
      <c r="F296" s="12">
        <f>IF((F128&lt;='Commission plan'!D2),0,IF((F128&gt;='Commission plan'!D3),('Commission plan'!D3-'Commission plan'!D2),(F128-'Commission plan'!D2)))</f>
        <v>0</v>
      </c>
      <c r="G296" s="12">
        <f>IF((G128&lt;='Commission plan'!E2),0,IF((G128&gt;='Commission plan'!E3),('Commission plan'!E3-'Commission plan'!E2),(G128-'Commission plan'!E2)))</f>
        <v>0</v>
      </c>
      <c r="H296" s="12">
        <f>IF((H128&lt;='Commission plan'!F2),0,IF((H128&gt;='Commission plan'!F3),('Commission plan'!F3-'Commission plan'!F2),(H128-'Commission plan'!F2)))</f>
        <v>0</v>
      </c>
      <c r="I296" s="12">
        <f>SUM(D296:H296)</f>
        <v>0</v>
      </c>
    </row>
    <row r="297">
      <c r="A297" s="0" t="inlineStr">
        <is>
          <t xml:space="preserve">Attainment in tranche</t>
        </is>
      </c>
      <c r="B297" s="0" t="inlineStr">
        <is>
          <t xml:space="preserve">Yuki Larsen</t>
        </is>
      </c>
      <c r="C297" s="0" t="inlineStr">
        <is>
          <t xml:space="preserve">Q3 2025</t>
        </is>
      </c>
      <c r="D297" s="12">
        <f>IF((D129&lt;='Commission plan'!B2),0,IF((D129&gt;='Commission plan'!B3),('Commission plan'!B3-'Commission plan'!B2),(D129-'Commission plan'!B2)))</f>
        <v>0.5</v>
      </c>
      <c r="E297" s="12">
        <f>IF((E129&lt;='Commission plan'!C2),0,IF((E129&gt;='Commission plan'!C3),('Commission plan'!C3-'Commission plan'!C2),(E129-'Commission plan'!C2)))</f>
        <v>0.06679389312977102</v>
      </c>
      <c r="F297" s="12">
        <f>IF((F129&lt;='Commission plan'!D2),0,IF((F129&gt;='Commission plan'!D3),('Commission plan'!D3-'Commission plan'!D2),(F129-'Commission plan'!D2)))</f>
        <v>0</v>
      </c>
      <c r="G297" s="12">
        <f>IF((G129&lt;='Commission plan'!E2),0,IF((G129&gt;='Commission plan'!E3),('Commission plan'!E3-'Commission plan'!E2),(G129-'Commission plan'!E2)))</f>
        <v>0</v>
      </c>
      <c r="H297" s="12">
        <f>IF((H129&lt;='Commission plan'!F2),0,IF((H129&gt;='Commission plan'!F3),('Commission plan'!F3-'Commission plan'!F2),(H129-'Commission plan'!F2)))</f>
        <v>0</v>
      </c>
      <c r="I297" s="12">
        <f>SUM(D297:H297)</f>
        <v>0.566793893129771</v>
      </c>
    </row>
    <row r="298">
      <c r="A298" s="0" t="inlineStr">
        <is>
          <t xml:space="preserve">Attainment in tranche</t>
        </is>
      </c>
      <c r="B298" s="0" t="inlineStr">
        <is>
          <t xml:space="preserve">Yuki Larsen</t>
        </is>
      </c>
      <c r="C298" s="0" t="inlineStr">
        <is>
          <t xml:space="preserve">Q4 2025</t>
        </is>
      </c>
      <c r="D298" s="12">
        <f>IF((D130&lt;='Commission plan'!B2),0,IF((D130&gt;='Commission plan'!B3),('Commission plan'!B3-'Commission plan'!B2),(D130-'Commission plan'!B2)))</f>
        <v>0</v>
      </c>
      <c r="E298" s="12">
        <f>IF((E130&lt;='Commission plan'!C2),0,IF((E130&gt;='Commission plan'!C3),('Commission plan'!C3-'Commission plan'!C2),(E130-'Commission plan'!C2)))</f>
        <v>0</v>
      </c>
      <c r="F298" s="12">
        <f>IF((F130&lt;='Commission plan'!D2),0,IF((F130&gt;='Commission plan'!D3),('Commission plan'!D3-'Commission plan'!D2),(F130-'Commission plan'!D2)))</f>
        <v>0</v>
      </c>
      <c r="G298" s="12">
        <f>IF((G130&lt;='Commission plan'!E2),0,IF((G130&gt;='Commission plan'!E3),('Commission plan'!E3-'Commission plan'!E2),(G130-'Commission plan'!E2)))</f>
        <v>0</v>
      </c>
      <c r="H298" s="12">
        <f>IF((H130&lt;='Commission plan'!F2),0,IF((H130&gt;='Commission plan'!F3),('Commission plan'!F3-'Commission plan'!F2),(H130-'Commission plan'!F2)))</f>
        <v>0</v>
      </c>
      <c r="I298" s="12">
        <f>SUM(D298:H298)</f>
        <v>0</v>
      </c>
    </row>
    <row r="299">
      <c r="A299" s="0" t="inlineStr">
        <is>
          <t xml:space="preserve">Attainment in tranche</t>
        </is>
      </c>
      <c r="B299" s="0" t="inlineStr">
        <is>
          <t xml:space="preserve">Yuki Larsen</t>
        </is>
      </c>
      <c r="C299" s="0" t="inlineStr">
        <is>
          <t xml:space="preserve">Q1 2026</t>
        </is>
      </c>
      <c r="D299" s="12">
        <f>IF((D131&lt;='Commission plan'!B2),0,IF((D131&gt;='Commission plan'!B3),('Commission plan'!B3-'Commission plan'!B2),(D131-'Commission plan'!B2)))</f>
        <v>0</v>
      </c>
      <c r="E299" s="12">
        <f>IF((E131&lt;='Commission plan'!C2),0,IF((E131&gt;='Commission plan'!C3),('Commission plan'!C3-'Commission plan'!C2),(E131-'Commission plan'!C2)))</f>
        <v>0</v>
      </c>
      <c r="F299" s="12">
        <f>IF((F131&lt;='Commission plan'!D2),0,IF((F131&gt;='Commission plan'!D3),('Commission plan'!D3-'Commission plan'!D2),(F131-'Commission plan'!D2)))</f>
        <v>0</v>
      </c>
      <c r="G299" s="12">
        <f>IF((G131&lt;='Commission plan'!E2),0,IF((G131&gt;='Commission plan'!E3),('Commission plan'!E3-'Commission plan'!E2),(G131-'Commission plan'!E2)))</f>
        <v>0</v>
      </c>
      <c r="H299" s="12">
        <f>IF((H131&lt;='Commission plan'!F2),0,IF((H131&gt;='Commission plan'!F3),('Commission plan'!F3-'Commission plan'!F2),(H131-'Commission plan'!F2)))</f>
        <v>0</v>
      </c>
      <c r="I299" s="12">
        <f>SUM(D299:H299)</f>
        <v>0</v>
      </c>
    </row>
    <row r="300">
      <c r="A300" s="0" t="inlineStr">
        <is>
          <t xml:space="preserve">Attainment in tranche</t>
        </is>
      </c>
      <c r="B300" s="0" t="inlineStr">
        <is>
          <t xml:space="preserve">Yuki Larsen</t>
        </is>
      </c>
      <c r="C300" s="0" t="inlineStr">
        <is>
          <t xml:space="preserve">Q2 2026</t>
        </is>
      </c>
      <c r="D300" s="12">
        <f>IF((D132&lt;='Commission plan'!B2),0,IF((D132&gt;='Commission plan'!B3),('Commission plan'!B3-'Commission plan'!B2),(D132-'Commission plan'!B2)))</f>
        <v>0.5</v>
      </c>
      <c r="E300" s="12">
        <f>IF((E132&lt;='Commission plan'!C2),0,IF((E132&gt;='Commission plan'!C3),('Commission plan'!C3-'Commission plan'!C2),(E132-'Commission plan'!C2)))</f>
        <v>0.2190839694656489</v>
      </c>
      <c r="F300" s="12">
        <f>IF((F132&lt;='Commission plan'!D2),0,IF((F132&gt;='Commission plan'!D3),('Commission plan'!D3-'Commission plan'!D2),(F132-'Commission plan'!D2)))</f>
        <v>0</v>
      </c>
      <c r="G300" s="12">
        <f>IF((G132&lt;='Commission plan'!E2),0,IF((G132&gt;='Commission plan'!E3),('Commission plan'!E3-'Commission plan'!E2),(G132-'Commission plan'!E2)))</f>
        <v>0</v>
      </c>
      <c r="H300" s="12">
        <f>IF((H132&lt;='Commission plan'!F2),0,IF((H132&gt;='Commission plan'!F3),('Commission plan'!F3-'Commission plan'!F2),(H132-'Commission plan'!F2)))</f>
        <v>0</v>
      </c>
      <c r="I300" s="12">
        <f>SUM(D300:H300)</f>
        <v>0.7190839694656489</v>
      </c>
    </row>
    <row r="301">
      <c r="A301" s="0" t="inlineStr">
        <is>
          <t xml:space="preserve">Attainment in tranche</t>
        </is>
      </c>
      <c r="B301" s="0" t="inlineStr">
        <is>
          <t xml:space="preserve">Yuki Larsen</t>
        </is>
      </c>
      <c r="C301" s="0" t="inlineStr">
        <is>
          <t xml:space="preserve">Q3 2026</t>
        </is>
      </c>
      <c r="D301" s="12">
        <f>IF((D133&lt;='Commission plan'!B2),0,IF((D133&gt;='Commission plan'!B3),('Commission plan'!B3-'Commission plan'!B2),(D133-'Commission plan'!B2)))</f>
        <v>0.5</v>
      </c>
      <c r="E301" s="12">
        <f>IF((E133&lt;='Commission plan'!C2),0,IF((E133&gt;='Commission plan'!C3),('Commission plan'!C3-'Commission plan'!C2),(E133-'Commission plan'!C2)))</f>
        <v>0.10152671755725196</v>
      </c>
      <c r="F301" s="12">
        <f>IF((F133&lt;='Commission plan'!D2),0,IF((F133&gt;='Commission plan'!D3),('Commission plan'!D3-'Commission plan'!D2),(F133-'Commission plan'!D2)))</f>
        <v>0</v>
      </c>
      <c r="G301" s="12">
        <f>IF((G133&lt;='Commission plan'!E2),0,IF((G133&gt;='Commission plan'!E3),('Commission plan'!E3-'Commission plan'!E2),(G133-'Commission plan'!E2)))</f>
        <v>0</v>
      </c>
      <c r="H301" s="12">
        <f>IF((H133&lt;='Commission plan'!F2),0,IF((H133&gt;='Commission plan'!F3),('Commission plan'!F3-'Commission plan'!F2),(H133-'Commission plan'!F2)))</f>
        <v>0</v>
      </c>
      <c r="I301" s="12">
        <f>SUM(D301:H301)</f>
        <v>0.601526717557252</v>
      </c>
    </row>
    <row r="302">
      <c r="A302" s="0" t="inlineStr">
        <is>
          <t xml:space="preserve">Attainment in tranche</t>
        </is>
      </c>
      <c r="B302" s="0" t="inlineStr">
        <is>
          <t xml:space="preserve">Yuki Larsen</t>
        </is>
      </c>
      <c r="C302" s="0" t="inlineStr">
        <is>
          <t xml:space="preserve">Q4 2026</t>
        </is>
      </c>
      <c r="D302" s="12">
        <f>IF((D134&lt;='Commission plan'!B2),0,IF((D134&gt;='Commission plan'!B3),('Commission plan'!B3-'Commission plan'!B2),(D134-'Commission plan'!B2)))</f>
        <v>0</v>
      </c>
      <c r="E302" s="12">
        <f>IF((E134&lt;='Commission plan'!C2),0,IF((E134&gt;='Commission plan'!C3),('Commission plan'!C3-'Commission plan'!C2),(E134-'Commission plan'!C2)))</f>
        <v>0</v>
      </c>
      <c r="F302" s="12">
        <f>IF((F134&lt;='Commission plan'!D2),0,IF((F134&gt;='Commission plan'!D3),('Commission plan'!D3-'Commission plan'!D2),(F134-'Commission plan'!D2)))</f>
        <v>0</v>
      </c>
      <c r="G302" s="12">
        <f>IF((G134&lt;='Commission plan'!E2),0,IF((G134&gt;='Commission plan'!E3),('Commission plan'!E3-'Commission plan'!E2),(G134-'Commission plan'!E2)))</f>
        <v>0</v>
      </c>
      <c r="H302" s="12">
        <f>IF((H134&lt;='Commission plan'!F2),0,IF((H134&gt;='Commission plan'!F3),('Commission plan'!F3-'Commission plan'!F2),(H134-'Commission plan'!F2)))</f>
        <v>0</v>
      </c>
      <c r="I302" s="12">
        <f>SUM(D302:H302)</f>
        <v>0</v>
      </c>
    </row>
    <row r="303">
      <c r="A303" s="0" t="inlineStr">
        <is>
          <t xml:space="preserve">Attainment in tranche</t>
        </is>
      </c>
      <c r="B303" s="0" t="inlineStr">
        <is>
          <t xml:space="preserve">Nikolai Sato</t>
        </is>
      </c>
      <c r="C303" s="0" t="inlineStr">
        <is>
          <t xml:space="preserve">Q2 2025</t>
        </is>
      </c>
      <c r="D303" s="12">
        <f>IF((D135&lt;='Commission plan'!B2),0,IF((D135&gt;='Commission plan'!B3),('Commission plan'!B3-'Commission plan'!B2),(D135-'Commission plan'!B2)))</f>
        <v>0.38053435114503814</v>
      </c>
      <c r="E303" s="12">
        <f>IF((E135&lt;='Commission plan'!C2),0,IF((E135&gt;='Commission plan'!C3),('Commission plan'!C3-'Commission plan'!C2),(E135-'Commission plan'!C2)))</f>
        <v>0</v>
      </c>
      <c r="F303" s="12">
        <f>IF((F135&lt;='Commission plan'!D2),0,IF((F135&gt;='Commission plan'!D3),('Commission plan'!D3-'Commission plan'!D2),(F135-'Commission plan'!D2)))</f>
        <v>0</v>
      </c>
      <c r="G303" s="12">
        <f>IF((G135&lt;='Commission plan'!E2),0,IF((G135&gt;='Commission plan'!E3),('Commission plan'!E3-'Commission plan'!E2),(G135-'Commission plan'!E2)))</f>
        <v>0</v>
      </c>
      <c r="H303" s="12">
        <f>IF((H135&lt;='Commission plan'!F2),0,IF((H135&gt;='Commission plan'!F3),('Commission plan'!F3-'Commission plan'!F2),(H135-'Commission plan'!F2)))</f>
        <v>0</v>
      </c>
      <c r="I303" s="12">
        <f>SUM(D303:H303)</f>
        <v>0.38053435114503814</v>
      </c>
    </row>
    <row r="304">
      <c r="A304" s="0" t="inlineStr">
        <is>
          <t xml:space="preserve">Attainment in tranche</t>
        </is>
      </c>
      <c r="B304" s="0" t="inlineStr">
        <is>
          <t xml:space="preserve">Nikolai Sato</t>
        </is>
      </c>
      <c r="C304" s="0" t="inlineStr">
        <is>
          <t xml:space="preserve">Q3 2025</t>
        </is>
      </c>
      <c r="D304" s="12">
        <f>IF((D136&lt;='Commission plan'!B2),0,IF((D136&gt;='Commission plan'!B3),('Commission plan'!B3-'Commission plan'!B2),(D136-'Commission plan'!B2)))</f>
        <v>0.5</v>
      </c>
      <c r="E304" s="12">
        <f>IF((E136&lt;='Commission plan'!C2),0,IF((E136&gt;='Commission plan'!C3),('Commission plan'!C3-'Commission plan'!C2),(E136-'Commission plan'!C2)))</f>
        <v>0.5</v>
      </c>
      <c r="F304" s="12">
        <f>IF((F136&lt;='Commission plan'!D2),0,IF((F136&gt;='Commission plan'!D3),('Commission plan'!D3-'Commission plan'!D2),(F136-'Commission plan'!D2)))</f>
        <v>0.06374045801526718</v>
      </c>
      <c r="G304" s="12">
        <f>IF((G136&lt;='Commission plan'!E2),0,IF((G136&gt;='Commission plan'!E3),('Commission plan'!E3-'Commission plan'!E2),(G136-'Commission plan'!E2)))</f>
        <v>0</v>
      </c>
      <c r="H304" s="12">
        <f>IF((H136&lt;='Commission plan'!F2),0,IF((H136&gt;='Commission plan'!F3),('Commission plan'!F3-'Commission plan'!F2),(H136-'Commission plan'!F2)))</f>
        <v>0</v>
      </c>
      <c r="I304" s="12">
        <f>SUM(D304:H304)</f>
        <v>1.0637404580152672</v>
      </c>
    </row>
    <row r="305">
      <c r="A305" s="0" t="inlineStr">
        <is>
          <t xml:space="preserve">Attainment in tranche</t>
        </is>
      </c>
      <c r="B305" s="0" t="inlineStr">
        <is>
          <t xml:space="preserve">Nikolai Sato</t>
        </is>
      </c>
      <c r="C305" s="0" t="inlineStr">
        <is>
          <t xml:space="preserve">Q4 2025</t>
        </is>
      </c>
      <c r="D305" s="12">
        <f>IF((D137&lt;='Commission plan'!B2),0,IF((D137&gt;='Commission plan'!B3),('Commission plan'!B3-'Commission plan'!B2),(D137-'Commission plan'!B2)))</f>
        <v>0.24541984732824426</v>
      </c>
      <c r="E305" s="12">
        <f>IF((E137&lt;='Commission plan'!C2),0,IF((E137&gt;='Commission plan'!C3),('Commission plan'!C3-'Commission plan'!C2),(E137-'Commission plan'!C2)))</f>
        <v>0</v>
      </c>
      <c r="F305" s="12">
        <f>IF((F137&lt;='Commission plan'!D2),0,IF((F137&gt;='Commission plan'!D3),('Commission plan'!D3-'Commission plan'!D2),(F137-'Commission plan'!D2)))</f>
        <v>0</v>
      </c>
      <c r="G305" s="12">
        <f>IF((G137&lt;='Commission plan'!E2),0,IF((G137&gt;='Commission plan'!E3),('Commission plan'!E3-'Commission plan'!E2),(G137-'Commission plan'!E2)))</f>
        <v>0</v>
      </c>
      <c r="H305" s="12">
        <f>IF((H137&lt;='Commission plan'!F2),0,IF((H137&gt;='Commission plan'!F3),('Commission plan'!F3-'Commission plan'!F2),(H137-'Commission plan'!F2)))</f>
        <v>0</v>
      </c>
      <c r="I305" s="12">
        <f>SUM(D305:H305)</f>
        <v>0.24541984732824426</v>
      </c>
    </row>
    <row r="306">
      <c r="A306" s="0" t="inlineStr">
        <is>
          <t xml:space="preserve">Attainment in tranche</t>
        </is>
      </c>
      <c r="B306" s="0" t="inlineStr">
        <is>
          <t xml:space="preserve">Nikolai Sato</t>
        </is>
      </c>
      <c r="C306" s="0" t="inlineStr">
        <is>
          <t xml:space="preserve">Q1 2026</t>
        </is>
      </c>
      <c r="D306" s="12">
        <f>IF((D138&lt;='Commission plan'!B2),0,IF((D138&gt;='Commission plan'!B3),('Commission plan'!B3-'Commission plan'!B2),(D138-'Commission plan'!B2)))</f>
        <v>0.3427480916030534</v>
      </c>
      <c r="E306" s="12">
        <f>IF((E138&lt;='Commission plan'!C2),0,IF((E138&gt;='Commission plan'!C3),('Commission plan'!C3-'Commission plan'!C2),(E138-'Commission plan'!C2)))</f>
        <v>0</v>
      </c>
      <c r="F306" s="12">
        <f>IF((F138&lt;='Commission plan'!D2),0,IF((F138&gt;='Commission plan'!D3),('Commission plan'!D3-'Commission plan'!D2),(F138-'Commission plan'!D2)))</f>
        <v>0</v>
      </c>
      <c r="G306" s="12">
        <f>IF((G138&lt;='Commission plan'!E2),0,IF((G138&gt;='Commission plan'!E3),('Commission plan'!E3-'Commission plan'!E2),(G138-'Commission plan'!E2)))</f>
        <v>0</v>
      </c>
      <c r="H306" s="12">
        <f>IF((H138&lt;='Commission plan'!F2),0,IF((H138&gt;='Commission plan'!F3),('Commission plan'!F3-'Commission plan'!F2),(H138-'Commission plan'!F2)))</f>
        <v>0</v>
      </c>
      <c r="I306" s="12">
        <f>SUM(D306:H306)</f>
        <v>0.3427480916030534</v>
      </c>
    </row>
    <row r="307">
      <c r="A307" s="0" t="inlineStr">
        <is>
          <t xml:space="preserve">Attainment in tranche</t>
        </is>
      </c>
      <c r="B307" s="0" t="inlineStr">
        <is>
          <t xml:space="preserve">Nikolai Sato</t>
        </is>
      </c>
      <c r="C307" s="0" t="inlineStr">
        <is>
          <t xml:space="preserve">Q2 2026</t>
        </is>
      </c>
      <c r="D307" s="12">
        <f>IF((D139&lt;='Commission plan'!B2),0,IF((D139&gt;='Commission plan'!B3),('Commission plan'!B3-'Commission plan'!B2),(D139-'Commission plan'!B2)))</f>
        <v>0</v>
      </c>
      <c r="E307" s="12">
        <f>IF((E139&lt;='Commission plan'!C2),0,IF((E139&gt;='Commission plan'!C3),('Commission plan'!C3-'Commission plan'!C2),(E139-'Commission plan'!C2)))</f>
        <v>0</v>
      </c>
      <c r="F307" s="12">
        <f>IF((F139&lt;='Commission plan'!D2),0,IF((F139&gt;='Commission plan'!D3),('Commission plan'!D3-'Commission plan'!D2),(F139-'Commission plan'!D2)))</f>
        <v>0</v>
      </c>
      <c r="G307" s="12">
        <f>IF((G139&lt;='Commission plan'!E2),0,IF((G139&gt;='Commission plan'!E3),('Commission plan'!E3-'Commission plan'!E2),(G139-'Commission plan'!E2)))</f>
        <v>0</v>
      </c>
      <c r="H307" s="12">
        <f>IF((H139&lt;='Commission plan'!F2),0,IF((H139&gt;='Commission plan'!F3),('Commission plan'!F3-'Commission plan'!F2),(H139-'Commission plan'!F2)))</f>
        <v>0</v>
      </c>
      <c r="I307" s="12">
        <f>SUM(D307:H307)</f>
        <v>0</v>
      </c>
    </row>
    <row r="308">
      <c r="A308" s="0" t="inlineStr">
        <is>
          <t xml:space="preserve">Attainment in tranche</t>
        </is>
      </c>
      <c r="B308" s="0" t="inlineStr">
        <is>
          <t xml:space="preserve">Nikolai Sato</t>
        </is>
      </c>
      <c r="C308" s="0" t="inlineStr">
        <is>
          <t xml:space="preserve">Q3 2026</t>
        </is>
      </c>
      <c r="D308" s="12">
        <f>IF((D140&lt;='Commission plan'!B2),0,IF((D140&gt;='Commission plan'!B3),('Commission plan'!B3-'Commission plan'!B2),(D140-'Commission plan'!B2)))</f>
        <v>0.3946564885496183</v>
      </c>
      <c r="E308" s="12">
        <f>IF((E140&lt;='Commission plan'!C2),0,IF((E140&gt;='Commission plan'!C3),('Commission plan'!C3-'Commission plan'!C2),(E140-'Commission plan'!C2)))</f>
        <v>0</v>
      </c>
      <c r="F308" s="12">
        <f>IF((F140&lt;='Commission plan'!D2),0,IF((F140&gt;='Commission plan'!D3),('Commission plan'!D3-'Commission plan'!D2),(F140-'Commission plan'!D2)))</f>
        <v>0</v>
      </c>
      <c r="G308" s="12">
        <f>IF((G140&lt;='Commission plan'!E2),0,IF((G140&gt;='Commission plan'!E3),('Commission plan'!E3-'Commission plan'!E2),(G140-'Commission plan'!E2)))</f>
        <v>0</v>
      </c>
      <c r="H308" s="12">
        <f>IF((H140&lt;='Commission plan'!F2),0,IF((H140&gt;='Commission plan'!F3),('Commission plan'!F3-'Commission plan'!F2),(H140-'Commission plan'!F2)))</f>
        <v>0</v>
      </c>
      <c r="I308" s="12">
        <f>SUM(D308:H308)</f>
        <v>0.3946564885496183</v>
      </c>
    </row>
    <row r="309">
      <c r="A309" s="0" t="inlineStr">
        <is>
          <t xml:space="preserve">Attainment in tranche</t>
        </is>
      </c>
      <c r="B309" s="0" t="inlineStr">
        <is>
          <t xml:space="preserve">Nikolai Sato</t>
        </is>
      </c>
      <c r="C309" s="0" t="inlineStr">
        <is>
          <t xml:space="preserve">Q4 2026</t>
        </is>
      </c>
      <c r="D309" s="12">
        <f>IF((D141&lt;='Commission plan'!B2),0,IF((D141&gt;='Commission plan'!B3),('Commission plan'!B3-'Commission plan'!B2),(D141-'Commission plan'!B2)))</f>
        <v>0</v>
      </c>
      <c r="E309" s="12">
        <f>IF((E141&lt;='Commission plan'!C2),0,IF((E141&gt;='Commission plan'!C3),('Commission plan'!C3-'Commission plan'!C2),(E141-'Commission plan'!C2)))</f>
        <v>0</v>
      </c>
      <c r="F309" s="12">
        <f>IF((F141&lt;='Commission plan'!D2),0,IF((F141&gt;='Commission plan'!D3),('Commission plan'!D3-'Commission plan'!D2),(F141-'Commission plan'!D2)))</f>
        <v>0</v>
      </c>
      <c r="G309" s="12">
        <f>IF((G141&lt;='Commission plan'!E2),0,IF((G141&gt;='Commission plan'!E3),('Commission plan'!E3-'Commission plan'!E2),(G141-'Commission plan'!E2)))</f>
        <v>0</v>
      </c>
      <c r="H309" s="12">
        <f>IF((H141&lt;='Commission plan'!F2),0,IF((H141&gt;='Commission plan'!F3),('Commission plan'!F3-'Commission plan'!F2),(H141-'Commission plan'!F2)))</f>
        <v>0</v>
      </c>
      <c r="I309" s="12">
        <f>SUM(D309:H309)</f>
        <v>0</v>
      </c>
    </row>
    <row r="310">
      <c r="A310" s="0" t="inlineStr">
        <is>
          <t xml:space="preserve">Attainment in tranche</t>
        </is>
      </c>
      <c r="B310" s="0" t="inlineStr">
        <is>
          <t xml:space="preserve">Elena Silva</t>
        </is>
      </c>
      <c r="C310" s="0" t="inlineStr">
        <is>
          <t xml:space="preserve">Q2 2025</t>
        </is>
      </c>
      <c r="D310" s="12">
        <f>IF((D142&lt;='Commission plan'!B2),0,IF((D142&gt;='Commission plan'!B3),('Commission plan'!B3-'Commission plan'!B2),(D142-'Commission plan'!B2)))</f>
        <v>0.5</v>
      </c>
      <c r="E310" s="12">
        <f>IF((E142&lt;='Commission plan'!C2),0,IF((E142&gt;='Commission plan'!C3),('Commission plan'!C3-'Commission plan'!C2),(E142-'Commission plan'!C2)))</f>
        <v>0.4928571428571429</v>
      </c>
      <c r="F310" s="12">
        <f>IF((F142&lt;='Commission plan'!D2),0,IF((F142&gt;='Commission plan'!D3),('Commission plan'!D3-'Commission plan'!D2),(F142-'Commission plan'!D2)))</f>
        <v>0</v>
      </c>
      <c r="G310" s="12">
        <f>IF((G142&lt;='Commission plan'!E2),0,IF((G142&gt;='Commission plan'!E3),('Commission plan'!E3-'Commission plan'!E2),(G142-'Commission plan'!E2)))</f>
        <v>0</v>
      </c>
      <c r="H310" s="12">
        <f>IF((H142&lt;='Commission plan'!F2),0,IF((H142&gt;='Commission plan'!F3),('Commission plan'!F3-'Commission plan'!F2),(H142-'Commission plan'!F2)))</f>
        <v>0</v>
      </c>
      <c r="I310" s="12">
        <f>SUM(D310:H310)</f>
        <v>0.9928571428571429</v>
      </c>
    </row>
    <row r="311">
      <c r="A311" s="0" t="inlineStr">
        <is>
          <t xml:space="preserve">Attainment in tranche</t>
        </is>
      </c>
      <c r="B311" s="0" t="inlineStr">
        <is>
          <t xml:space="preserve">Elena Silva</t>
        </is>
      </c>
      <c r="C311" s="0" t="inlineStr">
        <is>
          <t xml:space="preserve">Q3 2025</t>
        </is>
      </c>
      <c r="D311" s="12">
        <f>IF((D143&lt;='Commission plan'!B2),0,IF((D143&gt;='Commission plan'!B3),('Commission plan'!B3-'Commission plan'!B2),(D143-'Commission plan'!B2)))</f>
        <v>0.5</v>
      </c>
      <c r="E311" s="12">
        <f>IF((E143&lt;='Commission plan'!C2),0,IF((E143&gt;='Commission plan'!C3),('Commission plan'!C3-'Commission plan'!C2),(E143-'Commission plan'!C2)))</f>
        <v>0.5</v>
      </c>
      <c r="F311" s="12">
        <f>IF((F143&lt;='Commission plan'!D2),0,IF((F143&gt;='Commission plan'!D3),('Commission plan'!D3-'Commission plan'!D2),(F143-'Commission plan'!D2)))</f>
        <v>0.25</v>
      </c>
      <c r="G311" s="12">
        <f>IF((G143&lt;='Commission plan'!E2),0,IF((G143&gt;='Commission plan'!E3),('Commission plan'!E3-'Commission plan'!E2),(G143-'Commission plan'!E2)))</f>
        <v>0.25</v>
      </c>
      <c r="H311" s="12">
        <f>IF((H143&lt;='Commission plan'!F2),0,IF((H143&gt;='Commission plan'!F3),('Commission plan'!F3-'Commission plan'!F2),(H143-'Commission plan'!F2)))</f>
        <v>0.4073333333333333</v>
      </c>
      <c r="I311" s="12">
        <f>SUM(D311:H311)</f>
        <v>1.9073333333333333</v>
      </c>
    </row>
    <row r="312">
      <c r="A312" s="0" t="inlineStr">
        <is>
          <t xml:space="preserve">Attainment in tranche</t>
        </is>
      </c>
      <c r="B312" s="0" t="inlineStr">
        <is>
          <t xml:space="preserve">Elena Silva</t>
        </is>
      </c>
      <c r="C312" s="0" t="inlineStr">
        <is>
          <t xml:space="preserve">Q4 2025</t>
        </is>
      </c>
      <c r="D312" s="12">
        <f>IF((D144&lt;='Commission plan'!B2),0,IF((D144&gt;='Commission plan'!B3),('Commission plan'!B3-'Commission plan'!B2),(D144-'Commission plan'!B2)))</f>
        <v>0.5</v>
      </c>
      <c r="E312" s="12">
        <f>IF((E144&lt;='Commission plan'!C2),0,IF((E144&gt;='Commission plan'!C3),('Commission plan'!C3-'Commission plan'!C2),(E144-'Commission plan'!C2)))</f>
        <v>0.5</v>
      </c>
      <c r="F312" s="12">
        <f>IF((F144&lt;='Commission plan'!D2),0,IF((F144&gt;='Commission plan'!D3),('Commission plan'!D3-'Commission plan'!D2),(F144-'Commission plan'!D2)))</f>
        <v>0.25</v>
      </c>
      <c r="G312" s="12">
        <f>IF((G144&lt;='Commission plan'!E2),0,IF((G144&gt;='Commission plan'!E3),('Commission plan'!E3-'Commission plan'!E2),(G144-'Commission plan'!E2)))</f>
        <v>0.25</v>
      </c>
      <c r="H312" s="12">
        <f>IF((H144&lt;='Commission plan'!F2),0,IF((H144&gt;='Commission plan'!F3),('Commission plan'!F3-'Commission plan'!F2),(H144-'Commission plan'!F2)))</f>
        <v>0.03600000000000003</v>
      </c>
      <c r="I312" s="12">
        <f>SUM(D312:H312)</f>
        <v>1.536</v>
      </c>
    </row>
    <row r="313">
      <c r="A313" s="0" t="inlineStr">
        <is>
          <t xml:space="preserve">Attainment in tranche</t>
        </is>
      </c>
      <c r="B313" s="0" t="inlineStr">
        <is>
          <t xml:space="preserve">Elena Silva</t>
        </is>
      </c>
      <c r="C313" s="0" t="inlineStr">
        <is>
          <t xml:space="preserve">Q1 2026</t>
        </is>
      </c>
      <c r="D313" s="12">
        <f>IF((D145&lt;='Commission plan'!B2),0,IF((D145&gt;='Commission plan'!B3),('Commission plan'!B3-'Commission plan'!B2),(D145-'Commission plan'!B2)))</f>
        <v>0.5</v>
      </c>
      <c r="E313" s="12">
        <f>IF((E145&lt;='Commission plan'!C2),0,IF((E145&gt;='Commission plan'!C3),('Commission plan'!C3-'Commission plan'!C2),(E145-'Commission plan'!C2)))</f>
        <v>0.41466666666666663</v>
      </c>
      <c r="F313" s="12">
        <f>IF((F145&lt;='Commission plan'!D2),0,IF((F145&gt;='Commission plan'!D3),('Commission plan'!D3-'Commission plan'!D2),(F145-'Commission plan'!D2)))</f>
        <v>0</v>
      </c>
      <c r="G313" s="12">
        <f>IF((G145&lt;='Commission plan'!E2),0,IF((G145&gt;='Commission plan'!E3),('Commission plan'!E3-'Commission plan'!E2),(G145-'Commission plan'!E2)))</f>
        <v>0</v>
      </c>
      <c r="H313" s="12">
        <f>IF((H145&lt;='Commission plan'!F2),0,IF((H145&gt;='Commission plan'!F3),('Commission plan'!F3-'Commission plan'!F2),(H145-'Commission plan'!F2)))</f>
        <v>0</v>
      </c>
      <c r="I313" s="12">
        <f>SUM(D313:H313)</f>
        <v>0.9146666666666666</v>
      </c>
    </row>
    <row r="314">
      <c r="A314" s="0" t="inlineStr">
        <is>
          <t xml:space="preserve">Attainment in tranche</t>
        </is>
      </c>
      <c r="B314" s="0" t="inlineStr">
        <is>
          <t xml:space="preserve">Elena Silva</t>
        </is>
      </c>
      <c r="C314" s="0" t="inlineStr">
        <is>
          <t xml:space="preserve">Q2 2026</t>
        </is>
      </c>
      <c r="D314" s="12">
        <f>IF((D146&lt;='Commission plan'!B2),0,IF((D146&gt;='Commission plan'!B3),('Commission plan'!B3-'Commission plan'!B2),(D146-'Commission plan'!B2)))</f>
        <v>0.5</v>
      </c>
      <c r="E314" s="12">
        <f>IF((E146&lt;='Commission plan'!C2),0,IF((E146&gt;='Commission plan'!C3),('Commission plan'!C3-'Commission plan'!C2),(E146-'Commission plan'!C2)))</f>
        <v>0.5</v>
      </c>
      <c r="F314" s="12">
        <f>IF((F146&lt;='Commission plan'!D2),0,IF((F146&gt;='Commission plan'!D3),('Commission plan'!D3-'Commission plan'!D2),(F146-'Commission plan'!D2)))</f>
        <v>0.22599999999999998</v>
      </c>
      <c r="G314" s="12">
        <f>IF((G146&lt;='Commission plan'!E2),0,IF((G146&gt;='Commission plan'!E3),('Commission plan'!E3-'Commission plan'!E2),(G146-'Commission plan'!E2)))</f>
        <v>0</v>
      </c>
      <c r="H314" s="12">
        <f>IF((H146&lt;='Commission plan'!F2),0,IF((H146&gt;='Commission plan'!F3),('Commission plan'!F3-'Commission plan'!F2),(H146-'Commission plan'!F2)))</f>
        <v>0</v>
      </c>
      <c r="I314" s="12">
        <f>SUM(D314:H314)</f>
        <v>1.226</v>
      </c>
    </row>
    <row r="315">
      <c r="A315" s="0" t="inlineStr">
        <is>
          <t xml:space="preserve">Attainment in tranche</t>
        </is>
      </c>
      <c r="B315" s="0" t="inlineStr">
        <is>
          <t xml:space="preserve">Elena Silva</t>
        </is>
      </c>
      <c r="C315" s="0" t="inlineStr">
        <is>
          <t xml:space="preserve">Q3 2026</t>
        </is>
      </c>
      <c r="D315" s="12">
        <f>IF((D147&lt;='Commission plan'!B2),0,IF((D147&gt;='Commission plan'!B3),('Commission plan'!B3-'Commission plan'!B2),(D147-'Commission plan'!B2)))</f>
        <v>0.5</v>
      </c>
      <c r="E315" s="12">
        <f>IF((E147&lt;='Commission plan'!C2),0,IF((E147&gt;='Commission plan'!C3),('Commission plan'!C3-'Commission plan'!C2),(E147-'Commission plan'!C2)))</f>
        <v>0.5</v>
      </c>
      <c r="F315" s="12">
        <f>IF((F147&lt;='Commission plan'!D2),0,IF((F147&gt;='Commission plan'!D3),('Commission plan'!D3-'Commission plan'!D2),(F147-'Commission plan'!D2)))</f>
        <v>0.25</v>
      </c>
      <c r="G315" s="12">
        <f>IF((G147&lt;='Commission plan'!E2),0,IF((G147&gt;='Commission plan'!E3),('Commission plan'!E3-'Commission plan'!E2),(G147-'Commission plan'!E2)))</f>
        <v>0.02733333333333343</v>
      </c>
      <c r="H315" s="12">
        <f>IF((H147&lt;='Commission plan'!F2),0,IF((H147&gt;='Commission plan'!F3),('Commission plan'!F3-'Commission plan'!F2),(H147-'Commission plan'!F2)))</f>
        <v>0</v>
      </c>
      <c r="I315" s="12">
        <f>SUM(D315:H315)</f>
        <v>1.2773333333333334</v>
      </c>
    </row>
    <row r="316">
      <c r="A316" s="0" t="inlineStr">
        <is>
          <t xml:space="preserve">Attainment in tranche</t>
        </is>
      </c>
      <c r="B316" s="0" t="inlineStr">
        <is>
          <t xml:space="preserve">Elena Silva</t>
        </is>
      </c>
      <c r="C316" s="0" t="inlineStr">
        <is>
          <t xml:space="preserve">Q4 2026</t>
        </is>
      </c>
      <c r="D316" s="12">
        <f>IF((D148&lt;='Commission plan'!B2),0,IF((D148&gt;='Commission plan'!B3),('Commission plan'!B3-'Commission plan'!B2),(D148-'Commission plan'!B2)))</f>
        <v>0</v>
      </c>
      <c r="E316" s="12">
        <f>IF((E148&lt;='Commission plan'!C2),0,IF((E148&gt;='Commission plan'!C3),('Commission plan'!C3-'Commission plan'!C2),(E148-'Commission plan'!C2)))</f>
        <v>0</v>
      </c>
      <c r="F316" s="12">
        <f>IF((F148&lt;='Commission plan'!D2),0,IF((F148&gt;='Commission plan'!D3),('Commission plan'!D3-'Commission plan'!D2),(F148-'Commission plan'!D2)))</f>
        <v>0</v>
      </c>
      <c r="G316" s="12">
        <f>IF((G148&lt;='Commission plan'!E2),0,IF((G148&gt;='Commission plan'!E3),('Commission plan'!E3-'Commission plan'!E2),(G148-'Commission plan'!E2)))</f>
        <v>0</v>
      </c>
      <c r="H316" s="12">
        <f>IF((H148&lt;='Commission plan'!F2),0,IF((H148&gt;='Commission plan'!F3),('Commission plan'!F3-'Commission plan'!F2),(H148-'Commission plan'!F2)))</f>
        <v>0</v>
      </c>
      <c r="I316" s="12">
        <f>SUM(D316:H316)</f>
        <v>0</v>
      </c>
    </row>
    <row r="317">
      <c r="A317" s="0" t="inlineStr">
        <is>
          <t xml:space="preserve">Attainment in tranche</t>
        </is>
      </c>
      <c r="B317" s="0" t="inlineStr">
        <is>
          <t xml:space="preserve">Arjun Müller</t>
        </is>
      </c>
      <c r="C317" s="0" t="inlineStr">
        <is>
          <t xml:space="preserve">Q2 2025</t>
        </is>
      </c>
      <c r="D317" s="12">
        <f>IF((D149&lt;='Commission plan'!B2),0,IF((D149&gt;='Commission plan'!B3),('Commission plan'!B3-'Commission plan'!B2),(D149-'Commission plan'!B2)))</f>
        <v>0.16666666666666666</v>
      </c>
      <c r="E317" s="12">
        <f>IF((E149&lt;='Commission plan'!C2),0,IF((E149&gt;='Commission plan'!C3),('Commission plan'!C3-'Commission plan'!C2),(E149-'Commission plan'!C2)))</f>
        <v>0</v>
      </c>
      <c r="F317" s="12">
        <f>IF((F149&lt;='Commission plan'!D2),0,IF((F149&gt;='Commission plan'!D3),('Commission plan'!D3-'Commission plan'!D2),(F149-'Commission plan'!D2)))</f>
        <v>0</v>
      </c>
      <c r="G317" s="12">
        <f>IF((G149&lt;='Commission plan'!E2),0,IF((G149&gt;='Commission plan'!E3),('Commission plan'!E3-'Commission plan'!E2),(G149-'Commission plan'!E2)))</f>
        <v>0</v>
      </c>
      <c r="H317" s="12">
        <f>IF((H149&lt;='Commission plan'!F2),0,IF((H149&gt;='Commission plan'!F3),('Commission plan'!F3-'Commission plan'!F2),(H149-'Commission plan'!F2)))</f>
        <v>0</v>
      </c>
      <c r="I317" s="12">
        <f>SUM(D317:H317)</f>
        <v>0.16666666666666666</v>
      </c>
    </row>
    <row r="318">
      <c r="A318" s="0" t="inlineStr">
        <is>
          <t xml:space="preserve">Attainment in tranche</t>
        </is>
      </c>
      <c r="B318" s="0" t="inlineStr">
        <is>
          <t xml:space="preserve">Arjun Müller</t>
        </is>
      </c>
      <c r="C318" s="0" t="inlineStr">
        <is>
          <t xml:space="preserve">Q3 2025</t>
        </is>
      </c>
      <c r="D318" s="12">
        <f>IF((D150&lt;='Commission plan'!B2),0,IF((D150&gt;='Commission plan'!B3),('Commission plan'!B3-'Commission plan'!B2),(D150-'Commission plan'!B2)))</f>
        <v>0.5</v>
      </c>
      <c r="E318" s="12">
        <f>IF((E150&lt;='Commission plan'!C2),0,IF((E150&gt;='Commission plan'!C3),('Commission plan'!C3-'Commission plan'!C2),(E150-'Commission plan'!C2)))</f>
        <v>0.01733333333333331</v>
      </c>
      <c r="F318" s="12">
        <f>IF((F150&lt;='Commission plan'!D2),0,IF((F150&gt;='Commission plan'!D3),('Commission plan'!D3-'Commission plan'!D2),(F150-'Commission plan'!D2)))</f>
        <v>0</v>
      </c>
      <c r="G318" s="12">
        <f>IF((G150&lt;='Commission plan'!E2),0,IF((G150&gt;='Commission plan'!E3),('Commission plan'!E3-'Commission plan'!E2),(G150-'Commission plan'!E2)))</f>
        <v>0</v>
      </c>
      <c r="H318" s="12">
        <f>IF((H150&lt;='Commission plan'!F2),0,IF((H150&gt;='Commission plan'!F3),('Commission plan'!F3-'Commission plan'!F2),(H150-'Commission plan'!F2)))</f>
        <v>0</v>
      </c>
      <c r="I318" s="12">
        <f>SUM(D318:H318)</f>
        <v>0.5173333333333333</v>
      </c>
    </row>
    <row r="319">
      <c r="A319" s="0" t="inlineStr">
        <is>
          <t xml:space="preserve">Attainment in tranche</t>
        </is>
      </c>
      <c r="B319" s="0" t="inlineStr">
        <is>
          <t xml:space="preserve">Arjun Müller</t>
        </is>
      </c>
      <c r="C319" s="0" t="inlineStr">
        <is>
          <t xml:space="preserve">Q4 2025</t>
        </is>
      </c>
      <c r="D319" s="12">
        <f>IF((D151&lt;='Commission plan'!B2),0,IF((D151&gt;='Commission plan'!B3),('Commission plan'!B3-'Commission plan'!B2),(D151-'Commission plan'!B2)))</f>
        <v>0.5</v>
      </c>
      <c r="E319" s="12">
        <f>IF((E151&lt;='Commission plan'!C2),0,IF((E151&gt;='Commission plan'!C3),('Commission plan'!C3-'Commission plan'!C2),(E151-'Commission plan'!C2)))</f>
        <v>0.5</v>
      </c>
      <c r="F319" s="12">
        <f>IF((F151&lt;='Commission plan'!D2),0,IF((F151&gt;='Commission plan'!D3),('Commission plan'!D3-'Commission plan'!D2),(F151-'Commission plan'!D2)))</f>
        <v>0.17199999999999993</v>
      </c>
      <c r="G319" s="12">
        <f>IF((G151&lt;='Commission plan'!E2),0,IF((G151&gt;='Commission plan'!E3),('Commission plan'!E3-'Commission plan'!E2),(G151-'Commission plan'!E2)))</f>
        <v>0</v>
      </c>
      <c r="H319" s="12">
        <f>IF((H151&lt;='Commission plan'!F2),0,IF((H151&gt;='Commission plan'!F3),('Commission plan'!F3-'Commission plan'!F2),(H151-'Commission plan'!F2)))</f>
        <v>0</v>
      </c>
      <c r="I319" s="12">
        <f>SUM(D319:H319)</f>
        <v>1.172</v>
      </c>
    </row>
    <row r="320">
      <c r="A320" s="0" t="inlineStr">
        <is>
          <t xml:space="preserve">Attainment in tranche</t>
        </is>
      </c>
      <c r="B320" s="0" t="inlineStr">
        <is>
          <t xml:space="preserve">Arjun Müller</t>
        </is>
      </c>
      <c r="C320" s="0" t="inlineStr">
        <is>
          <t xml:space="preserve">Q1 2026</t>
        </is>
      </c>
      <c r="D320" s="12">
        <f>IF((D152&lt;='Commission plan'!B2),0,IF((D152&gt;='Commission plan'!B3),('Commission plan'!B3-'Commission plan'!B2),(D152-'Commission plan'!B2)))</f>
        <v>0</v>
      </c>
      <c r="E320" s="12">
        <f>IF((E152&lt;='Commission plan'!C2),0,IF((E152&gt;='Commission plan'!C3),('Commission plan'!C3-'Commission plan'!C2),(E152-'Commission plan'!C2)))</f>
        <v>0</v>
      </c>
      <c r="F320" s="12">
        <f>IF((F152&lt;='Commission plan'!D2),0,IF((F152&gt;='Commission plan'!D3),('Commission plan'!D3-'Commission plan'!D2),(F152-'Commission plan'!D2)))</f>
        <v>0</v>
      </c>
      <c r="G320" s="12">
        <f>IF((G152&lt;='Commission plan'!E2),0,IF((G152&gt;='Commission plan'!E3),('Commission plan'!E3-'Commission plan'!E2),(G152-'Commission plan'!E2)))</f>
        <v>0</v>
      </c>
      <c r="H320" s="12">
        <f>IF((H152&lt;='Commission plan'!F2),0,IF((H152&gt;='Commission plan'!F3),('Commission plan'!F3-'Commission plan'!F2),(H152-'Commission plan'!F2)))</f>
        <v>0</v>
      </c>
      <c r="I320" s="12">
        <f>SUM(D320:H320)</f>
        <v>0</v>
      </c>
    </row>
    <row r="321">
      <c r="A321" s="0" t="inlineStr">
        <is>
          <t xml:space="preserve">Attainment in tranche</t>
        </is>
      </c>
      <c r="B321" s="0" t="inlineStr">
        <is>
          <t xml:space="preserve">Arjun Müller</t>
        </is>
      </c>
      <c r="C321" s="0" t="inlineStr">
        <is>
          <t xml:space="preserve">Q2 2026</t>
        </is>
      </c>
      <c r="D321" s="12">
        <f>IF((D153&lt;='Commission plan'!B2),0,IF((D153&gt;='Commission plan'!B3),('Commission plan'!B3-'Commission plan'!B2),(D153-'Commission plan'!B2)))</f>
        <v>0.5</v>
      </c>
      <c r="E321" s="12">
        <f>IF((E153&lt;='Commission plan'!C2),0,IF((E153&gt;='Commission plan'!C3),('Commission plan'!C3-'Commission plan'!C2),(E153-'Commission plan'!C2)))</f>
        <v>0.5</v>
      </c>
      <c r="F321" s="12">
        <f>IF((F153&lt;='Commission plan'!D2),0,IF((F153&gt;='Commission plan'!D3),('Commission plan'!D3-'Commission plan'!D2),(F153-'Commission plan'!D2)))</f>
        <v>0.25</v>
      </c>
      <c r="G321" s="12">
        <f>IF((G153&lt;='Commission plan'!E2),0,IF((G153&gt;='Commission plan'!E3),('Commission plan'!E3-'Commission plan'!E2),(G153-'Commission plan'!E2)))</f>
        <v>0.04266666666666663</v>
      </c>
      <c r="H321" s="12">
        <f>IF((H153&lt;='Commission plan'!F2),0,IF((H153&gt;='Commission plan'!F3),('Commission plan'!F3-'Commission plan'!F2),(H153-'Commission plan'!F2)))</f>
        <v>0</v>
      </c>
      <c r="I321" s="12">
        <f>SUM(D321:H321)</f>
        <v>1.2926666666666666</v>
      </c>
    </row>
    <row r="322">
      <c r="A322" s="0" t="inlineStr">
        <is>
          <t xml:space="preserve">Attainment in tranche</t>
        </is>
      </c>
      <c r="B322" s="0" t="inlineStr">
        <is>
          <t xml:space="preserve">Arjun Müller</t>
        </is>
      </c>
      <c r="C322" s="0" t="inlineStr">
        <is>
          <t xml:space="preserve">Q3 2026</t>
        </is>
      </c>
      <c r="D322" s="12">
        <f>IF((D154&lt;='Commission plan'!B2),0,IF((D154&gt;='Commission plan'!B3),('Commission plan'!B3-'Commission plan'!B2),(D154-'Commission plan'!B2)))</f>
        <v>0.5</v>
      </c>
      <c r="E322" s="12">
        <f>IF((E154&lt;='Commission plan'!C2),0,IF((E154&gt;='Commission plan'!C3),('Commission plan'!C3-'Commission plan'!C2),(E154-'Commission plan'!C2)))</f>
        <v>0.5</v>
      </c>
      <c r="F322" s="12">
        <f>IF((F154&lt;='Commission plan'!D2),0,IF((F154&gt;='Commission plan'!D3),('Commission plan'!D3-'Commission plan'!D2),(F154-'Commission plan'!D2)))</f>
        <v>0.08133333333333326</v>
      </c>
      <c r="G322" s="12">
        <f>IF((G154&lt;='Commission plan'!E2),0,IF((G154&gt;='Commission plan'!E3),('Commission plan'!E3-'Commission plan'!E2),(G154-'Commission plan'!E2)))</f>
        <v>0</v>
      </c>
      <c r="H322" s="12">
        <f>IF((H154&lt;='Commission plan'!F2),0,IF((H154&gt;='Commission plan'!F3),('Commission plan'!F3-'Commission plan'!F2),(H154-'Commission plan'!F2)))</f>
        <v>0</v>
      </c>
      <c r="I322" s="12">
        <f>SUM(D322:H322)</f>
        <v>1.0813333333333333</v>
      </c>
    </row>
    <row r="323">
      <c r="A323" s="0" t="inlineStr">
        <is>
          <t xml:space="preserve">Attainment in tranche</t>
        </is>
      </c>
      <c r="B323" s="0" t="inlineStr">
        <is>
          <t xml:space="preserve">Arjun Müller</t>
        </is>
      </c>
      <c r="C323" s="0" t="inlineStr">
        <is>
          <t xml:space="preserve">Q4 2026</t>
        </is>
      </c>
      <c r="D323" s="12">
        <f>IF((D155&lt;='Commission plan'!B2),0,IF((D155&gt;='Commission plan'!B3),('Commission plan'!B3-'Commission plan'!B2),(D155-'Commission plan'!B2)))</f>
        <v>0</v>
      </c>
      <c r="E323" s="12">
        <f>IF((E155&lt;='Commission plan'!C2),0,IF((E155&gt;='Commission plan'!C3),('Commission plan'!C3-'Commission plan'!C2),(E155-'Commission plan'!C2)))</f>
        <v>0</v>
      </c>
      <c r="F323" s="12">
        <f>IF((F155&lt;='Commission plan'!D2),0,IF((F155&gt;='Commission plan'!D3),('Commission plan'!D3-'Commission plan'!D2),(F155-'Commission plan'!D2)))</f>
        <v>0</v>
      </c>
      <c r="G323" s="12">
        <f>IF((G155&lt;='Commission plan'!E2),0,IF((G155&gt;='Commission plan'!E3),('Commission plan'!E3-'Commission plan'!E2),(G155-'Commission plan'!E2)))</f>
        <v>0</v>
      </c>
      <c r="H323" s="12">
        <f>IF((H155&lt;='Commission plan'!F2),0,IF((H155&gt;='Commission plan'!F3),('Commission plan'!F3-'Commission plan'!F2),(H155-'Commission plan'!F2)))</f>
        <v>0</v>
      </c>
      <c r="I323" s="12">
        <f>SUM(D323:H323)</f>
        <v>0</v>
      </c>
    </row>
    <row r="324">
      <c r="A324" s="0" t="inlineStr">
        <is>
          <t xml:space="preserve">Attainment in tranche</t>
        </is>
      </c>
      <c r="B324" s="0" t="inlineStr">
        <is>
          <t xml:space="preserve">Nikolai Park</t>
        </is>
      </c>
      <c r="C324" s="0" t="inlineStr">
        <is>
          <t xml:space="preserve">Q2 2025</t>
        </is>
      </c>
      <c r="D324" s="12">
        <f>IF((D156&lt;='Commission plan'!B2),0,IF((D156&gt;='Commission plan'!B3),('Commission plan'!B3-'Commission plan'!B2),(D156-'Commission plan'!B2)))</f>
        <v>0</v>
      </c>
      <c r="E324" s="12">
        <f>IF((E156&lt;='Commission plan'!C2),0,IF((E156&gt;='Commission plan'!C3),('Commission plan'!C3-'Commission plan'!C2),(E156-'Commission plan'!C2)))</f>
        <v>0</v>
      </c>
      <c r="F324" s="12">
        <f>IF((F156&lt;='Commission plan'!D2),0,IF((F156&gt;='Commission plan'!D3),('Commission plan'!D3-'Commission plan'!D2),(F156-'Commission plan'!D2)))</f>
        <v>0</v>
      </c>
      <c r="G324" s="12">
        <f>IF((G156&lt;='Commission plan'!E2),0,IF((G156&gt;='Commission plan'!E3),('Commission plan'!E3-'Commission plan'!E2),(G156-'Commission plan'!E2)))</f>
        <v>0</v>
      </c>
      <c r="H324" s="12">
        <f>IF((H156&lt;='Commission plan'!F2),0,IF((H156&gt;='Commission plan'!F3),('Commission plan'!F3-'Commission plan'!F2),(H156-'Commission plan'!F2)))</f>
        <v>0</v>
      </c>
      <c r="I324" s="12">
        <f>SUM(D324:H324)</f>
        <v>0</v>
      </c>
    </row>
    <row r="325">
      <c r="A325" s="0" t="inlineStr">
        <is>
          <t xml:space="preserve">Attainment in tranche</t>
        </is>
      </c>
      <c r="B325" s="0" t="inlineStr">
        <is>
          <t xml:space="preserve">Nikolai Park</t>
        </is>
      </c>
      <c r="C325" s="0" t="inlineStr">
        <is>
          <t xml:space="preserve">Q3 2025</t>
        </is>
      </c>
      <c r="D325" s="12">
        <f>IF((D157&lt;='Commission plan'!B2),0,IF((D157&gt;='Commission plan'!B3),('Commission plan'!B3-'Commission plan'!B2),(D157-'Commission plan'!B2)))</f>
        <v>0</v>
      </c>
      <c r="E325" s="12">
        <f>IF((E157&lt;='Commission plan'!C2),0,IF((E157&gt;='Commission plan'!C3),('Commission plan'!C3-'Commission plan'!C2),(E157-'Commission plan'!C2)))</f>
        <v>0</v>
      </c>
      <c r="F325" s="12">
        <f>IF((F157&lt;='Commission plan'!D2),0,IF((F157&gt;='Commission plan'!D3),('Commission plan'!D3-'Commission plan'!D2),(F157-'Commission plan'!D2)))</f>
        <v>0</v>
      </c>
      <c r="G325" s="12">
        <f>IF((G157&lt;='Commission plan'!E2),0,IF((G157&gt;='Commission plan'!E3),('Commission plan'!E3-'Commission plan'!E2),(G157-'Commission plan'!E2)))</f>
        <v>0</v>
      </c>
      <c r="H325" s="12">
        <f>IF((H157&lt;='Commission plan'!F2),0,IF((H157&gt;='Commission plan'!F3),('Commission plan'!F3-'Commission plan'!F2),(H157-'Commission plan'!F2)))</f>
        <v>0</v>
      </c>
      <c r="I325" s="12">
        <f>SUM(D325:H325)</f>
        <v>0</v>
      </c>
    </row>
    <row r="326">
      <c r="A326" s="0" t="inlineStr">
        <is>
          <t xml:space="preserve">Attainment in tranche</t>
        </is>
      </c>
      <c r="B326" s="0" t="inlineStr">
        <is>
          <t xml:space="preserve">Nikolai Park</t>
        </is>
      </c>
      <c r="C326" s="0" t="inlineStr">
        <is>
          <t xml:space="preserve">Q4 2025</t>
        </is>
      </c>
      <c r="D326" s="12">
        <f>IF((D158&lt;='Commission plan'!B2),0,IF((D158&gt;='Commission plan'!B3),('Commission plan'!B3-'Commission plan'!B2),(D158-'Commission plan'!B2)))</f>
        <v>0</v>
      </c>
      <c r="E326" s="12">
        <f>IF((E158&lt;='Commission plan'!C2),0,IF((E158&gt;='Commission plan'!C3),('Commission plan'!C3-'Commission plan'!C2),(E158-'Commission plan'!C2)))</f>
        <v>0</v>
      </c>
      <c r="F326" s="12">
        <f>IF((F158&lt;='Commission plan'!D2),0,IF((F158&gt;='Commission plan'!D3),('Commission plan'!D3-'Commission plan'!D2),(F158-'Commission plan'!D2)))</f>
        <v>0</v>
      </c>
      <c r="G326" s="12">
        <f>IF((G158&lt;='Commission plan'!E2),0,IF((G158&gt;='Commission plan'!E3),('Commission plan'!E3-'Commission plan'!E2),(G158-'Commission plan'!E2)))</f>
        <v>0</v>
      </c>
      <c r="H326" s="12">
        <f>IF((H158&lt;='Commission plan'!F2),0,IF((H158&gt;='Commission plan'!F3),('Commission plan'!F3-'Commission plan'!F2),(H158-'Commission plan'!F2)))</f>
        <v>0</v>
      </c>
      <c r="I326" s="12">
        <f>SUM(D326:H326)</f>
        <v>0</v>
      </c>
    </row>
    <row r="327">
      <c r="A327" s="0" t="inlineStr">
        <is>
          <t xml:space="preserve">Attainment in tranche</t>
        </is>
      </c>
      <c r="B327" s="0" t="inlineStr">
        <is>
          <t xml:space="preserve">Nikolai Park</t>
        </is>
      </c>
      <c r="C327" s="0" t="inlineStr">
        <is>
          <t xml:space="preserve">Q1 2026</t>
        </is>
      </c>
      <c r="D327" s="12">
        <f>IF((D159&lt;='Commission plan'!B2),0,IF((D159&gt;='Commission plan'!B3),('Commission plan'!B3-'Commission plan'!B2),(D159-'Commission plan'!B2)))</f>
        <v>0</v>
      </c>
      <c r="E327" s="12">
        <f>IF((E159&lt;='Commission plan'!C2),0,IF((E159&gt;='Commission plan'!C3),('Commission plan'!C3-'Commission plan'!C2),(E159-'Commission plan'!C2)))</f>
        <v>0</v>
      </c>
      <c r="F327" s="12">
        <f>IF((F159&lt;='Commission plan'!D2),0,IF((F159&gt;='Commission plan'!D3),('Commission plan'!D3-'Commission plan'!D2),(F159-'Commission plan'!D2)))</f>
        <v>0</v>
      </c>
      <c r="G327" s="12">
        <f>IF((G159&lt;='Commission plan'!E2),0,IF((G159&gt;='Commission plan'!E3),('Commission plan'!E3-'Commission plan'!E2),(G159-'Commission plan'!E2)))</f>
        <v>0</v>
      </c>
      <c r="H327" s="12">
        <f>IF((H159&lt;='Commission plan'!F2),0,IF((H159&gt;='Commission plan'!F3),('Commission plan'!F3-'Commission plan'!F2),(H159-'Commission plan'!F2)))</f>
        <v>0</v>
      </c>
      <c r="I327" s="12">
        <f>SUM(D327:H327)</f>
        <v>0</v>
      </c>
    </row>
    <row r="328">
      <c r="A328" s="0" t="inlineStr">
        <is>
          <t xml:space="preserve">Attainment in tranche</t>
        </is>
      </c>
      <c r="B328" s="0" t="inlineStr">
        <is>
          <t xml:space="preserve">Nikolai Park</t>
        </is>
      </c>
      <c r="C328" s="0" t="inlineStr">
        <is>
          <t xml:space="preserve">Q2 2026</t>
        </is>
      </c>
      <c r="D328" s="12">
        <f>IF((D160&lt;='Commission plan'!B2),0,IF((D160&gt;='Commission plan'!B3),('Commission plan'!B3-'Commission plan'!B2),(D160-'Commission plan'!B2)))</f>
        <v>0.5</v>
      </c>
      <c r="E328" s="12">
        <f>IF((E160&lt;='Commission plan'!C2),0,IF((E160&gt;='Commission plan'!C3),('Commission plan'!C3-'Commission plan'!C2),(E160-'Commission plan'!C2)))</f>
        <v>0.050000000000000044</v>
      </c>
      <c r="F328" s="12">
        <f>IF((F160&lt;='Commission plan'!D2),0,IF((F160&gt;='Commission plan'!D3),('Commission plan'!D3-'Commission plan'!D2),(F160-'Commission plan'!D2)))</f>
        <v>0</v>
      </c>
      <c r="G328" s="12">
        <f>IF((G160&lt;='Commission plan'!E2),0,IF((G160&gt;='Commission plan'!E3),('Commission plan'!E3-'Commission plan'!E2),(G160-'Commission plan'!E2)))</f>
        <v>0</v>
      </c>
      <c r="H328" s="12">
        <f>IF((H160&lt;='Commission plan'!F2),0,IF((H160&gt;='Commission plan'!F3),('Commission plan'!F3-'Commission plan'!F2),(H160-'Commission plan'!F2)))</f>
        <v>0</v>
      </c>
      <c r="I328" s="12">
        <f>SUM(D328:H328)</f>
        <v>0.55</v>
      </c>
    </row>
    <row r="329">
      <c r="A329" s="0" t="inlineStr">
        <is>
          <t xml:space="preserve">Attainment in tranche</t>
        </is>
      </c>
      <c r="B329" s="0" t="inlineStr">
        <is>
          <t xml:space="preserve">Nikolai Park</t>
        </is>
      </c>
      <c r="C329" s="0" t="inlineStr">
        <is>
          <t xml:space="preserve">Q3 2026</t>
        </is>
      </c>
      <c r="D329" s="12">
        <f>IF((D161&lt;='Commission plan'!B2),0,IF((D161&gt;='Commission plan'!B3),('Commission plan'!B3-'Commission plan'!B2),(D161-'Commission plan'!B2)))</f>
        <v>0.5</v>
      </c>
      <c r="E329" s="12">
        <f>IF((E161&lt;='Commission plan'!C2),0,IF((E161&gt;='Commission plan'!C3),('Commission plan'!C3-'Commission plan'!C2),(E161-'Commission plan'!C2)))</f>
        <v>0.19499999999999995</v>
      </c>
      <c r="F329" s="12">
        <f>IF((F161&lt;='Commission plan'!D2),0,IF((F161&gt;='Commission plan'!D3),('Commission plan'!D3-'Commission plan'!D2),(F161-'Commission plan'!D2)))</f>
        <v>0</v>
      </c>
      <c r="G329" s="12">
        <f>IF((G161&lt;='Commission plan'!E2),0,IF((G161&gt;='Commission plan'!E3),('Commission plan'!E3-'Commission plan'!E2),(G161-'Commission plan'!E2)))</f>
        <v>0</v>
      </c>
      <c r="H329" s="12">
        <f>IF((H161&lt;='Commission plan'!F2),0,IF((H161&gt;='Commission plan'!F3),('Commission plan'!F3-'Commission plan'!F2),(H161-'Commission plan'!F2)))</f>
        <v>0</v>
      </c>
      <c r="I329" s="12">
        <f>SUM(D329:H329)</f>
        <v>0.695</v>
      </c>
    </row>
    <row r="330">
      <c r="A330" s="0" t="inlineStr">
        <is>
          <t xml:space="preserve">Attainment in tranche</t>
        </is>
      </c>
      <c r="B330" s="0" t="inlineStr">
        <is>
          <t xml:space="preserve">Nikolai Park</t>
        </is>
      </c>
      <c r="C330" s="0" t="inlineStr">
        <is>
          <t xml:space="preserve">Q4 2026</t>
        </is>
      </c>
      <c r="D330" s="12">
        <f>IF((D162&lt;='Commission plan'!B2),0,IF((D162&gt;='Commission plan'!B3),('Commission plan'!B3-'Commission plan'!B2),(D162-'Commission plan'!B2)))</f>
        <v>0</v>
      </c>
      <c r="E330" s="12">
        <f>IF((E162&lt;='Commission plan'!C2),0,IF((E162&gt;='Commission plan'!C3),('Commission plan'!C3-'Commission plan'!C2),(E162-'Commission plan'!C2)))</f>
        <v>0</v>
      </c>
      <c r="F330" s="12">
        <f>IF((F162&lt;='Commission plan'!D2),0,IF((F162&gt;='Commission plan'!D3),('Commission plan'!D3-'Commission plan'!D2),(F162-'Commission plan'!D2)))</f>
        <v>0</v>
      </c>
      <c r="G330" s="12">
        <f>IF((G162&lt;='Commission plan'!E2),0,IF((G162&gt;='Commission plan'!E3),('Commission plan'!E3-'Commission plan'!E2),(G162-'Commission plan'!E2)))</f>
        <v>0</v>
      </c>
      <c r="H330" s="12">
        <f>IF((H162&lt;='Commission plan'!F2),0,IF((H162&gt;='Commission plan'!F3),('Commission plan'!F3-'Commission plan'!F2),(H162-'Commission plan'!F2)))</f>
        <v>0</v>
      </c>
      <c r="I330" s="12">
        <f>SUM(D330:H330)</f>
        <v>0</v>
      </c>
    </row>
    <row r="331">
      <c r="A331" s="0" t="inlineStr">
        <is>
          <t xml:space="preserve">Attainment in tranche</t>
        </is>
      </c>
      <c r="B331" s="0" t="inlineStr">
        <is>
          <t xml:space="preserve">Ingrid Dubois</t>
        </is>
      </c>
      <c r="C331" s="0" t="inlineStr">
        <is>
          <t xml:space="preserve">Q2 2025</t>
        </is>
      </c>
      <c r="D331" s="12">
        <f>IF((D163&lt;='Commission plan'!B2),0,IF((D163&gt;='Commission plan'!B3),('Commission plan'!B3-'Commission plan'!B2),(D163-'Commission plan'!B2)))</f>
        <v>0</v>
      </c>
      <c r="E331" s="12">
        <f>IF((E163&lt;='Commission plan'!C2),0,IF((E163&gt;='Commission plan'!C3),('Commission plan'!C3-'Commission plan'!C2),(E163-'Commission plan'!C2)))</f>
        <v>0</v>
      </c>
      <c r="F331" s="12">
        <f>IF((F163&lt;='Commission plan'!D2),0,IF((F163&gt;='Commission plan'!D3),('Commission plan'!D3-'Commission plan'!D2),(F163-'Commission plan'!D2)))</f>
        <v>0</v>
      </c>
      <c r="G331" s="12">
        <f>IF((G163&lt;='Commission plan'!E2),0,IF((G163&gt;='Commission plan'!E3),('Commission plan'!E3-'Commission plan'!E2),(G163-'Commission plan'!E2)))</f>
        <v>0</v>
      </c>
      <c r="H331" s="12">
        <f>IF((H163&lt;='Commission plan'!F2),0,IF((H163&gt;='Commission plan'!F3),('Commission plan'!F3-'Commission plan'!F2),(H163-'Commission plan'!F2)))</f>
        <v>0</v>
      </c>
      <c r="I331" s="12">
        <f>SUM(D331:H331)</f>
        <v>0</v>
      </c>
    </row>
    <row r="332">
      <c r="A332" s="0" t="inlineStr">
        <is>
          <t xml:space="preserve">Attainment in tranche</t>
        </is>
      </c>
      <c r="B332" s="0" t="inlineStr">
        <is>
          <t xml:space="preserve">Ingrid Dubois</t>
        </is>
      </c>
      <c r="C332" s="0" t="inlineStr">
        <is>
          <t xml:space="preserve">Q3 2025</t>
        </is>
      </c>
      <c r="D332" s="12">
        <f>IF((D164&lt;='Commission plan'!B2),0,IF((D164&gt;='Commission plan'!B3),('Commission plan'!B3-'Commission plan'!B2),(D164-'Commission plan'!B2)))</f>
        <v>0.5</v>
      </c>
      <c r="E332" s="12">
        <f>IF((E164&lt;='Commission plan'!C2),0,IF((E164&gt;='Commission plan'!C3),('Commission plan'!C3-'Commission plan'!C2),(E164-'Commission plan'!C2)))</f>
        <v>0.5</v>
      </c>
      <c r="F332" s="12">
        <f>IF((F164&lt;='Commission plan'!D2),0,IF((F164&gt;='Commission plan'!D3),('Commission plan'!D3-'Commission plan'!D2),(F164-'Commission plan'!D2)))</f>
        <v>0.25</v>
      </c>
      <c r="G332" s="12">
        <f>IF((G164&lt;='Commission plan'!E2),0,IF((G164&gt;='Commission plan'!E3),('Commission plan'!E3-'Commission plan'!E2),(G164-'Commission plan'!E2)))</f>
        <v>0.25</v>
      </c>
      <c r="H332" s="12">
        <f>IF((H164&lt;='Commission plan'!F2),0,IF((H164&gt;='Commission plan'!F3),('Commission plan'!F3-'Commission plan'!F2),(H164-'Commission plan'!F2)))</f>
        <v>0.053749999999999964</v>
      </c>
      <c r="I332" s="12">
        <f>SUM(D332:H332)</f>
        <v>1.55375</v>
      </c>
    </row>
    <row r="333">
      <c r="A333" s="0" t="inlineStr">
        <is>
          <t xml:space="preserve">Attainment in tranche</t>
        </is>
      </c>
      <c r="B333" s="0" t="inlineStr">
        <is>
          <t xml:space="preserve">Ingrid Dubois</t>
        </is>
      </c>
      <c r="C333" s="0" t="inlineStr">
        <is>
          <t xml:space="preserve">Q4 2025</t>
        </is>
      </c>
      <c r="D333" s="12">
        <f>IF((D165&lt;='Commission plan'!B2),0,IF((D165&gt;='Commission plan'!B3),('Commission plan'!B3-'Commission plan'!B2),(D165-'Commission plan'!B2)))</f>
        <v>0.5</v>
      </c>
      <c r="E333" s="12">
        <f>IF((E165&lt;='Commission plan'!C2),0,IF((E165&gt;='Commission plan'!C3),('Commission plan'!C3-'Commission plan'!C2),(E165-'Commission plan'!C2)))</f>
        <v>0.5</v>
      </c>
      <c r="F333" s="12">
        <f>IF((F165&lt;='Commission plan'!D2),0,IF((F165&gt;='Commission plan'!D3),('Commission plan'!D3-'Commission plan'!D2),(F165-'Commission plan'!D2)))</f>
        <v>0.04249999999999998</v>
      </c>
      <c r="G333" s="12">
        <f>IF((G165&lt;='Commission plan'!E2),0,IF((G165&gt;='Commission plan'!E3),('Commission plan'!E3-'Commission plan'!E2),(G165-'Commission plan'!E2)))</f>
        <v>0</v>
      </c>
      <c r="H333" s="12">
        <f>IF((H165&lt;='Commission plan'!F2),0,IF((H165&gt;='Commission plan'!F3),('Commission plan'!F3-'Commission plan'!F2),(H165-'Commission plan'!F2)))</f>
        <v>0</v>
      </c>
      <c r="I333" s="12">
        <f>SUM(D333:H333)</f>
        <v>1.0425</v>
      </c>
    </row>
    <row r="334">
      <c r="A334" s="0" t="inlineStr">
        <is>
          <t xml:space="preserve">Attainment in tranche</t>
        </is>
      </c>
      <c r="B334" s="0" t="inlineStr">
        <is>
          <t xml:space="preserve">Ingrid Dubois</t>
        </is>
      </c>
      <c r="C334" s="0" t="inlineStr">
        <is>
          <t xml:space="preserve">Q1 2026</t>
        </is>
      </c>
      <c r="D334" s="12">
        <f>IF((D166&lt;='Commission plan'!B2),0,IF((D166&gt;='Commission plan'!B3),('Commission plan'!B3-'Commission plan'!B2),(D166-'Commission plan'!B2)))</f>
        <v>0.38625</v>
      </c>
      <c r="E334" s="12">
        <f>IF((E166&lt;='Commission plan'!C2),0,IF((E166&gt;='Commission plan'!C3),('Commission plan'!C3-'Commission plan'!C2),(E166-'Commission plan'!C2)))</f>
        <v>0</v>
      </c>
      <c r="F334" s="12">
        <f>IF((F166&lt;='Commission plan'!D2),0,IF((F166&gt;='Commission plan'!D3),('Commission plan'!D3-'Commission plan'!D2),(F166-'Commission plan'!D2)))</f>
        <v>0</v>
      </c>
      <c r="G334" s="12">
        <f>IF((G166&lt;='Commission plan'!E2),0,IF((G166&gt;='Commission plan'!E3),('Commission plan'!E3-'Commission plan'!E2),(G166-'Commission plan'!E2)))</f>
        <v>0</v>
      </c>
      <c r="H334" s="12">
        <f>IF((H166&lt;='Commission plan'!F2),0,IF((H166&gt;='Commission plan'!F3),('Commission plan'!F3-'Commission plan'!F2),(H166-'Commission plan'!F2)))</f>
        <v>0</v>
      </c>
      <c r="I334" s="12">
        <f>SUM(D334:H334)</f>
        <v>0.38625</v>
      </c>
    </row>
    <row r="335">
      <c r="A335" s="0" t="inlineStr">
        <is>
          <t xml:space="preserve">Attainment in tranche</t>
        </is>
      </c>
      <c r="B335" s="0" t="inlineStr">
        <is>
          <t xml:space="preserve">Ingrid Dubois</t>
        </is>
      </c>
      <c r="C335" s="0" t="inlineStr">
        <is>
          <t xml:space="preserve">Q2 2026</t>
        </is>
      </c>
      <c r="D335" s="12">
        <f>IF((D167&lt;='Commission plan'!B2),0,IF((D167&gt;='Commission plan'!B3),('Commission plan'!B3-'Commission plan'!B2),(D167-'Commission plan'!B2)))</f>
        <v>0.5</v>
      </c>
      <c r="E335" s="12">
        <f>IF((E167&lt;='Commission plan'!C2),0,IF((E167&gt;='Commission plan'!C3),('Commission plan'!C3-'Commission plan'!C2),(E167-'Commission plan'!C2)))</f>
        <v>0.5</v>
      </c>
      <c r="F335" s="12">
        <f>IF((F167&lt;='Commission plan'!D2),0,IF((F167&gt;='Commission plan'!D3),('Commission plan'!D3-'Commission plan'!D2),(F167-'Commission plan'!D2)))</f>
        <v>0.25</v>
      </c>
      <c r="G335" s="12">
        <f>IF((G167&lt;='Commission plan'!E2),0,IF((G167&gt;='Commission plan'!E3),('Commission plan'!E3-'Commission plan'!E2),(G167-'Commission plan'!E2)))</f>
        <v>0.25</v>
      </c>
      <c r="H335" s="12">
        <f>IF((H167&lt;='Commission plan'!F2),0,IF((H167&gt;='Commission plan'!F3),('Commission plan'!F3-'Commission plan'!F2),(H167-'Commission plan'!F2)))</f>
        <v>0.008750000000000036</v>
      </c>
      <c r="I335" s="12">
        <f>SUM(D335:H335)</f>
        <v>1.50875</v>
      </c>
    </row>
    <row r="336">
      <c r="A336" s="0" t="inlineStr">
        <is>
          <t xml:space="preserve">Attainment in tranche</t>
        </is>
      </c>
      <c r="B336" s="0" t="inlineStr">
        <is>
          <t xml:space="preserve">Ingrid Dubois</t>
        </is>
      </c>
      <c r="C336" s="0" t="inlineStr">
        <is>
          <t xml:space="preserve">Q3 2026</t>
        </is>
      </c>
      <c r="D336" s="12">
        <f>IF((D168&lt;='Commission plan'!B2),0,IF((D168&gt;='Commission plan'!B3),('Commission plan'!B3-'Commission plan'!B2),(D168-'Commission plan'!B2)))</f>
        <v>0.5</v>
      </c>
      <c r="E336" s="12">
        <f>IF((E168&lt;='Commission plan'!C2),0,IF((E168&gt;='Commission plan'!C3),('Commission plan'!C3-'Commission plan'!C2),(E168-'Commission plan'!C2)))</f>
        <v>0.5</v>
      </c>
      <c r="F336" s="12">
        <f>IF((F168&lt;='Commission plan'!D2),0,IF((F168&gt;='Commission plan'!D3),('Commission plan'!D3-'Commission plan'!D2),(F168-'Commission plan'!D2)))</f>
        <v>0.25</v>
      </c>
      <c r="G336" s="12">
        <f>IF((G168&lt;='Commission plan'!E2),0,IF((G168&gt;='Commission plan'!E3),('Commission plan'!E3-'Commission plan'!E2),(G168-'Commission plan'!E2)))</f>
        <v>0.2237499999999999</v>
      </c>
      <c r="H336" s="12">
        <f>IF((H168&lt;='Commission plan'!F2),0,IF((H168&gt;='Commission plan'!F3),('Commission plan'!F3-'Commission plan'!F2),(H168-'Commission plan'!F2)))</f>
        <v>0</v>
      </c>
      <c r="I336" s="12">
        <f>SUM(D336:H336)</f>
        <v>1.47375</v>
      </c>
    </row>
    <row r="337">
      <c r="A337" s="0" t="inlineStr">
        <is>
          <t xml:space="preserve">Attainment in tranche</t>
        </is>
      </c>
      <c r="B337" s="0" t="inlineStr">
        <is>
          <t xml:space="preserve">Ingrid Dubois</t>
        </is>
      </c>
      <c r="C337" s="0" t="inlineStr">
        <is>
          <t xml:space="preserve">Q4 2026</t>
        </is>
      </c>
      <c r="D337" s="12">
        <f>IF((D169&lt;='Commission plan'!B2),0,IF((D169&gt;='Commission plan'!B3),('Commission plan'!B3-'Commission plan'!B2),(D169-'Commission plan'!B2)))</f>
        <v>0</v>
      </c>
      <c r="E337" s="12">
        <f>IF((E169&lt;='Commission plan'!C2),0,IF((E169&gt;='Commission plan'!C3),('Commission plan'!C3-'Commission plan'!C2),(E169-'Commission plan'!C2)))</f>
        <v>0</v>
      </c>
      <c r="F337" s="12">
        <f>IF((F169&lt;='Commission plan'!D2),0,IF((F169&gt;='Commission plan'!D3),('Commission plan'!D3-'Commission plan'!D2),(F169-'Commission plan'!D2)))</f>
        <v>0</v>
      </c>
      <c r="G337" s="12">
        <f>IF((G169&lt;='Commission plan'!E2),0,IF((G169&gt;='Commission plan'!E3),('Commission plan'!E3-'Commission plan'!E2),(G169-'Commission plan'!E2)))</f>
        <v>0</v>
      </c>
      <c r="H337" s="12">
        <f>IF((H169&lt;='Commission plan'!F2),0,IF((H169&gt;='Commission plan'!F3),('Commission plan'!F3-'Commission plan'!F2),(H169-'Commission plan'!F2)))</f>
        <v>0</v>
      </c>
      <c r="I337" s="12">
        <f>SUM(D337:H337)</f>
        <v>0</v>
      </c>
    </row>
    <row r="338">
      <c r="A338" s="0" t="inlineStr">
        <is>
          <t xml:space="preserve">Effective rate</t>
        </is>
      </c>
      <c r="B338" s="0" t="inlineStr">
        <is>
          <t xml:space="preserve">Noor Ortiz</t>
        </is>
      </c>
      <c r="C338" s="0" t="inlineStr">
        <is>
          <t xml:space="preserve">Q2 2025</t>
        </is>
      </c>
      <c r="D338" s="12">
        <f>(0.1*'Commission plan'!B4)</f>
        <v>0.07500000000000001</v>
      </c>
      <c r="E338" s="12">
        <f>(0.1*'Commission plan'!C4)</f>
        <v>0.1</v>
      </c>
      <c r="F338" s="12">
        <f>(0.1*'Commission plan'!D4)</f>
        <v>0.15000000000000002</v>
      </c>
      <c r="G338" s="12">
        <f>(0.1*'Commission plan'!E4)</f>
        <v>0.2</v>
      </c>
      <c r="H338" s="12">
        <f>(0.1*'Commission plan'!F4)</f>
        <v>0.30000000000000004</v>
      </c>
      <c r="I338" s="12">
        <f>""</f>
      </c>
    </row>
    <row r="339">
      <c r="A339" s="0" t="inlineStr">
        <is>
          <t xml:space="preserve">Effective rate</t>
        </is>
      </c>
      <c r="B339" s="0" t="inlineStr">
        <is>
          <t xml:space="preserve">Noor Ortiz</t>
        </is>
      </c>
      <c r="C339" s="0" t="inlineStr">
        <is>
          <t xml:space="preserve">Q3 2025</t>
        </is>
      </c>
      <c r="D339" s="12">
        <f>(0.1*'Commission plan'!B4)</f>
        <v>0.07500000000000001</v>
      </c>
      <c r="E339" s="12">
        <f>(0.1*'Commission plan'!C4)</f>
        <v>0.1</v>
      </c>
      <c r="F339" s="12">
        <f>(0.1*'Commission plan'!D4)</f>
        <v>0.15000000000000002</v>
      </c>
      <c r="G339" s="12">
        <f>(0.1*'Commission plan'!E4)</f>
        <v>0.2</v>
      </c>
      <c r="H339" s="12">
        <f>(0.1*'Commission plan'!F4)</f>
        <v>0.30000000000000004</v>
      </c>
      <c r="I339" s="12">
        <f>""</f>
      </c>
    </row>
    <row r="340">
      <c r="A340" s="0" t="inlineStr">
        <is>
          <t xml:space="preserve">Effective rate</t>
        </is>
      </c>
      <c r="B340" s="0" t="inlineStr">
        <is>
          <t xml:space="preserve">Noor Ortiz</t>
        </is>
      </c>
      <c r="C340" s="0" t="inlineStr">
        <is>
          <t xml:space="preserve">Q4 2025</t>
        </is>
      </c>
      <c r="D340" s="12">
        <f>(0.1*'Commission plan'!B4)</f>
        <v>0.07500000000000001</v>
      </c>
      <c r="E340" s="12">
        <f>(0.1*'Commission plan'!C4)</f>
        <v>0.1</v>
      </c>
      <c r="F340" s="12">
        <f>(0.1*'Commission plan'!D4)</f>
        <v>0.15000000000000002</v>
      </c>
      <c r="G340" s="12">
        <f>(0.1*'Commission plan'!E4)</f>
        <v>0.2</v>
      </c>
      <c r="H340" s="12">
        <f>(0.1*'Commission plan'!F4)</f>
        <v>0.30000000000000004</v>
      </c>
      <c r="I340" s="12">
        <f>""</f>
      </c>
    </row>
    <row r="341">
      <c r="A341" s="0" t="inlineStr">
        <is>
          <t xml:space="preserve">Effective rate</t>
        </is>
      </c>
      <c r="B341" s="0" t="inlineStr">
        <is>
          <t xml:space="preserve">Noor Ortiz</t>
        </is>
      </c>
      <c r="C341" s="0" t="inlineStr">
        <is>
          <t xml:space="preserve">Q1 2026</t>
        </is>
      </c>
      <c r="D341" s="12">
        <f>(0.1*'Commission plan'!B4)</f>
        <v>0.07500000000000001</v>
      </c>
      <c r="E341" s="12">
        <f>(0.1*'Commission plan'!C4)</f>
        <v>0.1</v>
      </c>
      <c r="F341" s="12">
        <f>(0.1*'Commission plan'!D4)</f>
        <v>0.15000000000000002</v>
      </c>
      <c r="G341" s="12">
        <f>(0.1*'Commission plan'!E4)</f>
        <v>0.2</v>
      </c>
      <c r="H341" s="12">
        <f>(0.1*'Commission plan'!F4)</f>
        <v>0.30000000000000004</v>
      </c>
      <c r="I341" s="12">
        <f>""</f>
      </c>
    </row>
    <row r="342">
      <c r="A342" s="0" t="inlineStr">
        <is>
          <t xml:space="preserve">Effective rate</t>
        </is>
      </c>
      <c r="B342" s="0" t="inlineStr">
        <is>
          <t xml:space="preserve">Noor Ortiz</t>
        </is>
      </c>
      <c r="C342" s="0" t="inlineStr">
        <is>
          <t xml:space="preserve">Q2 2026</t>
        </is>
      </c>
      <c r="D342" s="12">
        <f>(0.1*'Commission plan'!B4)</f>
        <v>0.07500000000000001</v>
      </c>
      <c r="E342" s="12">
        <f>(0.1*'Commission plan'!C4)</f>
        <v>0.1</v>
      </c>
      <c r="F342" s="12">
        <f>(0.1*'Commission plan'!D4)</f>
        <v>0.15000000000000002</v>
      </c>
      <c r="G342" s="12">
        <f>(0.1*'Commission plan'!E4)</f>
        <v>0.2</v>
      </c>
      <c r="H342" s="12">
        <f>(0.1*'Commission plan'!F4)</f>
        <v>0.30000000000000004</v>
      </c>
      <c r="I342" s="12">
        <f>""</f>
      </c>
    </row>
    <row r="343">
      <c r="A343" s="0" t="inlineStr">
        <is>
          <t xml:space="preserve">Effective rate</t>
        </is>
      </c>
      <c r="B343" s="0" t="inlineStr">
        <is>
          <t xml:space="preserve">Noor Ortiz</t>
        </is>
      </c>
      <c r="C343" s="0" t="inlineStr">
        <is>
          <t xml:space="preserve">Q3 2026</t>
        </is>
      </c>
      <c r="D343" s="12">
        <f>(0.1*'Commission plan'!B4)</f>
        <v>0.07500000000000001</v>
      </c>
      <c r="E343" s="12">
        <f>(0.1*'Commission plan'!C4)</f>
        <v>0.1</v>
      </c>
      <c r="F343" s="12">
        <f>(0.1*'Commission plan'!D4)</f>
        <v>0.15000000000000002</v>
      </c>
      <c r="G343" s="12">
        <f>(0.1*'Commission plan'!E4)</f>
        <v>0.2</v>
      </c>
      <c r="H343" s="12">
        <f>(0.1*'Commission plan'!F4)</f>
        <v>0.30000000000000004</v>
      </c>
      <c r="I343" s="12">
        <f>""</f>
      </c>
    </row>
    <row r="344">
      <c r="A344" s="0" t="inlineStr">
        <is>
          <t xml:space="preserve">Effective rate</t>
        </is>
      </c>
      <c r="B344" s="0" t="inlineStr">
        <is>
          <t xml:space="preserve">Noor Ortiz</t>
        </is>
      </c>
      <c r="C344" s="0" t="inlineStr">
        <is>
          <t xml:space="preserve">Q4 2026</t>
        </is>
      </c>
      <c r="D344" s="12">
        <f>(0.1*'Commission plan'!B4)</f>
        <v>0.07500000000000001</v>
      </c>
      <c r="E344" s="12">
        <f>(0.1*'Commission plan'!C4)</f>
        <v>0.1</v>
      </c>
      <c r="F344" s="12">
        <f>(0.1*'Commission plan'!D4)</f>
        <v>0.15000000000000002</v>
      </c>
      <c r="G344" s="12">
        <f>(0.1*'Commission plan'!E4)</f>
        <v>0.2</v>
      </c>
      <c r="H344" s="12">
        <f>(0.1*'Commission plan'!F4)</f>
        <v>0.30000000000000004</v>
      </c>
      <c r="I344" s="12">
        <f>""</f>
      </c>
    </row>
    <row r="345">
      <c r="A345" s="0" t="inlineStr">
        <is>
          <t xml:space="preserve">Effective rate</t>
        </is>
      </c>
      <c r="B345" s="0" t="inlineStr">
        <is>
          <t xml:space="preserve">Priya Yilmaz</t>
        </is>
      </c>
      <c r="C345" s="0" t="inlineStr">
        <is>
          <t xml:space="preserve">Q2 2025</t>
        </is>
      </c>
      <c r="D345" s="12">
        <f>(0.1*'Commission plan'!B4)</f>
        <v>0.07500000000000001</v>
      </c>
      <c r="E345" s="12">
        <f>(0.1*'Commission plan'!C4)</f>
        <v>0.1</v>
      </c>
      <c r="F345" s="12">
        <f>(0.1*'Commission plan'!D4)</f>
        <v>0.15000000000000002</v>
      </c>
      <c r="G345" s="12">
        <f>(0.1*'Commission plan'!E4)</f>
        <v>0.2</v>
      </c>
      <c r="H345" s="12">
        <f>(0.1*'Commission plan'!F4)</f>
        <v>0.30000000000000004</v>
      </c>
      <c r="I345" s="12">
        <f>""</f>
      </c>
    </row>
    <row r="346">
      <c r="A346" s="0" t="inlineStr">
        <is>
          <t xml:space="preserve">Effective rate</t>
        </is>
      </c>
      <c r="B346" s="0" t="inlineStr">
        <is>
          <t xml:space="preserve">Priya Yilmaz</t>
        </is>
      </c>
      <c r="C346" s="0" t="inlineStr">
        <is>
          <t xml:space="preserve">Q3 2025</t>
        </is>
      </c>
      <c r="D346" s="12">
        <f>(0.1*'Commission plan'!B4)</f>
        <v>0.07500000000000001</v>
      </c>
      <c r="E346" s="12">
        <f>(0.1*'Commission plan'!C4)</f>
        <v>0.1</v>
      </c>
      <c r="F346" s="12">
        <f>(0.1*'Commission plan'!D4)</f>
        <v>0.15000000000000002</v>
      </c>
      <c r="G346" s="12">
        <f>(0.1*'Commission plan'!E4)</f>
        <v>0.2</v>
      </c>
      <c r="H346" s="12">
        <f>(0.1*'Commission plan'!F4)</f>
        <v>0.30000000000000004</v>
      </c>
      <c r="I346" s="12">
        <f>""</f>
      </c>
    </row>
    <row r="347">
      <c r="A347" s="0" t="inlineStr">
        <is>
          <t xml:space="preserve">Effective rate</t>
        </is>
      </c>
      <c r="B347" s="0" t="inlineStr">
        <is>
          <t xml:space="preserve">Priya Yilmaz</t>
        </is>
      </c>
      <c r="C347" s="0" t="inlineStr">
        <is>
          <t xml:space="preserve">Q4 2025</t>
        </is>
      </c>
      <c r="D347" s="12">
        <f>(0.1*'Commission plan'!B4)</f>
        <v>0.07500000000000001</v>
      </c>
      <c r="E347" s="12">
        <f>(0.1*'Commission plan'!C4)</f>
        <v>0.1</v>
      </c>
      <c r="F347" s="12">
        <f>(0.1*'Commission plan'!D4)</f>
        <v>0.15000000000000002</v>
      </c>
      <c r="G347" s="12">
        <f>(0.1*'Commission plan'!E4)</f>
        <v>0.2</v>
      </c>
      <c r="H347" s="12">
        <f>(0.1*'Commission plan'!F4)</f>
        <v>0.30000000000000004</v>
      </c>
      <c r="I347" s="12">
        <f>""</f>
      </c>
    </row>
    <row r="348">
      <c r="A348" s="0" t="inlineStr">
        <is>
          <t xml:space="preserve">Effective rate</t>
        </is>
      </c>
      <c r="B348" s="0" t="inlineStr">
        <is>
          <t xml:space="preserve">Priya Yilmaz</t>
        </is>
      </c>
      <c r="C348" s="0" t="inlineStr">
        <is>
          <t xml:space="preserve">Q1 2026</t>
        </is>
      </c>
      <c r="D348" s="12">
        <f>(0.1*'Commission plan'!B4)</f>
        <v>0.07500000000000001</v>
      </c>
      <c r="E348" s="12">
        <f>(0.1*'Commission plan'!C4)</f>
        <v>0.1</v>
      </c>
      <c r="F348" s="12">
        <f>(0.1*'Commission plan'!D4)</f>
        <v>0.15000000000000002</v>
      </c>
      <c r="G348" s="12">
        <f>(0.1*'Commission plan'!E4)</f>
        <v>0.2</v>
      </c>
      <c r="H348" s="12">
        <f>(0.1*'Commission plan'!F4)</f>
        <v>0.30000000000000004</v>
      </c>
      <c r="I348" s="12">
        <f>""</f>
      </c>
    </row>
    <row r="349">
      <c r="A349" s="0" t="inlineStr">
        <is>
          <t xml:space="preserve">Effective rate</t>
        </is>
      </c>
      <c r="B349" s="0" t="inlineStr">
        <is>
          <t xml:space="preserve">Priya Yilmaz</t>
        </is>
      </c>
      <c r="C349" s="0" t="inlineStr">
        <is>
          <t xml:space="preserve">Q2 2026</t>
        </is>
      </c>
      <c r="D349" s="12">
        <f>(0.1*'Commission plan'!B4)</f>
        <v>0.07500000000000001</v>
      </c>
      <c r="E349" s="12">
        <f>(0.1*'Commission plan'!C4)</f>
        <v>0.1</v>
      </c>
      <c r="F349" s="12">
        <f>(0.1*'Commission plan'!D4)</f>
        <v>0.15000000000000002</v>
      </c>
      <c r="G349" s="12">
        <f>(0.1*'Commission plan'!E4)</f>
        <v>0.2</v>
      </c>
      <c r="H349" s="12">
        <f>(0.1*'Commission plan'!F4)</f>
        <v>0.30000000000000004</v>
      </c>
      <c r="I349" s="12">
        <f>""</f>
      </c>
    </row>
    <row r="350">
      <c r="A350" s="0" t="inlineStr">
        <is>
          <t xml:space="preserve">Effective rate</t>
        </is>
      </c>
      <c r="B350" s="0" t="inlineStr">
        <is>
          <t xml:space="preserve">Priya Yilmaz</t>
        </is>
      </c>
      <c r="C350" s="0" t="inlineStr">
        <is>
          <t xml:space="preserve">Q3 2026</t>
        </is>
      </c>
      <c r="D350" s="12">
        <f>(0.1*'Commission plan'!B4)</f>
        <v>0.07500000000000001</v>
      </c>
      <c r="E350" s="12">
        <f>(0.1*'Commission plan'!C4)</f>
        <v>0.1</v>
      </c>
      <c r="F350" s="12">
        <f>(0.1*'Commission plan'!D4)</f>
        <v>0.15000000000000002</v>
      </c>
      <c r="G350" s="12">
        <f>(0.1*'Commission plan'!E4)</f>
        <v>0.2</v>
      </c>
      <c r="H350" s="12">
        <f>(0.1*'Commission plan'!F4)</f>
        <v>0.30000000000000004</v>
      </c>
      <c r="I350" s="12">
        <f>""</f>
      </c>
    </row>
    <row r="351">
      <c r="A351" s="0" t="inlineStr">
        <is>
          <t xml:space="preserve">Effective rate</t>
        </is>
      </c>
      <c r="B351" s="0" t="inlineStr">
        <is>
          <t xml:space="preserve">Priya Yilmaz</t>
        </is>
      </c>
      <c r="C351" s="0" t="inlineStr">
        <is>
          <t xml:space="preserve">Q4 2026</t>
        </is>
      </c>
      <c r="D351" s="12">
        <f>(0.1*'Commission plan'!B4)</f>
        <v>0.07500000000000001</v>
      </c>
      <c r="E351" s="12">
        <f>(0.1*'Commission plan'!C4)</f>
        <v>0.1</v>
      </c>
      <c r="F351" s="12">
        <f>(0.1*'Commission plan'!D4)</f>
        <v>0.15000000000000002</v>
      </c>
      <c r="G351" s="12">
        <f>(0.1*'Commission plan'!E4)</f>
        <v>0.2</v>
      </c>
      <c r="H351" s="12">
        <f>(0.1*'Commission plan'!F4)</f>
        <v>0.30000000000000004</v>
      </c>
      <c r="I351" s="12">
        <f>""</f>
      </c>
    </row>
    <row r="352">
      <c r="A352" s="0" t="inlineStr">
        <is>
          <t xml:space="preserve">Effective rate</t>
        </is>
      </c>
      <c r="B352" s="0" t="inlineStr">
        <is>
          <t xml:space="preserve">Marcus Schmidt</t>
        </is>
      </c>
      <c r="C352" s="0" t="inlineStr">
        <is>
          <t xml:space="preserve">Q2 2025</t>
        </is>
      </c>
      <c r="D352" s="12">
        <f>(0.1294*'Commission plan'!B4)</f>
        <v>0.09705</v>
      </c>
      <c r="E352" s="12">
        <f>(0.1294*'Commission plan'!C4)</f>
        <v>0.1294</v>
      </c>
      <c r="F352" s="12">
        <f>(0.1294*'Commission plan'!D4)</f>
        <v>0.1941</v>
      </c>
      <c r="G352" s="12">
        <f>(0.1294*'Commission plan'!E4)</f>
        <v>0.2588</v>
      </c>
      <c r="H352" s="12">
        <f>(0.1294*'Commission plan'!F4)</f>
        <v>0.3882</v>
      </c>
      <c r="I352" s="12">
        <f>""</f>
      </c>
    </row>
    <row r="353">
      <c r="A353" s="0" t="inlineStr">
        <is>
          <t xml:space="preserve">Effective rate</t>
        </is>
      </c>
      <c r="B353" s="0" t="inlineStr">
        <is>
          <t xml:space="preserve">Marcus Schmidt</t>
        </is>
      </c>
      <c r="C353" s="0" t="inlineStr">
        <is>
          <t xml:space="preserve">Q3 2025</t>
        </is>
      </c>
      <c r="D353" s="12">
        <f>(0.1294*'Commission plan'!B4)</f>
        <v>0.09705</v>
      </c>
      <c r="E353" s="12">
        <f>(0.1294*'Commission plan'!C4)</f>
        <v>0.1294</v>
      </c>
      <c r="F353" s="12">
        <f>(0.1294*'Commission plan'!D4)</f>
        <v>0.1941</v>
      </c>
      <c r="G353" s="12">
        <f>(0.1294*'Commission plan'!E4)</f>
        <v>0.2588</v>
      </c>
      <c r="H353" s="12">
        <f>(0.1294*'Commission plan'!F4)</f>
        <v>0.3882</v>
      </c>
      <c r="I353" s="12">
        <f>""</f>
      </c>
    </row>
    <row r="354">
      <c r="A354" s="0" t="inlineStr">
        <is>
          <t xml:space="preserve">Effective rate</t>
        </is>
      </c>
      <c r="B354" s="0" t="inlineStr">
        <is>
          <t xml:space="preserve">Marcus Schmidt</t>
        </is>
      </c>
      <c r="C354" s="0" t="inlineStr">
        <is>
          <t xml:space="preserve">Q4 2025</t>
        </is>
      </c>
      <c r="D354" s="12">
        <f>(0.1294*'Commission plan'!B4)</f>
        <v>0.09705</v>
      </c>
      <c r="E354" s="12">
        <f>(0.1294*'Commission plan'!C4)</f>
        <v>0.1294</v>
      </c>
      <c r="F354" s="12">
        <f>(0.1294*'Commission plan'!D4)</f>
        <v>0.1941</v>
      </c>
      <c r="G354" s="12">
        <f>(0.1294*'Commission plan'!E4)</f>
        <v>0.2588</v>
      </c>
      <c r="H354" s="12">
        <f>(0.1294*'Commission plan'!F4)</f>
        <v>0.3882</v>
      </c>
      <c r="I354" s="12">
        <f>""</f>
      </c>
    </row>
    <row r="355">
      <c r="A355" s="0" t="inlineStr">
        <is>
          <t xml:space="preserve">Effective rate</t>
        </is>
      </c>
      <c r="B355" s="0" t="inlineStr">
        <is>
          <t xml:space="preserve">Marcus Schmidt</t>
        </is>
      </c>
      <c r="C355" s="0" t="inlineStr">
        <is>
          <t xml:space="preserve">Q1 2026</t>
        </is>
      </c>
      <c r="D355" s="12">
        <f>(0.1294*'Commission plan'!B4)</f>
        <v>0.09705</v>
      </c>
      <c r="E355" s="12">
        <f>(0.1294*'Commission plan'!C4)</f>
        <v>0.1294</v>
      </c>
      <c r="F355" s="12">
        <f>(0.1294*'Commission plan'!D4)</f>
        <v>0.1941</v>
      </c>
      <c r="G355" s="12">
        <f>(0.1294*'Commission plan'!E4)</f>
        <v>0.2588</v>
      </c>
      <c r="H355" s="12">
        <f>(0.1294*'Commission plan'!F4)</f>
        <v>0.3882</v>
      </c>
      <c r="I355" s="12">
        <f>""</f>
      </c>
    </row>
    <row r="356">
      <c r="A356" s="0" t="inlineStr">
        <is>
          <t xml:space="preserve">Effective rate</t>
        </is>
      </c>
      <c r="B356" s="0" t="inlineStr">
        <is>
          <t xml:space="preserve">Marcus Schmidt</t>
        </is>
      </c>
      <c r="C356" s="0" t="inlineStr">
        <is>
          <t xml:space="preserve">Q2 2026</t>
        </is>
      </c>
      <c r="D356" s="12">
        <f>(0.1294*'Commission plan'!B4)</f>
        <v>0.09705</v>
      </c>
      <c r="E356" s="12">
        <f>(0.1294*'Commission plan'!C4)</f>
        <v>0.1294</v>
      </c>
      <c r="F356" s="12">
        <f>(0.1294*'Commission plan'!D4)</f>
        <v>0.1941</v>
      </c>
      <c r="G356" s="12">
        <f>(0.1294*'Commission plan'!E4)</f>
        <v>0.2588</v>
      </c>
      <c r="H356" s="12">
        <f>(0.1294*'Commission plan'!F4)</f>
        <v>0.3882</v>
      </c>
      <c r="I356" s="12">
        <f>""</f>
      </c>
    </row>
    <row r="357">
      <c r="A357" s="0" t="inlineStr">
        <is>
          <t xml:space="preserve">Effective rate</t>
        </is>
      </c>
      <c r="B357" s="0" t="inlineStr">
        <is>
          <t xml:space="preserve">Marcus Schmidt</t>
        </is>
      </c>
      <c r="C357" s="0" t="inlineStr">
        <is>
          <t xml:space="preserve">Q3 2026</t>
        </is>
      </c>
      <c r="D357" s="12">
        <f>(0.1294*'Commission plan'!B4)</f>
        <v>0.09705</v>
      </c>
      <c r="E357" s="12">
        <f>(0.1294*'Commission plan'!C4)</f>
        <v>0.1294</v>
      </c>
      <c r="F357" s="12">
        <f>(0.1294*'Commission plan'!D4)</f>
        <v>0.1941</v>
      </c>
      <c r="G357" s="12">
        <f>(0.1294*'Commission plan'!E4)</f>
        <v>0.2588</v>
      </c>
      <c r="H357" s="12">
        <f>(0.1294*'Commission plan'!F4)</f>
        <v>0.3882</v>
      </c>
      <c r="I357" s="12">
        <f>""</f>
      </c>
    </row>
    <row r="358">
      <c r="A358" s="0" t="inlineStr">
        <is>
          <t xml:space="preserve">Effective rate</t>
        </is>
      </c>
      <c r="B358" s="0" t="inlineStr">
        <is>
          <t xml:space="preserve">Marcus Schmidt</t>
        </is>
      </c>
      <c r="C358" s="0" t="inlineStr">
        <is>
          <t xml:space="preserve">Q4 2026</t>
        </is>
      </c>
      <c r="D358" s="12">
        <f>(0.1294*'Commission plan'!B4)</f>
        <v>0.09705</v>
      </c>
      <c r="E358" s="12">
        <f>(0.1294*'Commission plan'!C4)</f>
        <v>0.1294</v>
      </c>
      <c r="F358" s="12">
        <f>(0.1294*'Commission plan'!D4)</f>
        <v>0.1941</v>
      </c>
      <c r="G358" s="12">
        <f>(0.1294*'Commission plan'!E4)</f>
        <v>0.2588</v>
      </c>
      <c r="H358" s="12">
        <f>(0.1294*'Commission plan'!F4)</f>
        <v>0.3882</v>
      </c>
      <c r="I358" s="12">
        <f>""</f>
      </c>
    </row>
    <row r="359">
      <c r="A359" s="0" t="inlineStr">
        <is>
          <t xml:space="preserve">Effective rate</t>
        </is>
      </c>
      <c r="B359" s="0" t="inlineStr">
        <is>
          <t xml:space="preserve">Amara Haddad</t>
        </is>
      </c>
      <c r="C359" s="0" t="inlineStr">
        <is>
          <t xml:space="preserve">Q2 2025</t>
        </is>
      </c>
      <c r="D359" s="12">
        <f>(0.1294*'Commission plan'!B4)</f>
        <v>0.09705</v>
      </c>
      <c r="E359" s="12">
        <f>(0.1294*'Commission plan'!C4)</f>
        <v>0.1294</v>
      </c>
      <c r="F359" s="12">
        <f>(0.1294*'Commission plan'!D4)</f>
        <v>0.1941</v>
      </c>
      <c r="G359" s="12">
        <f>(0.1294*'Commission plan'!E4)</f>
        <v>0.2588</v>
      </c>
      <c r="H359" s="12">
        <f>(0.1294*'Commission plan'!F4)</f>
        <v>0.3882</v>
      </c>
      <c r="I359" s="12">
        <f>""</f>
      </c>
    </row>
    <row r="360">
      <c r="A360" s="0" t="inlineStr">
        <is>
          <t xml:space="preserve">Effective rate</t>
        </is>
      </c>
      <c r="B360" s="0" t="inlineStr">
        <is>
          <t xml:space="preserve">Amara Haddad</t>
        </is>
      </c>
      <c r="C360" s="0" t="inlineStr">
        <is>
          <t xml:space="preserve">Q3 2025</t>
        </is>
      </c>
      <c r="D360" s="12">
        <f>(0.1294*'Commission plan'!B4)</f>
        <v>0.09705</v>
      </c>
      <c r="E360" s="12">
        <f>(0.1294*'Commission plan'!C4)</f>
        <v>0.1294</v>
      </c>
      <c r="F360" s="12">
        <f>(0.1294*'Commission plan'!D4)</f>
        <v>0.1941</v>
      </c>
      <c r="G360" s="12">
        <f>(0.1294*'Commission plan'!E4)</f>
        <v>0.2588</v>
      </c>
      <c r="H360" s="12">
        <f>(0.1294*'Commission plan'!F4)</f>
        <v>0.3882</v>
      </c>
      <c r="I360" s="12">
        <f>""</f>
      </c>
    </row>
    <row r="361">
      <c r="A361" s="0" t="inlineStr">
        <is>
          <t xml:space="preserve">Effective rate</t>
        </is>
      </c>
      <c r="B361" s="0" t="inlineStr">
        <is>
          <t xml:space="preserve">Amara Haddad</t>
        </is>
      </c>
      <c r="C361" s="0" t="inlineStr">
        <is>
          <t xml:space="preserve">Q4 2025</t>
        </is>
      </c>
      <c r="D361" s="12">
        <f>(0.1294*'Commission plan'!B4)</f>
        <v>0.09705</v>
      </c>
      <c r="E361" s="12">
        <f>(0.1294*'Commission plan'!C4)</f>
        <v>0.1294</v>
      </c>
      <c r="F361" s="12">
        <f>(0.1294*'Commission plan'!D4)</f>
        <v>0.1941</v>
      </c>
      <c r="G361" s="12">
        <f>(0.1294*'Commission plan'!E4)</f>
        <v>0.2588</v>
      </c>
      <c r="H361" s="12">
        <f>(0.1294*'Commission plan'!F4)</f>
        <v>0.3882</v>
      </c>
      <c r="I361" s="12">
        <f>""</f>
      </c>
    </row>
    <row r="362">
      <c r="A362" s="0" t="inlineStr">
        <is>
          <t xml:space="preserve">Effective rate</t>
        </is>
      </c>
      <c r="B362" s="0" t="inlineStr">
        <is>
          <t xml:space="preserve">Amara Haddad</t>
        </is>
      </c>
      <c r="C362" s="0" t="inlineStr">
        <is>
          <t xml:space="preserve">Q1 2026</t>
        </is>
      </c>
      <c r="D362" s="12">
        <f>(0.1294*'Commission plan'!B4)</f>
        <v>0.09705</v>
      </c>
      <c r="E362" s="12">
        <f>(0.1294*'Commission plan'!C4)</f>
        <v>0.1294</v>
      </c>
      <c r="F362" s="12">
        <f>(0.1294*'Commission plan'!D4)</f>
        <v>0.1941</v>
      </c>
      <c r="G362" s="12">
        <f>(0.1294*'Commission plan'!E4)</f>
        <v>0.2588</v>
      </c>
      <c r="H362" s="12">
        <f>(0.1294*'Commission plan'!F4)</f>
        <v>0.3882</v>
      </c>
      <c r="I362" s="12">
        <f>""</f>
      </c>
    </row>
    <row r="363">
      <c r="A363" s="0" t="inlineStr">
        <is>
          <t xml:space="preserve">Effective rate</t>
        </is>
      </c>
      <c r="B363" s="0" t="inlineStr">
        <is>
          <t xml:space="preserve">Amara Haddad</t>
        </is>
      </c>
      <c r="C363" s="0" t="inlineStr">
        <is>
          <t xml:space="preserve">Q2 2026</t>
        </is>
      </c>
      <c r="D363" s="12">
        <f>(0.1294*'Commission plan'!B4)</f>
        <v>0.09705</v>
      </c>
      <c r="E363" s="12">
        <f>(0.1294*'Commission plan'!C4)</f>
        <v>0.1294</v>
      </c>
      <c r="F363" s="12">
        <f>(0.1294*'Commission plan'!D4)</f>
        <v>0.1941</v>
      </c>
      <c r="G363" s="12">
        <f>(0.1294*'Commission plan'!E4)</f>
        <v>0.2588</v>
      </c>
      <c r="H363" s="12">
        <f>(0.1294*'Commission plan'!F4)</f>
        <v>0.3882</v>
      </c>
      <c r="I363" s="12">
        <f>""</f>
      </c>
    </row>
    <row r="364">
      <c r="A364" s="0" t="inlineStr">
        <is>
          <t xml:space="preserve">Effective rate</t>
        </is>
      </c>
      <c r="B364" s="0" t="inlineStr">
        <is>
          <t xml:space="preserve">Amara Haddad</t>
        </is>
      </c>
      <c r="C364" s="0" t="inlineStr">
        <is>
          <t xml:space="preserve">Q3 2026</t>
        </is>
      </c>
      <c r="D364" s="12">
        <f>(0.1294*'Commission plan'!B4)</f>
        <v>0.09705</v>
      </c>
      <c r="E364" s="12">
        <f>(0.1294*'Commission plan'!C4)</f>
        <v>0.1294</v>
      </c>
      <c r="F364" s="12">
        <f>(0.1294*'Commission plan'!D4)</f>
        <v>0.1941</v>
      </c>
      <c r="G364" s="12">
        <f>(0.1294*'Commission plan'!E4)</f>
        <v>0.2588</v>
      </c>
      <c r="H364" s="12">
        <f>(0.1294*'Commission plan'!F4)</f>
        <v>0.3882</v>
      </c>
      <c r="I364" s="12">
        <f>""</f>
      </c>
    </row>
    <row r="365">
      <c r="A365" s="0" t="inlineStr">
        <is>
          <t xml:space="preserve">Effective rate</t>
        </is>
      </c>
      <c r="B365" s="0" t="inlineStr">
        <is>
          <t xml:space="preserve">Amara Haddad</t>
        </is>
      </c>
      <c r="C365" s="0" t="inlineStr">
        <is>
          <t xml:space="preserve">Q4 2026</t>
        </is>
      </c>
      <c r="D365" s="12">
        <f>(0.1294*'Commission plan'!B4)</f>
        <v>0.09705</v>
      </c>
      <c r="E365" s="12">
        <f>(0.1294*'Commission plan'!C4)</f>
        <v>0.1294</v>
      </c>
      <c r="F365" s="12">
        <f>(0.1294*'Commission plan'!D4)</f>
        <v>0.1941</v>
      </c>
      <c r="G365" s="12">
        <f>(0.1294*'Commission plan'!E4)</f>
        <v>0.2588</v>
      </c>
      <c r="H365" s="12">
        <f>(0.1294*'Commission plan'!F4)</f>
        <v>0.3882</v>
      </c>
      <c r="I365" s="12">
        <f>""</f>
      </c>
    </row>
    <row r="366">
      <c r="A366" s="0" t="inlineStr">
        <is>
          <t xml:space="preserve">Effective rate</t>
        </is>
      </c>
      <c r="B366" s="0" t="inlineStr">
        <is>
          <t xml:space="preserve">Fatima Silva</t>
        </is>
      </c>
      <c r="C366" s="0" t="inlineStr">
        <is>
          <t xml:space="preserve">Q2 2025</t>
        </is>
      </c>
      <c r="D366" s="12">
        <f>(0.1778*'Commission plan'!B4)</f>
        <v>0.13335000000000002</v>
      </c>
      <c r="E366" s="12">
        <f>(0.1778*'Commission plan'!C4)</f>
        <v>0.1778</v>
      </c>
      <c r="F366" s="12">
        <f>(0.1778*'Commission plan'!D4)</f>
        <v>0.26670000000000005</v>
      </c>
      <c r="G366" s="12">
        <f>(0.1778*'Commission plan'!E4)</f>
        <v>0.3556</v>
      </c>
      <c r="H366" s="12">
        <f>(0.1778*'Commission plan'!F4)</f>
        <v>0.5334000000000001</v>
      </c>
      <c r="I366" s="12">
        <f>""</f>
      </c>
    </row>
    <row r="367">
      <c r="A367" s="0" t="inlineStr">
        <is>
          <t xml:space="preserve">Effective rate</t>
        </is>
      </c>
      <c r="B367" s="0" t="inlineStr">
        <is>
          <t xml:space="preserve">Fatima Silva</t>
        </is>
      </c>
      <c r="C367" s="0" t="inlineStr">
        <is>
          <t xml:space="preserve">Q3 2025</t>
        </is>
      </c>
      <c r="D367" s="12">
        <f>(0.1778*'Commission plan'!B4)</f>
        <v>0.13335000000000002</v>
      </c>
      <c r="E367" s="12">
        <f>(0.1778*'Commission plan'!C4)</f>
        <v>0.1778</v>
      </c>
      <c r="F367" s="12">
        <f>(0.1778*'Commission plan'!D4)</f>
        <v>0.26670000000000005</v>
      </c>
      <c r="G367" s="12">
        <f>(0.1778*'Commission plan'!E4)</f>
        <v>0.3556</v>
      </c>
      <c r="H367" s="12">
        <f>(0.1778*'Commission plan'!F4)</f>
        <v>0.5334000000000001</v>
      </c>
      <c r="I367" s="12">
        <f>""</f>
      </c>
    </row>
    <row r="368">
      <c r="A368" s="0" t="inlineStr">
        <is>
          <t xml:space="preserve">Effective rate</t>
        </is>
      </c>
      <c r="B368" s="0" t="inlineStr">
        <is>
          <t xml:space="preserve">Fatima Silva</t>
        </is>
      </c>
      <c r="C368" s="0" t="inlineStr">
        <is>
          <t xml:space="preserve">Q4 2025</t>
        </is>
      </c>
      <c r="D368" s="12">
        <f>(0.1778*'Commission plan'!B4)</f>
        <v>0.13335000000000002</v>
      </c>
      <c r="E368" s="12">
        <f>(0.1778*'Commission plan'!C4)</f>
        <v>0.1778</v>
      </c>
      <c r="F368" s="12">
        <f>(0.1778*'Commission plan'!D4)</f>
        <v>0.26670000000000005</v>
      </c>
      <c r="G368" s="12">
        <f>(0.1778*'Commission plan'!E4)</f>
        <v>0.3556</v>
      </c>
      <c r="H368" s="12">
        <f>(0.1778*'Commission plan'!F4)</f>
        <v>0.5334000000000001</v>
      </c>
      <c r="I368" s="12">
        <f>""</f>
      </c>
    </row>
    <row r="369">
      <c r="A369" s="0" t="inlineStr">
        <is>
          <t xml:space="preserve">Effective rate</t>
        </is>
      </c>
      <c r="B369" s="0" t="inlineStr">
        <is>
          <t xml:space="preserve">Fatima Silva</t>
        </is>
      </c>
      <c r="C369" s="0" t="inlineStr">
        <is>
          <t xml:space="preserve">Q1 2026</t>
        </is>
      </c>
      <c r="D369" s="12">
        <f>(0.1778*'Commission plan'!B4)</f>
        <v>0.13335000000000002</v>
      </c>
      <c r="E369" s="12">
        <f>(0.1778*'Commission plan'!C4)</f>
        <v>0.1778</v>
      </c>
      <c r="F369" s="12">
        <f>(0.1778*'Commission plan'!D4)</f>
        <v>0.26670000000000005</v>
      </c>
      <c r="G369" s="12">
        <f>(0.1778*'Commission plan'!E4)</f>
        <v>0.3556</v>
      </c>
      <c r="H369" s="12">
        <f>(0.1778*'Commission plan'!F4)</f>
        <v>0.5334000000000001</v>
      </c>
      <c r="I369" s="12">
        <f>""</f>
      </c>
    </row>
    <row r="370">
      <c r="A370" s="0" t="inlineStr">
        <is>
          <t xml:space="preserve">Effective rate</t>
        </is>
      </c>
      <c r="B370" s="0" t="inlineStr">
        <is>
          <t xml:space="preserve">Fatima Silva</t>
        </is>
      </c>
      <c r="C370" s="0" t="inlineStr">
        <is>
          <t xml:space="preserve">Q2 2026</t>
        </is>
      </c>
      <c r="D370" s="12">
        <f>(0.1778*'Commission plan'!B4)</f>
        <v>0.13335000000000002</v>
      </c>
      <c r="E370" s="12">
        <f>(0.1778*'Commission plan'!C4)</f>
        <v>0.1778</v>
      </c>
      <c r="F370" s="12">
        <f>(0.1778*'Commission plan'!D4)</f>
        <v>0.26670000000000005</v>
      </c>
      <c r="G370" s="12">
        <f>(0.1778*'Commission plan'!E4)</f>
        <v>0.3556</v>
      </c>
      <c r="H370" s="12">
        <f>(0.1778*'Commission plan'!F4)</f>
        <v>0.5334000000000001</v>
      </c>
      <c r="I370" s="12">
        <f>""</f>
      </c>
    </row>
    <row r="371">
      <c r="A371" s="0" t="inlineStr">
        <is>
          <t xml:space="preserve">Effective rate</t>
        </is>
      </c>
      <c r="B371" s="0" t="inlineStr">
        <is>
          <t xml:space="preserve">Fatima Silva</t>
        </is>
      </c>
      <c r="C371" s="0" t="inlineStr">
        <is>
          <t xml:space="preserve">Q3 2026</t>
        </is>
      </c>
      <c r="D371" s="12">
        <f>(0.1778*'Commission plan'!B4)</f>
        <v>0.13335000000000002</v>
      </c>
      <c r="E371" s="12">
        <f>(0.1778*'Commission plan'!C4)</f>
        <v>0.1778</v>
      </c>
      <c r="F371" s="12">
        <f>(0.1778*'Commission plan'!D4)</f>
        <v>0.26670000000000005</v>
      </c>
      <c r="G371" s="12">
        <f>(0.1778*'Commission plan'!E4)</f>
        <v>0.3556</v>
      </c>
      <c r="H371" s="12">
        <f>(0.1778*'Commission plan'!F4)</f>
        <v>0.5334000000000001</v>
      </c>
      <c r="I371" s="12">
        <f>""</f>
      </c>
    </row>
    <row r="372">
      <c r="A372" s="0" t="inlineStr">
        <is>
          <t xml:space="preserve">Effective rate</t>
        </is>
      </c>
      <c r="B372" s="0" t="inlineStr">
        <is>
          <t xml:space="preserve">Fatima Silva</t>
        </is>
      </c>
      <c r="C372" s="0" t="inlineStr">
        <is>
          <t xml:space="preserve">Q4 2026</t>
        </is>
      </c>
      <c r="D372" s="12">
        <f>(0.1778*'Commission plan'!B4)</f>
        <v>0.13335000000000002</v>
      </c>
      <c r="E372" s="12">
        <f>(0.1778*'Commission plan'!C4)</f>
        <v>0.1778</v>
      </c>
      <c r="F372" s="12">
        <f>(0.1778*'Commission plan'!D4)</f>
        <v>0.26670000000000005</v>
      </c>
      <c r="G372" s="12">
        <f>(0.1778*'Commission plan'!E4)</f>
        <v>0.3556</v>
      </c>
      <c r="H372" s="12">
        <f>(0.1778*'Commission plan'!F4)</f>
        <v>0.5334000000000001</v>
      </c>
      <c r="I372" s="12">
        <f>""</f>
      </c>
    </row>
    <row r="373">
      <c r="A373" s="0" t="inlineStr">
        <is>
          <t xml:space="preserve">Effective rate</t>
        </is>
      </c>
      <c r="B373" s="0" t="inlineStr">
        <is>
          <t xml:space="preserve">Ana Ortiz</t>
        </is>
      </c>
      <c r="C373" s="0" t="inlineStr">
        <is>
          <t xml:space="preserve">Q2 2025</t>
        </is>
      </c>
      <c r="D373" s="12">
        <f>(0.1778*'Commission plan'!B4)</f>
        <v>0.13335000000000002</v>
      </c>
      <c r="E373" s="12">
        <f>(0.1778*'Commission plan'!C4)</f>
        <v>0.1778</v>
      </c>
      <c r="F373" s="12">
        <f>(0.1778*'Commission plan'!D4)</f>
        <v>0.26670000000000005</v>
      </c>
      <c r="G373" s="12">
        <f>(0.1778*'Commission plan'!E4)</f>
        <v>0.3556</v>
      </c>
      <c r="H373" s="12">
        <f>(0.1778*'Commission plan'!F4)</f>
        <v>0.5334000000000001</v>
      </c>
      <c r="I373" s="12">
        <f>""</f>
      </c>
    </row>
    <row r="374">
      <c r="A374" s="0" t="inlineStr">
        <is>
          <t xml:space="preserve">Effective rate</t>
        </is>
      </c>
      <c r="B374" s="0" t="inlineStr">
        <is>
          <t xml:space="preserve">Ana Ortiz</t>
        </is>
      </c>
      <c r="C374" s="0" t="inlineStr">
        <is>
          <t xml:space="preserve">Q3 2025</t>
        </is>
      </c>
      <c r="D374" s="12">
        <f>(0.1778*'Commission plan'!B4)</f>
        <v>0.13335000000000002</v>
      </c>
      <c r="E374" s="12">
        <f>(0.1778*'Commission plan'!C4)</f>
        <v>0.1778</v>
      </c>
      <c r="F374" s="12">
        <f>(0.1778*'Commission plan'!D4)</f>
        <v>0.26670000000000005</v>
      </c>
      <c r="G374" s="12">
        <f>(0.1778*'Commission plan'!E4)</f>
        <v>0.3556</v>
      </c>
      <c r="H374" s="12">
        <f>(0.1778*'Commission plan'!F4)</f>
        <v>0.5334000000000001</v>
      </c>
      <c r="I374" s="12">
        <f>""</f>
      </c>
    </row>
    <row r="375">
      <c r="A375" s="0" t="inlineStr">
        <is>
          <t xml:space="preserve">Effective rate</t>
        </is>
      </c>
      <c r="B375" s="0" t="inlineStr">
        <is>
          <t xml:space="preserve">Ana Ortiz</t>
        </is>
      </c>
      <c r="C375" s="0" t="inlineStr">
        <is>
          <t xml:space="preserve">Q4 2025</t>
        </is>
      </c>
      <c r="D375" s="12">
        <f>(0.1778*'Commission plan'!B4)</f>
        <v>0.13335000000000002</v>
      </c>
      <c r="E375" s="12">
        <f>(0.1778*'Commission plan'!C4)</f>
        <v>0.1778</v>
      </c>
      <c r="F375" s="12">
        <f>(0.1778*'Commission plan'!D4)</f>
        <v>0.26670000000000005</v>
      </c>
      <c r="G375" s="12">
        <f>(0.1778*'Commission plan'!E4)</f>
        <v>0.3556</v>
      </c>
      <c r="H375" s="12">
        <f>(0.1778*'Commission plan'!F4)</f>
        <v>0.5334000000000001</v>
      </c>
      <c r="I375" s="12">
        <f>""</f>
      </c>
    </row>
    <row r="376">
      <c r="A376" s="0" t="inlineStr">
        <is>
          <t xml:space="preserve">Effective rate</t>
        </is>
      </c>
      <c r="B376" s="0" t="inlineStr">
        <is>
          <t xml:space="preserve">Ana Ortiz</t>
        </is>
      </c>
      <c r="C376" s="0" t="inlineStr">
        <is>
          <t xml:space="preserve">Q1 2026</t>
        </is>
      </c>
      <c r="D376" s="12">
        <f>(0.1778*'Commission plan'!B4)</f>
        <v>0.13335000000000002</v>
      </c>
      <c r="E376" s="12">
        <f>(0.1778*'Commission plan'!C4)</f>
        <v>0.1778</v>
      </c>
      <c r="F376" s="12">
        <f>(0.1778*'Commission plan'!D4)</f>
        <v>0.26670000000000005</v>
      </c>
      <c r="G376" s="12">
        <f>(0.1778*'Commission plan'!E4)</f>
        <v>0.3556</v>
      </c>
      <c r="H376" s="12">
        <f>(0.1778*'Commission plan'!F4)</f>
        <v>0.5334000000000001</v>
      </c>
      <c r="I376" s="12">
        <f>""</f>
      </c>
    </row>
    <row r="377">
      <c r="A377" s="0" t="inlineStr">
        <is>
          <t xml:space="preserve">Effective rate</t>
        </is>
      </c>
      <c r="B377" s="0" t="inlineStr">
        <is>
          <t xml:space="preserve">Ana Ortiz</t>
        </is>
      </c>
      <c r="C377" s="0" t="inlineStr">
        <is>
          <t xml:space="preserve">Q2 2026</t>
        </is>
      </c>
      <c r="D377" s="12">
        <f>(0.1778*'Commission plan'!B4)</f>
        <v>0.13335000000000002</v>
      </c>
      <c r="E377" s="12">
        <f>(0.1778*'Commission plan'!C4)</f>
        <v>0.1778</v>
      </c>
      <c r="F377" s="12">
        <f>(0.1778*'Commission plan'!D4)</f>
        <v>0.26670000000000005</v>
      </c>
      <c r="G377" s="12">
        <f>(0.1778*'Commission plan'!E4)</f>
        <v>0.3556</v>
      </c>
      <c r="H377" s="12">
        <f>(0.1778*'Commission plan'!F4)</f>
        <v>0.5334000000000001</v>
      </c>
      <c r="I377" s="12">
        <f>""</f>
      </c>
    </row>
    <row r="378">
      <c r="A378" s="0" t="inlineStr">
        <is>
          <t xml:space="preserve">Effective rate</t>
        </is>
      </c>
      <c r="B378" s="0" t="inlineStr">
        <is>
          <t xml:space="preserve">Ana Ortiz</t>
        </is>
      </c>
      <c r="C378" s="0" t="inlineStr">
        <is>
          <t xml:space="preserve">Q3 2026</t>
        </is>
      </c>
      <c r="D378" s="12">
        <f>(0.1778*'Commission plan'!B4)</f>
        <v>0.13335000000000002</v>
      </c>
      <c r="E378" s="12">
        <f>(0.1778*'Commission plan'!C4)</f>
        <v>0.1778</v>
      </c>
      <c r="F378" s="12">
        <f>(0.1778*'Commission plan'!D4)</f>
        <v>0.26670000000000005</v>
      </c>
      <c r="G378" s="12">
        <f>(0.1778*'Commission plan'!E4)</f>
        <v>0.3556</v>
      </c>
      <c r="H378" s="12">
        <f>(0.1778*'Commission plan'!F4)</f>
        <v>0.5334000000000001</v>
      </c>
      <c r="I378" s="12">
        <f>""</f>
      </c>
    </row>
    <row r="379">
      <c r="A379" s="0" t="inlineStr">
        <is>
          <t xml:space="preserve">Effective rate</t>
        </is>
      </c>
      <c r="B379" s="0" t="inlineStr">
        <is>
          <t xml:space="preserve">Ana Ortiz</t>
        </is>
      </c>
      <c r="C379" s="0" t="inlineStr">
        <is>
          <t xml:space="preserve">Q4 2026</t>
        </is>
      </c>
      <c r="D379" s="12">
        <f>(0.1778*'Commission plan'!B4)</f>
        <v>0.13335000000000002</v>
      </c>
      <c r="E379" s="12">
        <f>(0.1778*'Commission plan'!C4)</f>
        <v>0.1778</v>
      </c>
      <c r="F379" s="12">
        <f>(0.1778*'Commission plan'!D4)</f>
        <v>0.26670000000000005</v>
      </c>
      <c r="G379" s="12">
        <f>(0.1778*'Commission plan'!E4)</f>
        <v>0.3556</v>
      </c>
      <c r="H379" s="12">
        <f>(0.1778*'Commission plan'!F4)</f>
        <v>0.5334000000000001</v>
      </c>
      <c r="I379" s="12">
        <f>""</f>
      </c>
    </row>
    <row r="380">
      <c r="A380" s="0" t="inlineStr">
        <is>
          <t xml:space="preserve">Effective rate</t>
        </is>
      </c>
      <c r="B380" s="0" t="inlineStr">
        <is>
          <t xml:space="preserve">Tobias Silva</t>
        </is>
      </c>
      <c r="C380" s="0" t="inlineStr">
        <is>
          <t xml:space="preserve">Q2 2025</t>
        </is>
      </c>
      <c r="D380" s="12">
        <f>(0.1*'Commission plan'!B4)</f>
        <v>0.07500000000000001</v>
      </c>
      <c r="E380" s="12">
        <f>(0.1*'Commission plan'!C4)</f>
        <v>0.1</v>
      </c>
      <c r="F380" s="12">
        <f>(0.1*'Commission plan'!D4)</f>
        <v>0.15000000000000002</v>
      </c>
      <c r="G380" s="12">
        <f>(0.1*'Commission plan'!E4)</f>
        <v>0.2</v>
      </c>
      <c r="H380" s="12">
        <f>(0.1*'Commission plan'!F4)</f>
        <v>0.30000000000000004</v>
      </c>
      <c r="I380" s="12">
        <f>""</f>
      </c>
    </row>
    <row r="381">
      <c r="A381" s="0" t="inlineStr">
        <is>
          <t xml:space="preserve">Effective rate</t>
        </is>
      </c>
      <c r="B381" s="0" t="inlineStr">
        <is>
          <t xml:space="preserve">Tobias Silva</t>
        </is>
      </c>
      <c r="C381" s="0" t="inlineStr">
        <is>
          <t xml:space="preserve">Q3 2025</t>
        </is>
      </c>
      <c r="D381" s="12">
        <f>(0.1*'Commission plan'!B4)</f>
        <v>0.07500000000000001</v>
      </c>
      <c r="E381" s="12">
        <f>(0.1*'Commission plan'!C4)</f>
        <v>0.1</v>
      </c>
      <c r="F381" s="12">
        <f>(0.1*'Commission plan'!D4)</f>
        <v>0.15000000000000002</v>
      </c>
      <c r="G381" s="12">
        <f>(0.1*'Commission plan'!E4)</f>
        <v>0.2</v>
      </c>
      <c r="H381" s="12">
        <f>(0.1*'Commission plan'!F4)</f>
        <v>0.30000000000000004</v>
      </c>
      <c r="I381" s="12">
        <f>""</f>
      </c>
    </row>
    <row r="382">
      <c r="A382" s="0" t="inlineStr">
        <is>
          <t xml:space="preserve">Effective rate</t>
        </is>
      </c>
      <c r="B382" s="0" t="inlineStr">
        <is>
          <t xml:space="preserve">Tobias Silva</t>
        </is>
      </c>
      <c r="C382" s="0" t="inlineStr">
        <is>
          <t xml:space="preserve">Q4 2025</t>
        </is>
      </c>
      <c r="D382" s="12">
        <f>(0.1*'Commission plan'!B4)</f>
        <v>0.07500000000000001</v>
      </c>
      <c r="E382" s="12">
        <f>(0.1*'Commission plan'!C4)</f>
        <v>0.1</v>
      </c>
      <c r="F382" s="12">
        <f>(0.1*'Commission plan'!D4)</f>
        <v>0.15000000000000002</v>
      </c>
      <c r="G382" s="12">
        <f>(0.1*'Commission plan'!E4)</f>
        <v>0.2</v>
      </c>
      <c r="H382" s="12">
        <f>(0.1*'Commission plan'!F4)</f>
        <v>0.30000000000000004</v>
      </c>
      <c r="I382" s="12">
        <f>""</f>
      </c>
    </row>
    <row r="383">
      <c r="A383" s="0" t="inlineStr">
        <is>
          <t xml:space="preserve">Effective rate</t>
        </is>
      </c>
      <c r="B383" s="0" t="inlineStr">
        <is>
          <t xml:space="preserve">Tobias Silva</t>
        </is>
      </c>
      <c r="C383" s="0" t="inlineStr">
        <is>
          <t xml:space="preserve">Q1 2026</t>
        </is>
      </c>
      <c r="D383" s="12">
        <f>(0.1*'Commission plan'!B4)</f>
        <v>0.07500000000000001</v>
      </c>
      <c r="E383" s="12">
        <f>(0.1*'Commission plan'!C4)</f>
        <v>0.1</v>
      </c>
      <c r="F383" s="12">
        <f>(0.1*'Commission plan'!D4)</f>
        <v>0.15000000000000002</v>
      </c>
      <c r="G383" s="12">
        <f>(0.1*'Commission plan'!E4)</f>
        <v>0.2</v>
      </c>
      <c r="H383" s="12">
        <f>(0.1*'Commission plan'!F4)</f>
        <v>0.30000000000000004</v>
      </c>
      <c r="I383" s="12">
        <f>""</f>
      </c>
    </row>
    <row r="384">
      <c r="A384" s="0" t="inlineStr">
        <is>
          <t xml:space="preserve">Effective rate</t>
        </is>
      </c>
      <c r="B384" s="0" t="inlineStr">
        <is>
          <t xml:space="preserve">Tobias Silva</t>
        </is>
      </c>
      <c r="C384" s="0" t="inlineStr">
        <is>
          <t xml:space="preserve">Q2 2026</t>
        </is>
      </c>
      <c r="D384" s="12">
        <f>(0.1*'Commission plan'!B4)</f>
        <v>0.07500000000000001</v>
      </c>
      <c r="E384" s="12">
        <f>(0.1*'Commission plan'!C4)</f>
        <v>0.1</v>
      </c>
      <c r="F384" s="12">
        <f>(0.1*'Commission plan'!D4)</f>
        <v>0.15000000000000002</v>
      </c>
      <c r="G384" s="12">
        <f>(0.1*'Commission plan'!E4)</f>
        <v>0.2</v>
      </c>
      <c r="H384" s="12">
        <f>(0.1*'Commission plan'!F4)</f>
        <v>0.30000000000000004</v>
      </c>
      <c r="I384" s="12">
        <f>""</f>
      </c>
    </row>
    <row r="385">
      <c r="A385" s="0" t="inlineStr">
        <is>
          <t xml:space="preserve">Effective rate</t>
        </is>
      </c>
      <c r="B385" s="0" t="inlineStr">
        <is>
          <t xml:space="preserve">Tobias Silva</t>
        </is>
      </c>
      <c r="C385" s="0" t="inlineStr">
        <is>
          <t xml:space="preserve">Q3 2026</t>
        </is>
      </c>
      <c r="D385" s="12">
        <f>(0.1*'Commission plan'!B4)</f>
        <v>0.07500000000000001</v>
      </c>
      <c r="E385" s="12">
        <f>(0.1*'Commission plan'!C4)</f>
        <v>0.1</v>
      </c>
      <c r="F385" s="12">
        <f>(0.1*'Commission plan'!D4)</f>
        <v>0.15000000000000002</v>
      </c>
      <c r="G385" s="12">
        <f>(0.1*'Commission plan'!E4)</f>
        <v>0.2</v>
      </c>
      <c r="H385" s="12">
        <f>(0.1*'Commission plan'!F4)</f>
        <v>0.30000000000000004</v>
      </c>
      <c r="I385" s="12">
        <f>""</f>
      </c>
    </row>
    <row r="386">
      <c r="A386" s="0" t="inlineStr">
        <is>
          <t xml:space="preserve">Effective rate</t>
        </is>
      </c>
      <c r="B386" s="0" t="inlineStr">
        <is>
          <t xml:space="preserve">Tobias Silva</t>
        </is>
      </c>
      <c r="C386" s="0" t="inlineStr">
        <is>
          <t xml:space="preserve">Q4 2026</t>
        </is>
      </c>
      <c r="D386" s="12">
        <f>(0.1*'Commission plan'!B4)</f>
        <v>0.07500000000000001</v>
      </c>
      <c r="E386" s="12">
        <f>(0.1*'Commission plan'!C4)</f>
        <v>0.1</v>
      </c>
      <c r="F386" s="12">
        <f>(0.1*'Commission plan'!D4)</f>
        <v>0.15000000000000002</v>
      </c>
      <c r="G386" s="12">
        <f>(0.1*'Commission plan'!E4)</f>
        <v>0.2</v>
      </c>
      <c r="H386" s="12">
        <f>(0.1*'Commission plan'!F4)</f>
        <v>0.30000000000000004</v>
      </c>
      <c r="I386" s="12">
        <f>""</f>
      </c>
    </row>
    <row r="387">
      <c r="A387" s="0" t="inlineStr">
        <is>
          <t xml:space="preserve">Effective rate</t>
        </is>
      </c>
      <c r="B387" s="0" t="inlineStr">
        <is>
          <t xml:space="preserve">Leila Osei</t>
        </is>
      </c>
      <c r="C387" s="0" t="inlineStr">
        <is>
          <t xml:space="preserve">Q2 2025</t>
        </is>
      </c>
      <c r="D387" s="12">
        <f>(0.1*'Commission plan'!B4)</f>
        <v>0.07500000000000001</v>
      </c>
      <c r="E387" s="12">
        <f>(0.1*'Commission plan'!C4)</f>
        <v>0.1</v>
      </c>
      <c r="F387" s="12">
        <f>(0.1*'Commission plan'!D4)</f>
        <v>0.15000000000000002</v>
      </c>
      <c r="G387" s="12">
        <f>(0.1*'Commission plan'!E4)</f>
        <v>0.2</v>
      </c>
      <c r="H387" s="12">
        <f>(0.1*'Commission plan'!F4)</f>
        <v>0.30000000000000004</v>
      </c>
      <c r="I387" s="12">
        <f>""</f>
      </c>
    </row>
    <row r="388">
      <c r="A388" s="0" t="inlineStr">
        <is>
          <t xml:space="preserve">Effective rate</t>
        </is>
      </c>
      <c r="B388" s="0" t="inlineStr">
        <is>
          <t xml:space="preserve">Leila Osei</t>
        </is>
      </c>
      <c r="C388" s="0" t="inlineStr">
        <is>
          <t xml:space="preserve">Q3 2025</t>
        </is>
      </c>
      <c r="D388" s="12">
        <f>(0.1*'Commission plan'!B4)</f>
        <v>0.07500000000000001</v>
      </c>
      <c r="E388" s="12">
        <f>(0.1*'Commission plan'!C4)</f>
        <v>0.1</v>
      </c>
      <c r="F388" s="12">
        <f>(0.1*'Commission plan'!D4)</f>
        <v>0.15000000000000002</v>
      </c>
      <c r="G388" s="12">
        <f>(0.1*'Commission plan'!E4)</f>
        <v>0.2</v>
      </c>
      <c r="H388" s="12">
        <f>(0.1*'Commission plan'!F4)</f>
        <v>0.30000000000000004</v>
      </c>
      <c r="I388" s="12">
        <f>""</f>
      </c>
    </row>
    <row r="389">
      <c r="A389" s="0" t="inlineStr">
        <is>
          <t xml:space="preserve">Effective rate</t>
        </is>
      </c>
      <c r="B389" s="0" t="inlineStr">
        <is>
          <t xml:space="preserve">Leila Osei</t>
        </is>
      </c>
      <c r="C389" s="0" t="inlineStr">
        <is>
          <t xml:space="preserve">Q4 2025</t>
        </is>
      </c>
      <c r="D389" s="12">
        <f>(0.1*'Commission plan'!B4)</f>
        <v>0.07500000000000001</v>
      </c>
      <c r="E389" s="12">
        <f>(0.1*'Commission plan'!C4)</f>
        <v>0.1</v>
      </c>
      <c r="F389" s="12">
        <f>(0.1*'Commission plan'!D4)</f>
        <v>0.15000000000000002</v>
      </c>
      <c r="G389" s="12">
        <f>(0.1*'Commission plan'!E4)</f>
        <v>0.2</v>
      </c>
      <c r="H389" s="12">
        <f>(0.1*'Commission plan'!F4)</f>
        <v>0.30000000000000004</v>
      </c>
      <c r="I389" s="12">
        <f>""</f>
      </c>
    </row>
    <row r="390">
      <c r="A390" s="0" t="inlineStr">
        <is>
          <t xml:space="preserve">Effective rate</t>
        </is>
      </c>
      <c r="B390" s="0" t="inlineStr">
        <is>
          <t xml:space="preserve">Leila Osei</t>
        </is>
      </c>
      <c r="C390" s="0" t="inlineStr">
        <is>
          <t xml:space="preserve">Q1 2026</t>
        </is>
      </c>
      <c r="D390" s="12">
        <f>(0.1*'Commission plan'!B4)</f>
        <v>0.07500000000000001</v>
      </c>
      <c r="E390" s="12">
        <f>(0.1*'Commission plan'!C4)</f>
        <v>0.1</v>
      </c>
      <c r="F390" s="12">
        <f>(0.1*'Commission plan'!D4)</f>
        <v>0.15000000000000002</v>
      </c>
      <c r="G390" s="12">
        <f>(0.1*'Commission plan'!E4)</f>
        <v>0.2</v>
      </c>
      <c r="H390" s="12">
        <f>(0.1*'Commission plan'!F4)</f>
        <v>0.30000000000000004</v>
      </c>
      <c r="I390" s="12">
        <f>""</f>
      </c>
    </row>
    <row r="391">
      <c r="A391" s="0" t="inlineStr">
        <is>
          <t xml:space="preserve">Effective rate</t>
        </is>
      </c>
      <c r="B391" s="0" t="inlineStr">
        <is>
          <t xml:space="preserve">Leila Osei</t>
        </is>
      </c>
      <c r="C391" s="0" t="inlineStr">
        <is>
          <t xml:space="preserve">Q2 2026</t>
        </is>
      </c>
      <c r="D391" s="12">
        <f>(0.1*'Commission plan'!B4)</f>
        <v>0.07500000000000001</v>
      </c>
      <c r="E391" s="12">
        <f>(0.1*'Commission plan'!C4)</f>
        <v>0.1</v>
      </c>
      <c r="F391" s="12">
        <f>(0.1*'Commission plan'!D4)</f>
        <v>0.15000000000000002</v>
      </c>
      <c r="G391" s="12">
        <f>(0.1*'Commission plan'!E4)</f>
        <v>0.2</v>
      </c>
      <c r="H391" s="12">
        <f>(0.1*'Commission plan'!F4)</f>
        <v>0.30000000000000004</v>
      </c>
      <c r="I391" s="12">
        <f>""</f>
      </c>
    </row>
    <row r="392">
      <c r="A392" s="0" t="inlineStr">
        <is>
          <t xml:space="preserve">Effective rate</t>
        </is>
      </c>
      <c r="B392" s="0" t="inlineStr">
        <is>
          <t xml:space="preserve">Leila Osei</t>
        </is>
      </c>
      <c r="C392" s="0" t="inlineStr">
        <is>
          <t xml:space="preserve">Q3 2026</t>
        </is>
      </c>
      <c r="D392" s="12">
        <f>(0.1*'Commission plan'!B4)</f>
        <v>0.07500000000000001</v>
      </c>
      <c r="E392" s="12">
        <f>(0.1*'Commission plan'!C4)</f>
        <v>0.1</v>
      </c>
      <c r="F392" s="12">
        <f>(0.1*'Commission plan'!D4)</f>
        <v>0.15000000000000002</v>
      </c>
      <c r="G392" s="12">
        <f>(0.1*'Commission plan'!E4)</f>
        <v>0.2</v>
      </c>
      <c r="H392" s="12">
        <f>(0.1*'Commission plan'!F4)</f>
        <v>0.30000000000000004</v>
      </c>
      <c r="I392" s="12">
        <f>""</f>
      </c>
    </row>
    <row r="393">
      <c r="A393" s="0" t="inlineStr">
        <is>
          <t xml:space="preserve">Effective rate</t>
        </is>
      </c>
      <c r="B393" s="0" t="inlineStr">
        <is>
          <t xml:space="preserve">Leila Osei</t>
        </is>
      </c>
      <c r="C393" s="0" t="inlineStr">
        <is>
          <t xml:space="preserve">Q4 2026</t>
        </is>
      </c>
      <c r="D393" s="12">
        <f>(0.1*'Commission plan'!B4)</f>
        <v>0.07500000000000001</v>
      </c>
      <c r="E393" s="12">
        <f>(0.1*'Commission plan'!C4)</f>
        <v>0.1</v>
      </c>
      <c r="F393" s="12">
        <f>(0.1*'Commission plan'!D4)</f>
        <v>0.15000000000000002</v>
      </c>
      <c r="G393" s="12">
        <f>(0.1*'Commission plan'!E4)</f>
        <v>0.2</v>
      </c>
      <c r="H393" s="12">
        <f>(0.1*'Commission plan'!F4)</f>
        <v>0.30000000000000004</v>
      </c>
      <c r="I393" s="12">
        <f>""</f>
      </c>
    </row>
    <row r="394">
      <c r="A394" s="0" t="inlineStr">
        <is>
          <t xml:space="preserve">Effective rate</t>
        </is>
      </c>
      <c r="B394" s="0" t="inlineStr">
        <is>
          <t xml:space="preserve">Grace Costa</t>
        </is>
      </c>
      <c r="C394" s="0" t="inlineStr">
        <is>
          <t xml:space="preserve">Q2 2025</t>
        </is>
      </c>
      <c r="D394" s="12">
        <f>(0.1294*'Commission plan'!B4)</f>
        <v>0.09705</v>
      </c>
      <c r="E394" s="12">
        <f>(0.1294*'Commission plan'!C4)</f>
        <v>0.1294</v>
      </c>
      <c r="F394" s="12">
        <f>(0.1294*'Commission plan'!D4)</f>
        <v>0.1941</v>
      </c>
      <c r="G394" s="12">
        <f>(0.1294*'Commission plan'!E4)</f>
        <v>0.2588</v>
      </c>
      <c r="H394" s="12">
        <f>(0.1294*'Commission plan'!F4)</f>
        <v>0.3882</v>
      </c>
      <c r="I394" s="12">
        <f>""</f>
      </c>
    </row>
    <row r="395">
      <c r="A395" s="0" t="inlineStr">
        <is>
          <t xml:space="preserve">Effective rate</t>
        </is>
      </c>
      <c r="B395" s="0" t="inlineStr">
        <is>
          <t xml:space="preserve">Grace Costa</t>
        </is>
      </c>
      <c r="C395" s="0" t="inlineStr">
        <is>
          <t xml:space="preserve">Q3 2025</t>
        </is>
      </c>
      <c r="D395" s="12">
        <f>(0.1294*'Commission plan'!B4)</f>
        <v>0.09705</v>
      </c>
      <c r="E395" s="12">
        <f>(0.1294*'Commission plan'!C4)</f>
        <v>0.1294</v>
      </c>
      <c r="F395" s="12">
        <f>(0.1294*'Commission plan'!D4)</f>
        <v>0.1941</v>
      </c>
      <c r="G395" s="12">
        <f>(0.1294*'Commission plan'!E4)</f>
        <v>0.2588</v>
      </c>
      <c r="H395" s="12">
        <f>(0.1294*'Commission plan'!F4)</f>
        <v>0.3882</v>
      </c>
      <c r="I395" s="12">
        <f>""</f>
      </c>
    </row>
    <row r="396">
      <c r="A396" s="0" t="inlineStr">
        <is>
          <t xml:space="preserve">Effective rate</t>
        </is>
      </c>
      <c r="B396" s="0" t="inlineStr">
        <is>
          <t xml:space="preserve">Grace Costa</t>
        </is>
      </c>
      <c r="C396" s="0" t="inlineStr">
        <is>
          <t xml:space="preserve">Q4 2025</t>
        </is>
      </c>
      <c r="D396" s="12">
        <f>(0.1294*'Commission plan'!B4)</f>
        <v>0.09705</v>
      </c>
      <c r="E396" s="12">
        <f>(0.1294*'Commission plan'!C4)</f>
        <v>0.1294</v>
      </c>
      <c r="F396" s="12">
        <f>(0.1294*'Commission plan'!D4)</f>
        <v>0.1941</v>
      </c>
      <c r="G396" s="12">
        <f>(0.1294*'Commission plan'!E4)</f>
        <v>0.2588</v>
      </c>
      <c r="H396" s="12">
        <f>(0.1294*'Commission plan'!F4)</f>
        <v>0.3882</v>
      </c>
      <c r="I396" s="12">
        <f>""</f>
      </c>
    </row>
    <row r="397">
      <c r="A397" s="0" t="inlineStr">
        <is>
          <t xml:space="preserve">Effective rate</t>
        </is>
      </c>
      <c r="B397" s="0" t="inlineStr">
        <is>
          <t xml:space="preserve">Grace Costa</t>
        </is>
      </c>
      <c r="C397" s="0" t="inlineStr">
        <is>
          <t xml:space="preserve">Q1 2026</t>
        </is>
      </c>
      <c r="D397" s="12">
        <f>(0.1294*'Commission plan'!B4)</f>
        <v>0.09705</v>
      </c>
      <c r="E397" s="12">
        <f>(0.1294*'Commission plan'!C4)</f>
        <v>0.1294</v>
      </c>
      <c r="F397" s="12">
        <f>(0.1294*'Commission plan'!D4)</f>
        <v>0.1941</v>
      </c>
      <c r="G397" s="12">
        <f>(0.1294*'Commission plan'!E4)</f>
        <v>0.2588</v>
      </c>
      <c r="H397" s="12">
        <f>(0.1294*'Commission plan'!F4)</f>
        <v>0.3882</v>
      </c>
      <c r="I397" s="12">
        <f>""</f>
      </c>
    </row>
    <row r="398">
      <c r="A398" s="0" t="inlineStr">
        <is>
          <t xml:space="preserve">Effective rate</t>
        </is>
      </c>
      <c r="B398" s="0" t="inlineStr">
        <is>
          <t xml:space="preserve">Grace Costa</t>
        </is>
      </c>
      <c r="C398" s="0" t="inlineStr">
        <is>
          <t xml:space="preserve">Q2 2026</t>
        </is>
      </c>
      <c r="D398" s="12">
        <f>(0.1294*'Commission plan'!B4)</f>
        <v>0.09705</v>
      </c>
      <c r="E398" s="12">
        <f>(0.1294*'Commission plan'!C4)</f>
        <v>0.1294</v>
      </c>
      <c r="F398" s="12">
        <f>(0.1294*'Commission plan'!D4)</f>
        <v>0.1941</v>
      </c>
      <c r="G398" s="12">
        <f>(0.1294*'Commission plan'!E4)</f>
        <v>0.2588</v>
      </c>
      <c r="H398" s="12">
        <f>(0.1294*'Commission plan'!F4)</f>
        <v>0.3882</v>
      </c>
      <c r="I398" s="12">
        <f>""</f>
      </c>
    </row>
    <row r="399">
      <c r="A399" s="0" t="inlineStr">
        <is>
          <t xml:space="preserve">Effective rate</t>
        </is>
      </c>
      <c r="B399" s="0" t="inlineStr">
        <is>
          <t xml:space="preserve">Grace Costa</t>
        </is>
      </c>
      <c r="C399" s="0" t="inlineStr">
        <is>
          <t xml:space="preserve">Q3 2026</t>
        </is>
      </c>
      <c r="D399" s="12">
        <f>(0.1294*'Commission plan'!B4)</f>
        <v>0.09705</v>
      </c>
      <c r="E399" s="12">
        <f>(0.1294*'Commission plan'!C4)</f>
        <v>0.1294</v>
      </c>
      <c r="F399" s="12">
        <f>(0.1294*'Commission plan'!D4)</f>
        <v>0.1941</v>
      </c>
      <c r="G399" s="12">
        <f>(0.1294*'Commission plan'!E4)</f>
        <v>0.2588</v>
      </c>
      <c r="H399" s="12">
        <f>(0.1294*'Commission plan'!F4)</f>
        <v>0.3882</v>
      </c>
      <c r="I399" s="12">
        <f>""</f>
      </c>
    </row>
    <row r="400">
      <c r="A400" s="0" t="inlineStr">
        <is>
          <t xml:space="preserve">Effective rate</t>
        </is>
      </c>
      <c r="B400" s="0" t="inlineStr">
        <is>
          <t xml:space="preserve">Grace Costa</t>
        </is>
      </c>
      <c r="C400" s="0" t="inlineStr">
        <is>
          <t xml:space="preserve">Q4 2026</t>
        </is>
      </c>
      <c r="D400" s="12">
        <f>(0.1294*'Commission plan'!B4)</f>
        <v>0.09705</v>
      </c>
      <c r="E400" s="12">
        <f>(0.1294*'Commission plan'!C4)</f>
        <v>0.1294</v>
      </c>
      <c r="F400" s="12">
        <f>(0.1294*'Commission plan'!D4)</f>
        <v>0.1941</v>
      </c>
      <c r="G400" s="12">
        <f>(0.1294*'Commission plan'!E4)</f>
        <v>0.2588</v>
      </c>
      <c r="H400" s="12">
        <f>(0.1294*'Commission plan'!F4)</f>
        <v>0.3882</v>
      </c>
      <c r="I400" s="12">
        <f>""</f>
      </c>
    </row>
    <row r="401">
      <c r="A401" s="0" t="inlineStr">
        <is>
          <t xml:space="preserve">Effective rate</t>
        </is>
      </c>
      <c r="B401" s="0" t="inlineStr">
        <is>
          <t xml:space="preserve">Ingrid Müller</t>
        </is>
      </c>
      <c r="C401" s="0" t="inlineStr">
        <is>
          <t xml:space="preserve">Q2 2025</t>
        </is>
      </c>
      <c r="D401" s="12">
        <f>(0.1294*'Commission plan'!B4)</f>
        <v>0.09705</v>
      </c>
      <c r="E401" s="12">
        <f>(0.1294*'Commission plan'!C4)</f>
        <v>0.1294</v>
      </c>
      <c r="F401" s="12">
        <f>(0.1294*'Commission plan'!D4)</f>
        <v>0.1941</v>
      </c>
      <c r="G401" s="12">
        <f>(0.1294*'Commission plan'!E4)</f>
        <v>0.2588</v>
      </c>
      <c r="H401" s="12">
        <f>(0.1294*'Commission plan'!F4)</f>
        <v>0.3882</v>
      </c>
      <c r="I401" s="12">
        <f>""</f>
      </c>
    </row>
    <row r="402">
      <c r="A402" s="0" t="inlineStr">
        <is>
          <t xml:space="preserve">Effective rate</t>
        </is>
      </c>
      <c r="B402" s="0" t="inlineStr">
        <is>
          <t xml:space="preserve">Ingrid Müller</t>
        </is>
      </c>
      <c r="C402" s="0" t="inlineStr">
        <is>
          <t xml:space="preserve">Q3 2025</t>
        </is>
      </c>
      <c r="D402" s="12">
        <f>(0.1294*'Commission plan'!B4)</f>
        <v>0.09705</v>
      </c>
      <c r="E402" s="12">
        <f>(0.1294*'Commission plan'!C4)</f>
        <v>0.1294</v>
      </c>
      <c r="F402" s="12">
        <f>(0.1294*'Commission plan'!D4)</f>
        <v>0.1941</v>
      </c>
      <c r="G402" s="12">
        <f>(0.1294*'Commission plan'!E4)</f>
        <v>0.2588</v>
      </c>
      <c r="H402" s="12">
        <f>(0.1294*'Commission plan'!F4)</f>
        <v>0.3882</v>
      </c>
      <c r="I402" s="12">
        <f>""</f>
      </c>
    </row>
    <row r="403">
      <c r="A403" s="0" t="inlineStr">
        <is>
          <t xml:space="preserve">Effective rate</t>
        </is>
      </c>
      <c r="B403" s="0" t="inlineStr">
        <is>
          <t xml:space="preserve">Ingrid Müller</t>
        </is>
      </c>
      <c r="C403" s="0" t="inlineStr">
        <is>
          <t xml:space="preserve">Q4 2025</t>
        </is>
      </c>
      <c r="D403" s="12">
        <f>(0.1294*'Commission plan'!B4)</f>
        <v>0.09705</v>
      </c>
      <c r="E403" s="12">
        <f>(0.1294*'Commission plan'!C4)</f>
        <v>0.1294</v>
      </c>
      <c r="F403" s="12">
        <f>(0.1294*'Commission plan'!D4)</f>
        <v>0.1941</v>
      </c>
      <c r="G403" s="12">
        <f>(0.1294*'Commission plan'!E4)</f>
        <v>0.2588</v>
      </c>
      <c r="H403" s="12">
        <f>(0.1294*'Commission plan'!F4)</f>
        <v>0.3882</v>
      </c>
      <c r="I403" s="12">
        <f>""</f>
      </c>
    </row>
    <row r="404">
      <c r="A404" s="0" t="inlineStr">
        <is>
          <t xml:space="preserve">Effective rate</t>
        </is>
      </c>
      <c r="B404" s="0" t="inlineStr">
        <is>
          <t xml:space="preserve">Ingrid Müller</t>
        </is>
      </c>
      <c r="C404" s="0" t="inlineStr">
        <is>
          <t xml:space="preserve">Q1 2026</t>
        </is>
      </c>
      <c r="D404" s="12">
        <f>(0.1294*'Commission plan'!B4)</f>
        <v>0.09705</v>
      </c>
      <c r="E404" s="12">
        <f>(0.1294*'Commission plan'!C4)</f>
        <v>0.1294</v>
      </c>
      <c r="F404" s="12">
        <f>(0.1294*'Commission plan'!D4)</f>
        <v>0.1941</v>
      </c>
      <c r="G404" s="12">
        <f>(0.1294*'Commission plan'!E4)</f>
        <v>0.2588</v>
      </c>
      <c r="H404" s="12">
        <f>(0.1294*'Commission plan'!F4)</f>
        <v>0.3882</v>
      </c>
      <c r="I404" s="12">
        <f>""</f>
      </c>
    </row>
    <row r="405">
      <c r="A405" s="0" t="inlineStr">
        <is>
          <t xml:space="preserve">Effective rate</t>
        </is>
      </c>
      <c r="B405" s="0" t="inlineStr">
        <is>
          <t xml:space="preserve">Ingrid Müller</t>
        </is>
      </c>
      <c r="C405" s="0" t="inlineStr">
        <is>
          <t xml:space="preserve">Q2 2026</t>
        </is>
      </c>
      <c r="D405" s="12">
        <f>(0.1294*'Commission plan'!B4)</f>
        <v>0.09705</v>
      </c>
      <c r="E405" s="12">
        <f>(0.1294*'Commission plan'!C4)</f>
        <v>0.1294</v>
      </c>
      <c r="F405" s="12">
        <f>(0.1294*'Commission plan'!D4)</f>
        <v>0.1941</v>
      </c>
      <c r="G405" s="12">
        <f>(0.1294*'Commission plan'!E4)</f>
        <v>0.2588</v>
      </c>
      <c r="H405" s="12">
        <f>(0.1294*'Commission plan'!F4)</f>
        <v>0.3882</v>
      </c>
      <c r="I405" s="12">
        <f>""</f>
      </c>
    </row>
    <row r="406">
      <c r="A406" s="0" t="inlineStr">
        <is>
          <t xml:space="preserve">Effective rate</t>
        </is>
      </c>
      <c r="B406" s="0" t="inlineStr">
        <is>
          <t xml:space="preserve">Ingrid Müller</t>
        </is>
      </c>
      <c r="C406" s="0" t="inlineStr">
        <is>
          <t xml:space="preserve">Q3 2026</t>
        </is>
      </c>
      <c r="D406" s="12">
        <f>(0.1294*'Commission plan'!B4)</f>
        <v>0.09705</v>
      </c>
      <c r="E406" s="12">
        <f>(0.1294*'Commission plan'!C4)</f>
        <v>0.1294</v>
      </c>
      <c r="F406" s="12">
        <f>(0.1294*'Commission plan'!D4)</f>
        <v>0.1941</v>
      </c>
      <c r="G406" s="12">
        <f>(0.1294*'Commission plan'!E4)</f>
        <v>0.2588</v>
      </c>
      <c r="H406" s="12">
        <f>(0.1294*'Commission plan'!F4)</f>
        <v>0.3882</v>
      </c>
      <c r="I406" s="12">
        <f>""</f>
      </c>
    </row>
    <row r="407">
      <c r="A407" s="0" t="inlineStr">
        <is>
          <t xml:space="preserve">Effective rate</t>
        </is>
      </c>
      <c r="B407" s="0" t="inlineStr">
        <is>
          <t xml:space="preserve">Ingrid Müller</t>
        </is>
      </c>
      <c r="C407" s="0" t="inlineStr">
        <is>
          <t xml:space="preserve">Q4 2026</t>
        </is>
      </c>
      <c r="D407" s="12">
        <f>(0.1294*'Commission plan'!B4)</f>
        <v>0.09705</v>
      </c>
      <c r="E407" s="12">
        <f>(0.1294*'Commission plan'!C4)</f>
        <v>0.1294</v>
      </c>
      <c r="F407" s="12">
        <f>(0.1294*'Commission plan'!D4)</f>
        <v>0.1941</v>
      </c>
      <c r="G407" s="12">
        <f>(0.1294*'Commission plan'!E4)</f>
        <v>0.2588</v>
      </c>
      <c r="H407" s="12">
        <f>(0.1294*'Commission plan'!F4)</f>
        <v>0.3882</v>
      </c>
      <c r="I407" s="12">
        <f>""</f>
      </c>
    </row>
    <row r="408">
      <c r="A408" s="0" t="inlineStr">
        <is>
          <t xml:space="preserve">Effective rate</t>
        </is>
      </c>
      <c r="B408" s="0" t="inlineStr">
        <is>
          <t xml:space="preserve">Ingrid Kim</t>
        </is>
      </c>
      <c r="C408" s="0" t="inlineStr">
        <is>
          <t xml:space="preserve">Q2 2025</t>
        </is>
      </c>
      <c r="D408" s="12">
        <f>(0.1778*'Commission plan'!B4)</f>
        <v>0.13335000000000002</v>
      </c>
      <c r="E408" s="12">
        <f>(0.1778*'Commission plan'!C4)</f>
        <v>0.1778</v>
      </c>
      <c r="F408" s="12">
        <f>(0.1778*'Commission plan'!D4)</f>
        <v>0.26670000000000005</v>
      </c>
      <c r="G408" s="12">
        <f>(0.1778*'Commission plan'!E4)</f>
        <v>0.3556</v>
      </c>
      <c r="H408" s="12">
        <f>(0.1778*'Commission plan'!F4)</f>
        <v>0.5334000000000001</v>
      </c>
      <c r="I408" s="12">
        <f>""</f>
      </c>
    </row>
    <row r="409">
      <c r="A409" s="0" t="inlineStr">
        <is>
          <t xml:space="preserve">Effective rate</t>
        </is>
      </c>
      <c r="B409" s="0" t="inlineStr">
        <is>
          <t xml:space="preserve">Ingrid Kim</t>
        </is>
      </c>
      <c r="C409" s="0" t="inlineStr">
        <is>
          <t xml:space="preserve">Q3 2025</t>
        </is>
      </c>
      <c r="D409" s="12">
        <f>(0.1778*'Commission plan'!B4)</f>
        <v>0.13335000000000002</v>
      </c>
      <c r="E409" s="12">
        <f>(0.1778*'Commission plan'!C4)</f>
        <v>0.1778</v>
      </c>
      <c r="F409" s="12">
        <f>(0.1778*'Commission plan'!D4)</f>
        <v>0.26670000000000005</v>
      </c>
      <c r="G409" s="12">
        <f>(0.1778*'Commission plan'!E4)</f>
        <v>0.3556</v>
      </c>
      <c r="H409" s="12">
        <f>(0.1778*'Commission plan'!F4)</f>
        <v>0.5334000000000001</v>
      </c>
      <c r="I409" s="12">
        <f>""</f>
      </c>
    </row>
    <row r="410">
      <c r="A410" s="0" t="inlineStr">
        <is>
          <t xml:space="preserve">Effective rate</t>
        </is>
      </c>
      <c r="B410" s="0" t="inlineStr">
        <is>
          <t xml:space="preserve">Ingrid Kim</t>
        </is>
      </c>
      <c r="C410" s="0" t="inlineStr">
        <is>
          <t xml:space="preserve">Q4 2025</t>
        </is>
      </c>
      <c r="D410" s="12">
        <f>(0.1778*'Commission plan'!B4)</f>
        <v>0.13335000000000002</v>
      </c>
      <c r="E410" s="12">
        <f>(0.1778*'Commission plan'!C4)</f>
        <v>0.1778</v>
      </c>
      <c r="F410" s="12">
        <f>(0.1778*'Commission plan'!D4)</f>
        <v>0.26670000000000005</v>
      </c>
      <c r="G410" s="12">
        <f>(0.1778*'Commission plan'!E4)</f>
        <v>0.3556</v>
      </c>
      <c r="H410" s="12">
        <f>(0.1778*'Commission plan'!F4)</f>
        <v>0.5334000000000001</v>
      </c>
      <c r="I410" s="12">
        <f>""</f>
      </c>
    </row>
    <row r="411">
      <c r="A411" s="0" t="inlineStr">
        <is>
          <t xml:space="preserve">Effective rate</t>
        </is>
      </c>
      <c r="B411" s="0" t="inlineStr">
        <is>
          <t xml:space="preserve">Ingrid Kim</t>
        </is>
      </c>
      <c r="C411" s="0" t="inlineStr">
        <is>
          <t xml:space="preserve">Q1 2026</t>
        </is>
      </c>
      <c r="D411" s="12">
        <f>(0.1778*'Commission plan'!B4)</f>
        <v>0.13335000000000002</v>
      </c>
      <c r="E411" s="12">
        <f>(0.1778*'Commission plan'!C4)</f>
        <v>0.1778</v>
      </c>
      <c r="F411" s="12">
        <f>(0.1778*'Commission plan'!D4)</f>
        <v>0.26670000000000005</v>
      </c>
      <c r="G411" s="12">
        <f>(0.1778*'Commission plan'!E4)</f>
        <v>0.3556</v>
      </c>
      <c r="H411" s="12">
        <f>(0.1778*'Commission plan'!F4)</f>
        <v>0.5334000000000001</v>
      </c>
      <c r="I411" s="12">
        <f>""</f>
      </c>
    </row>
    <row r="412">
      <c r="A412" s="0" t="inlineStr">
        <is>
          <t xml:space="preserve">Effective rate</t>
        </is>
      </c>
      <c r="B412" s="0" t="inlineStr">
        <is>
          <t xml:space="preserve">Ingrid Kim</t>
        </is>
      </c>
      <c r="C412" s="0" t="inlineStr">
        <is>
          <t xml:space="preserve">Q2 2026</t>
        </is>
      </c>
      <c r="D412" s="12">
        <f>(0.1778*'Commission plan'!B4)</f>
        <v>0.13335000000000002</v>
      </c>
      <c r="E412" s="12">
        <f>(0.1778*'Commission plan'!C4)</f>
        <v>0.1778</v>
      </c>
      <c r="F412" s="12">
        <f>(0.1778*'Commission plan'!D4)</f>
        <v>0.26670000000000005</v>
      </c>
      <c r="G412" s="12">
        <f>(0.1778*'Commission plan'!E4)</f>
        <v>0.3556</v>
      </c>
      <c r="H412" s="12">
        <f>(0.1778*'Commission plan'!F4)</f>
        <v>0.5334000000000001</v>
      </c>
      <c r="I412" s="12">
        <f>""</f>
      </c>
    </row>
    <row r="413">
      <c r="A413" s="0" t="inlineStr">
        <is>
          <t xml:space="preserve">Effective rate</t>
        </is>
      </c>
      <c r="B413" s="0" t="inlineStr">
        <is>
          <t xml:space="preserve">Ingrid Kim</t>
        </is>
      </c>
      <c r="C413" s="0" t="inlineStr">
        <is>
          <t xml:space="preserve">Q3 2026</t>
        </is>
      </c>
      <c r="D413" s="12">
        <f>(0.1778*'Commission plan'!B4)</f>
        <v>0.13335000000000002</v>
      </c>
      <c r="E413" s="12">
        <f>(0.1778*'Commission plan'!C4)</f>
        <v>0.1778</v>
      </c>
      <c r="F413" s="12">
        <f>(0.1778*'Commission plan'!D4)</f>
        <v>0.26670000000000005</v>
      </c>
      <c r="G413" s="12">
        <f>(0.1778*'Commission plan'!E4)</f>
        <v>0.3556</v>
      </c>
      <c r="H413" s="12">
        <f>(0.1778*'Commission plan'!F4)</f>
        <v>0.5334000000000001</v>
      </c>
      <c r="I413" s="12">
        <f>""</f>
      </c>
    </row>
    <row r="414">
      <c r="A414" s="0" t="inlineStr">
        <is>
          <t xml:space="preserve">Effective rate</t>
        </is>
      </c>
      <c r="B414" s="0" t="inlineStr">
        <is>
          <t xml:space="preserve">Ingrid Kim</t>
        </is>
      </c>
      <c r="C414" s="0" t="inlineStr">
        <is>
          <t xml:space="preserve">Q4 2026</t>
        </is>
      </c>
      <c r="D414" s="12">
        <f>(0.1778*'Commission plan'!B4)</f>
        <v>0.13335000000000002</v>
      </c>
      <c r="E414" s="12">
        <f>(0.1778*'Commission plan'!C4)</f>
        <v>0.1778</v>
      </c>
      <c r="F414" s="12">
        <f>(0.1778*'Commission plan'!D4)</f>
        <v>0.26670000000000005</v>
      </c>
      <c r="G414" s="12">
        <f>(0.1778*'Commission plan'!E4)</f>
        <v>0.3556</v>
      </c>
      <c r="H414" s="12">
        <f>(0.1778*'Commission plan'!F4)</f>
        <v>0.5334000000000001</v>
      </c>
      <c r="I414" s="12">
        <f>""</f>
      </c>
    </row>
    <row r="415">
      <c r="A415" s="0" t="inlineStr">
        <is>
          <t xml:space="preserve">Effective rate</t>
        </is>
      </c>
      <c r="B415" s="0" t="inlineStr">
        <is>
          <t xml:space="preserve">Priya Nair</t>
        </is>
      </c>
      <c r="C415" s="0" t="inlineStr">
        <is>
          <t xml:space="preserve">Q2 2025</t>
        </is>
      </c>
      <c r="D415" s="12">
        <f>(0.1778*'Commission plan'!B4)</f>
        <v>0.13335000000000002</v>
      </c>
      <c r="E415" s="12">
        <f>(0.1778*'Commission plan'!C4)</f>
        <v>0.1778</v>
      </c>
      <c r="F415" s="12">
        <f>(0.1778*'Commission plan'!D4)</f>
        <v>0.26670000000000005</v>
      </c>
      <c r="G415" s="12">
        <f>(0.1778*'Commission plan'!E4)</f>
        <v>0.3556</v>
      </c>
      <c r="H415" s="12">
        <f>(0.1778*'Commission plan'!F4)</f>
        <v>0.5334000000000001</v>
      </c>
      <c r="I415" s="12">
        <f>""</f>
      </c>
    </row>
    <row r="416">
      <c r="A416" s="0" t="inlineStr">
        <is>
          <t xml:space="preserve">Effective rate</t>
        </is>
      </c>
      <c r="B416" s="0" t="inlineStr">
        <is>
          <t xml:space="preserve">Priya Nair</t>
        </is>
      </c>
      <c r="C416" s="0" t="inlineStr">
        <is>
          <t xml:space="preserve">Q3 2025</t>
        </is>
      </c>
      <c r="D416" s="12">
        <f>(0.1778*'Commission plan'!B4)</f>
        <v>0.13335000000000002</v>
      </c>
      <c r="E416" s="12">
        <f>(0.1778*'Commission plan'!C4)</f>
        <v>0.1778</v>
      </c>
      <c r="F416" s="12">
        <f>(0.1778*'Commission plan'!D4)</f>
        <v>0.26670000000000005</v>
      </c>
      <c r="G416" s="12">
        <f>(0.1778*'Commission plan'!E4)</f>
        <v>0.3556</v>
      </c>
      <c r="H416" s="12">
        <f>(0.1778*'Commission plan'!F4)</f>
        <v>0.5334000000000001</v>
      </c>
      <c r="I416" s="12">
        <f>""</f>
      </c>
    </row>
    <row r="417">
      <c r="A417" s="0" t="inlineStr">
        <is>
          <t xml:space="preserve">Effective rate</t>
        </is>
      </c>
      <c r="B417" s="0" t="inlineStr">
        <is>
          <t xml:space="preserve">Priya Nair</t>
        </is>
      </c>
      <c r="C417" s="0" t="inlineStr">
        <is>
          <t xml:space="preserve">Q4 2025</t>
        </is>
      </c>
      <c r="D417" s="12">
        <f>(0.1778*'Commission plan'!B4)</f>
        <v>0.13335000000000002</v>
      </c>
      <c r="E417" s="12">
        <f>(0.1778*'Commission plan'!C4)</f>
        <v>0.1778</v>
      </c>
      <c r="F417" s="12">
        <f>(0.1778*'Commission plan'!D4)</f>
        <v>0.26670000000000005</v>
      </c>
      <c r="G417" s="12">
        <f>(0.1778*'Commission plan'!E4)</f>
        <v>0.3556</v>
      </c>
      <c r="H417" s="12">
        <f>(0.1778*'Commission plan'!F4)</f>
        <v>0.5334000000000001</v>
      </c>
      <c r="I417" s="12">
        <f>""</f>
      </c>
    </row>
    <row r="418">
      <c r="A418" s="0" t="inlineStr">
        <is>
          <t xml:space="preserve">Effective rate</t>
        </is>
      </c>
      <c r="B418" s="0" t="inlineStr">
        <is>
          <t xml:space="preserve">Priya Nair</t>
        </is>
      </c>
      <c r="C418" s="0" t="inlineStr">
        <is>
          <t xml:space="preserve">Q1 2026</t>
        </is>
      </c>
      <c r="D418" s="12">
        <f>(0.1778*'Commission plan'!B4)</f>
        <v>0.13335000000000002</v>
      </c>
      <c r="E418" s="12">
        <f>(0.1778*'Commission plan'!C4)</f>
        <v>0.1778</v>
      </c>
      <c r="F418" s="12">
        <f>(0.1778*'Commission plan'!D4)</f>
        <v>0.26670000000000005</v>
      </c>
      <c r="G418" s="12">
        <f>(0.1778*'Commission plan'!E4)</f>
        <v>0.3556</v>
      </c>
      <c r="H418" s="12">
        <f>(0.1778*'Commission plan'!F4)</f>
        <v>0.5334000000000001</v>
      </c>
      <c r="I418" s="12">
        <f>""</f>
      </c>
    </row>
    <row r="419">
      <c r="A419" s="0" t="inlineStr">
        <is>
          <t xml:space="preserve">Effective rate</t>
        </is>
      </c>
      <c r="B419" s="0" t="inlineStr">
        <is>
          <t xml:space="preserve">Priya Nair</t>
        </is>
      </c>
      <c r="C419" s="0" t="inlineStr">
        <is>
          <t xml:space="preserve">Q2 2026</t>
        </is>
      </c>
      <c r="D419" s="12">
        <f>(0.1778*'Commission plan'!B4)</f>
        <v>0.13335000000000002</v>
      </c>
      <c r="E419" s="12">
        <f>(0.1778*'Commission plan'!C4)</f>
        <v>0.1778</v>
      </c>
      <c r="F419" s="12">
        <f>(0.1778*'Commission plan'!D4)</f>
        <v>0.26670000000000005</v>
      </c>
      <c r="G419" s="12">
        <f>(0.1778*'Commission plan'!E4)</f>
        <v>0.3556</v>
      </c>
      <c r="H419" s="12">
        <f>(0.1778*'Commission plan'!F4)</f>
        <v>0.5334000000000001</v>
      </c>
      <c r="I419" s="12">
        <f>""</f>
      </c>
    </row>
    <row r="420">
      <c r="A420" s="0" t="inlineStr">
        <is>
          <t xml:space="preserve">Effective rate</t>
        </is>
      </c>
      <c r="B420" s="0" t="inlineStr">
        <is>
          <t xml:space="preserve">Priya Nair</t>
        </is>
      </c>
      <c r="C420" s="0" t="inlineStr">
        <is>
          <t xml:space="preserve">Q3 2026</t>
        </is>
      </c>
      <c r="D420" s="12">
        <f>(0.1778*'Commission plan'!B4)</f>
        <v>0.13335000000000002</v>
      </c>
      <c r="E420" s="12">
        <f>(0.1778*'Commission plan'!C4)</f>
        <v>0.1778</v>
      </c>
      <c r="F420" s="12">
        <f>(0.1778*'Commission plan'!D4)</f>
        <v>0.26670000000000005</v>
      </c>
      <c r="G420" s="12">
        <f>(0.1778*'Commission plan'!E4)</f>
        <v>0.3556</v>
      </c>
      <c r="H420" s="12">
        <f>(0.1778*'Commission plan'!F4)</f>
        <v>0.5334000000000001</v>
      </c>
      <c r="I420" s="12">
        <f>""</f>
      </c>
    </row>
    <row r="421">
      <c r="A421" s="0" t="inlineStr">
        <is>
          <t xml:space="preserve">Effective rate</t>
        </is>
      </c>
      <c r="B421" s="0" t="inlineStr">
        <is>
          <t xml:space="preserve">Priya Nair</t>
        </is>
      </c>
      <c r="C421" s="0" t="inlineStr">
        <is>
          <t xml:space="preserve">Q4 2026</t>
        </is>
      </c>
      <c r="D421" s="12">
        <f>(0.1778*'Commission plan'!B4)</f>
        <v>0.13335000000000002</v>
      </c>
      <c r="E421" s="12">
        <f>(0.1778*'Commission plan'!C4)</f>
        <v>0.1778</v>
      </c>
      <c r="F421" s="12">
        <f>(0.1778*'Commission plan'!D4)</f>
        <v>0.26670000000000005</v>
      </c>
      <c r="G421" s="12">
        <f>(0.1778*'Commission plan'!E4)</f>
        <v>0.3556</v>
      </c>
      <c r="H421" s="12">
        <f>(0.1778*'Commission plan'!F4)</f>
        <v>0.5334000000000001</v>
      </c>
      <c r="I421" s="12">
        <f>""</f>
      </c>
    </row>
    <row r="422">
      <c r="A422" s="0" t="inlineStr">
        <is>
          <t xml:space="preserve">Effective rate</t>
        </is>
      </c>
      <c r="B422" s="0" t="inlineStr">
        <is>
          <t xml:space="preserve">Hugo Lindqvist</t>
        </is>
      </c>
      <c r="C422" s="0" t="inlineStr">
        <is>
          <t xml:space="preserve">Q2 2025</t>
        </is>
      </c>
      <c r="D422" s="12">
        <f>(0.1111*'Commission plan'!B4)</f>
        <v>0.08332500000000001</v>
      </c>
      <c r="E422" s="12">
        <f>(0.1111*'Commission plan'!C4)</f>
        <v>0.1111</v>
      </c>
      <c r="F422" s="12">
        <f>(0.1111*'Commission plan'!D4)</f>
        <v>0.16665000000000002</v>
      </c>
      <c r="G422" s="12">
        <f>(0.1111*'Commission plan'!E4)</f>
        <v>0.2222</v>
      </c>
      <c r="H422" s="12">
        <f>(0.1111*'Commission plan'!F4)</f>
        <v>0.33330000000000004</v>
      </c>
      <c r="I422" s="12">
        <f>""</f>
      </c>
    </row>
    <row r="423">
      <c r="A423" s="0" t="inlineStr">
        <is>
          <t xml:space="preserve">Effective rate</t>
        </is>
      </c>
      <c r="B423" s="0" t="inlineStr">
        <is>
          <t xml:space="preserve">Hugo Lindqvist</t>
        </is>
      </c>
      <c r="C423" s="0" t="inlineStr">
        <is>
          <t xml:space="preserve">Q3 2025</t>
        </is>
      </c>
      <c r="D423" s="12">
        <f>(0.1111*'Commission plan'!B4)</f>
        <v>0.08332500000000001</v>
      </c>
      <c r="E423" s="12">
        <f>(0.1111*'Commission plan'!C4)</f>
        <v>0.1111</v>
      </c>
      <c r="F423" s="12">
        <f>(0.1111*'Commission plan'!D4)</f>
        <v>0.16665000000000002</v>
      </c>
      <c r="G423" s="12">
        <f>(0.1111*'Commission plan'!E4)</f>
        <v>0.2222</v>
      </c>
      <c r="H423" s="12">
        <f>(0.1111*'Commission plan'!F4)</f>
        <v>0.33330000000000004</v>
      </c>
      <c r="I423" s="12">
        <f>""</f>
      </c>
    </row>
    <row r="424">
      <c r="A424" s="0" t="inlineStr">
        <is>
          <t xml:space="preserve">Effective rate</t>
        </is>
      </c>
      <c r="B424" s="0" t="inlineStr">
        <is>
          <t xml:space="preserve">Hugo Lindqvist</t>
        </is>
      </c>
      <c r="C424" s="0" t="inlineStr">
        <is>
          <t xml:space="preserve">Q4 2025</t>
        </is>
      </c>
      <c r="D424" s="12">
        <f>(0.1111*'Commission plan'!B4)</f>
        <v>0.08332500000000001</v>
      </c>
      <c r="E424" s="12">
        <f>(0.1111*'Commission plan'!C4)</f>
        <v>0.1111</v>
      </c>
      <c r="F424" s="12">
        <f>(0.1111*'Commission plan'!D4)</f>
        <v>0.16665000000000002</v>
      </c>
      <c r="G424" s="12">
        <f>(0.1111*'Commission plan'!E4)</f>
        <v>0.2222</v>
      </c>
      <c r="H424" s="12">
        <f>(0.1111*'Commission plan'!F4)</f>
        <v>0.33330000000000004</v>
      </c>
      <c r="I424" s="12">
        <f>""</f>
      </c>
    </row>
    <row r="425">
      <c r="A425" s="0" t="inlineStr">
        <is>
          <t xml:space="preserve">Effective rate</t>
        </is>
      </c>
      <c r="B425" s="0" t="inlineStr">
        <is>
          <t xml:space="preserve">Hugo Lindqvist</t>
        </is>
      </c>
      <c r="C425" s="0" t="inlineStr">
        <is>
          <t xml:space="preserve">Q1 2026</t>
        </is>
      </c>
      <c r="D425" s="12">
        <f>(0.1111*'Commission plan'!B4)</f>
        <v>0.08332500000000001</v>
      </c>
      <c r="E425" s="12">
        <f>(0.1111*'Commission plan'!C4)</f>
        <v>0.1111</v>
      </c>
      <c r="F425" s="12">
        <f>(0.1111*'Commission plan'!D4)</f>
        <v>0.16665000000000002</v>
      </c>
      <c r="G425" s="12">
        <f>(0.1111*'Commission plan'!E4)</f>
        <v>0.2222</v>
      </c>
      <c r="H425" s="12">
        <f>(0.1111*'Commission plan'!F4)</f>
        <v>0.33330000000000004</v>
      </c>
      <c r="I425" s="12">
        <f>""</f>
      </c>
    </row>
    <row r="426">
      <c r="A426" s="0" t="inlineStr">
        <is>
          <t xml:space="preserve">Effective rate</t>
        </is>
      </c>
      <c r="B426" s="0" t="inlineStr">
        <is>
          <t xml:space="preserve">Hugo Lindqvist</t>
        </is>
      </c>
      <c r="C426" s="0" t="inlineStr">
        <is>
          <t xml:space="preserve">Q2 2026</t>
        </is>
      </c>
      <c r="D426" s="12">
        <f>(0.1111*'Commission plan'!B4)</f>
        <v>0.08332500000000001</v>
      </c>
      <c r="E426" s="12">
        <f>(0.1111*'Commission plan'!C4)</f>
        <v>0.1111</v>
      </c>
      <c r="F426" s="12">
        <f>(0.1111*'Commission plan'!D4)</f>
        <v>0.16665000000000002</v>
      </c>
      <c r="G426" s="12">
        <f>(0.1111*'Commission plan'!E4)</f>
        <v>0.2222</v>
      </c>
      <c r="H426" s="12">
        <f>(0.1111*'Commission plan'!F4)</f>
        <v>0.33330000000000004</v>
      </c>
      <c r="I426" s="12">
        <f>""</f>
      </c>
    </row>
    <row r="427">
      <c r="A427" s="0" t="inlineStr">
        <is>
          <t xml:space="preserve">Effective rate</t>
        </is>
      </c>
      <c r="B427" s="0" t="inlineStr">
        <is>
          <t xml:space="preserve">Hugo Lindqvist</t>
        </is>
      </c>
      <c r="C427" s="0" t="inlineStr">
        <is>
          <t xml:space="preserve">Q3 2026</t>
        </is>
      </c>
      <c r="D427" s="12">
        <f>(0.1111*'Commission plan'!B4)</f>
        <v>0.08332500000000001</v>
      </c>
      <c r="E427" s="12">
        <f>(0.1111*'Commission plan'!C4)</f>
        <v>0.1111</v>
      </c>
      <c r="F427" s="12">
        <f>(0.1111*'Commission plan'!D4)</f>
        <v>0.16665000000000002</v>
      </c>
      <c r="G427" s="12">
        <f>(0.1111*'Commission plan'!E4)</f>
        <v>0.2222</v>
      </c>
      <c r="H427" s="12">
        <f>(0.1111*'Commission plan'!F4)</f>
        <v>0.33330000000000004</v>
      </c>
      <c r="I427" s="12">
        <f>""</f>
      </c>
    </row>
    <row r="428">
      <c r="A428" s="0" t="inlineStr">
        <is>
          <t xml:space="preserve">Effective rate</t>
        </is>
      </c>
      <c r="B428" s="0" t="inlineStr">
        <is>
          <t xml:space="preserve">Hugo Lindqvist</t>
        </is>
      </c>
      <c r="C428" s="0" t="inlineStr">
        <is>
          <t xml:space="preserve">Q4 2026</t>
        </is>
      </c>
      <c r="D428" s="12">
        <f>(0.1111*'Commission plan'!B4)</f>
        <v>0.08332500000000001</v>
      </c>
      <c r="E428" s="12">
        <f>(0.1111*'Commission plan'!C4)</f>
        <v>0.1111</v>
      </c>
      <c r="F428" s="12">
        <f>(0.1111*'Commission plan'!D4)</f>
        <v>0.16665000000000002</v>
      </c>
      <c r="G428" s="12">
        <f>(0.1111*'Commission plan'!E4)</f>
        <v>0.2222</v>
      </c>
      <c r="H428" s="12">
        <f>(0.1111*'Commission plan'!F4)</f>
        <v>0.33330000000000004</v>
      </c>
      <c r="I428" s="12">
        <f>""</f>
      </c>
    </row>
    <row r="429">
      <c r="A429" s="0" t="inlineStr">
        <is>
          <t xml:space="preserve">Effective rate</t>
        </is>
      </c>
      <c r="B429" s="0" t="inlineStr">
        <is>
          <t xml:space="preserve">Wei Novak</t>
        </is>
      </c>
      <c r="C429" s="0" t="inlineStr">
        <is>
          <t xml:space="preserve">Q2 2025</t>
        </is>
      </c>
      <c r="D429" s="12">
        <f>(0.1111*'Commission plan'!B4)</f>
        <v>0.08332500000000001</v>
      </c>
      <c r="E429" s="12">
        <f>(0.1111*'Commission plan'!C4)</f>
        <v>0.1111</v>
      </c>
      <c r="F429" s="12">
        <f>(0.1111*'Commission plan'!D4)</f>
        <v>0.16665000000000002</v>
      </c>
      <c r="G429" s="12">
        <f>(0.1111*'Commission plan'!E4)</f>
        <v>0.2222</v>
      </c>
      <c r="H429" s="12">
        <f>(0.1111*'Commission plan'!F4)</f>
        <v>0.33330000000000004</v>
      </c>
      <c r="I429" s="12">
        <f>""</f>
      </c>
    </row>
    <row r="430">
      <c r="A430" s="0" t="inlineStr">
        <is>
          <t xml:space="preserve">Effective rate</t>
        </is>
      </c>
      <c r="B430" s="0" t="inlineStr">
        <is>
          <t xml:space="preserve">Wei Novak</t>
        </is>
      </c>
      <c r="C430" s="0" t="inlineStr">
        <is>
          <t xml:space="preserve">Q3 2025</t>
        </is>
      </c>
      <c r="D430" s="12">
        <f>(0.1111*'Commission plan'!B4)</f>
        <v>0.08332500000000001</v>
      </c>
      <c r="E430" s="12">
        <f>(0.1111*'Commission plan'!C4)</f>
        <v>0.1111</v>
      </c>
      <c r="F430" s="12">
        <f>(0.1111*'Commission plan'!D4)</f>
        <v>0.16665000000000002</v>
      </c>
      <c r="G430" s="12">
        <f>(0.1111*'Commission plan'!E4)</f>
        <v>0.2222</v>
      </c>
      <c r="H430" s="12">
        <f>(0.1111*'Commission plan'!F4)</f>
        <v>0.33330000000000004</v>
      </c>
      <c r="I430" s="12">
        <f>""</f>
      </c>
    </row>
    <row r="431">
      <c r="A431" s="0" t="inlineStr">
        <is>
          <t xml:space="preserve">Effective rate</t>
        </is>
      </c>
      <c r="B431" s="0" t="inlineStr">
        <is>
          <t xml:space="preserve">Wei Novak</t>
        </is>
      </c>
      <c r="C431" s="0" t="inlineStr">
        <is>
          <t xml:space="preserve">Q4 2025</t>
        </is>
      </c>
      <c r="D431" s="12">
        <f>(0.1111*'Commission plan'!B4)</f>
        <v>0.08332500000000001</v>
      </c>
      <c r="E431" s="12">
        <f>(0.1111*'Commission plan'!C4)</f>
        <v>0.1111</v>
      </c>
      <c r="F431" s="12">
        <f>(0.1111*'Commission plan'!D4)</f>
        <v>0.16665000000000002</v>
      </c>
      <c r="G431" s="12">
        <f>(0.1111*'Commission plan'!E4)</f>
        <v>0.2222</v>
      </c>
      <c r="H431" s="12">
        <f>(0.1111*'Commission plan'!F4)</f>
        <v>0.33330000000000004</v>
      </c>
      <c r="I431" s="12">
        <f>""</f>
      </c>
    </row>
    <row r="432">
      <c r="A432" s="0" t="inlineStr">
        <is>
          <t xml:space="preserve">Effective rate</t>
        </is>
      </c>
      <c r="B432" s="0" t="inlineStr">
        <is>
          <t xml:space="preserve">Wei Novak</t>
        </is>
      </c>
      <c r="C432" s="0" t="inlineStr">
        <is>
          <t xml:space="preserve">Q1 2026</t>
        </is>
      </c>
      <c r="D432" s="12">
        <f>(0.1111*'Commission plan'!B4)</f>
        <v>0.08332500000000001</v>
      </c>
      <c r="E432" s="12">
        <f>(0.1111*'Commission plan'!C4)</f>
        <v>0.1111</v>
      </c>
      <c r="F432" s="12">
        <f>(0.1111*'Commission plan'!D4)</f>
        <v>0.16665000000000002</v>
      </c>
      <c r="G432" s="12">
        <f>(0.1111*'Commission plan'!E4)</f>
        <v>0.2222</v>
      </c>
      <c r="H432" s="12">
        <f>(0.1111*'Commission plan'!F4)</f>
        <v>0.33330000000000004</v>
      </c>
      <c r="I432" s="12">
        <f>""</f>
      </c>
    </row>
    <row r="433">
      <c r="A433" s="0" t="inlineStr">
        <is>
          <t xml:space="preserve">Effective rate</t>
        </is>
      </c>
      <c r="B433" s="0" t="inlineStr">
        <is>
          <t xml:space="preserve">Wei Novak</t>
        </is>
      </c>
      <c r="C433" s="0" t="inlineStr">
        <is>
          <t xml:space="preserve">Q2 2026</t>
        </is>
      </c>
      <c r="D433" s="12">
        <f>(0.1111*'Commission plan'!B4)</f>
        <v>0.08332500000000001</v>
      </c>
      <c r="E433" s="12">
        <f>(0.1111*'Commission plan'!C4)</f>
        <v>0.1111</v>
      </c>
      <c r="F433" s="12">
        <f>(0.1111*'Commission plan'!D4)</f>
        <v>0.16665000000000002</v>
      </c>
      <c r="G433" s="12">
        <f>(0.1111*'Commission plan'!E4)</f>
        <v>0.2222</v>
      </c>
      <c r="H433" s="12">
        <f>(0.1111*'Commission plan'!F4)</f>
        <v>0.33330000000000004</v>
      </c>
      <c r="I433" s="12">
        <f>""</f>
      </c>
    </row>
    <row r="434">
      <c r="A434" s="0" t="inlineStr">
        <is>
          <t xml:space="preserve">Effective rate</t>
        </is>
      </c>
      <c r="B434" s="0" t="inlineStr">
        <is>
          <t xml:space="preserve">Wei Novak</t>
        </is>
      </c>
      <c r="C434" s="0" t="inlineStr">
        <is>
          <t xml:space="preserve">Q3 2026</t>
        </is>
      </c>
      <c r="D434" s="12">
        <f>(0.1111*'Commission plan'!B4)</f>
        <v>0.08332500000000001</v>
      </c>
      <c r="E434" s="12">
        <f>(0.1111*'Commission plan'!C4)</f>
        <v>0.1111</v>
      </c>
      <c r="F434" s="12">
        <f>(0.1111*'Commission plan'!D4)</f>
        <v>0.16665000000000002</v>
      </c>
      <c r="G434" s="12">
        <f>(0.1111*'Commission plan'!E4)</f>
        <v>0.2222</v>
      </c>
      <c r="H434" s="12">
        <f>(0.1111*'Commission plan'!F4)</f>
        <v>0.33330000000000004</v>
      </c>
      <c r="I434" s="12">
        <f>""</f>
      </c>
    </row>
    <row r="435">
      <c r="A435" s="0" t="inlineStr">
        <is>
          <t xml:space="preserve">Effective rate</t>
        </is>
      </c>
      <c r="B435" s="0" t="inlineStr">
        <is>
          <t xml:space="preserve">Wei Novak</t>
        </is>
      </c>
      <c r="C435" s="0" t="inlineStr">
        <is>
          <t xml:space="preserve">Q4 2026</t>
        </is>
      </c>
      <c r="D435" s="12">
        <f>(0.1111*'Commission plan'!B4)</f>
        <v>0.08332500000000001</v>
      </c>
      <c r="E435" s="12">
        <f>(0.1111*'Commission plan'!C4)</f>
        <v>0.1111</v>
      </c>
      <c r="F435" s="12">
        <f>(0.1111*'Commission plan'!D4)</f>
        <v>0.16665000000000002</v>
      </c>
      <c r="G435" s="12">
        <f>(0.1111*'Commission plan'!E4)</f>
        <v>0.2222</v>
      </c>
      <c r="H435" s="12">
        <f>(0.1111*'Commission plan'!F4)</f>
        <v>0.33330000000000004</v>
      </c>
      <c r="I435" s="12">
        <f>""</f>
      </c>
    </row>
    <row r="436">
      <c r="A436" s="0" t="inlineStr">
        <is>
          <t xml:space="preserve">Effective rate</t>
        </is>
      </c>
      <c r="B436" s="0" t="inlineStr">
        <is>
          <t xml:space="preserve">Nikolai Kim</t>
        </is>
      </c>
      <c r="C436" s="0" t="inlineStr">
        <is>
          <t xml:space="preserve">Q2 2025</t>
        </is>
      </c>
      <c r="D436" s="12">
        <f>(0.1447*'Commission plan'!B4)</f>
        <v>0.108525</v>
      </c>
      <c r="E436" s="12">
        <f>(0.1447*'Commission plan'!C4)</f>
        <v>0.1447</v>
      </c>
      <c r="F436" s="12">
        <f>(0.1447*'Commission plan'!D4)</f>
        <v>0.21705</v>
      </c>
      <c r="G436" s="12">
        <f>(0.1447*'Commission plan'!E4)</f>
        <v>0.2894</v>
      </c>
      <c r="H436" s="12">
        <f>(0.1447*'Commission plan'!F4)</f>
        <v>0.4341</v>
      </c>
      <c r="I436" s="12">
        <f>""</f>
      </c>
    </row>
    <row r="437">
      <c r="A437" s="0" t="inlineStr">
        <is>
          <t xml:space="preserve">Effective rate</t>
        </is>
      </c>
      <c r="B437" s="0" t="inlineStr">
        <is>
          <t xml:space="preserve">Nikolai Kim</t>
        </is>
      </c>
      <c r="C437" s="0" t="inlineStr">
        <is>
          <t xml:space="preserve">Q3 2025</t>
        </is>
      </c>
      <c r="D437" s="12">
        <f>(0.1447*'Commission plan'!B4)</f>
        <v>0.108525</v>
      </c>
      <c r="E437" s="12">
        <f>(0.1447*'Commission plan'!C4)</f>
        <v>0.1447</v>
      </c>
      <c r="F437" s="12">
        <f>(0.1447*'Commission plan'!D4)</f>
        <v>0.21705</v>
      </c>
      <c r="G437" s="12">
        <f>(0.1447*'Commission plan'!E4)</f>
        <v>0.2894</v>
      </c>
      <c r="H437" s="12">
        <f>(0.1447*'Commission plan'!F4)</f>
        <v>0.4341</v>
      </c>
      <c r="I437" s="12">
        <f>""</f>
      </c>
    </row>
    <row r="438">
      <c r="A438" s="0" t="inlineStr">
        <is>
          <t xml:space="preserve">Effective rate</t>
        </is>
      </c>
      <c r="B438" s="0" t="inlineStr">
        <is>
          <t xml:space="preserve">Nikolai Kim</t>
        </is>
      </c>
      <c r="C438" s="0" t="inlineStr">
        <is>
          <t xml:space="preserve">Q4 2025</t>
        </is>
      </c>
      <c r="D438" s="12">
        <f>(0.1447*'Commission plan'!B4)</f>
        <v>0.108525</v>
      </c>
      <c r="E438" s="12">
        <f>(0.1447*'Commission plan'!C4)</f>
        <v>0.1447</v>
      </c>
      <c r="F438" s="12">
        <f>(0.1447*'Commission plan'!D4)</f>
        <v>0.21705</v>
      </c>
      <c r="G438" s="12">
        <f>(0.1447*'Commission plan'!E4)</f>
        <v>0.2894</v>
      </c>
      <c r="H438" s="12">
        <f>(0.1447*'Commission plan'!F4)</f>
        <v>0.4341</v>
      </c>
      <c r="I438" s="12">
        <f>""</f>
      </c>
    </row>
    <row r="439">
      <c r="A439" s="0" t="inlineStr">
        <is>
          <t xml:space="preserve">Effective rate</t>
        </is>
      </c>
      <c r="B439" s="0" t="inlineStr">
        <is>
          <t xml:space="preserve">Nikolai Kim</t>
        </is>
      </c>
      <c r="C439" s="0" t="inlineStr">
        <is>
          <t xml:space="preserve">Q1 2026</t>
        </is>
      </c>
      <c r="D439" s="12">
        <f>(0.1447*'Commission plan'!B4)</f>
        <v>0.108525</v>
      </c>
      <c r="E439" s="12">
        <f>(0.1447*'Commission plan'!C4)</f>
        <v>0.1447</v>
      </c>
      <c r="F439" s="12">
        <f>(0.1447*'Commission plan'!D4)</f>
        <v>0.21705</v>
      </c>
      <c r="G439" s="12">
        <f>(0.1447*'Commission plan'!E4)</f>
        <v>0.2894</v>
      </c>
      <c r="H439" s="12">
        <f>(0.1447*'Commission plan'!F4)</f>
        <v>0.4341</v>
      </c>
      <c r="I439" s="12">
        <f>""</f>
      </c>
    </row>
    <row r="440">
      <c r="A440" s="0" t="inlineStr">
        <is>
          <t xml:space="preserve">Effective rate</t>
        </is>
      </c>
      <c r="B440" s="0" t="inlineStr">
        <is>
          <t xml:space="preserve">Nikolai Kim</t>
        </is>
      </c>
      <c r="C440" s="0" t="inlineStr">
        <is>
          <t xml:space="preserve">Q2 2026</t>
        </is>
      </c>
      <c r="D440" s="12">
        <f>(0.1447*'Commission plan'!B4)</f>
        <v>0.108525</v>
      </c>
      <c r="E440" s="12">
        <f>(0.1447*'Commission plan'!C4)</f>
        <v>0.1447</v>
      </c>
      <c r="F440" s="12">
        <f>(0.1447*'Commission plan'!D4)</f>
        <v>0.21705</v>
      </c>
      <c r="G440" s="12">
        <f>(0.1447*'Commission plan'!E4)</f>
        <v>0.2894</v>
      </c>
      <c r="H440" s="12">
        <f>(0.1447*'Commission plan'!F4)</f>
        <v>0.4341</v>
      </c>
      <c r="I440" s="12">
        <f>""</f>
      </c>
    </row>
    <row r="441">
      <c r="A441" s="0" t="inlineStr">
        <is>
          <t xml:space="preserve">Effective rate</t>
        </is>
      </c>
      <c r="B441" s="0" t="inlineStr">
        <is>
          <t xml:space="preserve">Nikolai Kim</t>
        </is>
      </c>
      <c r="C441" s="0" t="inlineStr">
        <is>
          <t xml:space="preserve">Q3 2026</t>
        </is>
      </c>
      <c r="D441" s="12">
        <f>(0.1447*'Commission plan'!B4)</f>
        <v>0.108525</v>
      </c>
      <c r="E441" s="12">
        <f>(0.1447*'Commission plan'!C4)</f>
        <v>0.1447</v>
      </c>
      <c r="F441" s="12">
        <f>(0.1447*'Commission plan'!D4)</f>
        <v>0.21705</v>
      </c>
      <c r="G441" s="12">
        <f>(0.1447*'Commission plan'!E4)</f>
        <v>0.2894</v>
      </c>
      <c r="H441" s="12">
        <f>(0.1447*'Commission plan'!F4)</f>
        <v>0.4341</v>
      </c>
      <c r="I441" s="12">
        <f>""</f>
      </c>
    </row>
    <row r="442">
      <c r="A442" s="0" t="inlineStr">
        <is>
          <t xml:space="preserve">Effective rate</t>
        </is>
      </c>
      <c r="B442" s="0" t="inlineStr">
        <is>
          <t xml:space="preserve">Nikolai Kim</t>
        </is>
      </c>
      <c r="C442" s="0" t="inlineStr">
        <is>
          <t xml:space="preserve">Q4 2026</t>
        </is>
      </c>
      <c r="D442" s="12">
        <f>(0.1447*'Commission plan'!B4)</f>
        <v>0.108525</v>
      </c>
      <c r="E442" s="12">
        <f>(0.1447*'Commission plan'!C4)</f>
        <v>0.1447</v>
      </c>
      <c r="F442" s="12">
        <f>(0.1447*'Commission plan'!D4)</f>
        <v>0.21705</v>
      </c>
      <c r="G442" s="12">
        <f>(0.1447*'Commission plan'!E4)</f>
        <v>0.2894</v>
      </c>
      <c r="H442" s="12">
        <f>(0.1447*'Commission plan'!F4)</f>
        <v>0.4341</v>
      </c>
      <c r="I442" s="12">
        <f>""</f>
      </c>
    </row>
    <row r="443">
      <c r="A443" s="0" t="inlineStr">
        <is>
          <t xml:space="preserve">Effective rate</t>
        </is>
      </c>
      <c r="B443" s="0" t="inlineStr">
        <is>
          <t xml:space="preserve">Wei Nair</t>
        </is>
      </c>
      <c r="C443" s="0" t="inlineStr">
        <is>
          <t xml:space="preserve">Q2 2025</t>
        </is>
      </c>
      <c r="D443" s="12">
        <f>(0.1447*'Commission plan'!B4)</f>
        <v>0.108525</v>
      </c>
      <c r="E443" s="12">
        <f>(0.1447*'Commission plan'!C4)</f>
        <v>0.1447</v>
      </c>
      <c r="F443" s="12">
        <f>(0.1447*'Commission plan'!D4)</f>
        <v>0.21705</v>
      </c>
      <c r="G443" s="12">
        <f>(0.1447*'Commission plan'!E4)</f>
        <v>0.2894</v>
      </c>
      <c r="H443" s="12">
        <f>(0.1447*'Commission plan'!F4)</f>
        <v>0.4341</v>
      </c>
      <c r="I443" s="12">
        <f>""</f>
      </c>
    </row>
    <row r="444">
      <c r="A444" s="0" t="inlineStr">
        <is>
          <t xml:space="preserve">Effective rate</t>
        </is>
      </c>
      <c r="B444" s="0" t="inlineStr">
        <is>
          <t xml:space="preserve">Wei Nair</t>
        </is>
      </c>
      <c r="C444" s="0" t="inlineStr">
        <is>
          <t xml:space="preserve">Q3 2025</t>
        </is>
      </c>
      <c r="D444" s="12">
        <f>(0.1447*'Commission plan'!B4)</f>
        <v>0.108525</v>
      </c>
      <c r="E444" s="12">
        <f>(0.1447*'Commission plan'!C4)</f>
        <v>0.1447</v>
      </c>
      <c r="F444" s="12">
        <f>(0.1447*'Commission plan'!D4)</f>
        <v>0.21705</v>
      </c>
      <c r="G444" s="12">
        <f>(0.1447*'Commission plan'!E4)</f>
        <v>0.2894</v>
      </c>
      <c r="H444" s="12">
        <f>(0.1447*'Commission plan'!F4)</f>
        <v>0.4341</v>
      </c>
      <c r="I444" s="12">
        <f>""</f>
      </c>
    </row>
    <row r="445">
      <c r="A445" s="0" t="inlineStr">
        <is>
          <t xml:space="preserve">Effective rate</t>
        </is>
      </c>
      <c r="B445" s="0" t="inlineStr">
        <is>
          <t xml:space="preserve">Wei Nair</t>
        </is>
      </c>
      <c r="C445" s="0" t="inlineStr">
        <is>
          <t xml:space="preserve">Q4 2025</t>
        </is>
      </c>
      <c r="D445" s="12">
        <f>(0.1447*'Commission plan'!B4)</f>
        <v>0.108525</v>
      </c>
      <c r="E445" s="12">
        <f>(0.1447*'Commission plan'!C4)</f>
        <v>0.1447</v>
      </c>
      <c r="F445" s="12">
        <f>(0.1447*'Commission plan'!D4)</f>
        <v>0.21705</v>
      </c>
      <c r="G445" s="12">
        <f>(0.1447*'Commission plan'!E4)</f>
        <v>0.2894</v>
      </c>
      <c r="H445" s="12">
        <f>(0.1447*'Commission plan'!F4)</f>
        <v>0.4341</v>
      </c>
      <c r="I445" s="12">
        <f>""</f>
      </c>
    </row>
    <row r="446">
      <c r="A446" s="0" t="inlineStr">
        <is>
          <t xml:space="preserve">Effective rate</t>
        </is>
      </c>
      <c r="B446" s="0" t="inlineStr">
        <is>
          <t xml:space="preserve">Wei Nair</t>
        </is>
      </c>
      <c r="C446" s="0" t="inlineStr">
        <is>
          <t xml:space="preserve">Q1 2026</t>
        </is>
      </c>
      <c r="D446" s="12">
        <f>(0.1447*'Commission plan'!B4)</f>
        <v>0.108525</v>
      </c>
      <c r="E446" s="12">
        <f>(0.1447*'Commission plan'!C4)</f>
        <v>0.1447</v>
      </c>
      <c r="F446" s="12">
        <f>(0.1447*'Commission plan'!D4)</f>
        <v>0.21705</v>
      </c>
      <c r="G446" s="12">
        <f>(0.1447*'Commission plan'!E4)</f>
        <v>0.2894</v>
      </c>
      <c r="H446" s="12">
        <f>(0.1447*'Commission plan'!F4)</f>
        <v>0.4341</v>
      </c>
      <c r="I446" s="12">
        <f>""</f>
      </c>
    </row>
    <row r="447">
      <c r="A447" s="0" t="inlineStr">
        <is>
          <t xml:space="preserve">Effective rate</t>
        </is>
      </c>
      <c r="B447" s="0" t="inlineStr">
        <is>
          <t xml:space="preserve">Wei Nair</t>
        </is>
      </c>
      <c r="C447" s="0" t="inlineStr">
        <is>
          <t xml:space="preserve">Q2 2026</t>
        </is>
      </c>
      <c r="D447" s="12">
        <f>(0.1447*'Commission plan'!B4)</f>
        <v>0.108525</v>
      </c>
      <c r="E447" s="12">
        <f>(0.1447*'Commission plan'!C4)</f>
        <v>0.1447</v>
      </c>
      <c r="F447" s="12">
        <f>(0.1447*'Commission plan'!D4)</f>
        <v>0.21705</v>
      </c>
      <c r="G447" s="12">
        <f>(0.1447*'Commission plan'!E4)</f>
        <v>0.2894</v>
      </c>
      <c r="H447" s="12">
        <f>(0.1447*'Commission plan'!F4)</f>
        <v>0.4341</v>
      </c>
      <c r="I447" s="12">
        <f>""</f>
      </c>
    </row>
    <row r="448">
      <c r="A448" s="0" t="inlineStr">
        <is>
          <t xml:space="preserve">Effective rate</t>
        </is>
      </c>
      <c r="B448" s="0" t="inlineStr">
        <is>
          <t xml:space="preserve">Wei Nair</t>
        </is>
      </c>
      <c r="C448" s="0" t="inlineStr">
        <is>
          <t xml:space="preserve">Q3 2026</t>
        </is>
      </c>
      <c r="D448" s="12">
        <f>(0.1447*'Commission plan'!B4)</f>
        <v>0.108525</v>
      </c>
      <c r="E448" s="12">
        <f>(0.1447*'Commission plan'!C4)</f>
        <v>0.1447</v>
      </c>
      <c r="F448" s="12">
        <f>(0.1447*'Commission plan'!D4)</f>
        <v>0.21705</v>
      </c>
      <c r="G448" s="12">
        <f>(0.1447*'Commission plan'!E4)</f>
        <v>0.2894</v>
      </c>
      <c r="H448" s="12">
        <f>(0.1447*'Commission plan'!F4)</f>
        <v>0.4341</v>
      </c>
      <c r="I448" s="12">
        <f>""</f>
      </c>
    </row>
    <row r="449">
      <c r="A449" s="0" t="inlineStr">
        <is>
          <t xml:space="preserve">Effective rate</t>
        </is>
      </c>
      <c r="B449" s="0" t="inlineStr">
        <is>
          <t xml:space="preserve">Wei Nair</t>
        </is>
      </c>
      <c r="C449" s="0" t="inlineStr">
        <is>
          <t xml:space="preserve">Q4 2026</t>
        </is>
      </c>
      <c r="D449" s="12">
        <f>(0.1447*'Commission plan'!B4)</f>
        <v>0.108525</v>
      </c>
      <c r="E449" s="12">
        <f>(0.1447*'Commission plan'!C4)</f>
        <v>0.1447</v>
      </c>
      <c r="F449" s="12">
        <f>(0.1447*'Commission plan'!D4)</f>
        <v>0.21705</v>
      </c>
      <c r="G449" s="12">
        <f>(0.1447*'Commission plan'!E4)</f>
        <v>0.2894</v>
      </c>
      <c r="H449" s="12">
        <f>(0.1447*'Commission plan'!F4)</f>
        <v>0.4341</v>
      </c>
      <c r="I449" s="12">
        <f>""</f>
      </c>
    </row>
    <row r="450">
      <c r="A450" s="0" t="inlineStr">
        <is>
          <t xml:space="preserve">Effective rate</t>
        </is>
      </c>
      <c r="B450" s="0" t="inlineStr">
        <is>
          <t xml:space="preserve">Liam Silva</t>
        </is>
      </c>
      <c r="C450" s="0" t="inlineStr">
        <is>
          <t xml:space="preserve">Q2 2025</t>
        </is>
      </c>
      <c r="D450" s="12">
        <f>(0.2*'Commission plan'!B4)</f>
        <v>0.15000000000000002</v>
      </c>
      <c r="E450" s="12">
        <f>(0.2*'Commission plan'!C4)</f>
        <v>0.2</v>
      </c>
      <c r="F450" s="12">
        <f>(0.2*'Commission plan'!D4)</f>
        <v>0.30000000000000004</v>
      </c>
      <c r="G450" s="12">
        <f>(0.2*'Commission plan'!E4)</f>
        <v>0.4</v>
      </c>
      <c r="H450" s="12">
        <f>(0.2*'Commission plan'!F4)</f>
        <v>0.6000000000000001</v>
      </c>
      <c r="I450" s="12">
        <f>""</f>
      </c>
    </row>
    <row r="451">
      <c r="A451" s="0" t="inlineStr">
        <is>
          <t xml:space="preserve">Effective rate</t>
        </is>
      </c>
      <c r="B451" s="0" t="inlineStr">
        <is>
          <t xml:space="preserve">Liam Silva</t>
        </is>
      </c>
      <c r="C451" s="0" t="inlineStr">
        <is>
          <t xml:space="preserve">Q3 2025</t>
        </is>
      </c>
      <c r="D451" s="12">
        <f>(0.2*'Commission plan'!B4)</f>
        <v>0.15000000000000002</v>
      </c>
      <c r="E451" s="12">
        <f>(0.2*'Commission plan'!C4)</f>
        <v>0.2</v>
      </c>
      <c r="F451" s="12">
        <f>(0.2*'Commission plan'!D4)</f>
        <v>0.30000000000000004</v>
      </c>
      <c r="G451" s="12">
        <f>(0.2*'Commission plan'!E4)</f>
        <v>0.4</v>
      </c>
      <c r="H451" s="12">
        <f>(0.2*'Commission plan'!F4)</f>
        <v>0.6000000000000001</v>
      </c>
      <c r="I451" s="12">
        <f>""</f>
      </c>
    </row>
    <row r="452">
      <c r="A452" s="0" t="inlineStr">
        <is>
          <t xml:space="preserve">Effective rate</t>
        </is>
      </c>
      <c r="B452" s="0" t="inlineStr">
        <is>
          <t xml:space="preserve">Liam Silva</t>
        </is>
      </c>
      <c r="C452" s="0" t="inlineStr">
        <is>
          <t xml:space="preserve">Q4 2025</t>
        </is>
      </c>
      <c r="D452" s="12">
        <f>(0.2*'Commission plan'!B4)</f>
        <v>0.15000000000000002</v>
      </c>
      <c r="E452" s="12">
        <f>(0.2*'Commission plan'!C4)</f>
        <v>0.2</v>
      </c>
      <c r="F452" s="12">
        <f>(0.2*'Commission plan'!D4)</f>
        <v>0.30000000000000004</v>
      </c>
      <c r="G452" s="12">
        <f>(0.2*'Commission plan'!E4)</f>
        <v>0.4</v>
      </c>
      <c r="H452" s="12">
        <f>(0.2*'Commission plan'!F4)</f>
        <v>0.6000000000000001</v>
      </c>
      <c r="I452" s="12">
        <f>""</f>
      </c>
    </row>
    <row r="453">
      <c r="A453" s="0" t="inlineStr">
        <is>
          <t xml:space="preserve">Effective rate</t>
        </is>
      </c>
      <c r="B453" s="0" t="inlineStr">
        <is>
          <t xml:space="preserve">Liam Silva</t>
        </is>
      </c>
      <c r="C453" s="0" t="inlineStr">
        <is>
          <t xml:space="preserve">Q1 2026</t>
        </is>
      </c>
      <c r="D453" s="12">
        <f>(0.2*'Commission plan'!B4)</f>
        <v>0.15000000000000002</v>
      </c>
      <c r="E453" s="12">
        <f>(0.2*'Commission plan'!C4)</f>
        <v>0.2</v>
      </c>
      <c r="F453" s="12">
        <f>(0.2*'Commission plan'!D4)</f>
        <v>0.30000000000000004</v>
      </c>
      <c r="G453" s="12">
        <f>(0.2*'Commission plan'!E4)</f>
        <v>0.4</v>
      </c>
      <c r="H453" s="12">
        <f>(0.2*'Commission plan'!F4)</f>
        <v>0.6000000000000001</v>
      </c>
      <c r="I453" s="12">
        <f>""</f>
      </c>
    </row>
    <row r="454">
      <c r="A454" s="0" t="inlineStr">
        <is>
          <t xml:space="preserve">Effective rate</t>
        </is>
      </c>
      <c r="B454" s="0" t="inlineStr">
        <is>
          <t xml:space="preserve">Liam Silva</t>
        </is>
      </c>
      <c r="C454" s="0" t="inlineStr">
        <is>
          <t xml:space="preserve">Q2 2026</t>
        </is>
      </c>
      <c r="D454" s="12">
        <f>(0.2*'Commission plan'!B4)</f>
        <v>0.15000000000000002</v>
      </c>
      <c r="E454" s="12">
        <f>(0.2*'Commission plan'!C4)</f>
        <v>0.2</v>
      </c>
      <c r="F454" s="12">
        <f>(0.2*'Commission plan'!D4)</f>
        <v>0.30000000000000004</v>
      </c>
      <c r="G454" s="12">
        <f>(0.2*'Commission plan'!E4)</f>
        <v>0.4</v>
      </c>
      <c r="H454" s="12">
        <f>(0.2*'Commission plan'!F4)</f>
        <v>0.6000000000000001</v>
      </c>
      <c r="I454" s="12">
        <f>""</f>
      </c>
    </row>
    <row r="455">
      <c r="A455" s="0" t="inlineStr">
        <is>
          <t xml:space="preserve">Effective rate</t>
        </is>
      </c>
      <c r="B455" s="0" t="inlineStr">
        <is>
          <t xml:space="preserve">Liam Silva</t>
        </is>
      </c>
      <c r="C455" s="0" t="inlineStr">
        <is>
          <t xml:space="preserve">Q3 2026</t>
        </is>
      </c>
      <c r="D455" s="12">
        <f>(0.2*'Commission plan'!B4)</f>
        <v>0.15000000000000002</v>
      </c>
      <c r="E455" s="12">
        <f>(0.2*'Commission plan'!C4)</f>
        <v>0.2</v>
      </c>
      <c r="F455" s="12">
        <f>(0.2*'Commission plan'!D4)</f>
        <v>0.30000000000000004</v>
      </c>
      <c r="G455" s="12">
        <f>(0.2*'Commission plan'!E4)</f>
        <v>0.4</v>
      </c>
      <c r="H455" s="12">
        <f>(0.2*'Commission plan'!F4)</f>
        <v>0.6000000000000001</v>
      </c>
      <c r="I455" s="12">
        <f>""</f>
      </c>
    </row>
    <row r="456">
      <c r="A456" s="0" t="inlineStr">
        <is>
          <t xml:space="preserve">Effective rate</t>
        </is>
      </c>
      <c r="B456" s="0" t="inlineStr">
        <is>
          <t xml:space="preserve">Liam Silva</t>
        </is>
      </c>
      <c r="C456" s="0" t="inlineStr">
        <is>
          <t xml:space="preserve">Q4 2026</t>
        </is>
      </c>
      <c r="D456" s="12">
        <f>(0.2*'Commission plan'!B4)</f>
        <v>0.15000000000000002</v>
      </c>
      <c r="E456" s="12">
        <f>(0.2*'Commission plan'!C4)</f>
        <v>0.2</v>
      </c>
      <c r="F456" s="12">
        <f>(0.2*'Commission plan'!D4)</f>
        <v>0.30000000000000004</v>
      </c>
      <c r="G456" s="12">
        <f>(0.2*'Commission plan'!E4)</f>
        <v>0.4</v>
      </c>
      <c r="H456" s="12">
        <f>(0.2*'Commission plan'!F4)</f>
        <v>0.6000000000000001</v>
      </c>
      <c r="I456" s="12">
        <f>""</f>
      </c>
    </row>
    <row r="457">
      <c r="A457" s="0" t="inlineStr">
        <is>
          <t xml:space="preserve">Effective rate</t>
        </is>
      </c>
      <c r="B457" s="0" t="inlineStr">
        <is>
          <t xml:space="preserve">Samuel Silva</t>
        </is>
      </c>
      <c r="C457" s="0" t="inlineStr">
        <is>
          <t xml:space="preserve">Q2 2025</t>
        </is>
      </c>
      <c r="D457" s="12">
        <f>(0.2*'Commission plan'!B4)</f>
        <v>0.15000000000000002</v>
      </c>
      <c r="E457" s="12">
        <f>(0.2*'Commission plan'!C4)</f>
        <v>0.2</v>
      </c>
      <c r="F457" s="12">
        <f>(0.2*'Commission plan'!D4)</f>
        <v>0.30000000000000004</v>
      </c>
      <c r="G457" s="12">
        <f>(0.2*'Commission plan'!E4)</f>
        <v>0.4</v>
      </c>
      <c r="H457" s="12">
        <f>(0.2*'Commission plan'!F4)</f>
        <v>0.6000000000000001</v>
      </c>
      <c r="I457" s="12">
        <f>""</f>
      </c>
    </row>
    <row r="458">
      <c r="A458" s="0" t="inlineStr">
        <is>
          <t xml:space="preserve">Effective rate</t>
        </is>
      </c>
      <c r="B458" s="0" t="inlineStr">
        <is>
          <t xml:space="preserve">Samuel Silva</t>
        </is>
      </c>
      <c r="C458" s="0" t="inlineStr">
        <is>
          <t xml:space="preserve">Q3 2025</t>
        </is>
      </c>
      <c r="D458" s="12">
        <f>(0.2*'Commission plan'!B4)</f>
        <v>0.15000000000000002</v>
      </c>
      <c r="E458" s="12">
        <f>(0.2*'Commission plan'!C4)</f>
        <v>0.2</v>
      </c>
      <c r="F458" s="12">
        <f>(0.2*'Commission plan'!D4)</f>
        <v>0.30000000000000004</v>
      </c>
      <c r="G458" s="12">
        <f>(0.2*'Commission plan'!E4)</f>
        <v>0.4</v>
      </c>
      <c r="H458" s="12">
        <f>(0.2*'Commission plan'!F4)</f>
        <v>0.6000000000000001</v>
      </c>
      <c r="I458" s="12">
        <f>""</f>
      </c>
    </row>
    <row r="459">
      <c r="A459" s="0" t="inlineStr">
        <is>
          <t xml:space="preserve">Effective rate</t>
        </is>
      </c>
      <c r="B459" s="0" t="inlineStr">
        <is>
          <t xml:space="preserve">Samuel Silva</t>
        </is>
      </c>
      <c r="C459" s="0" t="inlineStr">
        <is>
          <t xml:space="preserve">Q4 2025</t>
        </is>
      </c>
      <c r="D459" s="12">
        <f>(0.2*'Commission plan'!B4)</f>
        <v>0.15000000000000002</v>
      </c>
      <c r="E459" s="12">
        <f>(0.2*'Commission plan'!C4)</f>
        <v>0.2</v>
      </c>
      <c r="F459" s="12">
        <f>(0.2*'Commission plan'!D4)</f>
        <v>0.30000000000000004</v>
      </c>
      <c r="G459" s="12">
        <f>(0.2*'Commission plan'!E4)</f>
        <v>0.4</v>
      </c>
      <c r="H459" s="12">
        <f>(0.2*'Commission plan'!F4)</f>
        <v>0.6000000000000001</v>
      </c>
      <c r="I459" s="12">
        <f>""</f>
      </c>
    </row>
    <row r="460">
      <c r="A460" s="0" t="inlineStr">
        <is>
          <t xml:space="preserve">Effective rate</t>
        </is>
      </c>
      <c r="B460" s="0" t="inlineStr">
        <is>
          <t xml:space="preserve">Samuel Silva</t>
        </is>
      </c>
      <c r="C460" s="0" t="inlineStr">
        <is>
          <t xml:space="preserve">Q1 2026</t>
        </is>
      </c>
      <c r="D460" s="12">
        <f>(0.2*'Commission plan'!B4)</f>
        <v>0.15000000000000002</v>
      </c>
      <c r="E460" s="12">
        <f>(0.2*'Commission plan'!C4)</f>
        <v>0.2</v>
      </c>
      <c r="F460" s="12">
        <f>(0.2*'Commission plan'!D4)</f>
        <v>0.30000000000000004</v>
      </c>
      <c r="G460" s="12">
        <f>(0.2*'Commission plan'!E4)</f>
        <v>0.4</v>
      </c>
      <c r="H460" s="12">
        <f>(0.2*'Commission plan'!F4)</f>
        <v>0.6000000000000001</v>
      </c>
      <c r="I460" s="12">
        <f>""</f>
      </c>
    </row>
    <row r="461">
      <c r="A461" s="0" t="inlineStr">
        <is>
          <t xml:space="preserve">Effective rate</t>
        </is>
      </c>
      <c r="B461" s="0" t="inlineStr">
        <is>
          <t xml:space="preserve">Samuel Silva</t>
        </is>
      </c>
      <c r="C461" s="0" t="inlineStr">
        <is>
          <t xml:space="preserve">Q2 2026</t>
        </is>
      </c>
      <c r="D461" s="12">
        <f>(0.2*'Commission plan'!B4)</f>
        <v>0.15000000000000002</v>
      </c>
      <c r="E461" s="12">
        <f>(0.2*'Commission plan'!C4)</f>
        <v>0.2</v>
      </c>
      <c r="F461" s="12">
        <f>(0.2*'Commission plan'!D4)</f>
        <v>0.30000000000000004</v>
      </c>
      <c r="G461" s="12">
        <f>(0.2*'Commission plan'!E4)</f>
        <v>0.4</v>
      </c>
      <c r="H461" s="12">
        <f>(0.2*'Commission plan'!F4)</f>
        <v>0.6000000000000001</v>
      </c>
      <c r="I461" s="12">
        <f>""</f>
      </c>
    </row>
    <row r="462">
      <c r="A462" s="0" t="inlineStr">
        <is>
          <t xml:space="preserve">Effective rate</t>
        </is>
      </c>
      <c r="B462" s="0" t="inlineStr">
        <is>
          <t xml:space="preserve">Samuel Silva</t>
        </is>
      </c>
      <c r="C462" s="0" t="inlineStr">
        <is>
          <t xml:space="preserve">Q3 2026</t>
        </is>
      </c>
      <c r="D462" s="12">
        <f>(0.2*'Commission plan'!B4)</f>
        <v>0.15000000000000002</v>
      </c>
      <c r="E462" s="12">
        <f>(0.2*'Commission plan'!C4)</f>
        <v>0.2</v>
      </c>
      <c r="F462" s="12">
        <f>(0.2*'Commission plan'!D4)</f>
        <v>0.30000000000000004</v>
      </c>
      <c r="G462" s="12">
        <f>(0.2*'Commission plan'!E4)</f>
        <v>0.4</v>
      </c>
      <c r="H462" s="12">
        <f>(0.2*'Commission plan'!F4)</f>
        <v>0.6000000000000001</v>
      </c>
      <c r="I462" s="12">
        <f>""</f>
      </c>
    </row>
    <row r="463">
      <c r="A463" s="0" t="inlineStr">
        <is>
          <t xml:space="preserve">Effective rate</t>
        </is>
      </c>
      <c r="B463" s="0" t="inlineStr">
        <is>
          <t xml:space="preserve">Samuel Silva</t>
        </is>
      </c>
      <c r="C463" s="0" t="inlineStr">
        <is>
          <t xml:space="preserve">Q4 2026</t>
        </is>
      </c>
      <c r="D463" s="12">
        <f>(0.2*'Commission plan'!B4)</f>
        <v>0.15000000000000002</v>
      </c>
      <c r="E463" s="12">
        <f>(0.2*'Commission plan'!C4)</f>
        <v>0.2</v>
      </c>
      <c r="F463" s="12">
        <f>(0.2*'Commission plan'!D4)</f>
        <v>0.30000000000000004</v>
      </c>
      <c r="G463" s="12">
        <f>(0.2*'Commission plan'!E4)</f>
        <v>0.4</v>
      </c>
      <c r="H463" s="12">
        <f>(0.2*'Commission plan'!F4)</f>
        <v>0.6000000000000001</v>
      </c>
      <c r="I463" s="12">
        <f>""</f>
      </c>
    </row>
    <row r="464">
      <c r="A464" s="0" t="inlineStr">
        <is>
          <t xml:space="preserve">Effective rate</t>
        </is>
      </c>
      <c r="B464" s="0" t="inlineStr">
        <is>
          <t xml:space="preserve">Yuki Larsen</t>
        </is>
      </c>
      <c r="C464" s="0" t="inlineStr">
        <is>
          <t xml:space="preserve">Q2 2025</t>
        </is>
      </c>
      <c r="D464" s="12">
        <f>(0.1429*'Commission plan'!B4)</f>
        <v>0.10717499999999999</v>
      </c>
      <c r="E464" s="12">
        <f>(0.1429*'Commission plan'!C4)</f>
        <v>0.1429</v>
      </c>
      <c r="F464" s="12">
        <f>(0.1429*'Commission plan'!D4)</f>
        <v>0.21434999999999998</v>
      </c>
      <c r="G464" s="12">
        <f>(0.1429*'Commission plan'!E4)</f>
        <v>0.2858</v>
      </c>
      <c r="H464" s="12">
        <f>(0.1429*'Commission plan'!F4)</f>
        <v>0.42869999999999997</v>
      </c>
      <c r="I464" s="12">
        <f>""</f>
      </c>
    </row>
    <row r="465">
      <c r="A465" s="0" t="inlineStr">
        <is>
          <t xml:space="preserve">Effective rate</t>
        </is>
      </c>
      <c r="B465" s="0" t="inlineStr">
        <is>
          <t xml:space="preserve">Yuki Larsen</t>
        </is>
      </c>
      <c r="C465" s="0" t="inlineStr">
        <is>
          <t xml:space="preserve">Q3 2025</t>
        </is>
      </c>
      <c r="D465" s="12">
        <f>(0.1429*'Commission plan'!B4)</f>
        <v>0.10717499999999999</v>
      </c>
      <c r="E465" s="12">
        <f>(0.1429*'Commission plan'!C4)</f>
        <v>0.1429</v>
      </c>
      <c r="F465" s="12">
        <f>(0.1429*'Commission plan'!D4)</f>
        <v>0.21434999999999998</v>
      </c>
      <c r="G465" s="12">
        <f>(0.1429*'Commission plan'!E4)</f>
        <v>0.2858</v>
      </c>
      <c r="H465" s="12">
        <f>(0.1429*'Commission plan'!F4)</f>
        <v>0.42869999999999997</v>
      </c>
      <c r="I465" s="12">
        <f>""</f>
      </c>
    </row>
    <row r="466">
      <c r="A466" s="0" t="inlineStr">
        <is>
          <t xml:space="preserve">Effective rate</t>
        </is>
      </c>
      <c r="B466" s="0" t="inlineStr">
        <is>
          <t xml:space="preserve">Yuki Larsen</t>
        </is>
      </c>
      <c r="C466" s="0" t="inlineStr">
        <is>
          <t xml:space="preserve">Q4 2025</t>
        </is>
      </c>
      <c r="D466" s="12">
        <f>(0.1429*'Commission plan'!B4)</f>
        <v>0.10717499999999999</v>
      </c>
      <c r="E466" s="12">
        <f>(0.1429*'Commission plan'!C4)</f>
        <v>0.1429</v>
      </c>
      <c r="F466" s="12">
        <f>(0.1429*'Commission plan'!D4)</f>
        <v>0.21434999999999998</v>
      </c>
      <c r="G466" s="12">
        <f>(0.1429*'Commission plan'!E4)</f>
        <v>0.2858</v>
      </c>
      <c r="H466" s="12">
        <f>(0.1429*'Commission plan'!F4)</f>
        <v>0.42869999999999997</v>
      </c>
      <c r="I466" s="12">
        <f>""</f>
      </c>
    </row>
    <row r="467">
      <c r="A467" s="0" t="inlineStr">
        <is>
          <t xml:space="preserve">Effective rate</t>
        </is>
      </c>
      <c r="B467" s="0" t="inlineStr">
        <is>
          <t xml:space="preserve">Yuki Larsen</t>
        </is>
      </c>
      <c r="C467" s="0" t="inlineStr">
        <is>
          <t xml:space="preserve">Q1 2026</t>
        </is>
      </c>
      <c r="D467" s="12">
        <f>(0.1429*'Commission plan'!B4)</f>
        <v>0.10717499999999999</v>
      </c>
      <c r="E467" s="12">
        <f>(0.1429*'Commission plan'!C4)</f>
        <v>0.1429</v>
      </c>
      <c r="F467" s="12">
        <f>(0.1429*'Commission plan'!D4)</f>
        <v>0.21434999999999998</v>
      </c>
      <c r="G467" s="12">
        <f>(0.1429*'Commission plan'!E4)</f>
        <v>0.2858</v>
      </c>
      <c r="H467" s="12">
        <f>(0.1429*'Commission plan'!F4)</f>
        <v>0.42869999999999997</v>
      </c>
      <c r="I467" s="12">
        <f>""</f>
      </c>
    </row>
    <row r="468">
      <c r="A468" s="0" t="inlineStr">
        <is>
          <t xml:space="preserve">Effective rate</t>
        </is>
      </c>
      <c r="B468" s="0" t="inlineStr">
        <is>
          <t xml:space="preserve">Yuki Larsen</t>
        </is>
      </c>
      <c r="C468" s="0" t="inlineStr">
        <is>
          <t xml:space="preserve">Q2 2026</t>
        </is>
      </c>
      <c r="D468" s="12">
        <f>(0.1429*'Commission plan'!B4)</f>
        <v>0.10717499999999999</v>
      </c>
      <c r="E468" s="12">
        <f>(0.1429*'Commission plan'!C4)</f>
        <v>0.1429</v>
      </c>
      <c r="F468" s="12">
        <f>(0.1429*'Commission plan'!D4)</f>
        <v>0.21434999999999998</v>
      </c>
      <c r="G468" s="12">
        <f>(0.1429*'Commission plan'!E4)</f>
        <v>0.2858</v>
      </c>
      <c r="H468" s="12">
        <f>(0.1429*'Commission plan'!F4)</f>
        <v>0.42869999999999997</v>
      </c>
      <c r="I468" s="12">
        <f>""</f>
      </c>
    </row>
    <row r="469">
      <c r="A469" s="0" t="inlineStr">
        <is>
          <t xml:space="preserve">Effective rate</t>
        </is>
      </c>
      <c r="B469" s="0" t="inlineStr">
        <is>
          <t xml:space="preserve">Yuki Larsen</t>
        </is>
      </c>
      <c r="C469" s="0" t="inlineStr">
        <is>
          <t xml:space="preserve">Q3 2026</t>
        </is>
      </c>
      <c r="D469" s="12">
        <f>(0.1429*'Commission plan'!B4)</f>
        <v>0.10717499999999999</v>
      </c>
      <c r="E469" s="12">
        <f>(0.1429*'Commission plan'!C4)</f>
        <v>0.1429</v>
      </c>
      <c r="F469" s="12">
        <f>(0.1429*'Commission plan'!D4)</f>
        <v>0.21434999999999998</v>
      </c>
      <c r="G469" s="12">
        <f>(0.1429*'Commission plan'!E4)</f>
        <v>0.2858</v>
      </c>
      <c r="H469" s="12">
        <f>(0.1429*'Commission plan'!F4)</f>
        <v>0.42869999999999997</v>
      </c>
      <c r="I469" s="12">
        <f>""</f>
      </c>
    </row>
    <row r="470">
      <c r="A470" s="0" t="inlineStr">
        <is>
          <t xml:space="preserve">Effective rate</t>
        </is>
      </c>
      <c r="B470" s="0" t="inlineStr">
        <is>
          <t xml:space="preserve">Yuki Larsen</t>
        </is>
      </c>
      <c r="C470" s="0" t="inlineStr">
        <is>
          <t xml:space="preserve">Q4 2026</t>
        </is>
      </c>
      <c r="D470" s="12">
        <f>(0.1429*'Commission plan'!B4)</f>
        <v>0.10717499999999999</v>
      </c>
      <c r="E470" s="12">
        <f>(0.1429*'Commission plan'!C4)</f>
        <v>0.1429</v>
      </c>
      <c r="F470" s="12">
        <f>(0.1429*'Commission plan'!D4)</f>
        <v>0.21434999999999998</v>
      </c>
      <c r="G470" s="12">
        <f>(0.1429*'Commission plan'!E4)</f>
        <v>0.2858</v>
      </c>
      <c r="H470" s="12">
        <f>(0.1429*'Commission plan'!F4)</f>
        <v>0.42869999999999997</v>
      </c>
      <c r="I470" s="12">
        <f>""</f>
      </c>
    </row>
    <row r="471">
      <c r="A471" s="0" t="inlineStr">
        <is>
          <t xml:space="preserve">Effective rate</t>
        </is>
      </c>
      <c r="B471" s="0" t="inlineStr">
        <is>
          <t xml:space="preserve">Nikolai Sato</t>
        </is>
      </c>
      <c r="C471" s="0" t="inlineStr">
        <is>
          <t xml:space="preserve">Q2 2025</t>
        </is>
      </c>
      <c r="D471" s="12">
        <f>(0.1429*'Commission plan'!B4)</f>
        <v>0.10717499999999999</v>
      </c>
      <c r="E471" s="12">
        <f>(0.1429*'Commission plan'!C4)</f>
        <v>0.1429</v>
      </c>
      <c r="F471" s="12">
        <f>(0.1429*'Commission plan'!D4)</f>
        <v>0.21434999999999998</v>
      </c>
      <c r="G471" s="12">
        <f>(0.1429*'Commission plan'!E4)</f>
        <v>0.2858</v>
      </c>
      <c r="H471" s="12">
        <f>(0.1429*'Commission plan'!F4)</f>
        <v>0.42869999999999997</v>
      </c>
      <c r="I471" s="12">
        <f>""</f>
      </c>
    </row>
    <row r="472">
      <c r="A472" s="0" t="inlineStr">
        <is>
          <t xml:space="preserve">Effective rate</t>
        </is>
      </c>
      <c r="B472" s="0" t="inlineStr">
        <is>
          <t xml:space="preserve">Nikolai Sato</t>
        </is>
      </c>
      <c r="C472" s="0" t="inlineStr">
        <is>
          <t xml:space="preserve">Q3 2025</t>
        </is>
      </c>
      <c r="D472" s="12">
        <f>(0.1429*'Commission plan'!B4)</f>
        <v>0.10717499999999999</v>
      </c>
      <c r="E472" s="12">
        <f>(0.1429*'Commission plan'!C4)</f>
        <v>0.1429</v>
      </c>
      <c r="F472" s="12">
        <f>(0.1429*'Commission plan'!D4)</f>
        <v>0.21434999999999998</v>
      </c>
      <c r="G472" s="12">
        <f>(0.1429*'Commission plan'!E4)</f>
        <v>0.2858</v>
      </c>
      <c r="H472" s="12">
        <f>(0.1429*'Commission plan'!F4)</f>
        <v>0.42869999999999997</v>
      </c>
      <c r="I472" s="12">
        <f>""</f>
      </c>
    </row>
    <row r="473">
      <c r="A473" s="0" t="inlineStr">
        <is>
          <t xml:space="preserve">Effective rate</t>
        </is>
      </c>
      <c r="B473" s="0" t="inlineStr">
        <is>
          <t xml:space="preserve">Nikolai Sato</t>
        </is>
      </c>
      <c r="C473" s="0" t="inlineStr">
        <is>
          <t xml:space="preserve">Q4 2025</t>
        </is>
      </c>
      <c r="D473" s="12">
        <f>(0.1429*'Commission plan'!B4)</f>
        <v>0.10717499999999999</v>
      </c>
      <c r="E473" s="12">
        <f>(0.1429*'Commission plan'!C4)</f>
        <v>0.1429</v>
      </c>
      <c r="F473" s="12">
        <f>(0.1429*'Commission plan'!D4)</f>
        <v>0.21434999999999998</v>
      </c>
      <c r="G473" s="12">
        <f>(0.1429*'Commission plan'!E4)</f>
        <v>0.2858</v>
      </c>
      <c r="H473" s="12">
        <f>(0.1429*'Commission plan'!F4)</f>
        <v>0.42869999999999997</v>
      </c>
      <c r="I473" s="12">
        <f>""</f>
      </c>
    </row>
    <row r="474">
      <c r="A474" s="0" t="inlineStr">
        <is>
          <t xml:space="preserve">Effective rate</t>
        </is>
      </c>
      <c r="B474" s="0" t="inlineStr">
        <is>
          <t xml:space="preserve">Nikolai Sato</t>
        </is>
      </c>
      <c r="C474" s="0" t="inlineStr">
        <is>
          <t xml:space="preserve">Q1 2026</t>
        </is>
      </c>
      <c r="D474" s="12">
        <f>(0.1429*'Commission plan'!B4)</f>
        <v>0.10717499999999999</v>
      </c>
      <c r="E474" s="12">
        <f>(0.1429*'Commission plan'!C4)</f>
        <v>0.1429</v>
      </c>
      <c r="F474" s="12">
        <f>(0.1429*'Commission plan'!D4)</f>
        <v>0.21434999999999998</v>
      </c>
      <c r="G474" s="12">
        <f>(0.1429*'Commission plan'!E4)</f>
        <v>0.2858</v>
      </c>
      <c r="H474" s="12">
        <f>(0.1429*'Commission plan'!F4)</f>
        <v>0.42869999999999997</v>
      </c>
      <c r="I474" s="12">
        <f>""</f>
      </c>
    </row>
    <row r="475">
      <c r="A475" s="0" t="inlineStr">
        <is>
          <t xml:space="preserve">Effective rate</t>
        </is>
      </c>
      <c r="B475" s="0" t="inlineStr">
        <is>
          <t xml:space="preserve">Nikolai Sato</t>
        </is>
      </c>
      <c r="C475" s="0" t="inlineStr">
        <is>
          <t xml:space="preserve">Q2 2026</t>
        </is>
      </c>
      <c r="D475" s="12">
        <f>(0.1429*'Commission plan'!B4)</f>
        <v>0.10717499999999999</v>
      </c>
      <c r="E475" s="12">
        <f>(0.1429*'Commission plan'!C4)</f>
        <v>0.1429</v>
      </c>
      <c r="F475" s="12">
        <f>(0.1429*'Commission plan'!D4)</f>
        <v>0.21434999999999998</v>
      </c>
      <c r="G475" s="12">
        <f>(0.1429*'Commission plan'!E4)</f>
        <v>0.2858</v>
      </c>
      <c r="H475" s="12">
        <f>(0.1429*'Commission plan'!F4)</f>
        <v>0.42869999999999997</v>
      </c>
      <c r="I475" s="12">
        <f>""</f>
      </c>
    </row>
    <row r="476">
      <c r="A476" s="0" t="inlineStr">
        <is>
          <t xml:space="preserve">Effective rate</t>
        </is>
      </c>
      <c r="B476" s="0" t="inlineStr">
        <is>
          <t xml:space="preserve">Nikolai Sato</t>
        </is>
      </c>
      <c r="C476" s="0" t="inlineStr">
        <is>
          <t xml:space="preserve">Q3 2026</t>
        </is>
      </c>
      <c r="D476" s="12">
        <f>(0.1429*'Commission plan'!B4)</f>
        <v>0.10717499999999999</v>
      </c>
      <c r="E476" s="12">
        <f>(0.1429*'Commission plan'!C4)</f>
        <v>0.1429</v>
      </c>
      <c r="F476" s="12">
        <f>(0.1429*'Commission plan'!D4)</f>
        <v>0.21434999999999998</v>
      </c>
      <c r="G476" s="12">
        <f>(0.1429*'Commission plan'!E4)</f>
        <v>0.2858</v>
      </c>
      <c r="H476" s="12">
        <f>(0.1429*'Commission plan'!F4)</f>
        <v>0.42869999999999997</v>
      </c>
      <c r="I476" s="12">
        <f>""</f>
      </c>
    </row>
    <row r="477">
      <c r="A477" s="0" t="inlineStr">
        <is>
          <t xml:space="preserve">Effective rate</t>
        </is>
      </c>
      <c r="B477" s="0" t="inlineStr">
        <is>
          <t xml:space="preserve">Nikolai Sato</t>
        </is>
      </c>
      <c r="C477" s="0" t="inlineStr">
        <is>
          <t xml:space="preserve">Q4 2026</t>
        </is>
      </c>
      <c r="D477" s="12">
        <f>(0.1429*'Commission plan'!B4)</f>
        <v>0.10717499999999999</v>
      </c>
      <c r="E477" s="12">
        <f>(0.1429*'Commission plan'!C4)</f>
        <v>0.1429</v>
      </c>
      <c r="F477" s="12">
        <f>(0.1429*'Commission plan'!D4)</f>
        <v>0.21434999999999998</v>
      </c>
      <c r="G477" s="12">
        <f>(0.1429*'Commission plan'!E4)</f>
        <v>0.2858</v>
      </c>
      <c r="H477" s="12">
        <f>(0.1429*'Commission plan'!F4)</f>
        <v>0.42869999999999997</v>
      </c>
      <c r="I477" s="12">
        <f>""</f>
      </c>
    </row>
    <row r="478">
      <c r="A478" s="0" t="inlineStr">
        <is>
          <t xml:space="preserve">Effective rate</t>
        </is>
      </c>
      <c r="B478" s="0" t="inlineStr">
        <is>
          <t xml:space="preserve">Elena Silva</t>
        </is>
      </c>
      <c r="C478" s="0" t="inlineStr">
        <is>
          <t xml:space="preserve">Q2 2025</t>
        </is>
      </c>
      <c r="D478" s="12">
        <f>(0.1833*'Commission plan'!B4)</f>
        <v>0.13747499999999999</v>
      </c>
      <c r="E478" s="12">
        <f>(0.1833*'Commission plan'!C4)</f>
        <v>0.1833</v>
      </c>
      <c r="F478" s="12">
        <f>(0.1833*'Commission plan'!D4)</f>
        <v>0.27494999999999997</v>
      </c>
      <c r="G478" s="12">
        <f>(0.1833*'Commission plan'!E4)</f>
        <v>0.3666</v>
      </c>
      <c r="H478" s="12">
        <f>(0.1833*'Commission plan'!F4)</f>
        <v>0.5498999999999999</v>
      </c>
      <c r="I478" s="12">
        <f>""</f>
      </c>
    </row>
    <row r="479">
      <c r="A479" s="0" t="inlineStr">
        <is>
          <t xml:space="preserve">Effective rate</t>
        </is>
      </c>
      <c r="B479" s="0" t="inlineStr">
        <is>
          <t xml:space="preserve">Elena Silva</t>
        </is>
      </c>
      <c r="C479" s="0" t="inlineStr">
        <is>
          <t xml:space="preserve">Q3 2025</t>
        </is>
      </c>
      <c r="D479" s="12">
        <f>(0.1833*'Commission plan'!B4)</f>
        <v>0.13747499999999999</v>
      </c>
      <c r="E479" s="12">
        <f>(0.1833*'Commission plan'!C4)</f>
        <v>0.1833</v>
      </c>
      <c r="F479" s="12">
        <f>(0.1833*'Commission plan'!D4)</f>
        <v>0.27494999999999997</v>
      </c>
      <c r="G479" s="12">
        <f>(0.1833*'Commission plan'!E4)</f>
        <v>0.3666</v>
      </c>
      <c r="H479" s="12">
        <f>(0.1833*'Commission plan'!F4)</f>
        <v>0.5498999999999999</v>
      </c>
      <c r="I479" s="12">
        <f>""</f>
      </c>
    </row>
    <row r="480">
      <c r="A480" s="0" t="inlineStr">
        <is>
          <t xml:space="preserve">Effective rate</t>
        </is>
      </c>
      <c r="B480" s="0" t="inlineStr">
        <is>
          <t xml:space="preserve">Elena Silva</t>
        </is>
      </c>
      <c r="C480" s="0" t="inlineStr">
        <is>
          <t xml:space="preserve">Q4 2025</t>
        </is>
      </c>
      <c r="D480" s="12">
        <f>(0.1833*'Commission plan'!B4)</f>
        <v>0.13747499999999999</v>
      </c>
      <c r="E480" s="12">
        <f>(0.1833*'Commission plan'!C4)</f>
        <v>0.1833</v>
      </c>
      <c r="F480" s="12">
        <f>(0.1833*'Commission plan'!D4)</f>
        <v>0.27494999999999997</v>
      </c>
      <c r="G480" s="12">
        <f>(0.1833*'Commission plan'!E4)</f>
        <v>0.3666</v>
      </c>
      <c r="H480" s="12">
        <f>(0.1833*'Commission plan'!F4)</f>
        <v>0.5498999999999999</v>
      </c>
      <c r="I480" s="12">
        <f>""</f>
      </c>
    </row>
    <row r="481">
      <c r="A481" s="0" t="inlineStr">
        <is>
          <t xml:space="preserve">Effective rate</t>
        </is>
      </c>
      <c r="B481" s="0" t="inlineStr">
        <is>
          <t xml:space="preserve">Elena Silva</t>
        </is>
      </c>
      <c r="C481" s="0" t="inlineStr">
        <is>
          <t xml:space="preserve">Q1 2026</t>
        </is>
      </c>
      <c r="D481" s="12">
        <f>(0.1833*'Commission plan'!B4)</f>
        <v>0.13747499999999999</v>
      </c>
      <c r="E481" s="12">
        <f>(0.1833*'Commission plan'!C4)</f>
        <v>0.1833</v>
      </c>
      <c r="F481" s="12">
        <f>(0.1833*'Commission plan'!D4)</f>
        <v>0.27494999999999997</v>
      </c>
      <c r="G481" s="12">
        <f>(0.1833*'Commission plan'!E4)</f>
        <v>0.3666</v>
      </c>
      <c r="H481" s="12">
        <f>(0.1833*'Commission plan'!F4)</f>
        <v>0.5498999999999999</v>
      </c>
      <c r="I481" s="12">
        <f>""</f>
      </c>
    </row>
    <row r="482">
      <c r="A482" s="0" t="inlineStr">
        <is>
          <t xml:space="preserve">Effective rate</t>
        </is>
      </c>
      <c r="B482" s="0" t="inlineStr">
        <is>
          <t xml:space="preserve">Elena Silva</t>
        </is>
      </c>
      <c r="C482" s="0" t="inlineStr">
        <is>
          <t xml:space="preserve">Q2 2026</t>
        </is>
      </c>
      <c r="D482" s="12">
        <f>(0.1833*'Commission plan'!B4)</f>
        <v>0.13747499999999999</v>
      </c>
      <c r="E482" s="12">
        <f>(0.1833*'Commission plan'!C4)</f>
        <v>0.1833</v>
      </c>
      <c r="F482" s="12">
        <f>(0.1833*'Commission plan'!D4)</f>
        <v>0.27494999999999997</v>
      </c>
      <c r="G482" s="12">
        <f>(0.1833*'Commission plan'!E4)</f>
        <v>0.3666</v>
      </c>
      <c r="H482" s="12">
        <f>(0.1833*'Commission plan'!F4)</f>
        <v>0.5498999999999999</v>
      </c>
      <c r="I482" s="12">
        <f>""</f>
      </c>
    </row>
    <row r="483">
      <c r="A483" s="0" t="inlineStr">
        <is>
          <t xml:space="preserve">Effective rate</t>
        </is>
      </c>
      <c r="B483" s="0" t="inlineStr">
        <is>
          <t xml:space="preserve">Elena Silva</t>
        </is>
      </c>
      <c r="C483" s="0" t="inlineStr">
        <is>
          <t xml:space="preserve">Q3 2026</t>
        </is>
      </c>
      <c r="D483" s="12">
        <f>(0.1833*'Commission plan'!B4)</f>
        <v>0.13747499999999999</v>
      </c>
      <c r="E483" s="12">
        <f>(0.1833*'Commission plan'!C4)</f>
        <v>0.1833</v>
      </c>
      <c r="F483" s="12">
        <f>(0.1833*'Commission plan'!D4)</f>
        <v>0.27494999999999997</v>
      </c>
      <c r="G483" s="12">
        <f>(0.1833*'Commission plan'!E4)</f>
        <v>0.3666</v>
      </c>
      <c r="H483" s="12">
        <f>(0.1833*'Commission plan'!F4)</f>
        <v>0.5498999999999999</v>
      </c>
      <c r="I483" s="12">
        <f>""</f>
      </c>
    </row>
    <row r="484">
      <c r="A484" s="0" t="inlineStr">
        <is>
          <t xml:space="preserve">Effective rate</t>
        </is>
      </c>
      <c r="B484" s="0" t="inlineStr">
        <is>
          <t xml:space="preserve">Elena Silva</t>
        </is>
      </c>
      <c r="C484" s="0" t="inlineStr">
        <is>
          <t xml:space="preserve">Q4 2026</t>
        </is>
      </c>
      <c r="D484" s="12">
        <f>(0.1833*'Commission plan'!B4)</f>
        <v>0.13747499999999999</v>
      </c>
      <c r="E484" s="12">
        <f>(0.1833*'Commission plan'!C4)</f>
        <v>0.1833</v>
      </c>
      <c r="F484" s="12">
        <f>(0.1833*'Commission plan'!D4)</f>
        <v>0.27494999999999997</v>
      </c>
      <c r="G484" s="12">
        <f>(0.1833*'Commission plan'!E4)</f>
        <v>0.3666</v>
      </c>
      <c r="H484" s="12">
        <f>(0.1833*'Commission plan'!F4)</f>
        <v>0.5498999999999999</v>
      </c>
      <c r="I484" s="12">
        <f>""</f>
      </c>
    </row>
    <row r="485">
      <c r="A485" s="0" t="inlineStr">
        <is>
          <t xml:space="preserve">Effective rate</t>
        </is>
      </c>
      <c r="B485" s="0" t="inlineStr">
        <is>
          <t xml:space="preserve">Arjun Müller</t>
        </is>
      </c>
      <c r="C485" s="0" t="inlineStr">
        <is>
          <t xml:space="preserve">Q2 2025</t>
        </is>
      </c>
      <c r="D485" s="12">
        <f>(0.1833*'Commission plan'!B4)</f>
        <v>0.13747499999999999</v>
      </c>
      <c r="E485" s="12">
        <f>(0.1833*'Commission plan'!C4)</f>
        <v>0.1833</v>
      </c>
      <c r="F485" s="12">
        <f>(0.1833*'Commission plan'!D4)</f>
        <v>0.27494999999999997</v>
      </c>
      <c r="G485" s="12">
        <f>(0.1833*'Commission plan'!E4)</f>
        <v>0.3666</v>
      </c>
      <c r="H485" s="12">
        <f>(0.1833*'Commission plan'!F4)</f>
        <v>0.5498999999999999</v>
      </c>
      <c r="I485" s="12">
        <f>""</f>
      </c>
    </row>
    <row r="486">
      <c r="A486" s="0" t="inlineStr">
        <is>
          <t xml:space="preserve">Effective rate</t>
        </is>
      </c>
      <c r="B486" s="0" t="inlineStr">
        <is>
          <t xml:space="preserve">Arjun Müller</t>
        </is>
      </c>
      <c r="C486" s="0" t="inlineStr">
        <is>
          <t xml:space="preserve">Q3 2025</t>
        </is>
      </c>
      <c r="D486" s="12">
        <f>(0.1833*'Commission plan'!B4)</f>
        <v>0.13747499999999999</v>
      </c>
      <c r="E486" s="12">
        <f>(0.1833*'Commission plan'!C4)</f>
        <v>0.1833</v>
      </c>
      <c r="F486" s="12">
        <f>(0.1833*'Commission plan'!D4)</f>
        <v>0.27494999999999997</v>
      </c>
      <c r="G486" s="12">
        <f>(0.1833*'Commission plan'!E4)</f>
        <v>0.3666</v>
      </c>
      <c r="H486" s="12">
        <f>(0.1833*'Commission plan'!F4)</f>
        <v>0.5498999999999999</v>
      </c>
      <c r="I486" s="12">
        <f>""</f>
      </c>
    </row>
    <row r="487">
      <c r="A487" s="0" t="inlineStr">
        <is>
          <t xml:space="preserve">Effective rate</t>
        </is>
      </c>
      <c r="B487" s="0" t="inlineStr">
        <is>
          <t xml:space="preserve">Arjun Müller</t>
        </is>
      </c>
      <c r="C487" s="0" t="inlineStr">
        <is>
          <t xml:space="preserve">Q4 2025</t>
        </is>
      </c>
      <c r="D487" s="12">
        <f>(0.1833*'Commission plan'!B4)</f>
        <v>0.13747499999999999</v>
      </c>
      <c r="E487" s="12">
        <f>(0.1833*'Commission plan'!C4)</f>
        <v>0.1833</v>
      </c>
      <c r="F487" s="12">
        <f>(0.1833*'Commission plan'!D4)</f>
        <v>0.27494999999999997</v>
      </c>
      <c r="G487" s="12">
        <f>(0.1833*'Commission plan'!E4)</f>
        <v>0.3666</v>
      </c>
      <c r="H487" s="12">
        <f>(0.1833*'Commission plan'!F4)</f>
        <v>0.5498999999999999</v>
      </c>
      <c r="I487" s="12">
        <f>""</f>
      </c>
    </row>
    <row r="488">
      <c r="A488" s="0" t="inlineStr">
        <is>
          <t xml:space="preserve">Effective rate</t>
        </is>
      </c>
      <c r="B488" s="0" t="inlineStr">
        <is>
          <t xml:space="preserve">Arjun Müller</t>
        </is>
      </c>
      <c r="C488" s="0" t="inlineStr">
        <is>
          <t xml:space="preserve">Q1 2026</t>
        </is>
      </c>
      <c r="D488" s="12">
        <f>(0.1833*'Commission plan'!B4)</f>
        <v>0.13747499999999999</v>
      </c>
      <c r="E488" s="12">
        <f>(0.1833*'Commission plan'!C4)</f>
        <v>0.1833</v>
      </c>
      <c r="F488" s="12">
        <f>(0.1833*'Commission plan'!D4)</f>
        <v>0.27494999999999997</v>
      </c>
      <c r="G488" s="12">
        <f>(0.1833*'Commission plan'!E4)</f>
        <v>0.3666</v>
      </c>
      <c r="H488" s="12">
        <f>(0.1833*'Commission plan'!F4)</f>
        <v>0.5498999999999999</v>
      </c>
      <c r="I488" s="12">
        <f>""</f>
      </c>
    </row>
    <row r="489">
      <c r="A489" s="0" t="inlineStr">
        <is>
          <t xml:space="preserve">Effective rate</t>
        </is>
      </c>
      <c r="B489" s="0" t="inlineStr">
        <is>
          <t xml:space="preserve">Arjun Müller</t>
        </is>
      </c>
      <c r="C489" s="0" t="inlineStr">
        <is>
          <t xml:space="preserve">Q2 2026</t>
        </is>
      </c>
      <c r="D489" s="12">
        <f>(0.1833*'Commission plan'!B4)</f>
        <v>0.13747499999999999</v>
      </c>
      <c r="E489" s="12">
        <f>(0.1833*'Commission plan'!C4)</f>
        <v>0.1833</v>
      </c>
      <c r="F489" s="12">
        <f>(0.1833*'Commission plan'!D4)</f>
        <v>0.27494999999999997</v>
      </c>
      <c r="G489" s="12">
        <f>(0.1833*'Commission plan'!E4)</f>
        <v>0.3666</v>
      </c>
      <c r="H489" s="12">
        <f>(0.1833*'Commission plan'!F4)</f>
        <v>0.5498999999999999</v>
      </c>
      <c r="I489" s="12">
        <f>""</f>
      </c>
    </row>
    <row r="490">
      <c r="A490" s="0" t="inlineStr">
        <is>
          <t xml:space="preserve">Effective rate</t>
        </is>
      </c>
      <c r="B490" s="0" t="inlineStr">
        <is>
          <t xml:space="preserve">Arjun Müller</t>
        </is>
      </c>
      <c r="C490" s="0" t="inlineStr">
        <is>
          <t xml:space="preserve">Q3 2026</t>
        </is>
      </c>
      <c r="D490" s="12">
        <f>(0.1833*'Commission plan'!B4)</f>
        <v>0.13747499999999999</v>
      </c>
      <c r="E490" s="12">
        <f>(0.1833*'Commission plan'!C4)</f>
        <v>0.1833</v>
      </c>
      <c r="F490" s="12">
        <f>(0.1833*'Commission plan'!D4)</f>
        <v>0.27494999999999997</v>
      </c>
      <c r="G490" s="12">
        <f>(0.1833*'Commission plan'!E4)</f>
        <v>0.3666</v>
      </c>
      <c r="H490" s="12">
        <f>(0.1833*'Commission plan'!F4)</f>
        <v>0.5498999999999999</v>
      </c>
      <c r="I490" s="12">
        <f>""</f>
      </c>
    </row>
    <row r="491">
      <c r="A491" s="0" t="inlineStr">
        <is>
          <t xml:space="preserve">Effective rate</t>
        </is>
      </c>
      <c r="B491" s="0" t="inlineStr">
        <is>
          <t xml:space="preserve">Arjun Müller</t>
        </is>
      </c>
      <c r="C491" s="0" t="inlineStr">
        <is>
          <t xml:space="preserve">Q4 2026</t>
        </is>
      </c>
      <c r="D491" s="12">
        <f>(0.1833*'Commission plan'!B4)</f>
        <v>0.13747499999999999</v>
      </c>
      <c r="E491" s="12">
        <f>(0.1833*'Commission plan'!C4)</f>
        <v>0.1833</v>
      </c>
      <c r="F491" s="12">
        <f>(0.1833*'Commission plan'!D4)</f>
        <v>0.27494999999999997</v>
      </c>
      <c r="G491" s="12">
        <f>(0.1833*'Commission plan'!E4)</f>
        <v>0.3666</v>
      </c>
      <c r="H491" s="12">
        <f>(0.1833*'Commission plan'!F4)</f>
        <v>0.5498999999999999</v>
      </c>
      <c r="I491" s="12">
        <f>""</f>
      </c>
    </row>
    <row r="492">
      <c r="A492" s="0" t="inlineStr">
        <is>
          <t xml:space="preserve">Effective rate</t>
        </is>
      </c>
      <c r="B492" s="0" t="inlineStr">
        <is>
          <t xml:space="preserve">Nikolai Park</t>
        </is>
      </c>
      <c r="C492" s="0" t="inlineStr">
        <is>
          <t xml:space="preserve">Q2 2025</t>
        </is>
      </c>
      <c r="D492" s="12">
        <f>(0.25*'Commission plan'!B4)</f>
        <v>0.1875</v>
      </c>
      <c r="E492" s="12">
        <f>(0.25*'Commission plan'!C4)</f>
        <v>0.25</v>
      </c>
      <c r="F492" s="12">
        <f>(0.25*'Commission plan'!D4)</f>
        <v>0.375</v>
      </c>
      <c r="G492" s="12">
        <f>(0.25*'Commission plan'!E4)</f>
        <v>0.5</v>
      </c>
      <c r="H492" s="12">
        <f>(0.25*'Commission plan'!F4)</f>
        <v>0.75</v>
      </c>
      <c r="I492" s="12">
        <f>""</f>
      </c>
    </row>
    <row r="493">
      <c r="A493" s="0" t="inlineStr">
        <is>
          <t xml:space="preserve">Effective rate</t>
        </is>
      </c>
      <c r="B493" s="0" t="inlineStr">
        <is>
          <t xml:space="preserve">Nikolai Park</t>
        </is>
      </c>
      <c r="C493" s="0" t="inlineStr">
        <is>
          <t xml:space="preserve">Q3 2025</t>
        </is>
      </c>
      <c r="D493" s="12">
        <f>(0.25*'Commission plan'!B4)</f>
        <v>0.1875</v>
      </c>
      <c r="E493" s="12">
        <f>(0.25*'Commission plan'!C4)</f>
        <v>0.25</v>
      </c>
      <c r="F493" s="12">
        <f>(0.25*'Commission plan'!D4)</f>
        <v>0.375</v>
      </c>
      <c r="G493" s="12">
        <f>(0.25*'Commission plan'!E4)</f>
        <v>0.5</v>
      </c>
      <c r="H493" s="12">
        <f>(0.25*'Commission plan'!F4)</f>
        <v>0.75</v>
      </c>
      <c r="I493" s="12">
        <f>""</f>
      </c>
    </row>
    <row r="494">
      <c r="A494" s="0" t="inlineStr">
        <is>
          <t xml:space="preserve">Effective rate</t>
        </is>
      </c>
      <c r="B494" s="0" t="inlineStr">
        <is>
          <t xml:space="preserve">Nikolai Park</t>
        </is>
      </c>
      <c r="C494" s="0" t="inlineStr">
        <is>
          <t xml:space="preserve">Q4 2025</t>
        </is>
      </c>
      <c r="D494" s="12">
        <f>(0.25*'Commission plan'!B4)</f>
        <v>0.1875</v>
      </c>
      <c r="E494" s="12">
        <f>(0.25*'Commission plan'!C4)</f>
        <v>0.25</v>
      </c>
      <c r="F494" s="12">
        <f>(0.25*'Commission plan'!D4)</f>
        <v>0.375</v>
      </c>
      <c r="G494" s="12">
        <f>(0.25*'Commission plan'!E4)</f>
        <v>0.5</v>
      </c>
      <c r="H494" s="12">
        <f>(0.25*'Commission plan'!F4)</f>
        <v>0.75</v>
      </c>
      <c r="I494" s="12">
        <f>""</f>
      </c>
    </row>
    <row r="495">
      <c r="A495" s="0" t="inlineStr">
        <is>
          <t xml:space="preserve">Effective rate</t>
        </is>
      </c>
      <c r="B495" s="0" t="inlineStr">
        <is>
          <t xml:space="preserve">Nikolai Park</t>
        </is>
      </c>
      <c r="C495" s="0" t="inlineStr">
        <is>
          <t xml:space="preserve">Q1 2026</t>
        </is>
      </c>
      <c r="D495" s="12">
        <f>(0.25*'Commission plan'!B4)</f>
        <v>0.1875</v>
      </c>
      <c r="E495" s="12">
        <f>(0.25*'Commission plan'!C4)</f>
        <v>0.25</v>
      </c>
      <c r="F495" s="12">
        <f>(0.25*'Commission plan'!D4)</f>
        <v>0.375</v>
      </c>
      <c r="G495" s="12">
        <f>(0.25*'Commission plan'!E4)</f>
        <v>0.5</v>
      </c>
      <c r="H495" s="12">
        <f>(0.25*'Commission plan'!F4)</f>
        <v>0.75</v>
      </c>
      <c r="I495" s="12">
        <f>""</f>
      </c>
    </row>
    <row r="496">
      <c r="A496" s="0" t="inlineStr">
        <is>
          <t xml:space="preserve">Effective rate</t>
        </is>
      </c>
      <c r="B496" s="0" t="inlineStr">
        <is>
          <t xml:space="preserve">Nikolai Park</t>
        </is>
      </c>
      <c r="C496" s="0" t="inlineStr">
        <is>
          <t xml:space="preserve">Q2 2026</t>
        </is>
      </c>
      <c r="D496" s="12">
        <f>(0.25*'Commission plan'!B4)</f>
        <v>0.1875</v>
      </c>
      <c r="E496" s="12">
        <f>(0.25*'Commission plan'!C4)</f>
        <v>0.25</v>
      </c>
      <c r="F496" s="12">
        <f>(0.25*'Commission plan'!D4)</f>
        <v>0.375</v>
      </c>
      <c r="G496" s="12">
        <f>(0.25*'Commission plan'!E4)</f>
        <v>0.5</v>
      </c>
      <c r="H496" s="12">
        <f>(0.25*'Commission plan'!F4)</f>
        <v>0.75</v>
      </c>
      <c r="I496" s="12">
        <f>""</f>
      </c>
    </row>
    <row r="497">
      <c r="A497" s="0" t="inlineStr">
        <is>
          <t xml:space="preserve">Effective rate</t>
        </is>
      </c>
      <c r="B497" s="0" t="inlineStr">
        <is>
          <t xml:space="preserve">Nikolai Park</t>
        </is>
      </c>
      <c r="C497" s="0" t="inlineStr">
        <is>
          <t xml:space="preserve">Q3 2026</t>
        </is>
      </c>
      <c r="D497" s="12">
        <f>(0.25*'Commission plan'!B4)</f>
        <v>0.1875</v>
      </c>
      <c r="E497" s="12">
        <f>(0.25*'Commission plan'!C4)</f>
        <v>0.25</v>
      </c>
      <c r="F497" s="12">
        <f>(0.25*'Commission plan'!D4)</f>
        <v>0.375</v>
      </c>
      <c r="G497" s="12">
        <f>(0.25*'Commission plan'!E4)</f>
        <v>0.5</v>
      </c>
      <c r="H497" s="12">
        <f>(0.25*'Commission plan'!F4)</f>
        <v>0.75</v>
      </c>
      <c r="I497" s="12">
        <f>""</f>
      </c>
    </row>
    <row r="498">
      <c r="A498" s="0" t="inlineStr">
        <is>
          <t xml:space="preserve">Effective rate</t>
        </is>
      </c>
      <c r="B498" s="0" t="inlineStr">
        <is>
          <t xml:space="preserve">Nikolai Park</t>
        </is>
      </c>
      <c r="C498" s="0" t="inlineStr">
        <is>
          <t xml:space="preserve">Q4 2026</t>
        </is>
      </c>
      <c r="D498" s="12">
        <f>(0.25*'Commission plan'!B4)</f>
        <v>0.1875</v>
      </c>
      <c r="E498" s="12">
        <f>(0.25*'Commission plan'!C4)</f>
        <v>0.25</v>
      </c>
      <c r="F498" s="12">
        <f>(0.25*'Commission plan'!D4)</f>
        <v>0.375</v>
      </c>
      <c r="G498" s="12">
        <f>(0.25*'Commission plan'!E4)</f>
        <v>0.5</v>
      </c>
      <c r="H498" s="12">
        <f>(0.25*'Commission plan'!F4)</f>
        <v>0.75</v>
      </c>
      <c r="I498" s="12">
        <f>""</f>
      </c>
    </row>
    <row r="499">
      <c r="A499" s="0" t="inlineStr">
        <is>
          <t xml:space="preserve">Effective rate</t>
        </is>
      </c>
      <c r="B499" s="0" t="inlineStr">
        <is>
          <t xml:space="preserve">Ingrid Dubois</t>
        </is>
      </c>
      <c r="C499" s="0" t="inlineStr">
        <is>
          <t xml:space="preserve">Q2 2025</t>
        </is>
      </c>
      <c r="D499" s="12">
        <f>(0.25*'Commission plan'!B4)</f>
        <v>0.1875</v>
      </c>
      <c r="E499" s="12">
        <f>(0.25*'Commission plan'!C4)</f>
        <v>0.25</v>
      </c>
      <c r="F499" s="12">
        <f>(0.25*'Commission plan'!D4)</f>
        <v>0.375</v>
      </c>
      <c r="G499" s="12">
        <f>(0.25*'Commission plan'!E4)</f>
        <v>0.5</v>
      </c>
      <c r="H499" s="12">
        <f>(0.25*'Commission plan'!F4)</f>
        <v>0.75</v>
      </c>
      <c r="I499" s="12">
        <f>""</f>
      </c>
    </row>
    <row r="500">
      <c r="A500" s="0" t="inlineStr">
        <is>
          <t xml:space="preserve">Effective rate</t>
        </is>
      </c>
      <c r="B500" s="0" t="inlineStr">
        <is>
          <t xml:space="preserve">Ingrid Dubois</t>
        </is>
      </c>
      <c r="C500" s="0" t="inlineStr">
        <is>
          <t xml:space="preserve">Q3 2025</t>
        </is>
      </c>
      <c r="D500" s="12">
        <f>(0.25*'Commission plan'!B4)</f>
        <v>0.1875</v>
      </c>
      <c r="E500" s="12">
        <f>(0.25*'Commission plan'!C4)</f>
        <v>0.25</v>
      </c>
      <c r="F500" s="12">
        <f>(0.25*'Commission plan'!D4)</f>
        <v>0.375</v>
      </c>
      <c r="G500" s="12">
        <f>(0.25*'Commission plan'!E4)</f>
        <v>0.5</v>
      </c>
      <c r="H500" s="12">
        <f>(0.25*'Commission plan'!F4)</f>
        <v>0.75</v>
      </c>
      <c r="I500" s="12">
        <f>""</f>
      </c>
    </row>
    <row r="501">
      <c r="A501" s="0" t="inlineStr">
        <is>
          <t xml:space="preserve">Effective rate</t>
        </is>
      </c>
      <c r="B501" s="0" t="inlineStr">
        <is>
          <t xml:space="preserve">Ingrid Dubois</t>
        </is>
      </c>
      <c r="C501" s="0" t="inlineStr">
        <is>
          <t xml:space="preserve">Q4 2025</t>
        </is>
      </c>
      <c r="D501" s="12">
        <f>(0.25*'Commission plan'!B4)</f>
        <v>0.1875</v>
      </c>
      <c r="E501" s="12">
        <f>(0.25*'Commission plan'!C4)</f>
        <v>0.25</v>
      </c>
      <c r="F501" s="12">
        <f>(0.25*'Commission plan'!D4)</f>
        <v>0.375</v>
      </c>
      <c r="G501" s="12">
        <f>(0.25*'Commission plan'!E4)</f>
        <v>0.5</v>
      </c>
      <c r="H501" s="12">
        <f>(0.25*'Commission plan'!F4)</f>
        <v>0.75</v>
      </c>
      <c r="I501" s="12">
        <f>""</f>
      </c>
    </row>
    <row r="502">
      <c r="A502" s="0" t="inlineStr">
        <is>
          <t xml:space="preserve">Effective rate</t>
        </is>
      </c>
      <c r="B502" s="0" t="inlineStr">
        <is>
          <t xml:space="preserve">Ingrid Dubois</t>
        </is>
      </c>
      <c r="C502" s="0" t="inlineStr">
        <is>
          <t xml:space="preserve">Q1 2026</t>
        </is>
      </c>
      <c r="D502" s="12">
        <f>(0.25*'Commission plan'!B4)</f>
        <v>0.1875</v>
      </c>
      <c r="E502" s="12">
        <f>(0.25*'Commission plan'!C4)</f>
        <v>0.25</v>
      </c>
      <c r="F502" s="12">
        <f>(0.25*'Commission plan'!D4)</f>
        <v>0.375</v>
      </c>
      <c r="G502" s="12">
        <f>(0.25*'Commission plan'!E4)</f>
        <v>0.5</v>
      </c>
      <c r="H502" s="12">
        <f>(0.25*'Commission plan'!F4)</f>
        <v>0.75</v>
      </c>
      <c r="I502" s="12">
        <f>""</f>
      </c>
    </row>
    <row r="503">
      <c r="A503" s="0" t="inlineStr">
        <is>
          <t xml:space="preserve">Effective rate</t>
        </is>
      </c>
      <c r="B503" s="0" t="inlineStr">
        <is>
          <t xml:space="preserve">Ingrid Dubois</t>
        </is>
      </c>
      <c r="C503" s="0" t="inlineStr">
        <is>
          <t xml:space="preserve">Q2 2026</t>
        </is>
      </c>
      <c r="D503" s="12">
        <f>(0.25*'Commission plan'!B4)</f>
        <v>0.1875</v>
      </c>
      <c r="E503" s="12">
        <f>(0.25*'Commission plan'!C4)</f>
        <v>0.25</v>
      </c>
      <c r="F503" s="12">
        <f>(0.25*'Commission plan'!D4)</f>
        <v>0.375</v>
      </c>
      <c r="G503" s="12">
        <f>(0.25*'Commission plan'!E4)</f>
        <v>0.5</v>
      </c>
      <c r="H503" s="12">
        <f>(0.25*'Commission plan'!F4)</f>
        <v>0.75</v>
      </c>
      <c r="I503" s="12">
        <f>""</f>
      </c>
    </row>
    <row r="504">
      <c r="A504" s="0" t="inlineStr">
        <is>
          <t xml:space="preserve">Effective rate</t>
        </is>
      </c>
      <c r="B504" s="0" t="inlineStr">
        <is>
          <t xml:space="preserve">Ingrid Dubois</t>
        </is>
      </c>
      <c r="C504" s="0" t="inlineStr">
        <is>
          <t xml:space="preserve">Q3 2026</t>
        </is>
      </c>
      <c r="D504" s="12">
        <f>(0.25*'Commission plan'!B4)</f>
        <v>0.1875</v>
      </c>
      <c r="E504" s="12">
        <f>(0.25*'Commission plan'!C4)</f>
        <v>0.25</v>
      </c>
      <c r="F504" s="12">
        <f>(0.25*'Commission plan'!D4)</f>
        <v>0.375</v>
      </c>
      <c r="G504" s="12">
        <f>(0.25*'Commission plan'!E4)</f>
        <v>0.5</v>
      </c>
      <c r="H504" s="12">
        <f>(0.25*'Commission plan'!F4)</f>
        <v>0.75</v>
      </c>
      <c r="I504" s="12">
        <f>""</f>
      </c>
    </row>
    <row r="505">
      <c r="A505" s="0" t="inlineStr">
        <is>
          <t xml:space="preserve">Effective rate</t>
        </is>
      </c>
      <c r="B505" s="0" t="inlineStr">
        <is>
          <t xml:space="preserve">Ingrid Dubois</t>
        </is>
      </c>
      <c r="C505" s="0" t="inlineStr">
        <is>
          <t xml:space="preserve">Q4 2026</t>
        </is>
      </c>
      <c r="D505" s="12">
        <f>(0.25*'Commission plan'!B4)</f>
        <v>0.1875</v>
      </c>
      <c r="E505" s="12">
        <f>(0.25*'Commission plan'!C4)</f>
        <v>0.25</v>
      </c>
      <c r="F505" s="12">
        <f>(0.25*'Commission plan'!D4)</f>
        <v>0.375</v>
      </c>
      <c r="G505" s="12">
        <f>(0.25*'Commission plan'!E4)</f>
        <v>0.5</v>
      </c>
      <c r="H505" s="12">
        <f>(0.25*'Commission plan'!F4)</f>
        <v>0.75</v>
      </c>
      <c r="I505" s="12">
        <f>""</f>
      </c>
    </row>
    <row r="506">
      <c r="A506" s="0" t="inlineStr">
        <is>
          <t xml:space="preserve">Commission</t>
        </is>
      </c>
      <c r="B506" s="0" t="inlineStr">
        <is>
          <t xml:space="preserve">Noor Ortiz</t>
        </is>
      </c>
      <c r="C506" s="0" t="inlineStr">
        <is>
          <t xml:space="preserve">Q2 2025</t>
        </is>
      </c>
      <c r="D506" s="4">
        <f>((D170*'Rep quarterly'!C2)*D338)</f>
        <v>0</v>
      </c>
      <c r="E506" s="4">
        <f>((E170*'Rep quarterly'!C2)*E338)</f>
        <v>0</v>
      </c>
      <c r="F506" s="4">
        <f>((F170*'Rep quarterly'!C2)*F338)</f>
        <v>0</v>
      </c>
      <c r="G506" s="4">
        <f>((G170*'Rep quarterly'!C2)*G338)</f>
        <v>0</v>
      </c>
      <c r="H506" s="4">
        <f>((H170*'Rep quarterly'!C2)*H338)</f>
        <v>0</v>
      </c>
      <c r="I506" s="4">
        <f>SUM(D506:H506)</f>
        <v>0</v>
      </c>
    </row>
    <row r="507">
      <c r="A507" s="0" t="inlineStr">
        <is>
          <t xml:space="preserve">Commission</t>
        </is>
      </c>
      <c r="B507" s="0" t="inlineStr">
        <is>
          <t xml:space="preserve">Noor Ortiz</t>
        </is>
      </c>
      <c r="C507" s="0" t="inlineStr">
        <is>
          <t xml:space="preserve">Q3 2025</t>
        </is>
      </c>
      <c r="D507" s="4">
        <f>((D171*'Rep quarterly'!D2)*D339)</f>
        <v>0</v>
      </c>
      <c r="E507" s="4">
        <f>((E171*'Rep quarterly'!D2)*E339)</f>
        <v>0</v>
      </c>
      <c r="F507" s="4">
        <f>((F171*'Rep quarterly'!D2)*F339)</f>
        <v>0</v>
      </c>
      <c r="G507" s="4">
        <f>((G171*'Rep quarterly'!D2)*G339)</f>
        <v>0</v>
      </c>
      <c r="H507" s="4">
        <f>((H171*'Rep quarterly'!D2)*H339)</f>
        <v>0</v>
      </c>
      <c r="I507" s="4">
        <f>SUM(D507:H507)</f>
        <v>0</v>
      </c>
    </row>
    <row r="508">
      <c r="A508" s="0" t="inlineStr">
        <is>
          <t xml:space="preserve">Commission</t>
        </is>
      </c>
      <c r="B508" s="0" t="inlineStr">
        <is>
          <t xml:space="preserve">Noor Ortiz</t>
        </is>
      </c>
      <c r="C508" s="0" t="inlineStr">
        <is>
          <t xml:space="preserve">Q4 2025</t>
        </is>
      </c>
      <c r="D508" s="8">
        <f>((D172*'Rep quarterly'!E2)*D340)</f>
        <v>14062.500000000002</v>
      </c>
      <c r="E508" s="8">
        <f>((E172*'Rep quarterly'!E2)*E340)</f>
        <v>1369.999999999999</v>
      </c>
      <c r="F508" s="8">
        <f>((F172*'Rep quarterly'!E2)*F340)</f>
        <v>0</v>
      </c>
      <c r="G508" s="8">
        <f>((G172*'Rep quarterly'!E2)*G340)</f>
        <v>0</v>
      </c>
      <c r="H508" s="8">
        <f>((H172*'Rep quarterly'!E2)*H340)</f>
        <v>0</v>
      </c>
      <c r="I508" s="8">
        <f>SUM(D508:H508)</f>
        <v>15432.5</v>
      </c>
    </row>
    <row r="509">
      <c r="A509" s="0" t="inlineStr">
        <is>
          <t xml:space="preserve">Commission</t>
        </is>
      </c>
      <c r="B509" s="0" t="inlineStr">
        <is>
          <t xml:space="preserve">Noor Ortiz</t>
        </is>
      </c>
      <c r="C509" s="0" t="inlineStr">
        <is>
          <t xml:space="preserve">Q1 2026</t>
        </is>
      </c>
      <c r="D509" s="8">
        <f>((D173*'Rep quarterly'!F2)*D341)</f>
        <v>14062.500000000002</v>
      </c>
      <c r="E509" s="8">
        <f>((E173*'Rep quarterly'!F2)*E341)</f>
        <v>18750</v>
      </c>
      <c r="F509" s="8">
        <f>((F173*'Rep quarterly'!F2)*F341)</f>
        <v>14062.500000000002</v>
      </c>
      <c r="G509" s="8">
        <f>((G173*'Rep quarterly'!F2)*G341)</f>
        <v>7429.999999999997</v>
      </c>
      <c r="H509" s="8">
        <f>((H173*'Rep quarterly'!F2)*H341)</f>
        <v>0</v>
      </c>
      <c r="I509" s="8">
        <f>SUM(D509:H509)</f>
        <v>54305</v>
      </c>
    </row>
    <row r="510">
      <c r="A510" s="0" t="inlineStr">
        <is>
          <t xml:space="preserve">Commission</t>
        </is>
      </c>
      <c r="B510" s="0" t="inlineStr">
        <is>
          <t xml:space="preserve">Noor Ortiz</t>
        </is>
      </c>
      <c r="C510" s="0" t="inlineStr">
        <is>
          <t xml:space="preserve">Q2 2026</t>
        </is>
      </c>
      <c r="D510" s="8">
        <f>((D174*'Rep quarterly'!G2)*D342)</f>
        <v>14062.500000000002</v>
      </c>
      <c r="E510" s="8">
        <f>((E174*'Rep quarterly'!G2)*E342)</f>
        <v>18750</v>
      </c>
      <c r="F510" s="8">
        <f>((F174*'Rep quarterly'!G2)*F342)</f>
        <v>9255.000000000005</v>
      </c>
      <c r="G510" s="8">
        <f>((G174*'Rep quarterly'!G2)*G342)</f>
        <v>0</v>
      </c>
      <c r="H510" s="8">
        <f>((H174*'Rep quarterly'!G2)*H342)</f>
        <v>0</v>
      </c>
      <c r="I510" s="8">
        <f>SUM(D510:H510)</f>
        <v>42067.50000000001</v>
      </c>
    </row>
    <row r="511">
      <c r="A511" s="0" t="inlineStr">
        <is>
          <t xml:space="preserve">Commission</t>
        </is>
      </c>
      <c r="B511" s="0" t="inlineStr">
        <is>
          <t xml:space="preserve">Noor Ortiz</t>
        </is>
      </c>
      <c r="C511" s="0" t="inlineStr">
        <is>
          <t xml:space="preserve">Q3 2026</t>
        </is>
      </c>
      <c r="D511" s="8">
        <f>((D175*'Rep quarterly'!H2)*D343)</f>
        <v>10395.000000000002</v>
      </c>
      <c r="E511" s="8">
        <f>((E175*'Rep quarterly'!H2)*E343)</f>
        <v>0</v>
      </c>
      <c r="F511" s="8">
        <f>((F175*'Rep quarterly'!H2)*F343)</f>
        <v>0</v>
      </c>
      <c r="G511" s="8">
        <f>((G175*'Rep quarterly'!H2)*G343)</f>
        <v>0</v>
      </c>
      <c r="H511" s="8">
        <f>((H175*'Rep quarterly'!H2)*H343)</f>
        <v>0</v>
      </c>
      <c r="I511" s="8">
        <f>SUM(D511:H511)</f>
        <v>10395.000000000002</v>
      </c>
    </row>
    <row r="512">
      <c r="A512" s="0" t="inlineStr">
        <is>
          <t xml:space="preserve">Commission</t>
        </is>
      </c>
      <c r="B512" s="0" t="inlineStr">
        <is>
          <t xml:space="preserve">Noor Ortiz</t>
        </is>
      </c>
      <c r="C512" s="0" t="inlineStr">
        <is>
          <t xml:space="preserve">Q4 2026</t>
        </is>
      </c>
      <c r="D512" s="4">
        <f>((D176*'Rep quarterly'!I2)*D344)</f>
        <v>0</v>
      </c>
      <c r="E512" s="4">
        <f>((E176*'Rep quarterly'!I2)*E344)</f>
        <v>0</v>
      </c>
      <c r="F512" s="4">
        <f>((F176*'Rep quarterly'!I2)*F344)</f>
        <v>0</v>
      </c>
      <c r="G512" s="4">
        <f>((G176*'Rep quarterly'!I2)*G344)</f>
        <v>0</v>
      </c>
      <c r="H512" s="4">
        <f>((H176*'Rep quarterly'!I2)*H344)</f>
        <v>0</v>
      </c>
      <c r="I512" s="4">
        <f>SUM(D512:H512)</f>
        <v>0</v>
      </c>
    </row>
    <row r="513">
      <c r="A513" s="0" t="inlineStr">
        <is>
          <t xml:space="preserve">Commission</t>
        </is>
      </c>
      <c r="B513" s="0" t="inlineStr">
        <is>
          <t xml:space="preserve">Priya Yilmaz</t>
        </is>
      </c>
      <c r="C513" s="0" t="inlineStr">
        <is>
          <t xml:space="preserve">Q2 2025</t>
        </is>
      </c>
      <c r="D513" s="4">
        <f>((D177*'Rep quarterly'!C3)*D345)</f>
        <v>0</v>
      </c>
      <c r="E513" s="4">
        <f>((E177*'Rep quarterly'!C3)*E345)</f>
        <v>0</v>
      </c>
      <c r="F513" s="4">
        <f>((F177*'Rep quarterly'!C3)*F345)</f>
        <v>0</v>
      </c>
      <c r="G513" s="4">
        <f>((G177*'Rep quarterly'!C3)*G345)</f>
        <v>0</v>
      </c>
      <c r="H513" s="4">
        <f>((H177*'Rep quarterly'!C3)*H345)</f>
        <v>0</v>
      </c>
      <c r="I513" s="4">
        <f>SUM(D513:H513)</f>
        <v>0</v>
      </c>
    </row>
    <row r="514">
      <c r="A514" s="0" t="inlineStr">
        <is>
          <t xml:space="preserve">Commission</t>
        </is>
      </c>
      <c r="B514" s="0" t="inlineStr">
        <is>
          <t xml:space="preserve">Priya Yilmaz</t>
        </is>
      </c>
      <c r="C514" s="0" t="inlineStr">
        <is>
          <t xml:space="preserve">Q3 2025</t>
        </is>
      </c>
      <c r="D514" s="4">
        <f>((D178*'Rep quarterly'!D3)*D346)</f>
        <v>0</v>
      </c>
      <c r="E514" s="4">
        <f>((E178*'Rep quarterly'!D3)*E346)</f>
        <v>0</v>
      </c>
      <c r="F514" s="4">
        <f>((F178*'Rep quarterly'!D3)*F346)</f>
        <v>0</v>
      </c>
      <c r="G514" s="4">
        <f>((G178*'Rep quarterly'!D3)*G346)</f>
        <v>0</v>
      </c>
      <c r="H514" s="4">
        <f>((H178*'Rep quarterly'!D3)*H346)</f>
        <v>0</v>
      </c>
      <c r="I514" s="4">
        <f>SUM(D514:H514)</f>
        <v>0</v>
      </c>
    </row>
    <row r="515">
      <c r="A515" s="0" t="inlineStr">
        <is>
          <t xml:space="preserve">Commission</t>
        </is>
      </c>
      <c r="B515" s="0" t="inlineStr">
        <is>
          <t xml:space="preserve">Priya Yilmaz</t>
        </is>
      </c>
      <c r="C515" s="0" t="inlineStr">
        <is>
          <t xml:space="preserve">Q4 2025</t>
        </is>
      </c>
      <c r="D515" s="4">
        <f>((D179*'Rep quarterly'!E3)*D347)</f>
        <v>0</v>
      </c>
      <c r="E515" s="4">
        <f>((E179*'Rep quarterly'!E3)*E347)</f>
        <v>0</v>
      </c>
      <c r="F515" s="4">
        <f>((F179*'Rep quarterly'!E3)*F347)</f>
        <v>0</v>
      </c>
      <c r="G515" s="4">
        <f>((G179*'Rep quarterly'!E3)*G347)</f>
        <v>0</v>
      </c>
      <c r="H515" s="4">
        <f>((H179*'Rep quarterly'!E3)*H347)</f>
        <v>0</v>
      </c>
      <c r="I515" s="4">
        <f>SUM(D515:H515)</f>
        <v>0</v>
      </c>
    </row>
    <row r="516">
      <c r="A516" s="0" t="inlineStr">
        <is>
          <t xml:space="preserve">Commission</t>
        </is>
      </c>
      <c r="B516" s="0" t="inlineStr">
        <is>
          <t xml:space="preserve">Priya Yilmaz</t>
        </is>
      </c>
      <c r="C516" s="0" t="inlineStr">
        <is>
          <t xml:space="preserve">Q1 2026</t>
        </is>
      </c>
      <c r="D516" s="4">
        <f>((D180*'Rep quarterly'!F3)*D348)</f>
        <v>0</v>
      </c>
      <c r="E516" s="4">
        <f>((E180*'Rep quarterly'!F3)*E348)</f>
        <v>0</v>
      </c>
      <c r="F516" s="4">
        <f>((F180*'Rep quarterly'!F3)*F348)</f>
        <v>0</v>
      </c>
      <c r="G516" s="4">
        <f>((G180*'Rep quarterly'!F3)*G348)</f>
        <v>0</v>
      </c>
      <c r="H516" s="4">
        <f>((H180*'Rep quarterly'!F3)*H348)</f>
        <v>0</v>
      </c>
      <c r="I516" s="4">
        <f>SUM(D516:H516)</f>
        <v>0</v>
      </c>
    </row>
    <row r="517">
      <c r="A517" s="0" t="inlineStr">
        <is>
          <t xml:space="preserve">Commission</t>
        </is>
      </c>
      <c r="B517" s="0" t="inlineStr">
        <is>
          <t xml:space="preserve">Priya Yilmaz</t>
        </is>
      </c>
      <c r="C517" s="0" t="inlineStr">
        <is>
          <t xml:space="preserve">Q2 2026</t>
        </is>
      </c>
      <c r="D517" s="4">
        <f>((D181*'Rep quarterly'!G3)*D349)</f>
        <v>0</v>
      </c>
      <c r="E517" s="4">
        <f>((E181*'Rep quarterly'!G3)*E349)</f>
        <v>0</v>
      </c>
      <c r="F517" s="4">
        <f>((F181*'Rep quarterly'!G3)*F349)</f>
        <v>0</v>
      </c>
      <c r="G517" s="4">
        <f>((G181*'Rep quarterly'!G3)*G349)</f>
        <v>0</v>
      </c>
      <c r="H517" s="4">
        <f>((H181*'Rep quarterly'!G3)*H349)</f>
        <v>0</v>
      </c>
      <c r="I517" s="4">
        <f>SUM(D517:H517)</f>
        <v>0</v>
      </c>
    </row>
    <row r="518">
      <c r="A518" s="0" t="inlineStr">
        <is>
          <t xml:space="preserve">Commission</t>
        </is>
      </c>
      <c r="B518" s="0" t="inlineStr">
        <is>
          <t xml:space="preserve">Priya Yilmaz</t>
        </is>
      </c>
      <c r="C518" s="0" t="inlineStr">
        <is>
          <t xml:space="preserve">Q3 2026</t>
        </is>
      </c>
      <c r="D518" s="4">
        <f>((D182*'Rep quarterly'!H3)*D350)</f>
        <v>0</v>
      </c>
      <c r="E518" s="4">
        <f>((E182*'Rep quarterly'!H3)*E350)</f>
        <v>0</v>
      </c>
      <c r="F518" s="4">
        <f>((F182*'Rep quarterly'!H3)*F350)</f>
        <v>0</v>
      </c>
      <c r="G518" s="4">
        <f>((G182*'Rep quarterly'!H3)*G350)</f>
        <v>0</v>
      </c>
      <c r="H518" s="4">
        <f>((H182*'Rep quarterly'!H3)*H350)</f>
        <v>0</v>
      </c>
      <c r="I518" s="4">
        <f>SUM(D518:H518)</f>
        <v>0</v>
      </c>
    </row>
    <row r="519">
      <c r="A519" s="0" t="inlineStr">
        <is>
          <t xml:space="preserve">Commission</t>
        </is>
      </c>
      <c r="B519" s="0" t="inlineStr">
        <is>
          <t xml:space="preserve">Priya Yilmaz</t>
        </is>
      </c>
      <c r="C519" s="0" t="inlineStr">
        <is>
          <t xml:space="preserve">Q4 2026</t>
        </is>
      </c>
      <c r="D519" s="4">
        <f>((D183*'Rep quarterly'!I3)*D351)</f>
        <v>0</v>
      </c>
      <c r="E519" s="4">
        <f>((E183*'Rep quarterly'!I3)*E351)</f>
        <v>0</v>
      </c>
      <c r="F519" s="4">
        <f>((F183*'Rep quarterly'!I3)*F351)</f>
        <v>0</v>
      </c>
      <c r="G519" s="4">
        <f>((G183*'Rep quarterly'!I3)*G351)</f>
        <v>0</v>
      </c>
      <c r="H519" s="4">
        <f>((H183*'Rep quarterly'!I3)*H351)</f>
        <v>0</v>
      </c>
      <c r="I519" s="4">
        <f>SUM(D519:H519)</f>
        <v>0</v>
      </c>
    </row>
    <row r="520">
      <c r="A520" s="0" t="inlineStr">
        <is>
          <t xml:space="preserve">Commission</t>
        </is>
      </c>
      <c r="B520" s="0" t="inlineStr">
        <is>
          <t xml:space="preserve">Marcus Schmidt</t>
        </is>
      </c>
      <c r="C520" s="0" t="inlineStr">
        <is>
          <t xml:space="preserve">Q2 2025</t>
        </is>
      </c>
      <c r="D520" s="4">
        <f>((D184*'Rep quarterly'!C4)*D352)</f>
        <v>0</v>
      </c>
      <c r="E520" s="4">
        <f>((E184*'Rep quarterly'!C4)*E352)</f>
        <v>0</v>
      </c>
      <c r="F520" s="4">
        <f>((F184*'Rep quarterly'!C4)*F352)</f>
        <v>0</v>
      </c>
      <c r="G520" s="4">
        <f>((G184*'Rep quarterly'!C4)*G352)</f>
        <v>0</v>
      </c>
      <c r="H520" s="4">
        <f>((H184*'Rep quarterly'!C4)*H352)</f>
        <v>0</v>
      </c>
      <c r="I520" s="4">
        <f>SUM(D520:H520)</f>
        <v>0</v>
      </c>
    </row>
    <row r="521">
      <c r="A521" s="0" t="inlineStr">
        <is>
          <t xml:space="preserve">Commission</t>
        </is>
      </c>
      <c r="B521" s="0" t="inlineStr">
        <is>
          <t xml:space="preserve">Marcus Schmidt</t>
        </is>
      </c>
      <c r="C521" s="0" t="inlineStr">
        <is>
          <t xml:space="preserve">Q3 2025</t>
        </is>
      </c>
      <c r="D521" s="8">
        <f>((D185*'Rep quarterly'!D4)*D353)</f>
        <v>2571.825</v>
      </c>
      <c r="E521" s="8">
        <f>((E185*'Rep quarterly'!D4)*E353)</f>
        <v>3429.0999999999995</v>
      </c>
      <c r="F521" s="8">
        <f>((F185*'Rep quarterly'!D4)*F353)</f>
        <v>2571.825</v>
      </c>
      <c r="G521" s="8">
        <f>((G185*'Rep quarterly'!D4)*G353)</f>
        <v>3429.0999999999995</v>
      </c>
      <c r="H521" s="8">
        <f>((H185*'Rep quarterly'!D4)*H353)</f>
        <v>3222.0600000000013</v>
      </c>
      <c r="I521" s="8">
        <f>SUM(D521:H521)</f>
        <v>15223.91</v>
      </c>
    </row>
    <row r="522">
      <c r="A522" s="0" t="inlineStr">
        <is>
          <t xml:space="preserve">Commission</t>
        </is>
      </c>
      <c r="B522" s="0" t="inlineStr">
        <is>
          <t xml:space="preserve">Marcus Schmidt</t>
        </is>
      </c>
      <c r="C522" s="0" t="inlineStr">
        <is>
          <t xml:space="preserve">Q4 2025</t>
        </is>
      </c>
      <c r="D522" s="8">
        <f>((D186*'Rep quarterly'!E4)*D354)</f>
        <v>5143.65</v>
      </c>
      <c r="E522" s="8">
        <f>((E186*'Rep quarterly'!E4)*E354)</f>
        <v>6858.199999999999</v>
      </c>
      <c r="F522" s="8">
        <f>((F186*'Rep quarterly'!E4)*F354)</f>
        <v>5143.65</v>
      </c>
      <c r="G522" s="8">
        <f>((G186*'Rep quarterly'!E4)*G354)</f>
        <v>6858.199999999999</v>
      </c>
      <c r="H522" s="8">
        <f>((H186*'Rep quarterly'!E4)*H354)</f>
        <v>12267.119999999997</v>
      </c>
      <c r="I522" s="8">
        <f>SUM(D522:H522)</f>
        <v>36270.81999999999</v>
      </c>
    </row>
    <row r="523">
      <c r="A523" s="0" t="inlineStr">
        <is>
          <t xml:space="preserve">Commission</t>
        </is>
      </c>
      <c r="B523" s="0" t="inlineStr">
        <is>
          <t xml:space="preserve">Marcus Schmidt</t>
        </is>
      </c>
      <c r="C523" s="0" t="inlineStr">
        <is>
          <t xml:space="preserve">Q1 2026</t>
        </is>
      </c>
      <c r="D523" s="8">
        <f>((D187*'Rep quarterly'!F4)*D355)</f>
        <v>7715.474999999999</v>
      </c>
      <c r="E523" s="8">
        <f>((E187*'Rep quarterly'!F4)*E355)</f>
        <v>10287.3</v>
      </c>
      <c r="F523" s="8">
        <f>((F187*'Rep quarterly'!F4)*F355)</f>
        <v>7715.474999999999</v>
      </c>
      <c r="G523" s="8">
        <f>((G187*'Rep quarterly'!F4)*G355)</f>
        <v>10287.3</v>
      </c>
      <c r="H523" s="8">
        <f>((H187*'Rep quarterly'!F4)*H355)</f>
        <v>62577.84000000001</v>
      </c>
      <c r="I523" s="8">
        <f>SUM(D523:H523)</f>
        <v>98583.39000000001</v>
      </c>
    </row>
    <row r="524">
      <c r="A524" s="0" t="inlineStr">
        <is>
          <t xml:space="preserve">Commission</t>
        </is>
      </c>
      <c r="B524" s="0" t="inlineStr">
        <is>
          <t xml:space="preserve">Marcus Schmidt</t>
        </is>
      </c>
      <c r="C524" s="0" t="inlineStr">
        <is>
          <t xml:space="preserve">Q2 2026</t>
        </is>
      </c>
      <c r="D524" s="8">
        <f>((D188*'Rep quarterly'!G4)*D356)</f>
        <v>10287.3</v>
      </c>
      <c r="E524" s="8">
        <f>((E188*'Rep quarterly'!G4)*E356)</f>
        <v>8786.259999999998</v>
      </c>
      <c r="F524" s="8">
        <f>((F188*'Rep quarterly'!G4)*F356)</f>
        <v>0</v>
      </c>
      <c r="G524" s="8">
        <f>((G188*'Rep quarterly'!G4)*G356)</f>
        <v>0</v>
      </c>
      <c r="H524" s="8">
        <f>((H188*'Rep quarterly'!G4)*H356)</f>
        <v>0</v>
      </c>
      <c r="I524" s="8">
        <f>SUM(D524:H524)</f>
        <v>19073.559999999998</v>
      </c>
    </row>
    <row r="525">
      <c r="A525" s="0" t="inlineStr">
        <is>
          <t xml:space="preserve">Commission</t>
        </is>
      </c>
      <c r="B525" s="0" t="inlineStr">
        <is>
          <t xml:space="preserve">Marcus Schmidt</t>
        </is>
      </c>
      <c r="C525" s="0" t="inlineStr">
        <is>
          <t xml:space="preserve">Q3 2026</t>
        </is>
      </c>
      <c r="D525" s="8">
        <f>((D189*'Rep quarterly'!H4)*D357)</f>
        <v>10287.3</v>
      </c>
      <c r="E525" s="8">
        <f>((E189*'Rep quarterly'!H4)*E357)</f>
        <v>3079.7200000000007</v>
      </c>
      <c r="F525" s="8">
        <f>((F189*'Rep quarterly'!H4)*F357)</f>
        <v>0</v>
      </c>
      <c r="G525" s="8">
        <f>((G189*'Rep quarterly'!H4)*G357)</f>
        <v>0</v>
      </c>
      <c r="H525" s="8">
        <f>((H189*'Rep quarterly'!H4)*H357)</f>
        <v>0</v>
      </c>
      <c r="I525" s="8">
        <f>SUM(D525:H525)</f>
        <v>13367.02</v>
      </c>
    </row>
    <row r="526">
      <c r="A526" s="0" t="inlineStr">
        <is>
          <t xml:space="preserve">Commission</t>
        </is>
      </c>
      <c r="B526" s="0" t="inlineStr">
        <is>
          <t xml:space="preserve">Marcus Schmidt</t>
        </is>
      </c>
      <c r="C526" s="0" t="inlineStr">
        <is>
          <t xml:space="preserve">Q4 2026</t>
        </is>
      </c>
      <c r="D526" s="4">
        <f>((D190*'Rep quarterly'!I4)*D358)</f>
        <v>0</v>
      </c>
      <c r="E526" s="4">
        <f>((E190*'Rep quarterly'!I4)*E358)</f>
        <v>0</v>
      </c>
      <c r="F526" s="4">
        <f>((F190*'Rep quarterly'!I4)*F358)</f>
        <v>0</v>
      </c>
      <c r="G526" s="4">
        <f>((G190*'Rep quarterly'!I4)*G358)</f>
        <v>0</v>
      </c>
      <c r="H526" s="4">
        <f>((H190*'Rep quarterly'!I4)*H358)</f>
        <v>0</v>
      </c>
      <c r="I526" s="4">
        <f>SUM(D526:H526)</f>
        <v>0</v>
      </c>
    </row>
    <row r="527">
      <c r="A527" s="0" t="inlineStr">
        <is>
          <t xml:space="preserve">Commission</t>
        </is>
      </c>
      <c r="B527" s="0" t="inlineStr">
        <is>
          <t xml:space="preserve">Amara Haddad</t>
        </is>
      </c>
      <c r="C527" s="0" t="inlineStr">
        <is>
          <t xml:space="preserve">Q2 2025</t>
        </is>
      </c>
      <c r="D527" s="8">
        <f>((D191*'Rep quarterly'!C5)*D359)</f>
        <v>10287.3</v>
      </c>
      <c r="E527" s="8">
        <f>((E191*'Rep quarterly'!C5)*E359)</f>
        <v>13172.919999999996</v>
      </c>
      <c r="F527" s="8">
        <f>((F191*'Rep quarterly'!C5)*F359)</f>
        <v>0</v>
      </c>
      <c r="G527" s="8">
        <f>((G191*'Rep quarterly'!C5)*G359)</f>
        <v>0</v>
      </c>
      <c r="H527" s="8">
        <f>((H191*'Rep quarterly'!C5)*H359)</f>
        <v>0</v>
      </c>
      <c r="I527" s="8">
        <f>SUM(D527:H527)</f>
        <v>23460.219999999994</v>
      </c>
    </row>
    <row r="528">
      <c r="A528" s="0" t="inlineStr">
        <is>
          <t xml:space="preserve">Commission</t>
        </is>
      </c>
      <c r="B528" s="0" t="inlineStr">
        <is>
          <t xml:space="preserve">Amara Haddad</t>
        </is>
      </c>
      <c r="C528" s="0" t="inlineStr">
        <is>
          <t xml:space="preserve">Q3 2025</t>
        </is>
      </c>
      <c r="D528" s="8">
        <f>((D192*'Rep quarterly'!D5)*D360)</f>
        <v>10287.3</v>
      </c>
      <c r="E528" s="8">
        <f>((E192*'Rep quarterly'!D5)*E360)</f>
        <v>13716.399999999998</v>
      </c>
      <c r="F528" s="8">
        <f>((F192*'Rep quarterly'!D5)*F360)</f>
        <v>9627.359999999997</v>
      </c>
      <c r="G528" s="8">
        <f>((G192*'Rep quarterly'!D5)*G360)</f>
        <v>0</v>
      </c>
      <c r="H528" s="8">
        <f>((H192*'Rep quarterly'!D5)*H360)</f>
        <v>0</v>
      </c>
      <c r="I528" s="8">
        <f>SUM(D528:H528)</f>
        <v>33631.06</v>
      </c>
    </row>
    <row r="529">
      <c r="A529" s="0" t="inlineStr">
        <is>
          <t xml:space="preserve">Commission</t>
        </is>
      </c>
      <c r="B529" s="0" t="inlineStr">
        <is>
          <t xml:space="preserve">Amara Haddad</t>
        </is>
      </c>
      <c r="C529" s="0" t="inlineStr">
        <is>
          <t xml:space="preserve">Q4 2025</t>
        </is>
      </c>
      <c r="D529" s="8">
        <f>((D193*'Rep quarterly'!E5)*D361)</f>
        <v>10287.3</v>
      </c>
      <c r="E529" s="8">
        <f>((E193*'Rep quarterly'!E5)*E361)</f>
        <v>4153.74</v>
      </c>
      <c r="F529" s="8">
        <f>((F193*'Rep quarterly'!E5)*F361)</f>
        <v>0</v>
      </c>
      <c r="G529" s="8">
        <f>((G193*'Rep quarterly'!E5)*G361)</f>
        <v>0</v>
      </c>
      <c r="H529" s="8">
        <f>((H193*'Rep quarterly'!E5)*H361)</f>
        <v>0</v>
      </c>
      <c r="I529" s="8">
        <f>SUM(D529:H529)</f>
        <v>14441.039999999999</v>
      </c>
    </row>
    <row r="530">
      <c r="A530" s="0" t="inlineStr">
        <is>
          <t xml:space="preserve">Commission</t>
        </is>
      </c>
      <c r="B530" s="0" t="inlineStr">
        <is>
          <t xml:space="preserve">Amara Haddad</t>
        </is>
      </c>
      <c r="C530" s="0" t="inlineStr">
        <is>
          <t xml:space="preserve">Q1 2026</t>
        </is>
      </c>
      <c r="D530" s="8">
        <f>((D194*'Rep quarterly'!F5)*D362)</f>
        <v>4891.32</v>
      </c>
      <c r="E530" s="8">
        <f>((E194*'Rep quarterly'!F5)*E362)</f>
        <v>0</v>
      </c>
      <c r="F530" s="8">
        <f>((F194*'Rep quarterly'!F5)*F362)</f>
        <v>0</v>
      </c>
      <c r="G530" s="8">
        <f>((G194*'Rep quarterly'!F5)*G362)</f>
        <v>0</v>
      </c>
      <c r="H530" s="8">
        <f>((H194*'Rep quarterly'!F5)*H362)</f>
        <v>0</v>
      </c>
      <c r="I530" s="8">
        <f>SUM(D530:H530)</f>
        <v>4891.32</v>
      </c>
    </row>
    <row r="531">
      <c r="A531" s="0" t="inlineStr">
        <is>
          <t xml:space="preserve">Commission</t>
        </is>
      </c>
      <c r="B531" s="0" t="inlineStr">
        <is>
          <t xml:space="preserve">Amara Haddad</t>
        </is>
      </c>
      <c r="C531" s="0" t="inlineStr">
        <is>
          <t xml:space="preserve">Q2 2026</t>
        </is>
      </c>
      <c r="D531" s="8">
        <f>((D195*'Rep quarterly'!G5)*D363)</f>
        <v>3658.785</v>
      </c>
      <c r="E531" s="8">
        <f>((E195*'Rep quarterly'!G5)*E363)</f>
        <v>0</v>
      </c>
      <c r="F531" s="8">
        <f>((F195*'Rep quarterly'!G5)*F363)</f>
        <v>0</v>
      </c>
      <c r="G531" s="8">
        <f>((G195*'Rep quarterly'!G5)*G363)</f>
        <v>0</v>
      </c>
      <c r="H531" s="8">
        <f>((H195*'Rep quarterly'!G5)*H363)</f>
        <v>0</v>
      </c>
      <c r="I531" s="8">
        <f>SUM(D531:H531)</f>
        <v>3658.785</v>
      </c>
    </row>
    <row r="532">
      <c r="A532" s="0" t="inlineStr">
        <is>
          <t xml:space="preserve">Commission</t>
        </is>
      </c>
      <c r="B532" s="0" t="inlineStr">
        <is>
          <t xml:space="preserve">Amara Haddad</t>
        </is>
      </c>
      <c r="C532" s="0" t="inlineStr">
        <is>
          <t xml:space="preserve">Q3 2026</t>
        </is>
      </c>
      <c r="D532" s="8">
        <f>((D196*'Rep quarterly'!H5)*D364)</f>
        <v>5366.865000000001</v>
      </c>
      <c r="E532" s="8">
        <f>((E196*'Rep quarterly'!H5)*E364)</f>
        <v>0</v>
      </c>
      <c r="F532" s="8">
        <f>((F196*'Rep quarterly'!H5)*F364)</f>
        <v>0</v>
      </c>
      <c r="G532" s="8">
        <f>((G196*'Rep quarterly'!H5)*G364)</f>
        <v>0</v>
      </c>
      <c r="H532" s="8">
        <f>((H196*'Rep quarterly'!H5)*H364)</f>
        <v>0</v>
      </c>
      <c r="I532" s="8">
        <f>SUM(D532:H532)</f>
        <v>5366.865000000001</v>
      </c>
    </row>
    <row r="533">
      <c r="A533" s="0" t="inlineStr">
        <is>
          <t xml:space="preserve">Commission</t>
        </is>
      </c>
      <c r="B533" s="0" t="inlineStr">
        <is>
          <t xml:space="preserve">Amara Haddad</t>
        </is>
      </c>
      <c r="C533" s="0" t="inlineStr">
        <is>
          <t xml:space="preserve">Q4 2026</t>
        </is>
      </c>
      <c r="D533" s="4">
        <f>((D197*'Rep quarterly'!I5)*D365)</f>
        <v>0</v>
      </c>
      <c r="E533" s="4">
        <f>((E197*'Rep quarterly'!I5)*E365)</f>
        <v>0</v>
      </c>
      <c r="F533" s="4">
        <f>((F197*'Rep quarterly'!I5)*F365)</f>
        <v>0</v>
      </c>
      <c r="G533" s="4">
        <f>((G197*'Rep quarterly'!I5)*G365)</f>
        <v>0</v>
      </c>
      <c r="H533" s="4">
        <f>((H197*'Rep quarterly'!I5)*H365)</f>
        <v>0</v>
      </c>
      <c r="I533" s="4">
        <f>SUM(D533:H533)</f>
        <v>0</v>
      </c>
    </row>
    <row r="534">
      <c r="A534" s="0" t="inlineStr">
        <is>
          <t xml:space="preserve">Commission</t>
        </is>
      </c>
      <c r="B534" s="0" t="inlineStr">
        <is>
          <t xml:space="preserve">Fatima Silva</t>
        </is>
      </c>
      <c r="C534" s="0" t="inlineStr">
        <is>
          <t xml:space="preserve">Q2 2025</t>
        </is>
      </c>
      <c r="D534" s="8">
        <f>((D198*'Rep quarterly'!C6)*D366)</f>
        <v>7467.600000000001</v>
      </c>
      <c r="E534" s="8">
        <f>((E198*'Rep quarterly'!C6)*E366)</f>
        <v>9138.920000000002</v>
      </c>
      <c r="F534" s="8">
        <f>((F198*'Rep quarterly'!C6)*F366)</f>
        <v>0</v>
      </c>
      <c r="G534" s="8">
        <f>((G198*'Rep quarterly'!C6)*G366)</f>
        <v>0</v>
      </c>
      <c r="H534" s="8">
        <f>((H198*'Rep quarterly'!C6)*H366)</f>
        <v>0</v>
      </c>
      <c r="I534" s="8">
        <f>SUM(D534:H534)</f>
        <v>16606.520000000004</v>
      </c>
    </row>
    <row r="535">
      <c r="A535" s="0" t="inlineStr">
        <is>
          <t xml:space="preserve">Commission</t>
        </is>
      </c>
      <c r="B535" s="0" t="inlineStr">
        <is>
          <t xml:space="preserve">Fatima Silva</t>
        </is>
      </c>
      <c r="C535" s="0" t="inlineStr">
        <is>
          <t xml:space="preserve">Q3 2025</t>
        </is>
      </c>
      <c r="D535" s="8">
        <f>((D199*'Rep quarterly'!D6)*D367)</f>
        <v>7467.600000000001</v>
      </c>
      <c r="E535" s="8">
        <f>((E199*'Rep quarterly'!D6)*E367)</f>
        <v>9690.100000000002</v>
      </c>
      <c r="F535" s="8">
        <f>((F199*'Rep quarterly'!D6)*F367)</f>
        <v>0</v>
      </c>
      <c r="G535" s="8">
        <f>((G199*'Rep quarterly'!D6)*G367)</f>
        <v>0</v>
      </c>
      <c r="H535" s="8">
        <f>((H199*'Rep quarterly'!D6)*H367)</f>
        <v>0</v>
      </c>
      <c r="I535" s="8">
        <f>SUM(D535:H535)</f>
        <v>17157.700000000004</v>
      </c>
    </row>
    <row r="536">
      <c r="A536" s="0" t="inlineStr">
        <is>
          <t xml:space="preserve">Commission</t>
        </is>
      </c>
      <c r="B536" s="0" t="inlineStr">
        <is>
          <t xml:space="preserve">Fatima Silva</t>
        </is>
      </c>
      <c r="C536" s="0" t="inlineStr">
        <is>
          <t xml:space="preserve">Q4 2025</t>
        </is>
      </c>
      <c r="D536" s="8">
        <f>((D200*'Rep quarterly'!E6)*D368)</f>
        <v>7467.600000000001</v>
      </c>
      <c r="E536" s="8">
        <f>((E200*'Rep quarterly'!E6)*E368)</f>
        <v>9956.800000000001</v>
      </c>
      <c r="F536" s="8">
        <f>((F200*'Rep quarterly'!E6)*F368)</f>
        <v>2533.6500000000015</v>
      </c>
      <c r="G536" s="8">
        <f>((G200*'Rep quarterly'!E6)*G368)</f>
        <v>0</v>
      </c>
      <c r="H536" s="8">
        <f>((H200*'Rep quarterly'!E6)*H368)</f>
        <v>0</v>
      </c>
      <c r="I536" s="8">
        <f>SUM(D536:H536)</f>
        <v>19958.050000000003</v>
      </c>
    </row>
    <row r="537">
      <c r="A537" s="0" t="inlineStr">
        <is>
          <t xml:space="preserve">Commission</t>
        </is>
      </c>
      <c r="B537" s="0" t="inlineStr">
        <is>
          <t xml:space="preserve">Fatima Silva</t>
        </is>
      </c>
      <c r="C537" s="0" t="inlineStr">
        <is>
          <t xml:space="preserve">Q1 2026</t>
        </is>
      </c>
      <c r="D537" s="8">
        <f>((D201*'Rep quarterly'!F6)*D369)</f>
        <v>7467.600000000001</v>
      </c>
      <c r="E537" s="8">
        <f>((E201*'Rep quarterly'!F6)*E369)</f>
        <v>1155.7000000000005</v>
      </c>
      <c r="F537" s="8">
        <f>((F201*'Rep quarterly'!F6)*F369)</f>
        <v>0</v>
      </c>
      <c r="G537" s="8">
        <f>((G201*'Rep quarterly'!F6)*G369)</f>
        <v>0</v>
      </c>
      <c r="H537" s="8">
        <f>((H201*'Rep quarterly'!F6)*H369)</f>
        <v>0</v>
      </c>
      <c r="I537" s="8">
        <f>SUM(D537:H537)</f>
        <v>8623.300000000001</v>
      </c>
    </row>
    <row r="538">
      <c r="A538" s="0" t="inlineStr">
        <is>
          <t xml:space="preserve">Commission</t>
        </is>
      </c>
      <c r="B538" s="0" t="inlineStr">
        <is>
          <t xml:space="preserve">Fatima Silva</t>
        </is>
      </c>
      <c r="C538" s="0" t="inlineStr">
        <is>
          <t xml:space="preserve">Q2 2026</t>
        </is>
      </c>
      <c r="D538" s="8">
        <f>((D202*'Rep quarterly'!G6)*D370)</f>
        <v>7467.600000000001</v>
      </c>
      <c r="E538" s="8">
        <f>((E202*'Rep quarterly'!G6)*E370)</f>
        <v>9885.68</v>
      </c>
      <c r="F538" s="8">
        <f>((F202*'Rep quarterly'!G6)*F370)</f>
        <v>0</v>
      </c>
      <c r="G538" s="8">
        <f>((G202*'Rep quarterly'!G6)*G370)</f>
        <v>0</v>
      </c>
      <c r="H538" s="8">
        <f>((H202*'Rep quarterly'!G6)*H370)</f>
        <v>0</v>
      </c>
      <c r="I538" s="8">
        <f>SUM(D538:H538)</f>
        <v>17353.280000000002</v>
      </c>
    </row>
    <row r="539">
      <c r="A539" s="0" t="inlineStr">
        <is>
          <t xml:space="preserve">Commission</t>
        </is>
      </c>
      <c r="B539" s="0" t="inlineStr">
        <is>
          <t xml:space="preserve">Fatima Silva</t>
        </is>
      </c>
      <c r="C539" s="0" t="inlineStr">
        <is>
          <t xml:space="preserve">Q3 2026</t>
        </is>
      </c>
      <c r="D539" s="8">
        <f>((D203*'Rep quarterly'!H6)*D371)</f>
        <v>7467.600000000001</v>
      </c>
      <c r="E539" s="8">
        <f>((E203*'Rep quarterly'!H6)*E371)</f>
        <v>9956.800000000001</v>
      </c>
      <c r="F539" s="8">
        <f>((F203*'Rep quarterly'!H6)*F371)</f>
        <v>586.7399999999981</v>
      </c>
      <c r="G539" s="8">
        <f>((G203*'Rep quarterly'!H6)*G371)</f>
        <v>0</v>
      </c>
      <c r="H539" s="8">
        <f>((H203*'Rep quarterly'!H6)*H371)</f>
        <v>0</v>
      </c>
      <c r="I539" s="8">
        <f>SUM(D539:H539)</f>
        <v>18011.14</v>
      </c>
    </row>
    <row r="540">
      <c r="A540" s="0" t="inlineStr">
        <is>
          <t xml:space="preserve">Commission</t>
        </is>
      </c>
      <c r="B540" s="0" t="inlineStr">
        <is>
          <t xml:space="preserve">Fatima Silva</t>
        </is>
      </c>
      <c r="C540" s="0" t="inlineStr">
        <is>
          <t xml:space="preserve">Q4 2026</t>
        </is>
      </c>
      <c r="D540" s="4">
        <f>((D204*'Rep quarterly'!I6)*D372)</f>
        <v>0</v>
      </c>
      <c r="E540" s="4">
        <f>((E204*'Rep quarterly'!I6)*E372)</f>
        <v>0</v>
      </c>
      <c r="F540" s="4">
        <f>((F204*'Rep quarterly'!I6)*F372)</f>
        <v>0</v>
      </c>
      <c r="G540" s="4">
        <f>((G204*'Rep quarterly'!I6)*G372)</f>
        <v>0</v>
      </c>
      <c r="H540" s="4">
        <f>((H204*'Rep quarterly'!I6)*H372)</f>
        <v>0</v>
      </c>
      <c r="I540" s="4">
        <f>SUM(D540:H540)</f>
        <v>0</v>
      </c>
    </row>
    <row r="541">
      <c r="A541" s="0" t="inlineStr">
        <is>
          <t xml:space="preserve">Commission</t>
        </is>
      </c>
      <c r="B541" s="0" t="inlineStr">
        <is>
          <t xml:space="preserve">Ana Ortiz</t>
        </is>
      </c>
      <c r="C541" s="0" t="inlineStr">
        <is>
          <t xml:space="preserve">Q2 2025</t>
        </is>
      </c>
      <c r="D541" s="8">
        <f>((D205*'Rep quarterly'!C7)*D373)</f>
        <v>1866.9000000000003</v>
      </c>
      <c r="E541" s="8">
        <f>((E205*'Rep quarterly'!C7)*E373)</f>
        <v>1244.6000000000001</v>
      </c>
      <c r="F541" s="8">
        <f>((F205*'Rep quarterly'!C7)*F373)</f>
        <v>0</v>
      </c>
      <c r="G541" s="8">
        <f>((G205*'Rep quarterly'!C7)*G373)</f>
        <v>0</v>
      </c>
      <c r="H541" s="8">
        <f>((H205*'Rep quarterly'!C7)*H373)</f>
        <v>0</v>
      </c>
      <c r="I541" s="8">
        <f>SUM(D541:H541)</f>
        <v>3111.5000000000005</v>
      </c>
    </row>
    <row r="542">
      <c r="A542" s="0" t="inlineStr">
        <is>
          <t xml:space="preserve">Commission</t>
        </is>
      </c>
      <c r="B542" s="0" t="inlineStr">
        <is>
          <t xml:space="preserve">Ana Ortiz</t>
        </is>
      </c>
      <c r="C542" s="0" t="inlineStr">
        <is>
          <t xml:space="preserve">Q3 2025</t>
        </is>
      </c>
      <c r="D542" s="8">
        <f>((D206*'Rep quarterly'!D7)*D374)</f>
        <v>3733.8000000000006</v>
      </c>
      <c r="E542" s="8">
        <f>((E206*'Rep quarterly'!D7)*E374)</f>
        <v>4978.400000000001</v>
      </c>
      <c r="F542" s="8">
        <f>((F206*'Rep quarterly'!D7)*F374)</f>
        <v>3733.8000000000006</v>
      </c>
      <c r="G542" s="8">
        <f>((G206*'Rep quarterly'!D7)*G374)</f>
        <v>4978.400000000001</v>
      </c>
      <c r="H542" s="8">
        <f>((H206*'Rep quarterly'!D7)*H374)</f>
        <v>6934.2000000000035</v>
      </c>
      <c r="I542" s="8">
        <f>SUM(D542:H542)</f>
        <v>24358.600000000006</v>
      </c>
    </row>
    <row r="543">
      <c r="A543" s="0" t="inlineStr">
        <is>
          <t xml:space="preserve">Commission</t>
        </is>
      </c>
      <c r="B543" s="0" t="inlineStr">
        <is>
          <t xml:space="preserve">Ana Ortiz</t>
        </is>
      </c>
      <c r="C543" s="0" t="inlineStr">
        <is>
          <t xml:space="preserve">Q4 2025</t>
        </is>
      </c>
      <c r="D543" s="8">
        <f>((D207*'Rep quarterly'!E7)*D375)</f>
        <v>4667.250000000001</v>
      </c>
      <c r="E543" s="8">
        <f>((E207*'Rep quarterly'!E7)*E375)</f>
        <v>0</v>
      </c>
      <c r="F543" s="8">
        <f>((F207*'Rep quarterly'!E7)*F375)</f>
        <v>0</v>
      </c>
      <c r="G543" s="8">
        <f>((G207*'Rep quarterly'!E7)*G375)</f>
        <v>0</v>
      </c>
      <c r="H543" s="8">
        <f>((H207*'Rep quarterly'!E7)*H375)</f>
        <v>0</v>
      </c>
      <c r="I543" s="8">
        <f>SUM(D543:H543)</f>
        <v>4667.250000000001</v>
      </c>
    </row>
    <row r="544">
      <c r="A544" s="0" t="inlineStr">
        <is>
          <t xml:space="preserve">Commission</t>
        </is>
      </c>
      <c r="B544" s="0" t="inlineStr">
        <is>
          <t xml:space="preserve">Ana Ortiz</t>
        </is>
      </c>
      <c r="C544" s="0" t="inlineStr">
        <is>
          <t xml:space="preserve">Q1 2026</t>
        </is>
      </c>
      <c r="D544" s="8">
        <f>((D208*'Rep quarterly'!F7)*D376)</f>
        <v>7467.600000000001</v>
      </c>
      <c r="E544" s="8">
        <f>((E208*'Rep quarterly'!F7)*E376)</f>
        <v>177.7999999999994</v>
      </c>
      <c r="F544" s="8">
        <f>((F208*'Rep quarterly'!F7)*F376)</f>
        <v>0</v>
      </c>
      <c r="G544" s="8">
        <f>((G208*'Rep quarterly'!F7)*G376)</f>
        <v>0</v>
      </c>
      <c r="H544" s="8">
        <f>((H208*'Rep quarterly'!F7)*H376)</f>
        <v>0</v>
      </c>
      <c r="I544" s="8">
        <f>SUM(D544:H544)</f>
        <v>7645.400000000001</v>
      </c>
    </row>
    <row r="545">
      <c r="A545" s="0" t="inlineStr">
        <is>
          <t xml:space="preserve">Commission</t>
        </is>
      </c>
      <c r="B545" s="0" t="inlineStr">
        <is>
          <t xml:space="preserve">Ana Ortiz</t>
        </is>
      </c>
      <c r="C545" s="0" t="inlineStr">
        <is>
          <t xml:space="preserve">Q2 2026</t>
        </is>
      </c>
      <c r="D545" s="8">
        <f>((D209*'Rep quarterly'!G7)*D377)</f>
        <v>7467.600000000001</v>
      </c>
      <c r="E545" s="8">
        <f>((E209*'Rep quarterly'!G7)*E377)</f>
        <v>9423.400000000001</v>
      </c>
      <c r="F545" s="8">
        <f>((F209*'Rep quarterly'!G7)*F377)</f>
        <v>0</v>
      </c>
      <c r="G545" s="8">
        <f>((G209*'Rep quarterly'!G7)*G377)</f>
        <v>0</v>
      </c>
      <c r="H545" s="8">
        <f>((H209*'Rep quarterly'!G7)*H377)</f>
        <v>0</v>
      </c>
      <c r="I545" s="8">
        <f>SUM(D545:H545)</f>
        <v>16891.000000000004</v>
      </c>
    </row>
    <row r="546">
      <c r="A546" s="0" t="inlineStr">
        <is>
          <t xml:space="preserve">Commission</t>
        </is>
      </c>
      <c r="B546" s="0" t="inlineStr">
        <is>
          <t xml:space="preserve">Ana Ortiz</t>
        </is>
      </c>
      <c r="C546" s="0" t="inlineStr">
        <is>
          <t xml:space="preserve">Q3 2026</t>
        </is>
      </c>
      <c r="D546" s="8">
        <f>((D210*'Rep quarterly'!H7)*D378)</f>
        <v>7467.600000000001</v>
      </c>
      <c r="E546" s="8">
        <f>((E210*'Rep quarterly'!H7)*E378)</f>
        <v>2258.0600000000013</v>
      </c>
      <c r="F546" s="8">
        <f>((F210*'Rep quarterly'!H7)*F378)</f>
        <v>0</v>
      </c>
      <c r="G546" s="8">
        <f>((G210*'Rep quarterly'!H7)*G378)</f>
        <v>0</v>
      </c>
      <c r="H546" s="8">
        <f>((H210*'Rep quarterly'!H7)*H378)</f>
        <v>0</v>
      </c>
      <c r="I546" s="8">
        <f>SUM(D546:H546)</f>
        <v>9725.660000000003</v>
      </c>
    </row>
    <row r="547">
      <c r="A547" s="0" t="inlineStr">
        <is>
          <t xml:space="preserve">Commission</t>
        </is>
      </c>
      <c r="B547" s="0" t="inlineStr">
        <is>
          <t xml:space="preserve">Ana Ortiz</t>
        </is>
      </c>
      <c r="C547" s="0" t="inlineStr">
        <is>
          <t xml:space="preserve">Q4 2026</t>
        </is>
      </c>
      <c r="D547" s="4">
        <f>((D211*'Rep quarterly'!I7)*D379)</f>
        <v>0</v>
      </c>
      <c r="E547" s="4">
        <f>((E211*'Rep quarterly'!I7)*E379)</f>
        <v>0</v>
      </c>
      <c r="F547" s="4">
        <f>((F211*'Rep quarterly'!I7)*F379)</f>
        <v>0</v>
      </c>
      <c r="G547" s="4">
        <f>((G211*'Rep quarterly'!I7)*G379)</f>
        <v>0</v>
      </c>
      <c r="H547" s="4">
        <f>((H211*'Rep quarterly'!I7)*H379)</f>
        <v>0</v>
      </c>
      <c r="I547" s="4">
        <f>SUM(D547:H547)</f>
        <v>0</v>
      </c>
    </row>
    <row r="548">
      <c r="A548" s="0" t="inlineStr">
        <is>
          <t xml:space="preserve">Commission</t>
        </is>
      </c>
      <c r="B548" s="0" t="inlineStr">
        <is>
          <t xml:space="preserve">Tobias Silva</t>
        </is>
      </c>
      <c r="C548" s="0" t="inlineStr">
        <is>
          <t xml:space="preserve">Q2 2025</t>
        </is>
      </c>
      <c r="D548" s="4">
        <f>((D212*'Rep quarterly'!C8)*D380)</f>
        <v>0</v>
      </c>
      <c r="E548" s="4">
        <f>((E212*'Rep quarterly'!C8)*E380)</f>
        <v>0</v>
      </c>
      <c r="F548" s="4">
        <f>((F212*'Rep quarterly'!C8)*F380)</f>
        <v>0</v>
      </c>
      <c r="G548" s="4">
        <f>((G212*'Rep quarterly'!C8)*G380)</f>
        <v>0</v>
      </c>
      <c r="H548" s="4">
        <f>((H212*'Rep quarterly'!C8)*H380)</f>
        <v>0</v>
      </c>
      <c r="I548" s="4">
        <f>SUM(D548:H548)</f>
        <v>0</v>
      </c>
    </row>
    <row r="549">
      <c r="A549" s="0" t="inlineStr">
        <is>
          <t xml:space="preserve">Commission</t>
        </is>
      </c>
      <c r="B549" s="0" t="inlineStr">
        <is>
          <t xml:space="preserve">Tobias Silva</t>
        </is>
      </c>
      <c r="C549" s="0" t="inlineStr">
        <is>
          <t xml:space="preserve">Q3 2025</t>
        </is>
      </c>
      <c r="D549" s="8">
        <f>((D213*'Rep quarterly'!D8)*D381)</f>
        <v>11010.000000000002</v>
      </c>
      <c r="E549" s="8">
        <f>((E213*'Rep quarterly'!D8)*E381)</f>
        <v>0</v>
      </c>
      <c r="F549" s="8">
        <f>((F213*'Rep quarterly'!D8)*F381)</f>
        <v>0</v>
      </c>
      <c r="G549" s="8">
        <f>((G213*'Rep quarterly'!D8)*G381)</f>
        <v>0</v>
      </c>
      <c r="H549" s="8">
        <f>((H213*'Rep quarterly'!D8)*H381)</f>
        <v>0</v>
      </c>
      <c r="I549" s="8">
        <f>SUM(D549:H549)</f>
        <v>11010.000000000002</v>
      </c>
    </row>
    <row r="550">
      <c r="A550" s="0" t="inlineStr">
        <is>
          <t xml:space="preserve">Commission</t>
        </is>
      </c>
      <c r="B550" s="0" t="inlineStr">
        <is>
          <t xml:space="preserve">Tobias Silva</t>
        </is>
      </c>
      <c r="C550" s="0" t="inlineStr">
        <is>
          <t xml:space="preserve">Q4 2025</t>
        </is>
      </c>
      <c r="D550" s="4">
        <f>((D214*'Rep quarterly'!E8)*D382)</f>
        <v>0</v>
      </c>
      <c r="E550" s="4">
        <f>((E214*'Rep quarterly'!E8)*E382)</f>
        <v>0</v>
      </c>
      <c r="F550" s="4">
        <f>((F214*'Rep quarterly'!E8)*F382)</f>
        <v>0</v>
      </c>
      <c r="G550" s="4">
        <f>((G214*'Rep quarterly'!E8)*G382)</f>
        <v>0</v>
      </c>
      <c r="H550" s="4">
        <f>((H214*'Rep quarterly'!E8)*H382)</f>
        <v>0</v>
      </c>
      <c r="I550" s="4">
        <f>SUM(D550:H550)</f>
        <v>0</v>
      </c>
    </row>
    <row r="551">
      <c r="A551" s="0" t="inlineStr">
        <is>
          <t xml:space="preserve">Commission</t>
        </is>
      </c>
      <c r="B551" s="0" t="inlineStr">
        <is>
          <t xml:space="preserve">Tobias Silva</t>
        </is>
      </c>
      <c r="C551" s="0" t="inlineStr">
        <is>
          <t xml:space="preserve">Q1 2026</t>
        </is>
      </c>
      <c r="D551" s="8">
        <f>((D215*'Rep quarterly'!F8)*D383)</f>
        <v>14062.500000000002</v>
      </c>
      <c r="E551" s="8">
        <f>((E215*'Rep quarterly'!F8)*E383)</f>
        <v>18750</v>
      </c>
      <c r="F551" s="8">
        <f>((F215*'Rep quarterly'!F8)*F383)</f>
        <v>14062.500000000002</v>
      </c>
      <c r="G551" s="8">
        <f>((G215*'Rep quarterly'!F8)*G383)</f>
        <v>18750</v>
      </c>
      <c r="H551" s="8">
        <f>((H215*'Rep quarterly'!F8)*H383)</f>
        <v>254940.00000000003</v>
      </c>
      <c r="I551" s="8">
        <f>SUM(D551:H551)</f>
        <v>320565</v>
      </c>
    </row>
    <row r="552">
      <c r="A552" s="0" t="inlineStr">
        <is>
          <t xml:space="preserve">Commission</t>
        </is>
      </c>
      <c r="B552" s="0" t="inlineStr">
        <is>
          <t xml:space="preserve">Tobias Silva</t>
        </is>
      </c>
      <c r="C552" s="0" t="inlineStr">
        <is>
          <t xml:space="preserve">Q2 2026</t>
        </is>
      </c>
      <c r="D552" s="8">
        <f>((D216*'Rep quarterly'!G8)*D384)</f>
        <v>3975.0000000000005</v>
      </c>
      <c r="E552" s="8">
        <f>((E216*'Rep quarterly'!G8)*E384)</f>
        <v>0</v>
      </c>
      <c r="F552" s="8">
        <f>((F216*'Rep quarterly'!G8)*F384)</f>
        <v>0</v>
      </c>
      <c r="G552" s="8">
        <f>((G216*'Rep quarterly'!G8)*G384)</f>
        <v>0</v>
      </c>
      <c r="H552" s="8">
        <f>((H216*'Rep quarterly'!G8)*H384)</f>
        <v>0</v>
      </c>
      <c r="I552" s="8">
        <f>SUM(D552:H552)</f>
        <v>3975.0000000000005</v>
      </c>
    </row>
    <row r="553">
      <c r="A553" s="0" t="inlineStr">
        <is>
          <t xml:space="preserve">Commission</t>
        </is>
      </c>
      <c r="B553" s="0" t="inlineStr">
        <is>
          <t xml:space="preserve">Tobias Silva</t>
        </is>
      </c>
      <c r="C553" s="0" t="inlineStr">
        <is>
          <t xml:space="preserve">Q3 2026</t>
        </is>
      </c>
      <c r="D553" s="8">
        <f>((D217*'Rep quarterly'!H8)*D385)</f>
        <v>14062.500000000002</v>
      </c>
      <c r="E553" s="8">
        <f>((E217*'Rep quarterly'!H8)*E385)</f>
        <v>18750</v>
      </c>
      <c r="F553" s="8">
        <f>((F217*'Rep quarterly'!H8)*F385)</f>
        <v>14062.500000000002</v>
      </c>
      <c r="G553" s="8">
        <f>((G217*'Rep quarterly'!H8)*G385)</f>
        <v>5509.999999999993</v>
      </c>
      <c r="H553" s="8">
        <f>((H217*'Rep quarterly'!H8)*H385)</f>
        <v>0</v>
      </c>
      <c r="I553" s="8">
        <f>SUM(D553:H553)</f>
        <v>52384.99999999999</v>
      </c>
    </row>
    <row r="554">
      <c r="A554" s="0" t="inlineStr">
        <is>
          <t xml:space="preserve">Commission</t>
        </is>
      </c>
      <c r="B554" s="0" t="inlineStr">
        <is>
          <t xml:space="preserve">Tobias Silva</t>
        </is>
      </c>
      <c r="C554" s="0" t="inlineStr">
        <is>
          <t xml:space="preserve">Q4 2026</t>
        </is>
      </c>
      <c r="D554" s="4">
        <f>((D218*'Rep quarterly'!I8)*D386)</f>
        <v>0</v>
      </c>
      <c r="E554" s="4">
        <f>((E218*'Rep quarterly'!I8)*E386)</f>
        <v>0</v>
      </c>
      <c r="F554" s="4">
        <f>((F218*'Rep quarterly'!I8)*F386)</f>
        <v>0</v>
      </c>
      <c r="G554" s="4">
        <f>((G218*'Rep quarterly'!I8)*G386)</f>
        <v>0</v>
      </c>
      <c r="H554" s="4">
        <f>((H218*'Rep quarterly'!I8)*H386)</f>
        <v>0</v>
      </c>
      <c r="I554" s="4">
        <f>SUM(D554:H554)</f>
        <v>0</v>
      </c>
    </row>
    <row r="555">
      <c r="A555" s="0" t="inlineStr">
        <is>
          <t xml:space="preserve">Commission</t>
        </is>
      </c>
      <c r="B555" s="0" t="inlineStr">
        <is>
          <t xml:space="preserve">Leila Osei</t>
        </is>
      </c>
      <c r="C555" s="0" t="inlineStr">
        <is>
          <t xml:space="preserve">Q2 2025</t>
        </is>
      </c>
      <c r="D555" s="4">
        <f>((D219*'Rep quarterly'!C9)*D387)</f>
        <v>0</v>
      </c>
      <c r="E555" s="4">
        <f>((E219*'Rep quarterly'!C9)*E387)</f>
        <v>0</v>
      </c>
      <c r="F555" s="4">
        <f>((F219*'Rep quarterly'!C9)*F387)</f>
        <v>0</v>
      </c>
      <c r="G555" s="4">
        <f>((G219*'Rep quarterly'!C9)*G387)</f>
        <v>0</v>
      </c>
      <c r="H555" s="4">
        <f>((H219*'Rep quarterly'!C9)*H387)</f>
        <v>0</v>
      </c>
      <c r="I555" s="4">
        <f>SUM(D555:H555)</f>
        <v>0</v>
      </c>
    </row>
    <row r="556">
      <c r="A556" s="0" t="inlineStr">
        <is>
          <t xml:space="preserve">Commission</t>
        </is>
      </c>
      <c r="B556" s="0" t="inlineStr">
        <is>
          <t xml:space="preserve">Leila Osei</t>
        </is>
      </c>
      <c r="C556" s="0" t="inlineStr">
        <is>
          <t xml:space="preserve">Q3 2025</t>
        </is>
      </c>
      <c r="D556" s="4">
        <f>((D220*'Rep quarterly'!D9)*D388)</f>
        <v>0</v>
      </c>
      <c r="E556" s="4">
        <f>((E220*'Rep quarterly'!D9)*E388)</f>
        <v>0</v>
      </c>
      <c r="F556" s="4">
        <f>((F220*'Rep quarterly'!D9)*F388)</f>
        <v>0</v>
      </c>
      <c r="G556" s="4">
        <f>((G220*'Rep quarterly'!D9)*G388)</f>
        <v>0</v>
      </c>
      <c r="H556" s="4">
        <f>((H220*'Rep quarterly'!D9)*H388)</f>
        <v>0</v>
      </c>
      <c r="I556" s="4">
        <f>SUM(D556:H556)</f>
        <v>0</v>
      </c>
    </row>
    <row r="557">
      <c r="A557" s="0" t="inlineStr">
        <is>
          <t xml:space="preserve">Commission</t>
        </is>
      </c>
      <c r="B557" s="0" t="inlineStr">
        <is>
          <t xml:space="preserve">Leila Osei</t>
        </is>
      </c>
      <c r="C557" s="0" t="inlineStr">
        <is>
          <t xml:space="preserve">Q4 2025</t>
        </is>
      </c>
      <c r="D557" s="4">
        <f>((D221*'Rep quarterly'!E9)*D389)</f>
        <v>0</v>
      </c>
      <c r="E557" s="4">
        <f>((E221*'Rep quarterly'!E9)*E389)</f>
        <v>0</v>
      </c>
      <c r="F557" s="4">
        <f>((F221*'Rep quarterly'!E9)*F389)</f>
        <v>0</v>
      </c>
      <c r="G557" s="4">
        <f>((G221*'Rep quarterly'!E9)*G389)</f>
        <v>0</v>
      </c>
      <c r="H557" s="4">
        <f>((H221*'Rep quarterly'!E9)*H389)</f>
        <v>0</v>
      </c>
      <c r="I557" s="4">
        <f>SUM(D557:H557)</f>
        <v>0</v>
      </c>
    </row>
    <row r="558">
      <c r="A558" s="0" t="inlineStr">
        <is>
          <t xml:space="preserve">Commission</t>
        </is>
      </c>
      <c r="B558" s="0" t="inlineStr">
        <is>
          <t xml:space="preserve">Leila Osei</t>
        </is>
      </c>
      <c r="C558" s="0" t="inlineStr">
        <is>
          <t xml:space="preserve">Q1 2026</t>
        </is>
      </c>
      <c r="D558" s="8">
        <f>((D222*'Rep quarterly'!F9)*D390)</f>
        <v>2662.5000000000005</v>
      </c>
      <c r="E558" s="8">
        <f>((E222*'Rep quarterly'!F9)*E390)</f>
        <v>0</v>
      </c>
      <c r="F558" s="8">
        <f>((F222*'Rep quarterly'!F9)*F390)</f>
        <v>0</v>
      </c>
      <c r="G558" s="8">
        <f>((G222*'Rep quarterly'!F9)*G390)</f>
        <v>0</v>
      </c>
      <c r="H558" s="8">
        <f>((H222*'Rep quarterly'!F9)*H390)</f>
        <v>0</v>
      </c>
      <c r="I558" s="8">
        <f>SUM(D558:H558)</f>
        <v>2662.5000000000005</v>
      </c>
    </row>
    <row r="559">
      <c r="A559" s="0" t="inlineStr">
        <is>
          <t xml:space="preserve">Commission</t>
        </is>
      </c>
      <c r="B559" s="0" t="inlineStr">
        <is>
          <t xml:space="preserve">Leila Osei</t>
        </is>
      </c>
      <c r="C559" s="0" t="inlineStr">
        <is>
          <t xml:space="preserve">Q2 2026</t>
        </is>
      </c>
      <c r="D559" s="8">
        <f>((D223*'Rep quarterly'!G9)*D391)</f>
        <v>14062.500000000002</v>
      </c>
      <c r="E559" s="8">
        <f>((E223*'Rep quarterly'!G9)*E391)</f>
        <v>16750</v>
      </c>
      <c r="F559" s="8">
        <f>((F223*'Rep quarterly'!G9)*F391)</f>
        <v>0</v>
      </c>
      <c r="G559" s="8">
        <f>((G223*'Rep quarterly'!G9)*G391)</f>
        <v>0</v>
      </c>
      <c r="H559" s="8">
        <f>((H223*'Rep quarterly'!G9)*H391)</f>
        <v>0</v>
      </c>
      <c r="I559" s="8">
        <f>SUM(D559:H559)</f>
        <v>30812.5</v>
      </c>
    </row>
    <row r="560">
      <c r="A560" s="0" t="inlineStr">
        <is>
          <t xml:space="preserve">Commission</t>
        </is>
      </c>
      <c r="B560" s="0" t="inlineStr">
        <is>
          <t xml:space="preserve">Leila Osei</t>
        </is>
      </c>
      <c r="C560" s="0" t="inlineStr">
        <is>
          <t xml:space="preserve">Q3 2026</t>
        </is>
      </c>
      <c r="D560" s="8">
        <f>((D224*'Rep quarterly'!H9)*D392)</f>
        <v>14062.500000000002</v>
      </c>
      <c r="E560" s="8">
        <f>((E224*'Rep quarterly'!H9)*E392)</f>
        <v>18750</v>
      </c>
      <c r="F560" s="8">
        <f>((F224*'Rep quarterly'!H9)*F392)</f>
        <v>14062.500000000002</v>
      </c>
      <c r="G560" s="8">
        <f>((G224*'Rep quarterly'!H9)*G392)</f>
        <v>18750</v>
      </c>
      <c r="H560" s="8">
        <f>((H224*'Rep quarterly'!H9)*H392)</f>
        <v>40650</v>
      </c>
      <c r="I560" s="8">
        <f>SUM(D560:H560)</f>
        <v>106275</v>
      </c>
    </row>
    <row r="561">
      <c r="A561" s="0" t="inlineStr">
        <is>
          <t xml:space="preserve">Commission</t>
        </is>
      </c>
      <c r="B561" s="0" t="inlineStr">
        <is>
          <t xml:space="preserve">Leila Osei</t>
        </is>
      </c>
      <c r="C561" s="0" t="inlineStr">
        <is>
          <t xml:space="preserve">Q4 2026</t>
        </is>
      </c>
      <c r="D561" s="4">
        <f>((D225*'Rep quarterly'!I9)*D393)</f>
        <v>0</v>
      </c>
      <c r="E561" s="4">
        <f>((E225*'Rep quarterly'!I9)*E393)</f>
        <v>0</v>
      </c>
      <c r="F561" s="4">
        <f>((F225*'Rep quarterly'!I9)*F393)</f>
        <v>0</v>
      </c>
      <c r="G561" s="4">
        <f>((G225*'Rep quarterly'!I9)*G393)</f>
        <v>0</v>
      </c>
      <c r="H561" s="4">
        <f>((H225*'Rep quarterly'!I9)*H393)</f>
        <v>0</v>
      </c>
      <c r="I561" s="4">
        <f>SUM(D561:H561)</f>
        <v>0</v>
      </c>
    </row>
    <row r="562">
      <c r="A562" s="0" t="inlineStr">
        <is>
          <t xml:space="preserve">Commission</t>
        </is>
      </c>
      <c r="B562" s="0" t="inlineStr">
        <is>
          <t xml:space="preserve">Grace Costa</t>
        </is>
      </c>
      <c r="C562" s="0" t="inlineStr">
        <is>
          <t xml:space="preserve">Q2 2025</t>
        </is>
      </c>
      <c r="D562" s="8">
        <f>((D226*'Rep quarterly'!C10)*D394)</f>
        <v>7016.715</v>
      </c>
      <c r="E562" s="8">
        <f>((E226*'Rep quarterly'!C10)*E394)</f>
        <v>0</v>
      </c>
      <c r="F562" s="8">
        <f>((F226*'Rep quarterly'!C10)*F394)</f>
        <v>0</v>
      </c>
      <c r="G562" s="8">
        <f>((G226*'Rep quarterly'!C10)*G394)</f>
        <v>0</v>
      </c>
      <c r="H562" s="8">
        <f>((H226*'Rep quarterly'!C10)*H394)</f>
        <v>0</v>
      </c>
      <c r="I562" s="8">
        <f>SUM(D562:H562)</f>
        <v>7016.715</v>
      </c>
    </row>
    <row r="563">
      <c r="A563" s="0" t="inlineStr">
        <is>
          <t xml:space="preserve">Commission</t>
        </is>
      </c>
      <c r="B563" s="0" t="inlineStr">
        <is>
          <t xml:space="preserve">Grace Costa</t>
        </is>
      </c>
      <c r="C563" s="0" t="inlineStr">
        <is>
          <t xml:space="preserve">Q3 2025</t>
        </is>
      </c>
      <c r="D563" s="8">
        <f>((D227*'Rep quarterly'!D10)*D395)</f>
        <v>10287.3</v>
      </c>
      <c r="E563" s="8">
        <f>((E227*'Rep quarterly'!D10)*E395)</f>
        <v>1035.1999999999996</v>
      </c>
      <c r="F563" s="8">
        <f>((F227*'Rep quarterly'!D10)*F395)</f>
        <v>0</v>
      </c>
      <c r="G563" s="8">
        <f>((G227*'Rep quarterly'!D10)*G395)</f>
        <v>0</v>
      </c>
      <c r="H563" s="8">
        <f>((H227*'Rep quarterly'!D10)*H395)</f>
        <v>0</v>
      </c>
      <c r="I563" s="8">
        <f>SUM(D563:H563)</f>
        <v>11322.499999999998</v>
      </c>
    </row>
    <row r="564">
      <c r="A564" s="0" t="inlineStr">
        <is>
          <t xml:space="preserve">Commission</t>
        </is>
      </c>
      <c r="B564" s="0" t="inlineStr">
        <is>
          <t xml:space="preserve">Grace Costa</t>
        </is>
      </c>
      <c r="C564" s="0" t="inlineStr">
        <is>
          <t xml:space="preserve">Q4 2025</t>
        </is>
      </c>
      <c r="D564" s="8">
        <f>((D228*'Rep quarterly'!E10)*D396)</f>
        <v>10287.3</v>
      </c>
      <c r="E564" s="8">
        <f>((E228*'Rep quarterly'!E10)*E396)</f>
        <v>13716.399999999998</v>
      </c>
      <c r="F564" s="8">
        <f>((F228*'Rep quarterly'!E10)*F396)</f>
        <v>10287.3</v>
      </c>
      <c r="G564" s="8">
        <f>((G228*'Rep quarterly'!E10)*G396)</f>
        <v>13716.399999999998</v>
      </c>
      <c r="H564" s="8">
        <f>((H228*'Rep quarterly'!E10)*H396)</f>
        <v>10830.779999999995</v>
      </c>
      <c r="I564" s="8">
        <f>SUM(D564:H564)</f>
        <v>58838.17999999999</v>
      </c>
    </row>
    <row r="565">
      <c r="A565" s="0" t="inlineStr">
        <is>
          <t xml:space="preserve">Commission</t>
        </is>
      </c>
      <c r="B565" s="0" t="inlineStr">
        <is>
          <t xml:space="preserve">Grace Costa</t>
        </is>
      </c>
      <c r="C565" s="0" t="inlineStr">
        <is>
          <t xml:space="preserve">Q1 2026</t>
        </is>
      </c>
      <c r="D565" s="8">
        <f>((D229*'Rep quarterly'!F10)*D397)</f>
        <v>10287.3</v>
      </c>
      <c r="E565" s="8">
        <f>((E229*'Rep quarterly'!F10)*E397)</f>
        <v>13716.399999999998</v>
      </c>
      <c r="F565" s="8">
        <f>((F229*'Rep quarterly'!F10)*F397)</f>
        <v>10287.3</v>
      </c>
      <c r="G565" s="8">
        <f>((G229*'Rep quarterly'!F10)*G397)</f>
        <v>13716.399999999998</v>
      </c>
      <c r="H565" s="8">
        <f>((H229*'Rep quarterly'!F10)*H397)</f>
        <v>2173.9199999999996</v>
      </c>
      <c r="I565" s="8">
        <f>SUM(D565:H565)</f>
        <v>50181.31999999999</v>
      </c>
    </row>
    <row r="566">
      <c r="A566" s="0" t="inlineStr">
        <is>
          <t xml:space="preserve">Commission</t>
        </is>
      </c>
      <c r="B566" s="0" t="inlineStr">
        <is>
          <t xml:space="preserve">Grace Costa</t>
        </is>
      </c>
      <c r="C566" s="0" t="inlineStr">
        <is>
          <t xml:space="preserve">Q2 2026</t>
        </is>
      </c>
      <c r="D566" s="8">
        <f>((D230*'Rep quarterly'!G10)*D398)</f>
        <v>10287.3</v>
      </c>
      <c r="E566" s="8">
        <f>((E230*'Rep quarterly'!G10)*E398)</f>
        <v>13716.399999999998</v>
      </c>
      <c r="F566" s="8">
        <f>((F230*'Rep quarterly'!G10)*F398)</f>
        <v>10287.3</v>
      </c>
      <c r="G566" s="8">
        <f>((G230*'Rep quarterly'!G10)*G398)</f>
        <v>13716.399999999998</v>
      </c>
      <c r="H566" s="8">
        <f>((H230*'Rep quarterly'!G10)*H398)</f>
        <v>127989.54</v>
      </c>
      <c r="I566" s="8">
        <f>SUM(D566:H566)</f>
        <v>175996.94</v>
      </c>
    </row>
    <row r="567">
      <c r="A567" s="0" t="inlineStr">
        <is>
          <t xml:space="preserve">Commission</t>
        </is>
      </c>
      <c r="B567" s="0" t="inlineStr">
        <is>
          <t xml:space="preserve">Grace Costa</t>
        </is>
      </c>
      <c r="C567" s="0" t="inlineStr">
        <is>
          <t xml:space="preserve">Q3 2026</t>
        </is>
      </c>
      <c r="D567" s="8">
        <f>((D231*'Rep quarterly'!H10)*D399)</f>
        <v>10287.3</v>
      </c>
      <c r="E567" s="8">
        <f>((E231*'Rep quarterly'!H10)*E399)</f>
        <v>13716.399999999998</v>
      </c>
      <c r="F567" s="8">
        <f>((F231*'Rep quarterly'!H10)*F399)</f>
        <v>10287.3</v>
      </c>
      <c r="G567" s="8">
        <f>((G231*'Rep quarterly'!H10)*G399)</f>
        <v>13716.399999999998</v>
      </c>
      <c r="H567" s="8">
        <f>((H231*'Rep quarterly'!H10)*H399)</f>
        <v>25077.72000000001</v>
      </c>
      <c r="I567" s="8">
        <f>SUM(D567:H567)</f>
        <v>73085.12</v>
      </c>
    </row>
    <row r="568">
      <c r="A568" s="0" t="inlineStr">
        <is>
          <t xml:space="preserve">Commission</t>
        </is>
      </c>
      <c r="B568" s="0" t="inlineStr">
        <is>
          <t xml:space="preserve">Grace Costa</t>
        </is>
      </c>
      <c r="C568" s="0" t="inlineStr">
        <is>
          <t xml:space="preserve">Q4 2026</t>
        </is>
      </c>
      <c r="D568" s="4">
        <f>((D232*'Rep quarterly'!I10)*D400)</f>
        <v>0</v>
      </c>
      <c r="E568" s="4">
        <f>((E232*'Rep quarterly'!I10)*E400)</f>
        <v>0</v>
      </c>
      <c r="F568" s="4">
        <f>((F232*'Rep quarterly'!I10)*F400)</f>
        <v>0</v>
      </c>
      <c r="G568" s="4">
        <f>((G232*'Rep quarterly'!I10)*G400)</f>
        <v>0</v>
      </c>
      <c r="H568" s="4">
        <f>((H232*'Rep quarterly'!I10)*H400)</f>
        <v>0</v>
      </c>
      <c r="I568" s="4">
        <f>SUM(D568:H568)</f>
        <v>0</v>
      </c>
    </row>
    <row r="569">
      <c r="A569" s="0" t="inlineStr">
        <is>
          <t xml:space="preserve">Commission</t>
        </is>
      </c>
      <c r="B569" s="0" t="inlineStr">
        <is>
          <t xml:space="preserve">Ingrid Müller</t>
        </is>
      </c>
      <c r="C569" s="0" t="inlineStr">
        <is>
          <t xml:space="preserve">Q2 2025</t>
        </is>
      </c>
      <c r="D569" s="4">
        <f>((D233*'Rep quarterly'!C11)*D401)</f>
        <v>0</v>
      </c>
      <c r="E569" s="4">
        <f>((E233*'Rep quarterly'!C11)*E401)</f>
        <v>0</v>
      </c>
      <c r="F569" s="4">
        <f>((F233*'Rep quarterly'!C11)*F401)</f>
        <v>0</v>
      </c>
      <c r="G569" s="4">
        <f>((G233*'Rep quarterly'!C11)*G401)</f>
        <v>0</v>
      </c>
      <c r="H569" s="4">
        <f>((H233*'Rep quarterly'!C11)*H401)</f>
        <v>0</v>
      </c>
      <c r="I569" s="4">
        <f>SUM(D569:H569)</f>
        <v>0</v>
      </c>
    </row>
    <row r="570">
      <c r="A570" s="0" t="inlineStr">
        <is>
          <t xml:space="preserve">Commission</t>
        </is>
      </c>
      <c r="B570" s="0" t="inlineStr">
        <is>
          <t xml:space="preserve">Ingrid Müller</t>
        </is>
      </c>
      <c r="C570" s="0" t="inlineStr">
        <is>
          <t xml:space="preserve">Q3 2025</t>
        </is>
      </c>
      <c r="D570" s="4">
        <f>((D234*'Rep quarterly'!D11)*D402)</f>
        <v>0</v>
      </c>
      <c r="E570" s="4">
        <f>((E234*'Rep quarterly'!D11)*E402)</f>
        <v>0</v>
      </c>
      <c r="F570" s="4">
        <f>((F234*'Rep quarterly'!D11)*F402)</f>
        <v>0</v>
      </c>
      <c r="G570" s="4">
        <f>((G234*'Rep quarterly'!D11)*G402)</f>
        <v>0</v>
      </c>
      <c r="H570" s="4">
        <f>((H234*'Rep quarterly'!D11)*H402)</f>
        <v>0</v>
      </c>
      <c r="I570" s="4">
        <f>SUM(D570:H570)</f>
        <v>0</v>
      </c>
    </row>
    <row r="571">
      <c r="A571" s="0" t="inlineStr">
        <is>
          <t xml:space="preserve">Commission</t>
        </is>
      </c>
      <c r="B571" s="0" t="inlineStr">
        <is>
          <t xml:space="preserve">Ingrid Müller</t>
        </is>
      </c>
      <c r="C571" s="0" t="inlineStr">
        <is>
          <t xml:space="preserve">Q4 2025</t>
        </is>
      </c>
      <c r="D571" s="4">
        <f>((D235*'Rep quarterly'!E11)*D403)</f>
        <v>0</v>
      </c>
      <c r="E571" s="4">
        <f>((E235*'Rep quarterly'!E11)*E403)</f>
        <v>0</v>
      </c>
      <c r="F571" s="4">
        <f>((F235*'Rep quarterly'!E11)*F403)</f>
        <v>0</v>
      </c>
      <c r="G571" s="4">
        <f>((G235*'Rep quarterly'!E11)*G403)</f>
        <v>0</v>
      </c>
      <c r="H571" s="4">
        <f>((H235*'Rep quarterly'!E11)*H403)</f>
        <v>0</v>
      </c>
      <c r="I571" s="4">
        <f>SUM(D571:H571)</f>
        <v>0</v>
      </c>
    </row>
    <row r="572">
      <c r="A572" s="0" t="inlineStr">
        <is>
          <t xml:space="preserve">Commission</t>
        </is>
      </c>
      <c r="B572" s="0" t="inlineStr">
        <is>
          <t xml:space="preserve">Ingrid Müller</t>
        </is>
      </c>
      <c r="C572" s="0" t="inlineStr">
        <is>
          <t xml:space="preserve">Q1 2026</t>
        </is>
      </c>
      <c r="D572" s="4">
        <f>((D236*'Rep quarterly'!F11)*D404)</f>
        <v>0</v>
      </c>
      <c r="E572" s="4">
        <f>((E236*'Rep quarterly'!F11)*E404)</f>
        <v>0</v>
      </c>
      <c r="F572" s="4">
        <f>((F236*'Rep quarterly'!F11)*F404)</f>
        <v>0</v>
      </c>
      <c r="G572" s="4">
        <f>((G236*'Rep quarterly'!F11)*G404)</f>
        <v>0</v>
      </c>
      <c r="H572" s="4">
        <f>((H236*'Rep quarterly'!F11)*H404)</f>
        <v>0</v>
      </c>
      <c r="I572" s="4">
        <f>SUM(D572:H572)</f>
        <v>0</v>
      </c>
    </row>
    <row r="573">
      <c r="A573" s="0" t="inlineStr">
        <is>
          <t xml:space="preserve">Commission</t>
        </is>
      </c>
      <c r="B573" s="0" t="inlineStr">
        <is>
          <t xml:space="preserve">Ingrid Müller</t>
        </is>
      </c>
      <c r="C573" s="0" t="inlineStr">
        <is>
          <t xml:space="preserve">Q2 2026</t>
        </is>
      </c>
      <c r="D573" s="8">
        <f>((D237*'Rep quarterly'!G11)*D405)</f>
        <v>2571.825</v>
      </c>
      <c r="E573" s="8">
        <f>((E237*'Rep quarterly'!G11)*E405)</f>
        <v>3429.0999999999995</v>
      </c>
      <c r="F573" s="8">
        <f>((F237*'Rep quarterly'!G11)*F405)</f>
        <v>2571.825</v>
      </c>
      <c r="G573" s="8">
        <f>((G237*'Rep quarterly'!G11)*G405)</f>
        <v>3429.0999999999995</v>
      </c>
      <c r="H573" s="8">
        <f>((H237*'Rep quarterly'!G11)*H405)</f>
        <v>26087.040000000005</v>
      </c>
      <c r="I573" s="8">
        <f>SUM(D573:H573)</f>
        <v>38088.89</v>
      </c>
    </row>
    <row r="574">
      <c r="A574" s="0" t="inlineStr">
        <is>
          <t xml:space="preserve">Commission</t>
        </is>
      </c>
      <c r="B574" s="0" t="inlineStr">
        <is>
          <t xml:space="preserve">Ingrid Müller</t>
        </is>
      </c>
      <c r="C574" s="0" t="inlineStr">
        <is>
          <t xml:space="preserve">Q3 2026</t>
        </is>
      </c>
      <c r="D574" s="8">
        <f>((D238*'Rep quarterly'!H11)*D406)</f>
        <v>5143.65</v>
      </c>
      <c r="E574" s="8">
        <f>((E238*'Rep quarterly'!H11)*E406)</f>
        <v>6858.199999999999</v>
      </c>
      <c r="F574" s="8">
        <f>((F238*'Rep quarterly'!H11)*F406)</f>
        <v>5143.65</v>
      </c>
      <c r="G574" s="8">
        <f>((G238*'Rep quarterly'!H11)*G406)</f>
        <v>6858.199999999999</v>
      </c>
      <c r="H574" s="8">
        <f>((H238*'Rep quarterly'!H11)*H406)</f>
        <v>33656.94</v>
      </c>
      <c r="I574" s="8">
        <f>SUM(D574:H574)</f>
        <v>57660.64</v>
      </c>
    </row>
    <row r="575">
      <c r="A575" s="0" t="inlineStr">
        <is>
          <t xml:space="preserve">Commission</t>
        </is>
      </c>
      <c r="B575" s="0" t="inlineStr">
        <is>
          <t xml:space="preserve">Ingrid Müller</t>
        </is>
      </c>
      <c r="C575" s="0" t="inlineStr">
        <is>
          <t xml:space="preserve">Q4 2026</t>
        </is>
      </c>
      <c r="D575" s="4">
        <f>((D239*'Rep quarterly'!I11)*D407)</f>
        <v>0</v>
      </c>
      <c r="E575" s="4">
        <f>((E239*'Rep quarterly'!I11)*E407)</f>
        <v>0</v>
      </c>
      <c r="F575" s="4">
        <f>((F239*'Rep quarterly'!I11)*F407)</f>
        <v>0</v>
      </c>
      <c r="G575" s="4">
        <f>((G239*'Rep quarterly'!I11)*G407)</f>
        <v>0</v>
      </c>
      <c r="H575" s="4">
        <f>((H239*'Rep quarterly'!I11)*H407)</f>
        <v>0</v>
      </c>
      <c r="I575" s="4">
        <f>SUM(D575:H575)</f>
        <v>0</v>
      </c>
    </row>
    <row r="576">
      <c r="A576" s="0" t="inlineStr">
        <is>
          <t xml:space="preserve">Commission</t>
        </is>
      </c>
      <c r="B576" s="0" t="inlineStr">
        <is>
          <t xml:space="preserve">Ingrid Kim</t>
        </is>
      </c>
      <c r="C576" s="0" t="inlineStr">
        <is>
          <t xml:space="preserve">Q2 2025</t>
        </is>
      </c>
      <c r="D576" s="8">
        <f>((D240*'Rep quarterly'!C12)*D408)</f>
        <v>7467.600000000001</v>
      </c>
      <c r="E576" s="8">
        <f>((E240*'Rep quarterly'!C12)*E408)</f>
        <v>4373.88</v>
      </c>
      <c r="F576" s="8">
        <f>((F240*'Rep quarterly'!C12)*F408)</f>
        <v>0</v>
      </c>
      <c r="G576" s="8">
        <f>((G240*'Rep quarterly'!C12)*G408)</f>
        <v>0</v>
      </c>
      <c r="H576" s="8">
        <f>((H240*'Rep quarterly'!C12)*H408)</f>
        <v>0</v>
      </c>
      <c r="I576" s="8">
        <f>SUM(D576:H576)</f>
        <v>11841.480000000001</v>
      </c>
    </row>
    <row r="577">
      <c r="A577" s="0" t="inlineStr">
        <is>
          <t xml:space="preserve">Commission</t>
        </is>
      </c>
      <c r="B577" s="0" t="inlineStr">
        <is>
          <t xml:space="preserve">Ingrid Kim</t>
        </is>
      </c>
      <c r="C577" s="0" t="inlineStr">
        <is>
          <t xml:space="preserve">Q3 2025</t>
        </is>
      </c>
      <c r="D577" s="8">
        <f>((D241*'Rep quarterly'!D12)*D409)</f>
        <v>7467.600000000001</v>
      </c>
      <c r="E577" s="8">
        <f>((E241*'Rep quarterly'!D12)*E409)</f>
        <v>5440.680000000001</v>
      </c>
      <c r="F577" s="8">
        <f>((F241*'Rep quarterly'!D12)*F409)</f>
        <v>0</v>
      </c>
      <c r="G577" s="8">
        <f>((G241*'Rep quarterly'!D12)*G409)</f>
        <v>0</v>
      </c>
      <c r="H577" s="8">
        <f>((H241*'Rep quarterly'!D12)*H409)</f>
        <v>0</v>
      </c>
      <c r="I577" s="8">
        <f>SUM(D577:H577)</f>
        <v>12908.280000000002</v>
      </c>
    </row>
    <row r="578">
      <c r="A578" s="0" t="inlineStr">
        <is>
          <t xml:space="preserve">Commission</t>
        </is>
      </c>
      <c r="B578" s="0" t="inlineStr">
        <is>
          <t xml:space="preserve">Ingrid Kim</t>
        </is>
      </c>
      <c r="C578" s="0" t="inlineStr">
        <is>
          <t xml:space="preserve">Q4 2025</t>
        </is>
      </c>
      <c r="D578" s="8">
        <f>((D242*'Rep quarterly'!E12)*D410)</f>
        <v>7467.600000000001</v>
      </c>
      <c r="E578" s="8">
        <f>((E242*'Rep quarterly'!E12)*E410)</f>
        <v>9956.800000000001</v>
      </c>
      <c r="F578" s="8">
        <f>((F242*'Rep quarterly'!E12)*F410)</f>
        <v>3680.4600000000005</v>
      </c>
      <c r="G578" s="8">
        <f>((G242*'Rep quarterly'!E12)*G410)</f>
        <v>0</v>
      </c>
      <c r="H578" s="8">
        <f>((H242*'Rep quarterly'!E12)*H410)</f>
        <v>0</v>
      </c>
      <c r="I578" s="8">
        <f>SUM(D578:H578)</f>
        <v>21104.86</v>
      </c>
    </row>
    <row r="579">
      <c r="A579" s="0" t="inlineStr">
        <is>
          <t xml:space="preserve">Commission</t>
        </is>
      </c>
      <c r="B579" s="0" t="inlineStr">
        <is>
          <t xml:space="preserve">Ingrid Kim</t>
        </is>
      </c>
      <c r="C579" s="0" t="inlineStr">
        <is>
          <t xml:space="preserve">Q1 2026</t>
        </is>
      </c>
      <c r="D579" s="8">
        <f>((D243*'Rep quarterly'!F12)*D411)</f>
        <v>7467.600000000001</v>
      </c>
      <c r="E579" s="8">
        <f>((E243*'Rep quarterly'!F12)*E411)</f>
        <v>8978.9</v>
      </c>
      <c r="F579" s="8">
        <f>((F243*'Rep quarterly'!F12)*F411)</f>
        <v>0</v>
      </c>
      <c r="G579" s="8">
        <f>((G243*'Rep quarterly'!F12)*G411)</f>
        <v>0</v>
      </c>
      <c r="H579" s="8">
        <f>((H243*'Rep quarterly'!F12)*H411)</f>
        <v>0</v>
      </c>
      <c r="I579" s="8">
        <f>SUM(D579:H579)</f>
        <v>16446.5</v>
      </c>
    </row>
    <row r="580">
      <c r="A580" s="0" t="inlineStr">
        <is>
          <t xml:space="preserve">Commission</t>
        </is>
      </c>
      <c r="B580" s="0" t="inlineStr">
        <is>
          <t xml:space="preserve">Ingrid Kim</t>
        </is>
      </c>
      <c r="C580" s="0" t="inlineStr">
        <is>
          <t xml:space="preserve">Q2 2026</t>
        </is>
      </c>
      <c r="D580" s="8">
        <f>((D244*'Rep quarterly'!G12)*D412)</f>
        <v>3533.7750000000005</v>
      </c>
      <c r="E580" s="8">
        <f>((E244*'Rep quarterly'!G12)*E412)</f>
        <v>0</v>
      </c>
      <c r="F580" s="8">
        <f>((F244*'Rep quarterly'!G12)*F412)</f>
        <v>0</v>
      </c>
      <c r="G580" s="8">
        <f>((G244*'Rep quarterly'!G12)*G412)</f>
        <v>0</v>
      </c>
      <c r="H580" s="8">
        <f>((H244*'Rep quarterly'!G12)*H412)</f>
        <v>0</v>
      </c>
      <c r="I580" s="8">
        <f>SUM(D580:H580)</f>
        <v>3533.7750000000005</v>
      </c>
    </row>
    <row r="581">
      <c r="A581" s="0" t="inlineStr">
        <is>
          <t xml:space="preserve">Commission</t>
        </is>
      </c>
      <c r="B581" s="0" t="inlineStr">
        <is>
          <t xml:space="preserve">Ingrid Kim</t>
        </is>
      </c>
      <c r="C581" s="0" t="inlineStr">
        <is>
          <t xml:space="preserve">Q3 2026</t>
        </is>
      </c>
      <c r="D581" s="8">
        <f>((D245*'Rep quarterly'!H12)*D413)</f>
        <v>7467.600000000001</v>
      </c>
      <c r="E581" s="8">
        <f>((E245*'Rep quarterly'!H12)*E413)</f>
        <v>5885.179999999999</v>
      </c>
      <c r="F581" s="8">
        <f>((F245*'Rep quarterly'!H12)*F413)</f>
        <v>0</v>
      </c>
      <c r="G581" s="8">
        <f>((G245*'Rep quarterly'!H12)*G413)</f>
        <v>0</v>
      </c>
      <c r="H581" s="8">
        <f>((H245*'Rep quarterly'!H12)*H413)</f>
        <v>0</v>
      </c>
      <c r="I581" s="8">
        <f>SUM(D581:H581)</f>
        <v>13352.78</v>
      </c>
    </row>
    <row r="582">
      <c r="A582" s="0" t="inlineStr">
        <is>
          <t xml:space="preserve">Commission</t>
        </is>
      </c>
      <c r="B582" s="0" t="inlineStr">
        <is>
          <t xml:space="preserve">Ingrid Kim</t>
        </is>
      </c>
      <c r="C582" s="0" t="inlineStr">
        <is>
          <t xml:space="preserve">Q4 2026</t>
        </is>
      </c>
      <c r="D582" s="4">
        <f>((D246*'Rep quarterly'!I12)*D414)</f>
        <v>0</v>
      </c>
      <c r="E582" s="4">
        <f>((E246*'Rep quarterly'!I12)*E414)</f>
        <v>0</v>
      </c>
      <c r="F582" s="4">
        <f>((F246*'Rep quarterly'!I12)*F414)</f>
        <v>0</v>
      </c>
      <c r="G582" s="4">
        <f>((G246*'Rep quarterly'!I12)*G414)</f>
        <v>0</v>
      </c>
      <c r="H582" s="4">
        <f>((H246*'Rep quarterly'!I12)*H414)</f>
        <v>0</v>
      </c>
      <c r="I582" s="4">
        <f>SUM(D582:H582)</f>
        <v>0</v>
      </c>
    </row>
    <row r="583">
      <c r="A583" s="0" t="inlineStr">
        <is>
          <t xml:space="preserve">Commission</t>
        </is>
      </c>
      <c r="B583" s="0" t="inlineStr">
        <is>
          <t xml:space="preserve">Priya Nair</t>
        </is>
      </c>
      <c r="C583" s="0" t="inlineStr">
        <is>
          <t xml:space="preserve">Q2 2025</t>
        </is>
      </c>
      <c r="D583" s="8">
        <f>((D247*'Rep quarterly'!C13)*D415)</f>
        <v>7467.600000000001</v>
      </c>
      <c r="E583" s="8">
        <f>((E247*'Rep quarterly'!C13)*E415)</f>
        <v>2595.8799999999997</v>
      </c>
      <c r="F583" s="8">
        <f>((F247*'Rep quarterly'!C13)*F415)</f>
        <v>0</v>
      </c>
      <c r="G583" s="8">
        <f>((G247*'Rep quarterly'!C13)*G415)</f>
        <v>0</v>
      </c>
      <c r="H583" s="8">
        <f>((H247*'Rep quarterly'!C13)*H415)</f>
        <v>0</v>
      </c>
      <c r="I583" s="8">
        <f>SUM(D583:H583)</f>
        <v>10063.480000000001</v>
      </c>
    </row>
    <row r="584">
      <c r="A584" s="0" t="inlineStr">
        <is>
          <t xml:space="preserve">Commission</t>
        </is>
      </c>
      <c r="B584" s="0" t="inlineStr">
        <is>
          <t xml:space="preserve">Priya Nair</t>
        </is>
      </c>
      <c r="C584" s="0" t="inlineStr">
        <is>
          <t xml:space="preserve">Q3 2025</t>
        </is>
      </c>
      <c r="D584" s="8">
        <f>((D248*'Rep quarterly'!D13)*D416)</f>
        <v>7467.600000000001</v>
      </c>
      <c r="E584" s="8">
        <f>((E248*'Rep quarterly'!D13)*E416)</f>
        <v>8001.000000000001</v>
      </c>
      <c r="F584" s="8">
        <f>((F248*'Rep quarterly'!D13)*F416)</f>
        <v>0</v>
      </c>
      <c r="G584" s="8">
        <f>((G248*'Rep quarterly'!D13)*G416)</f>
        <v>0</v>
      </c>
      <c r="H584" s="8">
        <f>((H248*'Rep quarterly'!D13)*H416)</f>
        <v>0</v>
      </c>
      <c r="I584" s="8">
        <f>SUM(D584:H584)</f>
        <v>15468.600000000002</v>
      </c>
    </row>
    <row r="585">
      <c r="A585" s="0" t="inlineStr">
        <is>
          <t xml:space="preserve">Commission</t>
        </is>
      </c>
      <c r="B585" s="0" t="inlineStr">
        <is>
          <t xml:space="preserve">Priya Nair</t>
        </is>
      </c>
      <c r="C585" s="0" t="inlineStr">
        <is>
          <t xml:space="preserve">Q4 2025</t>
        </is>
      </c>
      <c r="D585" s="8">
        <f>((D249*'Rep quarterly'!E13)*D417)</f>
        <v>7467.600000000001</v>
      </c>
      <c r="E585" s="8">
        <f>((E249*'Rep quarterly'!E13)*E417)</f>
        <v>9885.68</v>
      </c>
      <c r="F585" s="8">
        <f>((F249*'Rep quarterly'!E13)*F417)</f>
        <v>0</v>
      </c>
      <c r="G585" s="8">
        <f>((G249*'Rep quarterly'!E13)*G417)</f>
        <v>0</v>
      </c>
      <c r="H585" s="8">
        <f>((H249*'Rep quarterly'!E13)*H417)</f>
        <v>0</v>
      </c>
      <c r="I585" s="8">
        <f>SUM(D585:H585)</f>
        <v>17353.280000000002</v>
      </c>
    </row>
    <row r="586">
      <c r="A586" s="0" t="inlineStr">
        <is>
          <t xml:space="preserve">Commission</t>
        </is>
      </c>
      <c r="B586" s="0" t="inlineStr">
        <is>
          <t xml:space="preserve">Priya Nair</t>
        </is>
      </c>
      <c r="C586" s="0" t="inlineStr">
        <is>
          <t xml:space="preserve">Q1 2026</t>
        </is>
      </c>
      <c r="D586" s="8">
        <f>((D250*'Rep quarterly'!F13)*D418)</f>
        <v>7467.600000000001</v>
      </c>
      <c r="E586" s="8">
        <f>((E250*'Rep quarterly'!F13)*E418)</f>
        <v>3502.6600000000008</v>
      </c>
      <c r="F586" s="8">
        <f>((F250*'Rep quarterly'!F13)*F418)</f>
        <v>0</v>
      </c>
      <c r="G586" s="8">
        <f>((G250*'Rep quarterly'!F13)*G418)</f>
        <v>0</v>
      </c>
      <c r="H586" s="8">
        <f>((H250*'Rep quarterly'!F13)*H418)</f>
        <v>0</v>
      </c>
      <c r="I586" s="8">
        <f>SUM(D586:H586)</f>
        <v>10970.260000000002</v>
      </c>
    </row>
    <row r="587">
      <c r="A587" s="0" t="inlineStr">
        <is>
          <t xml:space="preserve">Commission</t>
        </is>
      </c>
      <c r="B587" s="0" t="inlineStr">
        <is>
          <t xml:space="preserve">Priya Nair</t>
        </is>
      </c>
      <c r="C587" s="0" t="inlineStr">
        <is>
          <t xml:space="preserve">Q2 2026</t>
        </is>
      </c>
      <c r="D587" s="8">
        <f>((D251*'Rep quarterly'!G13)*D419)</f>
        <v>7467.600000000001</v>
      </c>
      <c r="E587" s="8">
        <f>((E251*'Rep quarterly'!G13)*E419)</f>
        <v>8463.280000000002</v>
      </c>
      <c r="F587" s="8">
        <f>((F251*'Rep quarterly'!G13)*F419)</f>
        <v>0</v>
      </c>
      <c r="G587" s="8">
        <f>((G251*'Rep quarterly'!G13)*G419)</f>
        <v>0</v>
      </c>
      <c r="H587" s="8">
        <f>((H251*'Rep quarterly'!G13)*H419)</f>
        <v>0</v>
      </c>
      <c r="I587" s="8">
        <f>SUM(D587:H587)</f>
        <v>15930.880000000005</v>
      </c>
    </row>
    <row r="588">
      <c r="A588" s="0" t="inlineStr">
        <is>
          <t xml:space="preserve">Commission</t>
        </is>
      </c>
      <c r="B588" s="0" t="inlineStr">
        <is>
          <t xml:space="preserve">Priya Nair</t>
        </is>
      </c>
      <c r="C588" s="0" t="inlineStr">
        <is>
          <t xml:space="preserve">Q3 2026</t>
        </is>
      </c>
      <c r="D588" s="8">
        <f>((D252*'Rep quarterly'!H13)*D420)</f>
        <v>4960.620000000001</v>
      </c>
      <c r="E588" s="8">
        <f>((E252*'Rep quarterly'!H13)*E420)</f>
        <v>0</v>
      </c>
      <c r="F588" s="8">
        <f>((F252*'Rep quarterly'!H13)*F420)</f>
        <v>0</v>
      </c>
      <c r="G588" s="8">
        <f>((G252*'Rep quarterly'!H13)*G420)</f>
        <v>0</v>
      </c>
      <c r="H588" s="8">
        <f>((H252*'Rep quarterly'!H13)*H420)</f>
        <v>0</v>
      </c>
      <c r="I588" s="8">
        <f>SUM(D588:H588)</f>
        <v>4960.620000000001</v>
      </c>
    </row>
    <row r="589">
      <c r="A589" s="0" t="inlineStr">
        <is>
          <t xml:space="preserve">Commission</t>
        </is>
      </c>
      <c r="B589" s="0" t="inlineStr">
        <is>
          <t xml:space="preserve">Priya Nair</t>
        </is>
      </c>
      <c r="C589" s="0" t="inlineStr">
        <is>
          <t xml:space="preserve">Q4 2026</t>
        </is>
      </c>
      <c r="D589" s="4">
        <f>((D253*'Rep quarterly'!I13)*D421)</f>
        <v>0</v>
      </c>
      <c r="E589" s="4">
        <f>((E253*'Rep quarterly'!I13)*E421)</f>
        <v>0</v>
      </c>
      <c r="F589" s="4">
        <f>((F253*'Rep quarterly'!I13)*F421)</f>
        <v>0</v>
      </c>
      <c r="G589" s="4">
        <f>((G253*'Rep quarterly'!I13)*G421)</f>
        <v>0</v>
      </c>
      <c r="H589" s="4">
        <f>((H253*'Rep quarterly'!I13)*H421)</f>
        <v>0</v>
      </c>
      <c r="I589" s="4">
        <f>SUM(D589:H589)</f>
        <v>0</v>
      </c>
    </row>
    <row r="590">
      <c r="A590" s="0" t="inlineStr">
        <is>
          <t xml:space="preserve">Commission</t>
        </is>
      </c>
      <c r="B590" s="0" t="inlineStr">
        <is>
          <t xml:space="preserve">Hugo Lindqvist</t>
        </is>
      </c>
      <c r="C590" s="0" t="inlineStr">
        <is>
          <t xml:space="preserve">Q2 2025</t>
        </is>
      </c>
      <c r="D590" s="8">
        <f>((D254*'Rep quarterly'!C14)*D422)</f>
        <v>14081.925000000001</v>
      </c>
      <c r="E590" s="8">
        <f>((E254*'Rep quarterly'!C14)*E422)</f>
        <v>8532.48</v>
      </c>
      <c r="F590" s="8">
        <f>((F254*'Rep quarterly'!C14)*F422)</f>
        <v>0</v>
      </c>
      <c r="G590" s="8">
        <f>((G254*'Rep quarterly'!C14)*G422)</f>
        <v>0</v>
      </c>
      <c r="H590" s="8">
        <f>((H254*'Rep quarterly'!C14)*H422)</f>
        <v>0</v>
      </c>
      <c r="I590" s="8">
        <f>SUM(D590:H590)</f>
        <v>22614.405</v>
      </c>
    </row>
    <row r="591">
      <c r="A591" s="0" t="inlineStr">
        <is>
          <t xml:space="preserve">Commission</t>
        </is>
      </c>
      <c r="B591" s="0" t="inlineStr">
        <is>
          <t xml:space="preserve">Hugo Lindqvist</t>
        </is>
      </c>
      <c r="C591" s="0" t="inlineStr">
        <is>
          <t xml:space="preserve">Q3 2025</t>
        </is>
      </c>
      <c r="D591" s="8">
        <f>((D255*'Rep quarterly'!D14)*D423)</f>
        <v>14081.925000000001</v>
      </c>
      <c r="E591" s="8">
        <f>((E255*'Rep quarterly'!D14)*E423)</f>
        <v>18775.9</v>
      </c>
      <c r="F591" s="8">
        <f>((F255*'Rep quarterly'!D14)*F423)</f>
        <v>14081.925000000001</v>
      </c>
      <c r="G591" s="8">
        <f>((G255*'Rep quarterly'!D14)*G423)</f>
        <v>18775.9</v>
      </c>
      <c r="H591" s="8">
        <f>((H255*'Rep quarterly'!D14)*H423)</f>
        <v>75159.15000000001</v>
      </c>
      <c r="I591" s="8">
        <f>SUM(D591:H591)</f>
        <v>140874.80000000002</v>
      </c>
    </row>
    <row r="592">
      <c r="A592" s="0" t="inlineStr">
        <is>
          <t xml:space="preserve">Commission</t>
        </is>
      </c>
      <c r="B592" s="0" t="inlineStr">
        <is>
          <t xml:space="preserve">Hugo Lindqvist</t>
        </is>
      </c>
      <c r="C592" s="0" t="inlineStr">
        <is>
          <t xml:space="preserve">Q4 2025</t>
        </is>
      </c>
      <c r="D592" s="8">
        <f>((D256*'Rep quarterly'!E14)*D424)</f>
        <v>14081.925000000001</v>
      </c>
      <c r="E592" s="8">
        <f>((E256*'Rep quarterly'!E14)*E424)</f>
        <v>11398.860000000002</v>
      </c>
      <c r="F592" s="8">
        <f>((F256*'Rep quarterly'!E14)*F424)</f>
        <v>0</v>
      </c>
      <c r="G592" s="8">
        <f>((G256*'Rep quarterly'!E14)*G424)</f>
        <v>0</v>
      </c>
      <c r="H592" s="8">
        <f>((H256*'Rep quarterly'!E14)*H424)</f>
        <v>0</v>
      </c>
      <c r="I592" s="8">
        <f>SUM(D592:H592)</f>
        <v>25480.785000000003</v>
      </c>
    </row>
    <row r="593">
      <c r="A593" s="0" t="inlineStr">
        <is>
          <t xml:space="preserve">Commission</t>
        </is>
      </c>
      <c r="B593" s="0" t="inlineStr">
        <is>
          <t xml:space="preserve">Hugo Lindqvist</t>
        </is>
      </c>
      <c r="C593" s="0" t="inlineStr">
        <is>
          <t xml:space="preserve">Q1 2026</t>
        </is>
      </c>
      <c r="D593" s="8">
        <f>((D257*'Rep quarterly'!F14)*D425)</f>
        <v>14081.925000000001</v>
      </c>
      <c r="E593" s="8">
        <f>((E257*'Rep quarterly'!F14)*E425)</f>
        <v>18775.9</v>
      </c>
      <c r="F593" s="8">
        <f>((F257*'Rep quarterly'!F14)*F425)</f>
        <v>14081.925000000001</v>
      </c>
      <c r="G593" s="8">
        <f>((G257*'Rep quarterly'!F14)*G425)</f>
        <v>18775.9</v>
      </c>
      <c r="H593" s="8">
        <f>((H257*'Rep quarterly'!F14)*H425)</f>
        <v>12098.789999999997</v>
      </c>
      <c r="I593" s="8">
        <f>SUM(D593:H593)</f>
        <v>77814.44</v>
      </c>
    </row>
    <row r="594">
      <c r="A594" s="0" t="inlineStr">
        <is>
          <t xml:space="preserve">Commission</t>
        </is>
      </c>
      <c r="B594" s="0" t="inlineStr">
        <is>
          <t xml:space="preserve">Hugo Lindqvist</t>
        </is>
      </c>
      <c r="C594" s="0" t="inlineStr">
        <is>
          <t xml:space="preserve">Q2 2026</t>
        </is>
      </c>
      <c r="D594" s="8">
        <f>((D258*'Rep quarterly'!G14)*D426)</f>
        <v>14081.925000000001</v>
      </c>
      <c r="E594" s="8">
        <f>((E258*'Rep quarterly'!G14)*E426)</f>
        <v>18775.9</v>
      </c>
      <c r="F594" s="8">
        <f>((F258*'Rep quarterly'!G14)*F426)</f>
        <v>14081.925000000001</v>
      </c>
      <c r="G594" s="8">
        <f>((G258*'Rep quarterly'!G14)*G426)</f>
        <v>7665.899999999994</v>
      </c>
      <c r="H594" s="8">
        <f>((H258*'Rep quarterly'!G14)*H426)</f>
        <v>0</v>
      </c>
      <c r="I594" s="8">
        <f>SUM(D594:H594)</f>
        <v>54605.65</v>
      </c>
    </row>
    <row r="595">
      <c r="A595" s="0" t="inlineStr">
        <is>
          <t xml:space="preserve">Commission</t>
        </is>
      </c>
      <c r="B595" s="0" t="inlineStr">
        <is>
          <t xml:space="preserve">Hugo Lindqvist</t>
        </is>
      </c>
      <c r="C595" s="0" t="inlineStr">
        <is>
          <t xml:space="preserve">Q3 2026</t>
        </is>
      </c>
      <c r="D595" s="8">
        <f>((D259*'Rep quarterly'!H14)*D427)</f>
        <v>14081.925000000001</v>
      </c>
      <c r="E595" s="8">
        <f>((E259*'Rep quarterly'!H14)*E427)</f>
        <v>18775.9</v>
      </c>
      <c r="F595" s="8">
        <f>((F259*'Rep quarterly'!H14)*F427)</f>
        <v>6432.690000000004</v>
      </c>
      <c r="G595" s="8">
        <f>((G259*'Rep quarterly'!H14)*G427)</f>
        <v>0</v>
      </c>
      <c r="H595" s="8">
        <f>((H259*'Rep quarterly'!H14)*H427)</f>
        <v>0</v>
      </c>
      <c r="I595" s="8">
        <f>SUM(D595:H595)</f>
        <v>39290.51500000001</v>
      </c>
    </row>
    <row r="596">
      <c r="A596" s="0" t="inlineStr">
        <is>
          <t xml:space="preserve">Commission</t>
        </is>
      </c>
      <c r="B596" s="0" t="inlineStr">
        <is>
          <t xml:space="preserve">Hugo Lindqvist</t>
        </is>
      </c>
      <c r="C596" s="0" t="inlineStr">
        <is>
          <t xml:space="preserve">Q4 2026</t>
        </is>
      </c>
      <c r="D596" s="4">
        <f>((D260*'Rep quarterly'!I14)*D428)</f>
        <v>0</v>
      </c>
      <c r="E596" s="4">
        <f>((E260*'Rep quarterly'!I14)*E428)</f>
        <v>0</v>
      </c>
      <c r="F596" s="4">
        <f>((F260*'Rep quarterly'!I14)*F428)</f>
        <v>0</v>
      </c>
      <c r="G596" s="4">
        <f>((G260*'Rep quarterly'!I14)*G428)</f>
        <v>0</v>
      </c>
      <c r="H596" s="4">
        <f>((H260*'Rep quarterly'!I14)*H428)</f>
        <v>0</v>
      </c>
      <c r="I596" s="4">
        <f>SUM(D596:H596)</f>
        <v>0</v>
      </c>
    </row>
    <row r="597">
      <c r="A597" s="0" t="inlineStr">
        <is>
          <t xml:space="preserve">Commission</t>
        </is>
      </c>
      <c r="B597" s="0" t="inlineStr">
        <is>
          <t xml:space="preserve">Wei Novak</t>
        </is>
      </c>
      <c r="C597" s="0" t="inlineStr">
        <is>
          <t xml:space="preserve">Q2 2025</t>
        </is>
      </c>
      <c r="D597" s="4">
        <f>((D261*'Rep quarterly'!C15)*D429)</f>
        <v>0</v>
      </c>
      <c r="E597" s="4">
        <f>((E261*'Rep quarterly'!C15)*E429)</f>
        <v>0</v>
      </c>
      <c r="F597" s="4">
        <f>((F261*'Rep quarterly'!C15)*F429)</f>
        <v>0</v>
      </c>
      <c r="G597" s="4">
        <f>((G261*'Rep quarterly'!C15)*G429)</f>
        <v>0</v>
      </c>
      <c r="H597" s="4">
        <f>((H261*'Rep quarterly'!C15)*H429)</f>
        <v>0</v>
      </c>
      <c r="I597" s="4">
        <f>SUM(D597:H597)</f>
        <v>0</v>
      </c>
    </row>
    <row r="598">
      <c r="A598" s="0" t="inlineStr">
        <is>
          <t xml:space="preserve">Commission</t>
        </is>
      </c>
      <c r="B598" s="0" t="inlineStr">
        <is>
          <t xml:space="preserve">Wei Novak</t>
        </is>
      </c>
      <c r="C598" s="0" t="inlineStr">
        <is>
          <t xml:space="preserve">Q3 2025</t>
        </is>
      </c>
      <c r="D598" s="4">
        <f>((D262*'Rep quarterly'!D15)*D430)</f>
        <v>0</v>
      </c>
      <c r="E598" s="4">
        <f>((E262*'Rep quarterly'!D15)*E430)</f>
        <v>0</v>
      </c>
      <c r="F598" s="4">
        <f>((F262*'Rep quarterly'!D15)*F430)</f>
        <v>0</v>
      </c>
      <c r="G598" s="4">
        <f>((G262*'Rep quarterly'!D15)*G430)</f>
        <v>0</v>
      </c>
      <c r="H598" s="4">
        <f>((H262*'Rep quarterly'!D15)*H430)</f>
        <v>0</v>
      </c>
      <c r="I598" s="4">
        <f>SUM(D598:H598)</f>
        <v>0</v>
      </c>
    </row>
    <row r="599">
      <c r="A599" s="0" t="inlineStr">
        <is>
          <t xml:space="preserve">Commission</t>
        </is>
      </c>
      <c r="B599" s="0" t="inlineStr">
        <is>
          <t xml:space="preserve">Wei Novak</t>
        </is>
      </c>
      <c r="C599" s="0" t="inlineStr">
        <is>
          <t xml:space="preserve">Q4 2025</t>
        </is>
      </c>
      <c r="D599" s="4">
        <f>((D263*'Rep quarterly'!E15)*D431)</f>
        <v>0</v>
      </c>
      <c r="E599" s="4">
        <f>((E263*'Rep quarterly'!E15)*E431)</f>
        <v>0</v>
      </c>
      <c r="F599" s="4">
        <f>((F263*'Rep quarterly'!E15)*F431)</f>
        <v>0</v>
      </c>
      <c r="G599" s="4">
        <f>((G263*'Rep quarterly'!E15)*G431)</f>
        <v>0</v>
      </c>
      <c r="H599" s="4">
        <f>((H263*'Rep quarterly'!E15)*H431)</f>
        <v>0</v>
      </c>
      <c r="I599" s="4">
        <f>SUM(D599:H599)</f>
        <v>0</v>
      </c>
    </row>
    <row r="600">
      <c r="A600" s="0" t="inlineStr">
        <is>
          <t xml:space="preserve">Commission</t>
        </is>
      </c>
      <c r="B600" s="0" t="inlineStr">
        <is>
          <t xml:space="preserve">Wei Novak</t>
        </is>
      </c>
      <c r="C600" s="0" t="inlineStr">
        <is>
          <t xml:space="preserve">Q1 2026</t>
        </is>
      </c>
      <c r="D600" s="8">
        <f>((D264*'Rep quarterly'!F15)*D432)</f>
        <v>1899.8100000000002</v>
      </c>
      <c r="E600" s="8">
        <f>((E264*'Rep quarterly'!F15)*E432)</f>
        <v>0</v>
      </c>
      <c r="F600" s="8">
        <f>((F264*'Rep quarterly'!F15)*F432)</f>
        <v>0</v>
      </c>
      <c r="G600" s="8">
        <f>((G264*'Rep quarterly'!F15)*G432)</f>
        <v>0</v>
      </c>
      <c r="H600" s="8">
        <f>((H264*'Rep quarterly'!F15)*H432)</f>
        <v>0</v>
      </c>
      <c r="I600" s="8">
        <f>SUM(D600:H600)</f>
        <v>1899.8100000000002</v>
      </c>
    </row>
    <row r="601">
      <c r="A601" s="0" t="inlineStr">
        <is>
          <t xml:space="preserve">Commission</t>
        </is>
      </c>
      <c r="B601" s="0" t="inlineStr">
        <is>
          <t xml:space="preserve">Wei Novak</t>
        </is>
      </c>
      <c r="C601" s="0" t="inlineStr">
        <is>
          <t xml:space="preserve">Q2 2026</t>
        </is>
      </c>
      <c r="D601" s="8">
        <f>((D265*'Rep quarterly'!G15)*D433)</f>
        <v>4999.500000000001</v>
      </c>
      <c r="E601" s="8">
        <f>((E265*'Rep quarterly'!G15)*E433)</f>
        <v>0</v>
      </c>
      <c r="F601" s="8">
        <f>((F265*'Rep quarterly'!G15)*F433)</f>
        <v>0</v>
      </c>
      <c r="G601" s="8">
        <f>((G265*'Rep quarterly'!G15)*G433)</f>
        <v>0</v>
      </c>
      <c r="H601" s="8">
        <f>((H265*'Rep quarterly'!G15)*H433)</f>
        <v>0</v>
      </c>
      <c r="I601" s="8">
        <f>SUM(D601:H601)</f>
        <v>4999.500000000001</v>
      </c>
    </row>
    <row r="602">
      <c r="A602" s="0" t="inlineStr">
        <is>
          <t xml:space="preserve">Commission</t>
        </is>
      </c>
      <c r="B602" s="0" t="inlineStr">
        <is>
          <t xml:space="preserve">Wei Novak</t>
        </is>
      </c>
      <c r="C602" s="0" t="inlineStr">
        <is>
          <t xml:space="preserve">Q3 2026</t>
        </is>
      </c>
      <c r="D602" s="8">
        <f>((D266*'Rep quarterly'!H15)*D434)</f>
        <v>7740.892500000001</v>
      </c>
      <c r="E602" s="8">
        <f>((E266*'Rep quarterly'!H15)*E434)</f>
        <v>0</v>
      </c>
      <c r="F602" s="8">
        <f>((F266*'Rep quarterly'!H15)*F434)</f>
        <v>0</v>
      </c>
      <c r="G602" s="8">
        <f>((G266*'Rep quarterly'!H15)*G434)</f>
        <v>0</v>
      </c>
      <c r="H602" s="8">
        <f>((H266*'Rep quarterly'!H15)*H434)</f>
        <v>0</v>
      </c>
      <c r="I602" s="8">
        <f>SUM(D602:H602)</f>
        <v>7740.892500000001</v>
      </c>
    </row>
    <row r="603">
      <c r="A603" s="0" t="inlineStr">
        <is>
          <t xml:space="preserve">Commission</t>
        </is>
      </c>
      <c r="B603" s="0" t="inlineStr">
        <is>
          <t xml:space="preserve">Wei Novak</t>
        </is>
      </c>
      <c r="C603" s="0" t="inlineStr">
        <is>
          <t xml:space="preserve">Q4 2026</t>
        </is>
      </c>
      <c r="D603" s="4">
        <f>((D267*'Rep quarterly'!I15)*D435)</f>
        <v>0</v>
      </c>
      <c r="E603" s="4">
        <f>((E267*'Rep quarterly'!I15)*E435)</f>
        <v>0</v>
      </c>
      <c r="F603" s="4">
        <f>((F267*'Rep quarterly'!I15)*F435)</f>
        <v>0</v>
      </c>
      <c r="G603" s="4">
        <f>((G267*'Rep quarterly'!I15)*G435)</f>
        <v>0</v>
      </c>
      <c r="H603" s="4">
        <f>((H267*'Rep quarterly'!I15)*H435)</f>
        <v>0</v>
      </c>
      <c r="I603" s="4">
        <f>SUM(D603:H603)</f>
        <v>0</v>
      </c>
    </row>
    <row r="604">
      <c r="A604" s="0" t="inlineStr">
        <is>
          <t xml:space="preserve">Commission</t>
        </is>
      </c>
      <c r="B604" s="0" t="inlineStr">
        <is>
          <t xml:space="preserve">Nikolai Kim</t>
        </is>
      </c>
      <c r="C604" s="0" t="inlineStr">
        <is>
          <t xml:space="preserve">Q2 2025</t>
        </is>
      </c>
      <c r="D604" s="8">
        <f>((D268*'Rep quarterly'!C16)*D436)</f>
        <v>10309.875</v>
      </c>
      <c r="E604" s="8">
        <f>((E268*'Rep quarterly'!C16)*E436)</f>
        <v>13746.5</v>
      </c>
      <c r="F604" s="8">
        <f>((F268*'Rep quarterly'!C16)*F436)</f>
        <v>10309.875</v>
      </c>
      <c r="G604" s="8">
        <f>((G268*'Rep quarterly'!C16)*G436)</f>
        <v>6974.539999999999</v>
      </c>
      <c r="H604" s="8">
        <f>((H268*'Rep quarterly'!C16)*H436)</f>
        <v>0</v>
      </c>
      <c r="I604" s="8">
        <f>SUM(D604:H604)</f>
        <v>41340.79</v>
      </c>
    </row>
    <row r="605">
      <c r="A605" s="0" t="inlineStr">
        <is>
          <t xml:space="preserve">Commission</t>
        </is>
      </c>
      <c r="B605" s="0" t="inlineStr">
        <is>
          <t xml:space="preserve">Nikolai Kim</t>
        </is>
      </c>
      <c r="C605" s="0" t="inlineStr">
        <is>
          <t xml:space="preserve">Q3 2025</t>
        </is>
      </c>
      <c r="D605" s="8">
        <f>((D269*'Rep quarterly'!D16)*D437)</f>
        <v>10309.875</v>
      </c>
      <c r="E605" s="8">
        <f>((E269*'Rep quarterly'!D16)*E437)</f>
        <v>13746.5</v>
      </c>
      <c r="F605" s="8">
        <f>((F269*'Rep quarterly'!D16)*F437)</f>
        <v>10309.875</v>
      </c>
      <c r="G605" s="8">
        <f>((G269*'Rep quarterly'!D16)*G437)</f>
        <v>13746.5</v>
      </c>
      <c r="H605" s="8">
        <f>((H269*'Rep quarterly'!D16)*H437)</f>
        <v>13674.149999999996</v>
      </c>
      <c r="I605" s="8">
        <f>SUM(D605:H605)</f>
        <v>61786.899999999994</v>
      </c>
    </row>
    <row r="606">
      <c r="A606" s="0" t="inlineStr">
        <is>
          <t xml:space="preserve">Commission</t>
        </is>
      </c>
      <c r="B606" s="0" t="inlineStr">
        <is>
          <t xml:space="preserve">Nikolai Kim</t>
        </is>
      </c>
      <c r="C606" s="0" t="inlineStr">
        <is>
          <t xml:space="preserve">Q4 2025</t>
        </is>
      </c>
      <c r="D606" s="8">
        <f>((D270*'Rep quarterly'!E16)*D438)</f>
        <v>10309.875</v>
      </c>
      <c r="E606" s="8">
        <f>((E270*'Rep quarterly'!E16)*E438)</f>
        <v>13746.5</v>
      </c>
      <c r="F606" s="8">
        <f>((F270*'Rep quarterly'!E16)*F438)</f>
        <v>10309.875</v>
      </c>
      <c r="G606" s="8">
        <f>((G270*'Rep quarterly'!E16)*G438)</f>
        <v>13746.5</v>
      </c>
      <c r="H606" s="8">
        <f>((H270*'Rep quarterly'!E16)*H438)</f>
        <v>8551.770000000002</v>
      </c>
      <c r="I606" s="8">
        <f>SUM(D606:H606)</f>
        <v>56664.520000000004</v>
      </c>
    </row>
    <row r="607">
      <c r="A607" s="0" t="inlineStr">
        <is>
          <t xml:space="preserve">Commission</t>
        </is>
      </c>
      <c r="B607" s="0" t="inlineStr">
        <is>
          <t xml:space="preserve">Nikolai Kim</t>
        </is>
      </c>
      <c r="C607" s="0" t="inlineStr">
        <is>
          <t xml:space="preserve">Q1 2026</t>
        </is>
      </c>
      <c r="D607" s="8">
        <f>((D271*'Rep quarterly'!F16)*D439)</f>
        <v>10309.875</v>
      </c>
      <c r="E607" s="8">
        <f>((E271*'Rep quarterly'!F16)*E439)</f>
        <v>9767.25</v>
      </c>
      <c r="F607" s="8">
        <f>((F271*'Rep quarterly'!F16)*F439)</f>
        <v>0</v>
      </c>
      <c r="G607" s="8">
        <f>((G271*'Rep quarterly'!F16)*G439)</f>
        <v>0</v>
      </c>
      <c r="H607" s="8">
        <f>((H271*'Rep quarterly'!F16)*H439)</f>
        <v>0</v>
      </c>
      <c r="I607" s="8">
        <f>SUM(D607:H607)</f>
        <v>20077.125</v>
      </c>
    </row>
    <row r="608">
      <c r="A608" s="0" t="inlineStr">
        <is>
          <t xml:space="preserve">Commission</t>
        </is>
      </c>
      <c r="B608" s="0" t="inlineStr">
        <is>
          <t xml:space="preserve">Nikolai Kim</t>
        </is>
      </c>
      <c r="C608" s="0" t="inlineStr">
        <is>
          <t xml:space="preserve">Q2 2026</t>
        </is>
      </c>
      <c r="D608" s="8">
        <f>((D272*'Rep quarterly'!G16)*D440)</f>
        <v>10309.875</v>
      </c>
      <c r="E608" s="8">
        <f>((E272*'Rep quarterly'!G16)*E440)</f>
        <v>13746.5</v>
      </c>
      <c r="F608" s="8">
        <f>((F272*'Rep quarterly'!G16)*F440)</f>
        <v>9029.279999999997</v>
      </c>
      <c r="G608" s="8">
        <f>((G272*'Rep quarterly'!G16)*G440)</f>
        <v>0</v>
      </c>
      <c r="H608" s="8">
        <f>((H272*'Rep quarterly'!G16)*H440)</f>
        <v>0</v>
      </c>
      <c r="I608" s="8">
        <f>SUM(D608:H608)</f>
        <v>33085.655</v>
      </c>
    </row>
    <row r="609">
      <c r="A609" s="0" t="inlineStr">
        <is>
          <t xml:space="preserve">Commission</t>
        </is>
      </c>
      <c r="B609" s="0" t="inlineStr">
        <is>
          <t xml:space="preserve">Nikolai Kim</t>
        </is>
      </c>
      <c r="C609" s="0" t="inlineStr">
        <is>
          <t xml:space="preserve">Q3 2026</t>
        </is>
      </c>
      <c r="D609" s="8">
        <f>((D273*'Rep quarterly'!H16)*D441)</f>
        <v>10309.875</v>
      </c>
      <c r="E609" s="8">
        <f>((E273*'Rep quarterly'!H16)*E441)</f>
        <v>5990.58</v>
      </c>
      <c r="F609" s="8">
        <f>((F273*'Rep quarterly'!H16)*F441)</f>
        <v>0</v>
      </c>
      <c r="G609" s="8">
        <f>((G273*'Rep quarterly'!H16)*G441)</f>
        <v>0</v>
      </c>
      <c r="H609" s="8">
        <f>((H273*'Rep quarterly'!H16)*H441)</f>
        <v>0</v>
      </c>
      <c r="I609" s="8">
        <f>SUM(D609:H609)</f>
        <v>16300.455</v>
      </c>
    </row>
    <row r="610">
      <c r="A610" s="0" t="inlineStr">
        <is>
          <t xml:space="preserve">Commission</t>
        </is>
      </c>
      <c r="B610" s="0" t="inlineStr">
        <is>
          <t xml:space="preserve">Nikolai Kim</t>
        </is>
      </c>
      <c r="C610" s="0" t="inlineStr">
        <is>
          <t xml:space="preserve">Q4 2026</t>
        </is>
      </c>
      <c r="D610" s="4">
        <f>((D274*'Rep quarterly'!I16)*D442)</f>
        <v>0</v>
      </c>
      <c r="E610" s="4">
        <f>((E274*'Rep quarterly'!I16)*E442)</f>
        <v>0</v>
      </c>
      <c r="F610" s="4">
        <f>((F274*'Rep quarterly'!I16)*F442)</f>
        <v>0</v>
      </c>
      <c r="G610" s="4">
        <f>((G274*'Rep quarterly'!I16)*G442)</f>
        <v>0</v>
      </c>
      <c r="H610" s="4">
        <f>((H274*'Rep quarterly'!I16)*H442)</f>
        <v>0</v>
      </c>
      <c r="I610" s="4">
        <f>SUM(D610:H610)</f>
        <v>0</v>
      </c>
    </row>
    <row r="611">
      <c r="A611" s="0" t="inlineStr">
        <is>
          <t xml:space="preserve">Commission</t>
        </is>
      </c>
      <c r="B611" s="0" t="inlineStr">
        <is>
          <t xml:space="preserve">Wei Nair</t>
        </is>
      </c>
      <c r="C611" s="0" t="inlineStr">
        <is>
          <t xml:space="preserve">Q2 2025</t>
        </is>
      </c>
      <c r="D611" s="8">
        <f>((D275*'Rep quarterly'!C17)*D443)</f>
        <v>10309.875</v>
      </c>
      <c r="E611" s="8">
        <f>((E275*'Rep quarterly'!C17)*E443)</f>
        <v>5151.320000000001</v>
      </c>
      <c r="F611" s="8">
        <f>((F275*'Rep quarterly'!C17)*F443)</f>
        <v>0</v>
      </c>
      <c r="G611" s="8">
        <f>((G275*'Rep quarterly'!C17)*G443)</f>
        <v>0</v>
      </c>
      <c r="H611" s="8">
        <f>((H275*'Rep quarterly'!C17)*H443)</f>
        <v>0</v>
      </c>
      <c r="I611" s="8">
        <f>SUM(D611:H611)</f>
        <v>15461.195</v>
      </c>
    </row>
    <row r="612">
      <c r="A612" s="0" t="inlineStr">
        <is>
          <t xml:space="preserve">Commission</t>
        </is>
      </c>
      <c r="B612" s="0" t="inlineStr">
        <is>
          <t xml:space="preserve">Wei Nair</t>
        </is>
      </c>
      <c r="C612" s="0" t="inlineStr">
        <is>
          <t xml:space="preserve">Q3 2025</t>
        </is>
      </c>
      <c r="D612" s="8">
        <f>((D276*'Rep quarterly'!D17)*D444)</f>
        <v>10309.875</v>
      </c>
      <c r="E612" s="8">
        <f>((E276*'Rep quarterly'!D17)*E444)</f>
        <v>2561.19</v>
      </c>
      <c r="F612" s="8">
        <f>((F276*'Rep quarterly'!D17)*F444)</f>
        <v>0</v>
      </c>
      <c r="G612" s="8">
        <f>((G276*'Rep quarterly'!D17)*G444)</f>
        <v>0</v>
      </c>
      <c r="H612" s="8">
        <f>((H276*'Rep quarterly'!D17)*H444)</f>
        <v>0</v>
      </c>
      <c r="I612" s="8">
        <f>SUM(D612:H612)</f>
        <v>12871.065</v>
      </c>
    </row>
    <row r="613">
      <c r="A613" s="0" t="inlineStr">
        <is>
          <t xml:space="preserve">Commission</t>
        </is>
      </c>
      <c r="B613" s="0" t="inlineStr">
        <is>
          <t xml:space="preserve">Wei Nair</t>
        </is>
      </c>
      <c r="C613" s="0" t="inlineStr">
        <is>
          <t xml:space="preserve">Q4 2025</t>
        </is>
      </c>
      <c r="D613" s="8">
        <f>((D277*'Rep quarterly'!E17)*D445)</f>
        <v>10309.875</v>
      </c>
      <c r="E613" s="8">
        <f>((E277*'Rep quarterly'!E17)*E445)</f>
        <v>13428.16</v>
      </c>
      <c r="F613" s="8">
        <f>((F277*'Rep quarterly'!E17)*F445)</f>
        <v>0</v>
      </c>
      <c r="G613" s="8">
        <f>((G277*'Rep quarterly'!E17)*G445)</f>
        <v>0</v>
      </c>
      <c r="H613" s="8">
        <f>((H277*'Rep quarterly'!E17)*H445)</f>
        <v>0</v>
      </c>
      <c r="I613" s="8">
        <f>SUM(D613:H613)</f>
        <v>23738.035</v>
      </c>
    </row>
    <row r="614">
      <c r="A614" s="0" t="inlineStr">
        <is>
          <t xml:space="preserve">Commission</t>
        </is>
      </c>
      <c r="B614" s="0" t="inlineStr">
        <is>
          <t xml:space="preserve">Wei Nair</t>
        </is>
      </c>
      <c r="C614" s="0" t="inlineStr">
        <is>
          <t xml:space="preserve">Q1 2026</t>
        </is>
      </c>
      <c r="D614" s="8">
        <f>((D278*'Rep quarterly'!F17)*D446)</f>
        <v>10309.875</v>
      </c>
      <c r="E614" s="8">
        <f>((E278*'Rep quarterly'!F17)*E446)</f>
        <v>8407.069999999998</v>
      </c>
      <c r="F614" s="8">
        <f>((F278*'Rep quarterly'!F17)*F446)</f>
        <v>0</v>
      </c>
      <c r="G614" s="8">
        <f>((G278*'Rep quarterly'!F17)*G446)</f>
        <v>0</v>
      </c>
      <c r="H614" s="8">
        <f>((H278*'Rep quarterly'!F17)*H446)</f>
        <v>0</v>
      </c>
      <c r="I614" s="8">
        <f>SUM(D614:H614)</f>
        <v>18716.945</v>
      </c>
    </row>
    <row r="615">
      <c r="A615" s="0" t="inlineStr">
        <is>
          <t xml:space="preserve">Commission</t>
        </is>
      </c>
      <c r="B615" s="0" t="inlineStr">
        <is>
          <t xml:space="preserve">Wei Nair</t>
        </is>
      </c>
      <c r="C615" s="0" t="inlineStr">
        <is>
          <t xml:space="preserve">Q2 2026</t>
        </is>
      </c>
      <c r="D615" s="8">
        <f>((D279*'Rep quarterly'!G17)*D447)</f>
        <v>6782.812500000001</v>
      </c>
      <c r="E615" s="8">
        <f>((E279*'Rep quarterly'!G17)*E447)</f>
        <v>0</v>
      </c>
      <c r="F615" s="8">
        <f>((F279*'Rep quarterly'!G17)*F447)</f>
        <v>0</v>
      </c>
      <c r="G615" s="8">
        <f>((G279*'Rep quarterly'!G17)*G447)</f>
        <v>0</v>
      </c>
      <c r="H615" s="8">
        <f>((H279*'Rep quarterly'!G17)*H447)</f>
        <v>0</v>
      </c>
      <c r="I615" s="8">
        <f>SUM(D615:H615)</f>
        <v>6782.812500000001</v>
      </c>
    </row>
    <row r="616">
      <c r="A616" s="0" t="inlineStr">
        <is>
          <t xml:space="preserve">Commission</t>
        </is>
      </c>
      <c r="B616" s="0" t="inlineStr">
        <is>
          <t xml:space="preserve">Wei Nair</t>
        </is>
      </c>
      <c r="C616" s="0" t="inlineStr">
        <is>
          <t xml:space="preserve">Q3 2026</t>
        </is>
      </c>
      <c r="D616" s="8">
        <f>((D280*'Rep quarterly'!H17)*D448)</f>
        <v>10309.875</v>
      </c>
      <c r="E616" s="8">
        <f>((E280*'Rep quarterly'!H17)*E448)</f>
        <v>1823.2200000000003</v>
      </c>
      <c r="F616" s="8">
        <f>((F280*'Rep quarterly'!H17)*F448)</f>
        <v>0</v>
      </c>
      <c r="G616" s="8">
        <f>((G280*'Rep quarterly'!H17)*G448)</f>
        <v>0</v>
      </c>
      <c r="H616" s="8">
        <f>((H280*'Rep quarterly'!H17)*H448)</f>
        <v>0</v>
      </c>
      <c r="I616" s="8">
        <f>SUM(D616:H616)</f>
        <v>12133.095000000001</v>
      </c>
    </row>
    <row r="617">
      <c r="A617" s="0" t="inlineStr">
        <is>
          <t xml:space="preserve">Commission</t>
        </is>
      </c>
      <c r="B617" s="0" t="inlineStr">
        <is>
          <t xml:space="preserve">Wei Nair</t>
        </is>
      </c>
      <c r="C617" s="0" t="inlineStr">
        <is>
          <t xml:space="preserve">Q4 2026</t>
        </is>
      </c>
      <c r="D617" s="4">
        <f>((D281*'Rep quarterly'!I17)*D449)</f>
        <v>0</v>
      </c>
      <c r="E617" s="4">
        <f>((E281*'Rep quarterly'!I17)*E449)</f>
        <v>0</v>
      </c>
      <c r="F617" s="4">
        <f>((F281*'Rep quarterly'!I17)*F449)</f>
        <v>0</v>
      </c>
      <c r="G617" s="4">
        <f>((G281*'Rep quarterly'!I17)*G449)</f>
        <v>0</v>
      </c>
      <c r="H617" s="4">
        <f>((H281*'Rep quarterly'!I17)*H449)</f>
        <v>0</v>
      </c>
      <c r="I617" s="4">
        <f>SUM(D617:H617)</f>
        <v>0</v>
      </c>
    </row>
    <row r="618">
      <c r="A618" s="0" t="inlineStr">
        <is>
          <t xml:space="preserve">Commission</t>
        </is>
      </c>
      <c r="B618" s="0" t="inlineStr">
        <is>
          <t xml:space="preserve">Liam Silva</t>
        </is>
      </c>
      <c r="C618" s="0" t="inlineStr">
        <is>
          <t xml:space="preserve">Q2 2025</t>
        </is>
      </c>
      <c r="D618" s="8">
        <f>((D282*'Rep quarterly'!C18)*D450)</f>
        <v>525.0000000000001</v>
      </c>
      <c r="E618" s="8">
        <f>((E282*'Rep quarterly'!C18)*E450)</f>
        <v>0</v>
      </c>
      <c r="F618" s="8">
        <f>((F282*'Rep quarterly'!C18)*F450)</f>
        <v>0</v>
      </c>
      <c r="G618" s="8">
        <f>((G282*'Rep quarterly'!C18)*G450)</f>
        <v>0</v>
      </c>
      <c r="H618" s="8">
        <f>((H282*'Rep quarterly'!C18)*H450)</f>
        <v>0</v>
      </c>
      <c r="I618" s="8">
        <f>SUM(D618:H618)</f>
        <v>525.0000000000001</v>
      </c>
    </row>
    <row r="619">
      <c r="A619" s="0" t="inlineStr">
        <is>
          <t xml:space="preserve">Commission</t>
        </is>
      </c>
      <c r="B619" s="0" t="inlineStr">
        <is>
          <t xml:space="preserve">Liam Silva</t>
        </is>
      </c>
      <c r="C619" s="0" t="inlineStr">
        <is>
          <t xml:space="preserve">Q3 2025</t>
        </is>
      </c>
      <c r="D619" s="8">
        <f>((D283*'Rep quarterly'!D18)*D451)</f>
        <v>3750.0000000000005</v>
      </c>
      <c r="E619" s="8">
        <f>((E283*'Rep quarterly'!D18)*E451)</f>
        <v>5000</v>
      </c>
      <c r="F619" s="8">
        <f>((F283*'Rep quarterly'!D18)*F451)</f>
        <v>3750.0000000000005</v>
      </c>
      <c r="G619" s="8">
        <f>((G283*'Rep quarterly'!D18)*G451)</f>
        <v>3599.9999999999986</v>
      </c>
      <c r="H619" s="8">
        <f>((H283*'Rep quarterly'!D18)*H451)</f>
        <v>0</v>
      </c>
      <c r="I619" s="8">
        <f>SUM(D619:H619)</f>
        <v>16099.999999999998</v>
      </c>
    </row>
    <row r="620">
      <c r="A620" s="0" t="inlineStr">
        <is>
          <t xml:space="preserve">Commission</t>
        </is>
      </c>
      <c r="B620" s="0" t="inlineStr">
        <is>
          <t xml:space="preserve">Liam Silva</t>
        </is>
      </c>
      <c r="C620" s="0" t="inlineStr">
        <is>
          <t xml:space="preserve">Q4 2025</t>
        </is>
      </c>
      <c r="D620" s="8">
        <f>((D284*'Rep quarterly'!E18)*D452)</f>
        <v>5625.000000000001</v>
      </c>
      <c r="E620" s="8">
        <f>((E284*'Rep quarterly'!E18)*E452)</f>
        <v>7500</v>
      </c>
      <c r="F620" s="8">
        <f>((F284*'Rep quarterly'!E18)*F452)</f>
        <v>5625.000000000001</v>
      </c>
      <c r="G620" s="8">
        <f>((G284*'Rep quarterly'!E18)*G452)</f>
        <v>3180.000000000003</v>
      </c>
      <c r="H620" s="8">
        <f>((H284*'Rep quarterly'!E18)*H452)</f>
        <v>0</v>
      </c>
      <c r="I620" s="8">
        <f>SUM(D620:H620)</f>
        <v>21930.000000000004</v>
      </c>
    </row>
    <row r="621">
      <c r="A621" s="0" t="inlineStr">
        <is>
          <t xml:space="preserve">Commission</t>
        </is>
      </c>
      <c r="B621" s="0" t="inlineStr">
        <is>
          <t xml:space="preserve">Liam Silva</t>
        </is>
      </c>
      <c r="C621" s="0" t="inlineStr">
        <is>
          <t xml:space="preserve">Q1 2026</t>
        </is>
      </c>
      <c r="D621" s="8">
        <f>((D285*'Rep quarterly'!F18)*D453)</f>
        <v>7500.000000000001</v>
      </c>
      <c r="E621" s="8">
        <f>((E285*'Rep quarterly'!F18)*E453)</f>
        <v>10000</v>
      </c>
      <c r="F621" s="8">
        <f>((F285*'Rep quarterly'!F18)*F453)</f>
        <v>7170.000000000005</v>
      </c>
      <c r="G621" s="8">
        <f>((G285*'Rep quarterly'!F18)*G453)</f>
        <v>0</v>
      </c>
      <c r="H621" s="8">
        <f>((H285*'Rep quarterly'!F18)*H453)</f>
        <v>0</v>
      </c>
      <c r="I621" s="8">
        <f>SUM(D621:H621)</f>
        <v>24670.000000000004</v>
      </c>
    </row>
    <row r="622">
      <c r="A622" s="0" t="inlineStr">
        <is>
          <t xml:space="preserve">Commission</t>
        </is>
      </c>
      <c r="B622" s="0" t="inlineStr">
        <is>
          <t xml:space="preserve">Liam Silva</t>
        </is>
      </c>
      <c r="C622" s="0" t="inlineStr">
        <is>
          <t xml:space="preserve">Q2 2026</t>
        </is>
      </c>
      <c r="D622" s="8">
        <f>((D286*'Rep quarterly'!G18)*D454)</f>
        <v>6675.000000000001</v>
      </c>
      <c r="E622" s="8">
        <f>((E286*'Rep quarterly'!G18)*E454)</f>
        <v>0</v>
      </c>
      <c r="F622" s="8">
        <f>((F286*'Rep quarterly'!G18)*F454)</f>
        <v>0</v>
      </c>
      <c r="G622" s="8">
        <f>((G286*'Rep quarterly'!G18)*G454)</f>
        <v>0</v>
      </c>
      <c r="H622" s="8">
        <f>((H286*'Rep quarterly'!G18)*H454)</f>
        <v>0</v>
      </c>
      <c r="I622" s="8">
        <f>SUM(D622:H622)</f>
        <v>6675.000000000001</v>
      </c>
    </row>
    <row r="623">
      <c r="A623" s="0" t="inlineStr">
        <is>
          <t xml:space="preserve">Commission</t>
        </is>
      </c>
      <c r="B623" s="0" t="inlineStr">
        <is>
          <t xml:space="preserve">Liam Silva</t>
        </is>
      </c>
      <c r="C623" s="0" t="inlineStr">
        <is>
          <t xml:space="preserve">Q3 2026</t>
        </is>
      </c>
      <c r="D623" s="8">
        <f>((D287*'Rep quarterly'!H18)*D455)</f>
        <v>7500.000000000001</v>
      </c>
      <c r="E623" s="8">
        <f>((E287*'Rep quarterly'!H18)*E455)</f>
        <v>10000</v>
      </c>
      <c r="F623" s="8">
        <f>((F287*'Rep quarterly'!H18)*F455)</f>
        <v>900.0000000000009</v>
      </c>
      <c r="G623" s="8">
        <f>((G287*'Rep quarterly'!H18)*G455)</f>
        <v>0</v>
      </c>
      <c r="H623" s="8">
        <f>((H287*'Rep quarterly'!H18)*H455)</f>
        <v>0</v>
      </c>
      <c r="I623" s="8">
        <f>SUM(D623:H623)</f>
        <v>18400</v>
      </c>
    </row>
    <row r="624">
      <c r="A624" s="0" t="inlineStr">
        <is>
          <t xml:space="preserve">Commission</t>
        </is>
      </c>
      <c r="B624" s="0" t="inlineStr">
        <is>
          <t xml:space="preserve">Liam Silva</t>
        </is>
      </c>
      <c r="C624" s="0" t="inlineStr">
        <is>
          <t xml:space="preserve">Q4 2026</t>
        </is>
      </c>
      <c r="D624" s="4">
        <f>((D288*'Rep quarterly'!I18)*D456)</f>
        <v>0</v>
      </c>
      <c r="E624" s="4">
        <f>((E288*'Rep quarterly'!I18)*E456)</f>
        <v>0</v>
      </c>
      <c r="F624" s="4">
        <f>((F288*'Rep quarterly'!I18)*F456)</f>
        <v>0</v>
      </c>
      <c r="G624" s="4">
        <f>((G288*'Rep quarterly'!I18)*G456)</f>
        <v>0</v>
      </c>
      <c r="H624" s="4">
        <f>((H288*'Rep quarterly'!I18)*H456)</f>
        <v>0</v>
      </c>
      <c r="I624" s="4">
        <f>SUM(D624:H624)</f>
        <v>0</v>
      </c>
    </row>
    <row r="625">
      <c r="A625" s="0" t="inlineStr">
        <is>
          <t xml:space="preserve">Commission</t>
        </is>
      </c>
      <c r="B625" s="0" t="inlineStr">
        <is>
          <t xml:space="preserve">Samuel Silva</t>
        </is>
      </c>
      <c r="C625" s="0" t="inlineStr">
        <is>
          <t xml:space="preserve">Q2 2025</t>
        </is>
      </c>
      <c r="D625" s="8">
        <f>((D289*'Rep quarterly'!C19)*D457)</f>
        <v>5085.000000000001</v>
      </c>
      <c r="E625" s="8">
        <f>((E289*'Rep quarterly'!C19)*E457)</f>
        <v>0</v>
      </c>
      <c r="F625" s="8">
        <f>((F289*'Rep quarterly'!C19)*F457)</f>
        <v>0</v>
      </c>
      <c r="G625" s="8">
        <f>((G289*'Rep quarterly'!C19)*G457)</f>
        <v>0</v>
      </c>
      <c r="H625" s="8">
        <f>((H289*'Rep quarterly'!C19)*H457)</f>
        <v>0</v>
      </c>
      <c r="I625" s="8">
        <f>SUM(D625:H625)</f>
        <v>5085.000000000001</v>
      </c>
    </row>
    <row r="626">
      <c r="A626" s="0" t="inlineStr">
        <is>
          <t xml:space="preserve">Commission</t>
        </is>
      </c>
      <c r="B626" s="0" t="inlineStr">
        <is>
          <t xml:space="preserve">Samuel Silva</t>
        </is>
      </c>
      <c r="C626" s="0" t="inlineStr">
        <is>
          <t xml:space="preserve">Q3 2025</t>
        </is>
      </c>
      <c r="D626" s="8">
        <f>((D290*'Rep quarterly'!D19)*D458)</f>
        <v>7500.000000000001</v>
      </c>
      <c r="E626" s="8">
        <f>((E290*'Rep quarterly'!D19)*E458)</f>
        <v>10000</v>
      </c>
      <c r="F626" s="8">
        <f>((F290*'Rep quarterly'!D19)*F458)</f>
        <v>7500.000000000001</v>
      </c>
      <c r="G626" s="8">
        <f>((G290*'Rep quarterly'!D19)*G458)</f>
        <v>10000</v>
      </c>
      <c r="H626" s="8">
        <f>((H290*'Rep quarterly'!D19)*H458)</f>
        <v>2459.999999999996</v>
      </c>
      <c r="I626" s="8">
        <f>SUM(D626:H626)</f>
        <v>37459.99999999999</v>
      </c>
    </row>
    <row r="627">
      <c r="A627" s="0" t="inlineStr">
        <is>
          <t xml:space="preserve">Commission</t>
        </is>
      </c>
      <c r="B627" s="0" t="inlineStr">
        <is>
          <t xml:space="preserve">Samuel Silva</t>
        </is>
      </c>
      <c r="C627" s="0" t="inlineStr">
        <is>
          <t xml:space="preserve">Q4 2025</t>
        </is>
      </c>
      <c r="D627" s="8">
        <f>((D291*'Rep quarterly'!E19)*D459)</f>
        <v>7500.000000000001</v>
      </c>
      <c r="E627" s="8">
        <f>((E291*'Rep quarterly'!E19)*E459)</f>
        <v>9380</v>
      </c>
      <c r="F627" s="8">
        <f>((F291*'Rep quarterly'!E19)*F459)</f>
        <v>0</v>
      </c>
      <c r="G627" s="8">
        <f>((G291*'Rep quarterly'!E19)*G459)</f>
        <v>0</v>
      </c>
      <c r="H627" s="8">
        <f>((H291*'Rep quarterly'!E19)*H459)</f>
        <v>0</v>
      </c>
      <c r="I627" s="8">
        <f>SUM(D627:H627)</f>
        <v>16880</v>
      </c>
    </row>
    <row r="628">
      <c r="A628" s="0" t="inlineStr">
        <is>
          <t xml:space="preserve">Commission</t>
        </is>
      </c>
      <c r="B628" s="0" t="inlineStr">
        <is>
          <t xml:space="preserve">Samuel Silva</t>
        </is>
      </c>
      <c r="C628" s="0" t="inlineStr">
        <is>
          <t xml:space="preserve">Q1 2026</t>
        </is>
      </c>
      <c r="D628" s="8">
        <f>((D292*'Rep quarterly'!F19)*D460)</f>
        <v>7500.000000000001</v>
      </c>
      <c r="E628" s="8">
        <f>((E292*'Rep quarterly'!F19)*E460)</f>
        <v>10000</v>
      </c>
      <c r="F628" s="8">
        <f>((F292*'Rep quarterly'!F19)*F460)</f>
        <v>7500.000000000001</v>
      </c>
      <c r="G628" s="8">
        <f>((G292*'Rep quarterly'!F19)*G460)</f>
        <v>10000</v>
      </c>
      <c r="H628" s="8">
        <f>((H292*'Rep quarterly'!F19)*H460)</f>
        <v>11640</v>
      </c>
      <c r="I628" s="8">
        <f>SUM(D628:H628)</f>
        <v>46640</v>
      </c>
    </row>
    <row r="629">
      <c r="A629" s="0" t="inlineStr">
        <is>
          <t xml:space="preserve">Commission</t>
        </is>
      </c>
      <c r="B629" s="0" t="inlineStr">
        <is>
          <t xml:space="preserve">Samuel Silva</t>
        </is>
      </c>
      <c r="C629" s="0" t="inlineStr">
        <is>
          <t xml:space="preserve">Q2 2026</t>
        </is>
      </c>
      <c r="D629" s="8">
        <f>((D293*'Rep quarterly'!G19)*D461)</f>
        <v>7500.000000000001</v>
      </c>
      <c r="E629" s="8">
        <f>((E293*'Rep quarterly'!G19)*E461)</f>
        <v>10000</v>
      </c>
      <c r="F629" s="8">
        <f>((F293*'Rep quarterly'!G19)*F461)</f>
        <v>29.9999999999967</v>
      </c>
      <c r="G629" s="8">
        <f>((G293*'Rep quarterly'!G19)*G461)</f>
        <v>0</v>
      </c>
      <c r="H629" s="8">
        <f>((H293*'Rep quarterly'!G19)*H461)</f>
        <v>0</v>
      </c>
      <c r="I629" s="8">
        <f>SUM(D629:H629)</f>
        <v>17529.999999999996</v>
      </c>
    </row>
    <row r="630">
      <c r="A630" s="0" t="inlineStr">
        <is>
          <t xml:space="preserve">Commission</t>
        </is>
      </c>
      <c r="B630" s="0" t="inlineStr">
        <is>
          <t xml:space="preserve">Samuel Silva</t>
        </is>
      </c>
      <c r="C630" s="0" t="inlineStr">
        <is>
          <t xml:space="preserve">Q3 2026</t>
        </is>
      </c>
      <c r="D630" s="8">
        <f>((D294*'Rep quarterly'!H19)*D462)</f>
        <v>7500.000000000001</v>
      </c>
      <c r="E630" s="8">
        <f>((E294*'Rep quarterly'!H19)*E462)</f>
        <v>4259.999999999999</v>
      </c>
      <c r="F630" s="8">
        <f>((F294*'Rep quarterly'!H19)*F462)</f>
        <v>0</v>
      </c>
      <c r="G630" s="8">
        <f>((G294*'Rep quarterly'!H19)*G462)</f>
        <v>0</v>
      </c>
      <c r="H630" s="8">
        <f>((H294*'Rep quarterly'!H19)*H462)</f>
        <v>0</v>
      </c>
      <c r="I630" s="8">
        <f>SUM(D630:H630)</f>
        <v>11760</v>
      </c>
    </row>
    <row r="631">
      <c r="A631" s="0" t="inlineStr">
        <is>
          <t xml:space="preserve">Commission</t>
        </is>
      </c>
      <c r="B631" s="0" t="inlineStr">
        <is>
          <t xml:space="preserve">Samuel Silva</t>
        </is>
      </c>
      <c r="C631" s="0" t="inlineStr">
        <is>
          <t xml:space="preserve">Q4 2026</t>
        </is>
      </c>
      <c r="D631" s="4">
        <f>((D295*'Rep quarterly'!I19)*D463)</f>
        <v>0</v>
      </c>
      <c r="E631" s="4">
        <f>((E295*'Rep quarterly'!I19)*E463)</f>
        <v>0</v>
      </c>
      <c r="F631" s="4">
        <f>((F295*'Rep quarterly'!I19)*F463)</f>
        <v>0</v>
      </c>
      <c r="G631" s="4">
        <f>((G295*'Rep quarterly'!I19)*G463)</f>
        <v>0</v>
      </c>
      <c r="H631" s="4">
        <f>((H295*'Rep quarterly'!I19)*H463)</f>
        <v>0</v>
      </c>
      <c r="I631" s="4">
        <f>SUM(D631:H631)</f>
        <v>0</v>
      </c>
    </row>
    <row r="632">
      <c r="A632" s="0" t="inlineStr">
        <is>
          <t xml:space="preserve">Commission</t>
        </is>
      </c>
      <c r="B632" s="0" t="inlineStr">
        <is>
          <t xml:space="preserve">Yuki Larsen</t>
        </is>
      </c>
      <c r="C632" s="0" t="inlineStr">
        <is>
          <t xml:space="preserve">Q2 2025</t>
        </is>
      </c>
      <c r="D632" s="4">
        <f>((D296*'Rep quarterly'!C20)*D464)</f>
        <v>0</v>
      </c>
      <c r="E632" s="4">
        <f>((E296*'Rep quarterly'!C20)*E464)</f>
        <v>0</v>
      </c>
      <c r="F632" s="4">
        <f>((F296*'Rep quarterly'!C20)*F464)</f>
        <v>0</v>
      </c>
      <c r="G632" s="4">
        <f>((G296*'Rep quarterly'!C20)*G464)</f>
        <v>0</v>
      </c>
      <c r="H632" s="4">
        <f>((H296*'Rep quarterly'!C20)*H464)</f>
        <v>0</v>
      </c>
      <c r="I632" s="4">
        <f>SUM(D632:H632)</f>
        <v>0</v>
      </c>
    </row>
    <row r="633">
      <c r="A633" s="0" t="inlineStr">
        <is>
          <t xml:space="preserve">Commission</t>
        </is>
      </c>
      <c r="B633" s="0" t="inlineStr">
        <is>
          <t xml:space="preserve">Yuki Larsen</t>
        </is>
      </c>
      <c r="C633" s="0" t="inlineStr">
        <is>
          <t xml:space="preserve">Q3 2025</t>
        </is>
      </c>
      <c r="D633" s="8">
        <f>((D297*'Rep quarterly'!D20)*D465)</f>
        <v>14039.925</v>
      </c>
      <c r="E633" s="8">
        <f>((E297*'Rep quarterly'!D20)*E465)</f>
        <v>2500.750000000001</v>
      </c>
      <c r="F633" s="8">
        <f>((F297*'Rep quarterly'!D20)*F465)</f>
        <v>0</v>
      </c>
      <c r="G633" s="8">
        <f>((G297*'Rep quarterly'!D20)*G465)</f>
        <v>0</v>
      </c>
      <c r="H633" s="8">
        <f>((H297*'Rep quarterly'!D20)*H465)</f>
        <v>0</v>
      </c>
      <c r="I633" s="8">
        <f>SUM(D633:H633)</f>
        <v>16540.675</v>
      </c>
    </row>
    <row r="634">
      <c r="A634" s="0" t="inlineStr">
        <is>
          <t xml:space="preserve">Commission</t>
        </is>
      </c>
      <c r="B634" s="0" t="inlineStr">
        <is>
          <t xml:space="preserve">Yuki Larsen</t>
        </is>
      </c>
      <c r="C634" s="0" t="inlineStr">
        <is>
          <t xml:space="preserve">Q4 2025</t>
        </is>
      </c>
      <c r="D634" s="4">
        <f>((D298*'Rep quarterly'!E20)*D466)</f>
        <v>0</v>
      </c>
      <c r="E634" s="4">
        <f>((E298*'Rep quarterly'!E20)*E466)</f>
        <v>0</v>
      </c>
      <c r="F634" s="4">
        <f>((F298*'Rep quarterly'!E20)*F466)</f>
        <v>0</v>
      </c>
      <c r="G634" s="4">
        <f>((G298*'Rep quarterly'!E20)*G466)</f>
        <v>0</v>
      </c>
      <c r="H634" s="4">
        <f>((H298*'Rep quarterly'!E20)*H466)</f>
        <v>0</v>
      </c>
      <c r="I634" s="4">
        <f>SUM(D634:H634)</f>
        <v>0</v>
      </c>
    </row>
    <row r="635">
      <c r="A635" s="0" t="inlineStr">
        <is>
          <t xml:space="preserve">Commission</t>
        </is>
      </c>
      <c r="B635" s="0" t="inlineStr">
        <is>
          <t xml:space="preserve">Yuki Larsen</t>
        </is>
      </c>
      <c r="C635" s="0" t="inlineStr">
        <is>
          <t xml:space="preserve">Q1 2026</t>
        </is>
      </c>
      <c r="D635" s="4">
        <f>((D299*'Rep quarterly'!F20)*D467)</f>
        <v>0</v>
      </c>
      <c r="E635" s="4">
        <f>((E299*'Rep quarterly'!F20)*E467)</f>
        <v>0</v>
      </c>
      <c r="F635" s="4">
        <f>((F299*'Rep quarterly'!F20)*F467)</f>
        <v>0</v>
      </c>
      <c r="G635" s="4">
        <f>((G299*'Rep quarterly'!F20)*G467)</f>
        <v>0</v>
      </c>
      <c r="H635" s="4">
        <f>((H299*'Rep quarterly'!F20)*H467)</f>
        <v>0</v>
      </c>
      <c r="I635" s="4">
        <f>SUM(D635:H635)</f>
        <v>0</v>
      </c>
    </row>
    <row r="636">
      <c r="A636" s="0" t="inlineStr">
        <is>
          <t xml:space="preserve">Commission</t>
        </is>
      </c>
      <c r="B636" s="0" t="inlineStr">
        <is>
          <t xml:space="preserve">Yuki Larsen</t>
        </is>
      </c>
      <c r="C636" s="0" t="inlineStr">
        <is>
          <t xml:space="preserve">Q2 2026</t>
        </is>
      </c>
      <c r="D636" s="8">
        <f>((D300*'Rep quarterly'!G20)*D468)</f>
        <v>14039.925</v>
      </c>
      <c r="E636" s="8">
        <f>((E300*'Rep quarterly'!G20)*E468)</f>
        <v>8202.460000000003</v>
      </c>
      <c r="F636" s="8">
        <f>((F300*'Rep quarterly'!G20)*F468)</f>
        <v>0</v>
      </c>
      <c r="G636" s="8">
        <f>((G300*'Rep quarterly'!G20)*G468)</f>
        <v>0</v>
      </c>
      <c r="H636" s="8">
        <f>((H300*'Rep quarterly'!G20)*H468)</f>
        <v>0</v>
      </c>
      <c r="I636" s="8">
        <f>SUM(D636:H636)</f>
        <v>22242.385000000002</v>
      </c>
    </row>
    <row r="637">
      <c r="A637" s="0" t="inlineStr">
        <is>
          <t xml:space="preserve">Commission</t>
        </is>
      </c>
      <c r="B637" s="0" t="inlineStr">
        <is>
          <t xml:space="preserve">Yuki Larsen</t>
        </is>
      </c>
      <c r="C637" s="0" t="inlineStr">
        <is>
          <t xml:space="preserve">Q3 2026</t>
        </is>
      </c>
      <c r="D637" s="8">
        <f>((D301*'Rep quarterly'!H20)*D469)</f>
        <v>14039.925</v>
      </c>
      <c r="E637" s="8">
        <f>((E301*'Rep quarterly'!H20)*E469)</f>
        <v>3801.1400000000017</v>
      </c>
      <c r="F637" s="8">
        <f>((F301*'Rep quarterly'!H20)*F469)</f>
        <v>0</v>
      </c>
      <c r="G637" s="8">
        <f>((G301*'Rep quarterly'!H20)*G469)</f>
        <v>0</v>
      </c>
      <c r="H637" s="8">
        <f>((H301*'Rep quarterly'!H20)*H469)</f>
        <v>0</v>
      </c>
      <c r="I637" s="8">
        <f>SUM(D637:H637)</f>
        <v>17841.065000000002</v>
      </c>
    </row>
    <row r="638">
      <c r="A638" s="0" t="inlineStr">
        <is>
          <t xml:space="preserve">Commission</t>
        </is>
      </c>
      <c r="B638" s="0" t="inlineStr">
        <is>
          <t xml:space="preserve">Yuki Larsen</t>
        </is>
      </c>
      <c r="C638" s="0" t="inlineStr">
        <is>
          <t xml:space="preserve">Q4 2026</t>
        </is>
      </c>
      <c r="D638" s="4">
        <f>((D302*'Rep quarterly'!I20)*D470)</f>
        <v>0</v>
      </c>
      <c r="E638" s="4">
        <f>((E302*'Rep quarterly'!I20)*E470)</f>
        <v>0</v>
      </c>
      <c r="F638" s="4">
        <f>((F302*'Rep quarterly'!I20)*F470)</f>
        <v>0</v>
      </c>
      <c r="G638" s="4">
        <f>((G302*'Rep quarterly'!I20)*G470)</f>
        <v>0</v>
      </c>
      <c r="H638" s="4">
        <f>((H302*'Rep quarterly'!I20)*H470)</f>
        <v>0</v>
      </c>
      <c r="I638" s="4">
        <f>SUM(D638:H638)</f>
        <v>0</v>
      </c>
    </row>
    <row r="639">
      <c r="A639" s="0" t="inlineStr">
        <is>
          <t xml:space="preserve">Commission</t>
        </is>
      </c>
      <c r="B639" s="0" t="inlineStr">
        <is>
          <t xml:space="preserve">Nikolai Sato</t>
        </is>
      </c>
      <c r="C639" s="0" t="inlineStr">
        <is>
          <t xml:space="preserve">Q2 2025</t>
        </is>
      </c>
      <c r="D639" s="8">
        <f>((D303*'Rep quarterly'!C21)*D471)</f>
        <v>10685.3475</v>
      </c>
      <c r="E639" s="8">
        <f>((E303*'Rep quarterly'!C21)*E471)</f>
        <v>0</v>
      </c>
      <c r="F639" s="8">
        <f>((F303*'Rep quarterly'!C21)*F471)</f>
        <v>0</v>
      </c>
      <c r="G639" s="8">
        <f>((G303*'Rep quarterly'!C21)*G471)</f>
        <v>0</v>
      </c>
      <c r="H639" s="8">
        <f>((H303*'Rep quarterly'!C21)*H471)</f>
        <v>0</v>
      </c>
      <c r="I639" s="8">
        <f>SUM(D639:H639)</f>
        <v>10685.3475</v>
      </c>
    </row>
    <row r="640">
      <c r="A640" s="0" t="inlineStr">
        <is>
          <t xml:space="preserve">Commission</t>
        </is>
      </c>
      <c r="B640" s="0" t="inlineStr">
        <is>
          <t xml:space="preserve">Nikolai Sato</t>
        </is>
      </c>
      <c r="C640" s="0" t="inlineStr">
        <is>
          <t xml:space="preserve">Q3 2025</t>
        </is>
      </c>
      <c r="D640" s="8">
        <f>((D304*'Rep quarterly'!D21)*D472)</f>
        <v>14039.925</v>
      </c>
      <c r="E640" s="8">
        <f>((E304*'Rep quarterly'!D21)*E472)</f>
        <v>18719.9</v>
      </c>
      <c r="F640" s="8">
        <f>((F304*'Rep quarterly'!D21)*F472)</f>
        <v>3579.6449999999995</v>
      </c>
      <c r="G640" s="8">
        <f>((G304*'Rep quarterly'!D21)*G472)</f>
        <v>0</v>
      </c>
      <c r="H640" s="8">
        <f>((H304*'Rep quarterly'!D21)*H472)</f>
        <v>0</v>
      </c>
      <c r="I640" s="8">
        <f>SUM(D640:H640)</f>
        <v>36339.47</v>
      </c>
    </row>
    <row r="641">
      <c r="A641" s="0" t="inlineStr">
        <is>
          <t xml:space="preserve">Commission</t>
        </is>
      </c>
      <c r="B641" s="0" t="inlineStr">
        <is>
          <t xml:space="preserve">Nikolai Sato</t>
        </is>
      </c>
      <c r="C641" s="0" t="inlineStr">
        <is>
          <t xml:space="preserve">Q4 2025</t>
        </is>
      </c>
      <c r="D641" s="8">
        <f>((D305*'Rep quarterly'!E21)*D473)</f>
        <v>6891.3525</v>
      </c>
      <c r="E641" s="8">
        <f>((E305*'Rep quarterly'!E21)*E473)</f>
        <v>0</v>
      </c>
      <c r="F641" s="8">
        <f>((F305*'Rep quarterly'!E21)*F473)</f>
        <v>0</v>
      </c>
      <c r="G641" s="8">
        <f>((G305*'Rep quarterly'!E21)*G473)</f>
        <v>0</v>
      </c>
      <c r="H641" s="8">
        <f>((H305*'Rep quarterly'!E21)*H473)</f>
        <v>0</v>
      </c>
      <c r="I641" s="8">
        <f>SUM(D641:H641)</f>
        <v>6891.3525</v>
      </c>
    </row>
    <row r="642">
      <c r="A642" s="0" t="inlineStr">
        <is>
          <t xml:space="preserve">Commission</t>
        </is>
      </c>
      <c r="B642" s="0" t="inlineStr">
        <is>
          <t xml:space="preserve">Nikolai Sato</t>
        </is>
      </c>
      <c r="C642" s="0" t="inlineStr">
        <is>
          <t xml:space="preserve">Q1 2026</t>
        </is>
      </c>
      <c r="D642" s="8">
        <f>((D306*'Rep quarterly'!F21)*D474)</f>
        <v>9624.314999999999</v>
      </c>
      <c r="E642" s="8">
        <f>((E306*'Rep quarterly'!F21)*E474)</f>
        <v>0</v>
      </c>
      <c r="F642" s="8">
        <f>((F306*'Rep quarterly'!F21)*F474)</f>
        <v>0</v>
      </c>
      <c r="G642" s="8">
        <f>((G306*'Rep quarterly'!F21)*G474)</f>
        <v>0</v>
      </c>
      <c r="H642" s="8">
        <f>((H306*'Rep quarterly'!F21)*H474)</f>
        <v>0</v>
      </c>
      <c r="I642" s="8">
        <f>SUM(D642:H642)</f>
        <v>9624.314999999999</v>
      </c>
    </row>
    <row r="643">
      <c r="A643" s="0" t="inlineStr">
        <is>
          <t xml:space="preserve">Commission</t>
        </is>
      </c>
      <c r="B643" s="0" t="inlineStr">
        <is>
          <t xml:space="preserve">Nikolai Sato</t>
        </is>
      </c>
      <c r="C643" s="0" t="inlineStr">
        <is>
          <t xml:space="preserve">Q2 2026</t>
        </is>
      </c>
      <c r="D643" s="4">
        <f>((D307*'Rep quarterly'!G21)*D475)</f>
        <v>0</v>
      </c>
      <c r="E643" s="4">
        <f>((E307*'Rep quarterly'!G21)*E475)</f>
        <v>0</v>
      </c>
      <c r="F643" s="4">
        <f>((F307*'Rep quarterly'!G21)*F475)</f>
        <v>0</v>
      </c>
      <c r="G643" s="4">
        <f>((G307*'Rep quarterly'!G21)*G475)</f>
        <v>0</v>
      </c>
      <c r="H643" s="4">
        <f>((H307*'Rep quarterly'!G21)*H475)</f>
        <v>0</v>
      </c>
      <c r="I643" s="4">
        <f>SUM(D643:H643)</f>
        <v>0</v>
      </c>
    </row>
    <row r="644">
      <c r="A644" s="0" t="inlineStr">
        <is>
          <t xml:space="preserve">Commission</t>
        </is>
      </c>
      <c r="B644" s="0" t="inlineStr">
        <is>
          <t xml:space="preserve">Nikolai Sato</t>
        </is>
      </c>
      <c r="C644" s="0" t="inlineStr">
        <is>
          <t xml:space="preserve">Q3 2026</t>
        </is>
      </c>
      <c r="D644" s="8">
        <f>((D308*'Rep quarterly'!H21)*D476)</f>
        <v>11081.894999999999</v>
      </c>
      <c r="E644" s="8">
        <f>((E308*'Rep quarterly'!H21)*E476)</f>
        <v>0</v>
      </c>
      <c r="F644" s="8">
        <f>((F308*'Rep quarterly'!H21)*F476)</f>
        <v>0</v>
      </c>
      <c r="G644" s="8">
        <f>((G308*'Rep quarterly'!H21)*G476)</f>
        <v>0</v>
      </c>
      <c r="H644" s="8">
        <f>((H308*'Rep quarterly'!H21)*H476)</f>
        <v>0</v>
      </c>
      <c r="I644" s="8">
        <f>SUM(D644:H644)</f>
        <v>11081.894999999999</v>
      </c>
    </row>
    <row r="645">
      <c r="A645" s="0" t="inlineStr">
        <is>
          <t xml:space="preserve">Commission</t>
        </is>
      </c>
      <c r="B645" s="0" t="inlineStr">
        <is>
          <t xml:space="preserve">Nikolai Sato</t>
        </is>
      </c>
      <c r="C645" s="0" t="inlineStr">
        <is>
          <t xml:space="preserve">Q4 2026</t>
        </is>
      </c>
      <c r="D645" s="4">
        <f>((D309*'Rep quarterly'!I21)*D477)</f>
        <v>0</v>
      </c>
      <c r="E645" s="4">
        <f>((E309*'Rep quarterly'!I21)*E477)</f>
        <v>0</v>
      </c>
      <c r="F645" s="4">
        <f>((F309*'Rep quarterly'!I21)*F477)</f>
        <v>0</v>
      </c>
      <c r="G645" s="4">
        <f>((G309*'Rep quarterly'!I21)*G477)</f>
        <v>0</v>
      </c>
      <c r="H645" s="4">
        <f>((H309*'Rep quarterly'!I21)*H477)</f>
        <v>0</v>
      </c>
      <c r="I645" s="4">
        <f>SUM(D645:H645)</f>
        <v>0</v>
      </c>
    </row>
    <row r="646">
      <c r="A646" s="0" t="inlineStr">
        <is>
          <t xml:space="preserve">Commission</t>
        </is>
      </c>
      <c r="B646" s="0" t="inlineStr">
        <is>
          <t xml:space="preserve">Elena Silva</t>
        </is>
      </c>
      <c r="C646" s="0" t="inlineStr">
        <is>
          <t xml:space="preserve">Q2 2025</t>
        </is>
      </c>
      <c r="D646" s="8">
        <f>((D310*'Rep quarterly'!C22)*D478)</f>
        <v>7698.599999999999</v>
      </c>
      <c r="E646" s="8">
        <f>((E310*'Rep quarterly'!C22)*E478)</f>
        <v>10118.16</v>
      </c>
      <c r="F646" s="8">
        <f>((F310*'Rep quarterly'!C22)*F478)</f>
        <v>0</v>
      </c>
      <c r="G646" s="8">
        <f>((G310*'Rep quarterly'!C22)*G478)</f>
        <v>0</v>
      </c>
      <c r="H646" s="8">
        <f>((H310*'Rep quarterly'!C22)*H478)</f>
        <v>0</v>
      </c>
      <c r="I646" s="8">
        <f>SUM(D646:H646)</f>
        <v>17816.76</v>
      </c>
    </row>
    <row r="647">
      <c r="A647" s="0" t="inlineStr">
        <is>
          <t xml:space="preserve">Commission</t>
        </is>
      </c>
      <c r="B647" s="0" t="inlineStr">
        <is>
          <t xml:space="preserve">Elena Silva</t>
        </is>
      </c>
      <c r="C647" s="0" t="inlineStr">
        <is>
          <t xml:space="preserve">Q3 2025</t>
        </is>
      </c>
      <c r="D647" s="8">
        <f>((D311*'Rep quarterly'!D22)*D479)</f>
        <v>10310.624999999998</v>
      </c>
      <c r="E647" s="8">
        <f>((E311*'Rep quarterly'!D22)*E479)</f>
        <v>13747.5</v>
      </c>
      <c r="F647" s="8">
        <f>((F311*'Rep quarterly'!D22)*F479)</f>
        <v>10310.624999999998</v>
      </c>
      <c r="G647" s="8">
        <f>((G311*'Rep quarterly'!D22)*G479)</f>
        <v>13747.5</v>
      </c>
      <c r="H647" s="8">
        <f>((H311*'Rep quarterly'!D22)*H479)</f>
        <v>33598.89</v>
      </c>
      <c r="I647" s="8">
        <f>SUM(D647:H647)</f>
        <v>81715.14</v>
      </c>
    </row>
    <row r="648">
      <c r="A648" s="0" t="inlineStr">
        <is>
          <t xml:space="preserve">Commission</t>
        </is>
      </c>
      <c r="B648" s="0" t="inlineStr">
        <is>
          <t xml:space="preserve">Elena Silva</t>
        </is>
      </c>
      <c r="C648" s="0" t="inlineStr">
        <is>
          <t xml:space="preserve">Q4 2025</t>
        </is>
      </c>
      <c r="D648" s="8">
        <f>((D312*'Rep quarterly'!E22)*D480)</f>
        <v>10310.624999999998</v>
      </c>
      <c r="E648" s="8">
        <f>((E312*'Rep quarterly'!E22)*E480)</f>
        <v>13747.5</v>
      </c>
      <c r="F648" s="8">
        <f>((F312*'Rep quarterly'!E22)*F480)</f>
        <v>10310.624999999998</v>
      </c>
      <c r="G648" s="8">
        <f>((G312*'Rep quarterly'!E22)*G480)</f>
        <v>13747.5</v>
      </c>
      <c r="H648" s="8">
        <f>((H312*'Rep quarterly'!E22)*H480)</f>
        <v>2969.4600000000023</v>
      </c>
      <c r="I648" s="8">
        <f>SUM(D648:H648)</f>
        <v>51085.71</v>
      </c>
    </row>
    <row r="649">
      <c r="A649" s="0" t="inlineStr">
        <is>
          <t xml:space="preserve">Commission</t>
        </is>
      </c>
      <c r="B649" s="0" t="inlineStr">
        <is>
          <t xml:space="preserve">Elena Silva</t>
        </is>
      </c>
      <c r="C649" s="0" t="inlineStr">
        <is>
          <t xml:space="preserve">Q1 2026</t>
        </is>
      </c>
      <c r="D649" s="8">
        <f>((D313*'Rep quarterly'!F22)*D481)</f>
        <v>10310.624999999998</v>
      </c>
      <c r="E649" s="8">
        <f>((E313*'Rep quarterly'!F22)*E481)</f>
        <v>11401.259999999998</v>
      </c>
      <c r="F649" s="8">
        <f>((F313*'Rep quarterly'!F22)*F481)</f>
        <v>0</v>
      </c>
      <c r="G649" s="8">
        <f>((G313*'Rep quarterly'!F22)*G481)</f>
        <v>0</v>
      </c>
      <c r="H649" s="8">
        <f>((H313*'Rep quarterly'!F22)*H481)</f>
        <v>0</v>
      </c>
      <c r="I649" s="8">
        <f>SUM(D649:H649)</f>
        <v>21711.884999999995</v>
      </c>
    </row>
    <row r="650">
      <c r="A650" s="0" t="inlineStr">
        <is>
          <t xml:space="preserve">Commission</t>
        </is>
      </c>
      <c r="B650" s="0" t="inlineStr">
        <is>
          <t xml:space="preserve">Elena Silva</t>
        </is>
      </c>
      <c r="C650" s="0" t="inlineStr">
        <is>
          <t xml:space="preserve">Q2 2026</t>
        </is>
      </c>
      <c r="D650" s="8">
        <f>((D314*'Rep quarterly'!G22)*D482)</f>
        <v>10310.624999999998</v>
      </c>
      <c r="E650" s="8">
        <f>((E314*'Rep quarterly'!G22)*E482)</f>
        <v>13747.5</v>
      </c>
      <c r="F650" s="8">
        <f>((F314*'Rep quarterly'!G22)*F482)</f>
        <v>9320.804999999998</v>
      </c>
      <c r="G650" s="8">
        <f>((G314*'Rep quarterly'!G22)*G482)</f>
        <v>0</v>
      </c>
      <c r="H650" s="8">
        <f>((H314*'Rep quarterly'!G22)*H482)</f>
        <v>0</v>
      </c>
      <c r="I650" s="8">
        <f>SUM(D650:H650)</f>
        <v>33378.93</v>
      </c>
    </row>
    <row r="651">
      <c r="A651" s="0" t="inlineStr">
        <is>
          <t xml:space="preserve">Commission</t>
        </is>
      </c>
      <c r="B651" s="0" t="inlineStr">
        <is>
          <t xml:space="preserve">Elena Silva</t>
        </is>
      </c>
      <c r="C651" s="0" t="inlineStr">
        <is>
          <t xml:space="preserve">Q3 2026</t>
        </is>
      </c>
      <c r="D651" s="8">
        <f>((D315*'Rep quarterly'!H22)*D483)</f>
        <v>10310.624999999998</v>
      </c>
      <c r="E651" s="8">
        <f>((E315*'Rep quarterly'!H22)*E483)</f>
        <v>13747.5</v>
      </c>
      <c r="F651" s="8">
        <f>((F315*'Rep quarterly'!H22)*F483)</f>
        <v>10310.624999999998</v>
      </c>
      <c r="G651" s="8">
        <f>((G315*'Rep quarterly'!H22)*G483)</f>
        <v>1503.0600000000052</v>
      </c>
      <c r="H651" s="8">
        <f>((H315*'Rep quarterly'!H22)*H483)</f>
        <v>0</v>
      </c>
      <c r="I651" s="8">
        <f>SUM(D651:H651)</f>
        <v>35871.810000000005</v>
      </c>
    </row>
    <row r="652">
      <c r="A652" s="0" t="inlineStr">
        <is>
          <t xml:space="preserve">Commission</t>
        </is>
      </c>
      <c r="B652" s="0" t="inlineStr">
        <is>
          <t xml:space="preserve">Elena Silva</t>
        </is>
      </c>
      <c r="C652" s="0" t="inlineStr">
        <is>
          <t xml:space="preserve">Q4 2026</t>
        </is>
      </c>
      <c r="D652" s="4">
        <f>((D316*'Rep quarterly'!I22)*D484)</f>
        <v>0</v>
      </c>
      <c r="E652" s="4">
        <f>((E316*'Rep quarterly'!I22)*E484)</f>
        <v>0</v>
      </c>
      <c r="F652" s="4">
        <f>((F316*'Rep quarterly'!I22)*F484)</f>
        <v>0</v>
      </c>
      <c r="G652" s="4">
        <f>((G316*'Rep quarterly'!I22)*G484)</f>
        <v>0</v>
      </c>
      <c r="H652" s="4">
        <f>((H316*'Rep quarterly'!I22)*H484)</f>
        <v>0</v>
      </c>
      <c r="I652" s="4">
        <f>SUM(D652:H652)</f>
        <v>0</v>
      </c>
    </row>
    <row r="653">
      <c r="A653" s="0" t="inlineStr">
        <is>
          <t xml:space="preserve">Commission</t>
        </is>
      </c>
      <c r="B653" s="0" t="inlineStr">
        <is>
          <t xml:space="preserve">Arjun Müller</t>
        </is>
      </c>
      <c r="C653" s="0" t="inlineStr">
        <is>
          <t xml:space="preserve">Q2 2025</t>
        </is>
      </c>
      <c r="D653" s="8">
        <f>((D317*'Rep quarterly'!C23)*D485)</f>
        <v>3436.8749999999995</v>
      </c>
      <c r="E653" s="8">
        <f>((E317*'Rep quarterly'!C23)*E485)</f>
        <v>0</v>
      </c>
      <c r="F653" s="8">
        <f>((F317*'Rep quarterly'!C23)*F485)</f>
        <v>0</v>
      </c>
      <c r="G653" s="8">
        <f>((G317*'Rep quarterly'!C23)*G485)</f>
        <v>0</v>
      </c>
      <c r="H653" s="8">
        <f>((H317*'Rep quarterly'!C23)*H485)</f>
        <v>0</v>
      </c>
      <c r="I653" s="8">
        <f>SUM(D653:H653)</f>
        <v>3436.8749999999995</v>
      </c>
    </row>
    <row r="654">
      <c r="A654" s="0" t="inlineStr">
        <is>
          <t xml:space="preserve">Commission</t>
        </is>
      </c>
      <c r="B654" s="0" t="inlineStr">
        <is>
          <t xml:space="preserve">Arjun Müller</t>
        </is>
      </c>
      <c r="C654" s="0" t="inlineStr">
        <is>
          <t xml:space="preserve">Q3 2025</t>
        </is>
      </c>
      <c r="D654" s="8">
        <f>((D318*'Rep quarterly'!D23)*D486)</f>
        <v>10310.624999999998</v>
      </c>
      <c r="E654" s="8">
        <f>((E318*'Rep quarterly'!D23)*E486)</f>
        <v>476.5799999999994</v>
      </c>
      <c r="F654" s="8">
        <f>((F318*'Rep quarterly'!D23)*F486)</f>
        <v>0</v>
      </c>
      <c r="G654" s="8">
        <f>((G318*'Rep quarterly'!D23)*G486)</f>
        <v>0</v>
      </c>
      <c r="H654" s="8">
        <f>((H318*'Rep quarterly'!D23)*H486)</f>
        <v>0</v>
      </c>
      <c r="I654" s="8">
        <f>SUM(D654:H654)</f>
        <v>10787.204999999998</v>
      </c>
    </row>
    <row r="655">
      <c r="A655" s="0" t="inlineStr">
        <is>
          <t xml:space="preserve">Commission</t>
        </is>
      </c>
      <c r="B655" s="0" t="inlineStr">
        <is>
          <t xml:space="preserve">Arjun Müller</t>
        </is>
      </c>
      <c r="C655" s="0" t="inlineStr">
        <is>
          <t xml:space="preserve">Q4 2025</t>
        </is>
      </c>
      <c r="D655" s="8">
        <f>((D319*'Rep quarterly'!E23)*D487)</f>
        <v>10310.624999999998</v>
      </c>
      <c r="E655" s="8">
        <f>((E319*'Rep quarterly'!E23)*E487)</f>
        <v>13747.5</v>
      </c>
      <c r="F655" s="8">
        <f>((F319*'Rep quarterly'!E23)*F487)</f>
        <v>7093.709999999996</v>
      </c>
      <c r="G655" s="8">
        <f>((G319*'Rep quarterly'!E23)*G487)</f>
        <v>0</v>
      </c>
      <c r="H655" s="8">
        <f>((H319*'Rep quarterly'!E23)*H487)</f>
        <v>0</v>
      </c>
      <c r="I655" s="8">
        <f>SUM(D655:H655)</f>
        <v>31151.834999999995</v>
      </c>
    </row>
    <row r="656">
      <c r="A656" s="0" t="inlineStr">
        <is>
          <t xml:space="preserve">Commission</t>
        </is>
      </c>
      <c r="B656" s="0" t="inlineStr">
        <is>
          <t xml:space="preserve">Arjun Müller</t>
        </is>
      </c>
      <c r="C656" s="0" t="inlineStr">
        <is>
          <t xml:space="preserve">Q1 2026</t>
        </is>
      </c>
      <c r="D656" s="4">
        <f>((D320*'Rep quarterly'!F23)*D488)</f>
        <v>0</v>
      </c>
      <c r="E656" s="4">
        <f>((E320*'Rep quarterly'!F23)*E488)</f>
        <v>0</v>
      </c>
      <c r="F656" s="4">
        <f>((F320*'Rep quarterly'!F23)*F488)</f>
        <v>0</v>
      </c>
      <c r="G656" s="4">
        <f>((G320*'Rep quarterly'!F23)*G488)</f>
        <v>0</v>
      </c>
      <c r="H656" s="4">
        <f>((H320*'Rep quarterly'!F23)*H488)</f>
        <v>0</v>
      </c>
      <c r="I656" s="4">
        <f>SUM(D656:H656)</f>
        <v>0</v>
      </c>
    </row>
    <row r="657">
      <c r="A657" s="0" t="inlineStr">
        <is>
          <t xml:space="preserve">Commission</t>
        </is>
      </c>
      <c r="B657" s="0" t="inlineStr">
        <is>
          <t xml:space="preserve">Arjun Müller</t>
        </is>
      </c>
      <c r="C657" s="0" t="inlineStr">
        <is>
          <t xml:space="preserve">Q2 2026</t>
        </is>
      </c>
      <c r="D657" s="8">
        <f>((D321*'Rep quarterly'!G23)*D489)</f>
        <v>10310.624999999998</v>
      </c>
      <c r="E657" s="8">
        <f>((E321*'Rep quarterly'!G23)*E489)</f>
        <v>13747.5</v>
      </c>
      <c r="F657" s="8">
        <f>((F321*'Rep quarterly'!G23)*F489)</f>
        <v>10310.624999999998</v>
      </c>
      <c r="G657" s="8">
        <f>((G321*'Rep quarterly'!G23)*G489)</f>
        <v>2346.239999999998</v>
      </c>
      <c r="H657" s="8">
        <f>((H321*'Rep quarterly'!G23)*H489)</f>
        <v>0</v>
      </c>
      <c r="I657" s="8">
        <f>SUM(D657:H657)</f>
        <v>36714.99</v>
      </c>
    </row>
    <row r="658">
      <c r="A658" s="0" t="inlineStr">
        <is>
          <t xml:space="preserve">Commission</t>
        </is>
      </c>
      <c r="B658" s="0" t="inlineStr">
        <is>
          <t xml:space="preserve">Arjun Müller</t>
        </is>
      </c>
      <c r="C658" s="0" t="inlineStr">
        <is>
          <t xml:space="preserve">Q3 2026</t>
        </is>
      </c>
      <c r="D658" s="8">
        <f>((D322*'Rep quarterly'!H23)*D490)</f>
        <v>10310.624999999998</v>
      </c>
      <c r="E658" s="8">
        <f>((E322*'Rep quarterly'!H23)*E490)</f>
        <v>13747.5</v>
      </c>
      <c r="F658" s="8">
        <f>((F322*'Rep quarterly'!H23)*F490)</f>
        <v>3354.3899999999967</v>
      </c>
      <c r="G658" s="8">
        <f>((G322*'Rep quarterly'!H23)*G490)</f>
        <v>0</v>
      </c>
      <c r="H658" s="8">
        <f>((H322*'Rep quarterly'!H23)*H490)</f>
        <v>0</v>
      </c>
      <c r="I658" s="8">
        <f>SUM(D658:H658)</f>
        <v>27412.514999999996</v>
      </c>
    </row>
    <row r="659">
      <c r="A659" s="0" t="inlineStr">
        <is>
          <t xml:space="preserve">Commission</t>
        </is>
      </c>
      <c r="B659" s="0" t="inlineStr">
        <is>
          <t xml:space="preserve">Arjun Müller</t>
        </is>
      </c>
      <c r="C659" s="0" t="inlineStr">
        <is>
          <t xml:space="preserve">Q4 2026</t>
        </is>
      </c>
      <c r="D659" s="4">
        <f>((D323*'Rep quarterly'!I23)*D491)</f>
        <v>0</v>
      </c>
      <c r="E659" s="4">
        <f>((E323*'Rep quarterly'!I23)*E491)</f>
        <v>0</v>
      </c>
      <c r="F659" s="4">
        <f>((F323*'Rep quarterly'!I23)*F491)</f>
        <v>0</v>
      </c>
      <c r="G659" s="4">
        <f>((G323*'Rep quarterly'!I23)*G491)</f>
        <v>0</v>
      </c>
      <c r="H659" s="4">
        <f>((H323*'Rep quarterly'!I23)*H491)</f>
        <v>0</v>
      </c>
      <c r="I659" s="4">
        <f>SUM(D659:H659)</f>
        <v>0</v>
      </c>
    </row>
    <row r="660">
      <c r="A660" s="0" t="inlineStr">
        <is>
          <t xml:space="preserve">Commission</t>
        </is>
      </c>
      <c r="B660" s="0" t="inlineStr">
        <is>
          <t xml:space="preserve">Nikolai Park</t>
        </is>
      </c>
      <c r="C660" s="0" t="inlineStr">
        <is>
          <t xml:space="preserve">Q2 2025</t>
        </is>
      </c>
      <c r="D660" s="4">
        <f>((D324*'Rep quarterly'!C24)*D492)</f>
        <v>0</v>
      </c>
      <c r="E660" s="4">
        <f>((E324*'Rep quarterly'!C24)*E492)</f>
        <v>0</v>
      </c>
      <c r="F660" s="4">
        <f>((F324*'Rep quarterly'!C24)*F492)</f>
        <v>0</v>
      </c>
      <c r="G660" s="4">
        <f>((G324*'Rep quarterly'!C24)*G492)</f>
        <v>0</v>
      </c>
      <c r="H660" s="4">
        <f>((H324*'Rep quarterly'!C24)*H492)</f>
        <v>0</v>
      </c>
      <c r="I660" s="4">
        <f>SUM(D660:H660)</f>
        <v>0</v>
      </c>
    </row>
    <row r="661">
      <c r="A661" s="0" t="inlineStr">
        <is>
          <t xml:space="preserve">Commission</t>
        </is>
      </c>
      <c r="B661" s="0" t="inlineStr">
        <is>
          <t xml:space="preserve">Nikolai Park</t>
        </is>
      </c>
      <c r="C661" s="0" t="inlineStr">
        <is>
          <t xml:space="preserve">Q3 2025</t>
        </is>
      </c>
      <c r="D661" s="4">
        <f>((D325*'Rep quarterly'!D24)*D493)</f>
        <v>0</v>
      </c>
      <c r="E661" s="4">
        <f>((E325*'Rep quarterly'!D24)*E493)</f>
        <v>0</v>
      </c>
      <c r="F661" s="4">
        <f>((F325*'Rep quarterly'!D24)*F493)</f>
        <v>0</v>
      </c>
      <c r="G661" s="4">
        <f>((G325*'Rep quarterly'!D24)*G493)</f>
        <v>0</v>
      </c>
      <c r="H661" s="4">
        <f>((H325*'Rep quarterly'!D24)*H493)</f>
        <v>0</v>
      </c>
      <c r="I661" s="4">
        <f>SUM(D661:H661)</f>
        <v>0</v>
      </c>
    </row>
    <row r="662">
      <c r="A662" s="0" t="inlineStr">
        <is>
          <t xml:space="preserve">Commission</t>
        </is>
      </c>
      <c r="B662" s="0" t="inlineStr">
        <is>
          <t xml:space="preserve">Nikolai Park</t>
        </is>
      </c>
      <c r="C662" s="0" t="inlineStr">
        <is>
          <t xml:space="preserve">Q4 2025</t>
        </is>
      </c>
      <c r="D662" s="4">
        <f>((D326*'Rep quarterly'!E24)*D494)</f>
        <v>0</v>
      </c>
      <c r="E662" s="4">
        <f>((E326*'Rep quarterly'!E24)*E494)</f>
        <v>0</v>
      </c>
      <c r="F662" s="4">
        <f>((F326*'Rep quarterly'!E24)*F494)</f>
        <v>0</v>
      </c>
      <c r="G662" s="4">
        <f>((G326*'Rep quarterly'!E24)*G494)</f>
        <v>0</v>
      </c>
      <c r="H662" s="4">
        <f>((H326*'Rep quarterly'!E24)*H494)</f>
        <v>0</v>
      </c>
      <c r="I662" s="4">
        <f>SUM(D662:H662)</f>
        <v>0</v>
      </c>
    </row>
    <row r="663">
      <c r="A663" s="0" t="inlineStr">
        <is>
          <t xml:space="preserve">Commission</t>
        </is>
      </c>
      <c r="B663" s="0" t="inlineStr">
        <is>
          <t xml:space="preserve">Nikolai Park</t>
        </is>
      </c>
      <c r="C663" s="0" t="inlineStr">
        <is>
          <t xml:space="preserve">Q1 2026</t>
        </is>
      </c>
      <c r="D663" s="4">
        <f>((D327*'Rep quarterly'!F24)*D495)</f>
        <v>0</v>
      </c>
      <c r="E663" s="4">
        <f>((E327*'Rep quarterly'!F24)*E495)</f>
        <v>0</v>
      </c>
      <c r="F663" s="4">
        <f>((F327*'Rep quarterly'!F24)*F495)</f>
        <v>0</v>
      </c>
      <c r="G663" s="4">
        <f>((G327*'Rep quarterly'!F24)*G495)</f>
        <v>0</v>
      </c>
      <c r="H663" s="4">
        <f>((H327*'Rep quarterly'!F24)*H495)</f>
        <v>0</v>
      </c>
      <c r="I663" s="4">
        <f>SUM(D663:H663)</f>
        <v>0</v>
      </c>
    </row>
    <row r="664">
      <c r="A664" s="0" t="inlineStr">
        <is>
          <t xml:space="preserve">Commission</t>
        </is>
      </c>
      <c r="B664" s="0" t="inlineStr">
        <is>
          <t xml:space="preserve">Nikolai Park</t>
        </is>
      </c>
      <c r="C664" s="0" t="inlineStr">
        <is>
          <t xml:space="preserve">Q2 2026</t>
        </is>
      </c>
      <c r="D664" s="8">
        <f>((D328*'Rep quarterly'!G24)*D496)</f>
        <v>1875</v>
      </c>
      <c r="E664" s="8">
        <f>((E328*'Rep quarterly'!G24)*E496)</f>
        <v>250.00000000000023</v>
      </c>
      <c r="F664" s="8">
        <f>((F328*'Rep quarterly'!G24)*F496)</f>
        <v>0</v>
      </c>
      <c r="G664" s="8">
        <f>((G328*'Rep quarterly'!G24)*G496)</f>
        <v>0</v>
      </c>
      <c r="H664" s="8">
        <f>((H328*'Rep quarterly'!G24)*H496)</f>
        <v>0</v>
      </c>
      <c r="I664" s="8">
        <f>SUM(D664:H664)</f>
        <v>2125</v>
      </c>
    </row>
    <row r="665">
      <c r="A665" s="0" t="inlineStr">
        <is>
          <t xml:space="preserve">Commission</t>
        </is>
      </c>
      <c r="B665" s="0" t="inlineStr">
        <is>
          <t xml:space="preserve">Nikolai Park</t>
        </is>
      </c>
      <c r="C665" s="0" t="inlineStr">
        <is>
          <t xml:space="preserve">Q3 2026</t>
        </is>
      </c>
      <c r="D665" s="8">
        <f>((D329*'Rep quarterly'!H24)*D497)</f>
        <v>3750</v>
      </c>
      <c r="E665" s="8">
        <f>((E329*'Rep quarterly'!H24)*E497)</f>
        <v>1949.9999999999995</v>
      </c>
      <c r="F665" s="8">
        <f>((F329*'Rep quarterly'!H24)*F497)</f>
        <v>0</v>
      </c>
      <c r="G665" s="8">
        <f>((G329*'Rep quarterly'!H24)*G497)</f>
        <v>0</v>
      </c>
      <c r="H665" s="8">
        <f>((H329*'Rep quarterly'!H24)*H497)</f>
        <v>0</v>
      </c>
      <c r="I665" s="8">
        <f>SUM(D665:H665)</f>
        <v>5700</v>
      </c>
    </row>
    <row r="666">
      <c r="A666" s="0" t="inlineStr">
        <is>
          <t xml:space="preserve">Commission</t>
        </is>
      </c>
      <c r="B666" s="0" t="inlineStr">
        <is>
          <t xml:space="preserve">Nikolai Park</t>
        </is>
      </c>
      <c r="C666" s="0" t="inlineStr">
        <is>
          <t xml:space="preserve">Q4 2026</t>
        </is>
      </c>
      <c r="D666" s="4">
        <f>((D330*'Rep quarterly'!I24)*D498)</f>
        <v>0</v>
      </c>
      <c r="E666" s="4">
        <f>((E330*'Rep quarterly'!I24)*E498)</f>
        <v>0</v>
      </c>
      <c r="F666" s="4">
        <f>((F330*'Rep quarterly'!I24)*F498)</f>
        <v>0</v>
      </c>
      <c r="G666" s="4">
        <f>((G330*'Rep quarterly'!I24)*G498)</f>
        <v>0</v>
      </c>
      <c r="H666" s="4">
        <f>((H330*'Rep quarterly'!I24)*H498)</f>
        <v>0</v>
      </c>
      <c r="I666" s="4">
        <f>SUM(D666:H666)</f>
        <v>0</v>
      </c>
    </row>
    <row r="667">
      <c r="A667" s="0" t="inlineStr">
        <is>
          <t xml:space="preserve">Commission</t>
        </is>
      </c>
      <c r="B667" s="0" t="inlineStr">
        <is>
          <t xml:space="preserve">Ingrid Dubois</t>
        </is>
      </c>
      <c r="C667" s="0" t="inlineStr">
        <is>
          <t xml:space="preserve">Q2 2025</t>
        </is>
      </c>
      <c r="D667" s="4">
        <f>((D331*'Rep quarterly'!C25)*D499)</f>
        <v>0</v>
      </c>
      <c r="E667" s="4">
        <f>((E331*'Rep quarterly'!C25)*E499)</f>
        <v>0</v>
      </c>
      <c r="F667" s="4">
        <f>((F331*'Rep quarterly'!C25)*F499)</f>
        <v>0</v>
      </c>
      <c r="G667" s="4">
        <f>((G331*'Rep quarterly'!C25)*G499)</f>
        <v>0</v>
      </c>
      <c r="H667" s="4">
        <f>((H331*'Rep quarterly'!C25)*H499)</f>
        <v>0</v>
      </c>
      <c r="I667" s="4">
        <f>SUM(D667:H667)</f>
        <v>0</v>
      </c>
    </row>
    <row r="668">
      <c r="A668" s="0" t="inlineStr">
        <is>
          <t xml:space="preserve">Commission</t>
        </is>
      </c>
      <c r="B668" s="0" t="inlineStr">
        <is>
          <t xml:space="preserve">Ingrid Dubois</t>
        </is>
      </c>
      <c r="C668" s="0" t="inlineStr">
        <is>
          <t xml:space="preserve">Q3 2025</t>
        </is>
      </c>
      <c r="D668" s="8">
        <f>((D332*'Rep quarterly'!D25)*D500)</f>
        <v>7500</v>
      </c>
      <c r="E668" s="8">
        <f>((E332*'Rep quarterly'!D25)*E500)</f>
        <v>10000</v>
      </c>
      <c r="F668" s="8">
        <f>((F332*'Rep quarterly'!D25)*F500)</f>
        <v>7500</v>
      </c>
      <c r="G668" s="8">
        <f>((G332*'Rep quarterly'!D25)*G500)</f>
        <v>10000</v>
      </c>
      <c r="H668" s="8">
        <f>((H332*'Rep quarterly'!D25)*H500)</f>
        <v>3224.999999999998</v>
      </c>
      <c r="I668" s="8">
        <f>SUM(D668:H668)</f>
        <v>38225</v>
      </c>
    </row>
    <row r="669">
      <c r="A669" s="0" t="inlineStr">
        <is>
          <t xml:space="preserve">Commission</t>
        </is>
      </c>
      <c r="B669" s="0" t="inlineStr">
        <is>
          <t xml:space="preserve">Ingrid Dubois</t>
        </is>
      </c>
      <c r="C669" s="0" t="inlineStr">
        <is>
          <t xml:space="preserve">Q4 2025</t>
        </is>
      </c>
      <c r="D669" s="8">
        <f>((D333*'Rep quarterly'!E25)*D501)</f>
        <v>7500</v>
      </c>
      <c r="E669" s="8">
        <f>((E333*'Rep quarterly'!E25)*E501)</f>
        <v>10000</v>
      </c>
      <c r="F669" s="8">
        <f>((F333*'Rep quarterly'!E25)*F501)</f>
        <v>1274.9999999999995</v>
      </c>
      <c r="G669" s="8">
        <f>((G333*'Rep quarterly'!E25)*G501)</f>
        <v>0</v>
      </c>
      <c r="H669" s="8">
        <f>((H333*'Rep quarterly'!E25)*H501)</f>
        <v>0</v>
      </c>
      <c r="I669" s="8">
        <f>SUM(D669:H669)</f>
        <v>18775</v>
      </c>
    </row>
    <row r="670">
      <c r="A670" s="0" t="inlineStr">
        <is>
          <t xml:space="preserve">Commission</t>
        </is>
      </c>
      <c r="B670" s="0" t="inlineStr">
        <is>
          <t xml:space="preserve">Ingrid Dubois</t>
        </is>
      </c>
      <c r="C670" s="0" t="inlineStr">
        <is>
          <t xml:space="preserve">Q1 2026</t>
        </is>
      </c>
      <c r="D670" s="8">
        <f>((D334*'Rep quarterly'!F25)*D502)</f>
        <v>5793.75</v>
      </c>
      <c r="E670" s="8">
        <f>((E334*'Rep quarterly'!F25)*E502)</f>
        <v>0</v>
      </c>
      <c r="F670" s="8">
        <f>((F334*'Rep quarterly'!F25)*F502)</f>
        <v>0</v>
      </c>
      <c r="G670" s="8">
        <f>((G334*'Rep quarterly'!F25)*G502)</f>
        <v>0</v>
      </c>
      <c r="H670" s="8">
        <f>((H334*'Rep quarterly'!F25)*H502)</f>
        <v>0</v>
      </c>
      <c r="I670" s="8">
        <f>SUM(D670:H670)</f>
        <v>5793.75</v>
      </c>
    </row>
    <row r="671">
      <c r="A671" s="0" t="inlineStr">
        <is>
          <t xml:space="preserve">Commission</t>
        </is>
      </c>
      <c r="B671" s="0" t="inlineStr">
        <is>
          <t xml:space="preserve">Ingrid Dubois</t>
        </is>
      </c>
      <c r="C671" s="0" t="inlineStr">
        <is>
          <t xml:space="preserve">Q2 2026</t>
        </is>
      </c>
      <c r="D671" s="8">
        <f>((D335*'Rep quarterly'!G25)*D503)</f>
        <v>7500</v>
      </c>
      <c r="E671" s="8">
        <f>((E335*'Rep quarterly'!G25)*E503)</f>
        <v>10000</v>
      </c>
      <c r="F671" s="8">
        <f>((F335*'Rep quarterly'!G25)*F503)</f>
        <v>7500</v>
      </c>
      <c r="G671" s="8">
        <f>((G335*'Rep quarterly'!G25)*G503)</f>
        <v>10000</v>
      </c>
      <c r="H671" s="8">
        <f>((H335*'Rep quarterly'!G25)*H503)</f>
        <v>525.0000000000022</v>
      </c>
      <c r="I671" s="8">
        <f>SUM(D671:H671)</f>
        <v>35525</v>
      </c>
    </row>
    <row r="672">
      <c r="A672" s="0" t="inlineStr">
        <is>
          <t xml:space="preserve">Commission</t>
        </is>
      </c>
      <c r="B672" s="0" t="inlineStr">
        <is>
          <t xml:space="preserve">Ingrid Dubois</t>
        </is>
      </c>
      <c r="C672" s="0" t="inlineStr">
        <is>
          <t xml:space="preserve">Q3 2026</t>
        </is>
      </c>
      <c r="D672" s="8">
        <f>((D336*'Rep quarterly'!H25)*D504)</f>
        <v>7500</v>
      </c>
      <c r="E672" s="8">
        <f>((E336*'Rep quarterly'!H25)*E504)</f>
        <v>10000</v>
      </c>
      <c r="F672" s="8">
        <f>((F336*'Rep quarterly'!H25)*F504)</f>
        <v>7500</v>
      </c>
      <c r="G672" s="8">
        <f>((G336*'Rep quarterly'!H25)*G504)</f>
        <v>8949.999999999996</v>
      </c>
      <c r="H672" s="8">
        <f>((H336*'Rep quarterly'!H25)*H504)</f>
        <v>0</v>
      </c>
      <c r="I672" s="8">
        <f>SUM(D672:H672)</f>
        <v>33950</v>
      </c>
    </row>
    <row r="673">
      <c r="A673" s="0" t="inlineStr">
        <is>
          <t xml:space="preserve">Commission</t>
        </is>
      </c>
      <c r="B673" s="0" t="inlineStr">
        <is>
          <t xml:space="preserve">Ingrid Dubois</t>
        </is>
      </c>
      <c r="C673" s="0" t="inlineStr">
        <is>
          <t xml:space="preserve">Q4 2026</t>
        </is>
      </c>
      <c r="D673" s="4">
        <f>((D337*'Rep quarterly'!I25)*D505)</f>
        <v>0</v>
      </c>
      <c r="E673" s="4">
        <f>((E337*'Rep quarterly'!I25)*E505)</f>
        <v>0</v>
      </c>
      <c r="F673" s="4">
        <f>((F337*'Rep quarterly'!I25)*F505)</f>
        <v>0</v>
      </c>
      <c r="G673" s="4">
        <f>((G337*'Rep quarterly'!I25)*G505)</f>
        <v>0</v>
      </c>
      <c r="H673" s="4">
        <f>((H337*'Rep quarterly'!I25)*H505)</f>
        <v>0</v>
      </c>
      <c r="I673" s="4">
        <f>SUM(D673:H673)</f>
        <v>0</v>
      </c>
    </row>
  </sheetData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cols>
    <col min="1" max="1" width="18" customWidth="1"/>
    <col min="2" max="2" width="3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</cols>
  <sheetData>
    <row r="1">
      <c r="A1" s="1" t="inlineStr">
        <is>
          <t xml:space="preserve">line</t>
        </is>
      </c>
      <c r="B1" s="1" t="inlineStr">
        <is>
          <t xml:space="preserve">rep</t>
        </is>
      </c>
      <c r="C1" s="1" t="inlineStr">
        <is>
          <t xml:space="preserve">Q2 2025</t>
        </is>
      </c>
      <c r="D1" s="1" t="inlineStr">
        <is>
          <t xml:space="preserve">Q3 2025</t>
        </is>
      </c>
      <c r="E1" s="1" t="inlineStr">
        <is>
          <t xml:space="preserve">Q4 2025</t>
        </is>
      </c>
      <c r="F1" s="1" t="inlineStr">
        <is>
          <t xml:space="preserve">Q1 2026</t>
        </is>
      </c>
      <c r="G1" s="1" t="inlineStr">
        <is>
          <t xml:space="preserve">Q2 2026</t>
        </is>
      </c>
      <c r="H1" s="1" t="inlineStr">
        <is>
          <t xml:space="preserve">Q3 2026</t>
        </is>
      </c>
      <c r="I1" s="1" t="inlineStr">
        <is>
          <t xml:space="preserve">Q4 2026</t>
        </is>
      </c>
    </row>
    <row r="2">
      <c r="A2" s="0" t="inlineStr">
        <is>
          <t xml:space="preserve">Quota</t>
        </is>
      </c>
      <c r="B2" s="0" t="inlineStr">
        <is>
          <t xml:space="preserve">Noor Ortiz</t>
        </is>
      </c>
      <c r="C2" s="4">
        <f>'Rep quarterly'!C2</f>
        <v>375000</v>
      </c>
      <c r="D2" s="4">
        <f>'Rep quarterly'!D2</f>
        <v>375000</v>
      </c>
      <c r="E2" s="4">
        <f>'Rep quarterly'!E2</f>
        <v>375000</v>
      </c>
      <c r="F2" s="4">
        <f>'Rep quarterly'!F2</f>
        <v>375000</v>
      </c>
      <c r="G2" s="4">
        <f>'Rep quarterly'!G2</f>
        <v>375000</v>
      </c>
      <c r="H2" s="4">
        <f>'Rep quarterly'!H2</f>
        <v>375000</v>
      </c>
      <c r="I2" s="4">
        <f>'Rep quarterly'!I2</f>
        <v>375000</v>
      </c>
    </row>
    <row r="3">
      <c r="A3" s="0" t="inlineStr">
        <is>
          <t xml:space="preserve">Quota</t>
        </is>
      </c>
      <c r="B3" s="0" t="inlineStr">
        <is>
          <t xml:space="preserve">Priya Yilmaz</t>
        </is>
      </c>
      <c r="C3" s="4">
        <f>'Rep quarterly'!C3</f>
        <v>0</v>
      </c>
      <c r="D3" s="4">
        <f>'Rep quarterly'!D3</f>
        <v>0</v>
      </c>
      <c r="E3" s="4">
        <f>'Rep quarterly'!E3</f>
        <v>0</v>
      </c>
      <c r="F3" s="4">
        <f>'Rep quarterly'!F3</f>
        <v>0</v>
      </c>
      <c r="G3" s="4">
        <f>'Rep quarterly'!G3</f>
        <v>0</v>
      </c>
      <c r="H3" s="4">
        <f>'Rep quarterly'!H3</f>
        <v>94000</v>
      </c>
      <c r="I3" s="4">
        <f>'Rep quarterly'!I3</f>
        <v>188000</v>
      </c>
    </row>
    <row r="4">
      <c r="A4" s="0" t="inlineStr">
        <is>
          <t xml:space="preserve">Quota</t>
        </is>
      </c>
      <c r="B4" s="0" t="inlineStr">
        <is>
          <t xml:space="preserve">Marcus Schmidt</t>
        </is>
      </c>
      <c r="C4" s="4">
        <f>'Rep quarterly'!C4</f>
        <v>0</v>
      </c>
      <c r="D4" s="4">
        <f>'Rep quarterly'!D4</f>
        <v>53000</v>
      </c>
      <c r="E4" s="4">
        <f>'Rep quarterly'!E4</f>
        <v>106000</v>
      </c>
      <c r="F4" s="4">
        <f>'Rep quarterly'!F4</f>
        <v>159000</v>
      </c>
      <c r="G4" s="4">
        <f>'Rep quarterly'!G4</f>
        <v>212000</v>
      </c>
      <c r="H4" s="4">
        <f>'Rep quarterly'!H4</f>
        <v>212000</v>
      </c>
      <c r="I4" s="4">
        <f>'Rep quarterly'!I4</f>
        <v>212000</v>
      </c>
    </row>
    <row r="5">
      <c r="A5" s="0" t="inlineStr">
        <is>
          <t xml:space="preserve">Quota</t>
        </is>
      </c>
      <c r="B5" s="0" t="inlineStr">
        <is>
          <t xml:space="preserve">Amara Haddad</t>
        </is>
      </c>
      <c r="C5" s="4">
        <f>'Rep quarterly'!C5</f>
        <v>212000</v>
      </c>
      <c r="D5" s="4">
        <f>'Rep quarterly'!D5</f>
        <v>212000</v>
      </c>
      <c r="E5" s="4">
        <f>'Rep quarterly'!E5</f>
        <v>212000</v>
      </c>
      <c r="F5" s="4">
        <f>'Rep quarterly'!F5</f>
        <v>212000</v>
      </c>
      <c r="G5" s="4">
        <f>'Rep quarterly'!G5</f>
        <v>212000</v>
      </c>
      <c r="H5" s="4">
        <f>'Rep quarterly'!H5</f>
        <v>212000</v>
      </c>
      <c r="I5" s="4">
        <f>'Rep quarterly'!I5</f>
        <v>212000</v>
      </c>
    </row>
    <row r="6">
      <c r="A6" s="0" t="inlineStr">
        <is>
          <t xml:space="preserve">Quota</t>
        </is>
      </c>
      <c r="B6" s="0" t="inlineStr">
        <is>
          <t xml:space="preserve">Fatima Silva</t>
        </is>
      </c>
      <c r="C6" s="4">
        <f>'Rep quarterly'!C6</f>
        <v>112000</v>
      </c>
      <c r="D6" s="4">
        <f>'Rep quarterly'!D6</f>
        <v>112000</v>
      </c>
      <c r="E6" s="4">
        <f>'Rep quarterly'!E6</f>
        <v>112000</v>
      </c>
      <c r="F6" s="4">
        <f>'Rep quarterly'!F6</f>
        <v>112000</v>
      </c>
      <c r="G6" s="4">
        <f>'Rep quarterly'!G6</f>
        <v>112000</v>
      </c>
      <c r="H6" s="4">
        <f>'Rep quarterly'!H6</f>
        <v>112000</v>
      </c>
      <c r="I6" s="4">
        <f>'Rep quarterly'!I6</f>
        <v>112000</v>
      </c>
    </row>
    <row r="7">
      <c r="A7" s="0" t="inlineStr">
        <is>
          <t xml:space="preserve">Quota</t>
        </is>
      </c>
      <c r="B7" s="0" t="inlineStr">
        <is>
          <t xml:space="preserve">Ana Ortiz</t>
        </is>
      </c>
      <c r="C7" s="4">
        <f>'Rep quarterly'!C7</f>
        <v>28000</v>
      </c>
      <c r="D7" s="4">
        <f>'Rep quarterly'!D7</f>
        <v>56000</v>
      </c>
      <c r="E7" s="4">
        <f>'Rep quarterly'!E7</f>
        <v>84000</v>
      </c>
      <c r="F7" s="4">
        <f>'Rep quarterly'!F7</f>
        <v>112000</v>
      </c>
      <c r="G7" s="4">
        <f>'Rep quarterly'!G7</f>
        <v>112000</v>
      </c>
      <c r="H7" s="4">
        <f>'Rep quarterly'!H7</f>
        <v>112000</v>
      </c>
      <c r="I7" s="4">
        <f>'Rep quarterly'!I7</f>
        <v>112000</v>
      </c>
    </row>
    <row r="8">
      <c r="A8" s="0" t="inlineStr">
        <is>
          <t xml:space="preserve">Quota</t>
        </is>
      </c>
      <c r="B8" s="0" t="inlineStr">
        <is>
          <t xml:space="preserve">Tobias Silva</t>
        </is>
      </c>
      <c r="C8" s="4">
        <f>'Rep quarterly'!C8</f>
        <v>375000</v>
      </c>
      <c r="D8" s="4">
        <f>'Rep quarterly'!D8</f>
        <v>375000</v>
      </c>
      <c r="E8" s="4">
        <f>'Rep quarterly'!E8</f>
        <v>375000</v>
      </c>
      <c r="F8" s="4">
        <f>'Rep quarterly'!F8</f>
        <v>375000</v>
      </c>
      <c r="G8" s="4">
        <f>'Rep quarterly'!G8</f>
        <v>375000</v>
      </c>
      <c r="H8" s="4">
        <f>'Rep quarterly'!H8</f>
        <v>375000</v>
      </c>
      <c r="I8" s="4">
        <f>'Rep quarterly'!I8</f>
        <v>375000</v>
      </c>
    </row>
    <row r="9">
      <c r="A9" s="0" t="inlineStr">
        <is>
          <t xml:space="preserve">Quota</t>
        </is>
      </c>
      <c r="B9" s="0" t="inlineStr">
        <is>
          <t xml:space="preserve">Leila Osei</t>
        </is>
      </c>
      <c r="C9" s="4">
        <f>'Rep quarterly'!C9</f>
        <v>375000</v>
      </c>
      <c r="D9" s="4">
        <f>'Rep quarterly'!D9</f>
        <v>375000</v>
      </c>
      <c r="E9" s="4">
        <f>'Rep quarterly'!E9</f>
        <v>375000</v>
      </c>
      <c r="F9" s="4">
        <f>'Rep quarterly'!F9</f>
        <v>375000</v>
      </c>
      <c r="G9" s="4">
        <f>'Rep quarterly'!G9</f>
        <v>375000</v>
      </c>
      <c r="H9" s="4">
        <f>'Rep quarterly'!H9</f>
        <v>375000</v>
      </c>
      <c r="I9" s="4">
        <f>'Rep quarterly'!I9</f>
        <v>375000</v>
      </c>
    </row>
    <row r="10">
      <c r="A10" s="0" t="inlineStr">
        <is>
          <t xml:space="preserve">Quota</t>
        </is>
      </c>
      <c r="B10" s="0" t="inlineStr">
        <is>
          <t xml:space="preserve">Grace Costa</t>
        </is>
      </c>
      <c r="C10" s="4">
        <f>'Rep quarterly'!C10</f>
        <v>212000</v>
      </c>
      <c r="D10" s="4">
        <f>'Rep quarterly'!D10</f>
        <v>212000</v>
      </c>
      <c r="E10" s="4">
        <f>'Rep quarterly'!E10</f>
        <v>212000</v>
      </c>
      <c r="F10" s="4">
        <f>'Rep quarterly'!F10</f>
        <v>212000</v>
      </c>
      <c r="G10" s="4">
        <f>'Rep quarterly'!G10</f>
        <v>212000</v>
      </c>
      <c r="H10" s="4">
        <f>'Rep quarterly'!H10</f>
        <v>212000</v>
      </c>
      <c r="I10" s="4">
        <f>'Rep quarterly'!I10</f>
        <v>212000</v>
      </c>
    </row>
    <row r="11">
      <c r="A11" s="0" t="inlineStr">
        <is>
          <t xml:space="preserve">Quota</t>
        </is>
      </c>
      <c r="B11" s="0" t="inlineStr">
        <is>
          <t xml:space="preserve">Ingrid Müller</t>
        </is>
      </c>
      <c r="C11" s="4">
        <f>'Rep quarterly'!C11</f>
        <v>0</v>
      </c>
      <c r="D11" s="4">
        <f>'Rep quarterly'!D11</f>
        <v>0</v>
      </c>
      <c r="E11" s="4">
        <f>'Rep quarterly'!E11</f>
        <v>0</v>
      </c>
      <c r="F11" s="4">
        <f>'Rep quarterly'!F11</f>
        <v>0</v>
      </c>
      <c r="G11" s="4">
        <f>'Rep quarterly'!G11</f>
        <v>53000</v>
      </c>
      <c r="H11" s="4">
        <f>'Rep quarterly'!H11</f>
        <v>106000</v>
      </c>
      <c r="I11" s="4">
        <f>'Rep quarterly'!I11</f>
        <v>159000</v>
      </c>
    </row>
    <row r="12">
      <c r="A12" s="0" t="inlineStr">
        <is>
          <t xml:space="preserve">Quota</t>
        </is>
      </c>
      <c r="B12" s="0" t="inlineStr">
        <is>
          <t xml:space="preserve">Ingrid Kim</t>
        </is>
      </c>
      <c r="C12" s="4">
        <f>'Rep quarterly'!C12</f>
        <v>112000</v>
      </c>
      <c r="D12" s="4">
        <f>'Rep quarterly'!D12</f>
        <v>112000</v>
      </c>
      <c r="E12" s="4">
        <f>'Rep quarterly'!E12</f>
        <v>112000</v>
      </c>
      <c r="F12" s="4">
        <f>'Rep quarterly'!F12</f>
        <v>112000</v>
      </c>
      <c r="G12" s="4">
        <f>'Rep quarterly'!G12</f>
        <v>112000</v>
      </c>
      <c r="H12" s="4">
        <f>'Rep quarterly'!H12</f>
        <v>112000</v>
      </c>
      <c r="I12" s="4">
        <f>'Rep quarterly'!I12</f>
        <v>112000</v>
      </c>
    </row>
    <row r="13">
      <c r="A13" s="0" t="inlineStr">
        <is>
          <t xml:space="preserve">Quota</t>
        </is>
      </c>
      <c r="B13" s="0" t="inlineStr">
        <is>
          <t xml:space="preserve">Priya Nair</t>
        </is>
      </c>
      <c r="C13" s="4">
        <f>'Rep quarterly'!C13</f>
        <v>112000</v>
      </c>
      <c r="D13" s="4">
        <f>'Rep quarterly'!D13</f>
        <v>112000</v>
      </c>
      <c r="E13" s="4">
        <f>'Rep quarterly'!E13</f>
        <v>112000</v>
      </c>
      <c r="F13" s="4">
        <f>'Rep quarterly'!F13</f>
        <v>112000</v>
      </c>
      <c r="G13" s="4">
        <f>'Rep quarterly'!G13</f>
        <v>112000</v>
      </c>
      <c r="H13" s="4">
        <f>'Rep quarterly'!H13</f>
        <v>112000</v>
      </c>
      <c r="I13" s="4">
        <f>'Rep quarterly'!I13</f>
        <v>112000</v>
      </c>
    </row>
    <row r="14">
      <c r="A14" s="0" t="inlineStr">
        <is>
          <t xml:space="preserve">Quota</t>
        </is>
      </c>
      <c r="B14" s="0" t="inlineStr">
        <is>
          <t xml:space="preserve">Hugo Lindqvist</t>
        </is>
      </c>
      <c r="C14" s="4">
        <f>'Rep quarterly'!C14</f>
        <v>338000</v>
      </c>
      <c r="D14" s="4">
        <f>'Rep quarterly'!D14</f>
        <v>338000</v>
      </c>
      <c r="E14" s="4">
        <f>'Rep quarterly'!E14</f>
        <v>338000</v>
      </c>
      <c r="F14" s="4">
        <f>'Rep quarterly'!F14</f>
        <v>338000</v>
      </c>
      <c r="G14" s="4">
        <f>'Rep quarterly'!G14</f>
        <v>338000</v>
      </c>
      <c r="H14" s="4">
        <f>'Rep quarterly'!H14</f>
        <v>338000</v>
      </c>
      <c r="I14" s="4">
        <f>'Rep quarterly'!I14</f>
        <v>338000</v>
      </c>
    </row>
    <row r="15">
      <c r="A15" s="0" t="inlineStr">
        <is>
          <t xml:space="preserve">Quota</t>
        </is>
      </c>
      <c r="B15" s="0" t="inlineStr">
        <is>
          <t xml:space="preserve">Wei Novak</t>
        </is>
      </c>
      <c r="C15" s="4">
        <f>'Rep quarterly'!C15</f>
        <v>0</v>
      </c>
      <c r="D15" s="4">
        <f>'Rep quarterly'!D15</f>
        <v>0</v>
      </c>
      <c r="E15" s="4">
        <f>'Rep quarterly'!E15</f>
        <v>0</v>
      </c>
      <c r="F15" s="4">
        <f>'Rep quarterly'!F15</f>
        <v>84000</v>
      </c>
      <c r="G15" s="4">
        <f>'Rep quarterly'!G15</f>
        <v>169000</v>
      </c>
      <c r="H15" s="4">
        <f>'Rep quarterly'!H15</f>
        <v>253000</v>
      </c>
      <c r="I15" s="4">
        <f>'Rep quarterly'!I15</f>
        <v>338000</v>
      </c>
    </row>
    <row r="16">
      <c r="A16" s="0" t="inlineStr">
        <is>
          <t xml:space="preserve">Quota</t>
        </is>
      </c>
      <c r="B16" s="0" t="inlineStr">
        <is>
          <t xml:space="preserve">Nikolai Kim</t>
        </is>
      </c>
      <c r="C16" s="4">
        <f>'Rep quarterly'!C16</f>
        <v>190000</v>
      </c>
      <c r="D16" s="4">
        <f>'Rep quarterly'!D16</f>
        <v>190000</v>
      </c>
      <c r="E16" s="4">
        <f>'Rep quarterly'!E16</f>
        <v>190000</v>
      </c>
      <c r="F16" s="4">
        <f>'Rep quarterly'!F16</f>
        <v>190000</v>
      </c>
      <c r="G16" s="4">
        <f>'Rep quarterly'!G16</f>
        <v>190000</v>
      </c>
      <c r="H16" s="4">
        <f>'Rep quarterly'!H16</f>
        <v>190000</v>
      </c>
      <c r="I16" s="4">
        <f>'Rep quarterly'!I16</f>
        <v>190000</v>
      </c>
    </row>
    <row r="17">
      <c r="A17" s="0" t="inlineStr">
        <is>
          <t xml:space="preserve">Quota</t>
        </is>
      </c>
      <c r="B17" s="0" t="inlineStr">
        <is>
          <t xml:space="preserve">Wei Nair</t>
        </is>
      </c>
      <c r="C17" s="4">
        <f>'Rep quarterly'!C17</f>
        <v>190000</v>
      </c>
      <c r="D17" s="4">
        <f>'Rep quarterly'!D17</f>
        <v>190000</v>
      </c>
      <c r="E17" s="4">
        <f>'Rep quarterly'!E17</f>
        <v>190000</v>
      </c>
      <c r="F17" s="4">
        <f>'Rep quarterly'!F17</f>
        <v>190000</v>
      </c>
      <c r="G17" s="4">
        <f>'Rep quarterly'!G17</f>
        <v>190000</v>
      </c>
      <c r="H17" s="4">
        <f>'Rep quarterly'!H17</f>
        <v>190000</v>
      </c>
      <c r="I17" s="4">
        <f>'Rep quarterly'!I17</f>
        <v>190000</v>
      </c>
    </row>
    <row r="18">
      <c r="A18" s="0" t="inlineStr">
        <is>
          <t xml:space="preserve">Quota</t>
        </is>
      </c>
      <c r="B18" s="0" t="inlineStr">
        <is>
          <t xml:space="preserve">Liam Silva</t>
        </is>
      </c>
      <c r="C18" s="4">
        <f>'Rep quarterly'!C18</f>
        <v>25000</v>
      </c>
      <c r="D18" s="4">
        <f>'Rep quarterly'!D18</f>
        <v>50000</v>
      </c>
      <c r="E18" s="4">
        <f>'Rep quarterly'!E18</f>
        <v>75000</v>
      </c>
      <c r="F18" s="4">
        <f>'Rep quarterly'!F18</f>
        <v>100000</v>
      </c>
      <c r="G18" s="4">
        <f>'Rep quarterly'!G18</f>
        <v>100000</v>
      </c>
      <c r="H18" s="4">
        <f>'Rep quarterly'!H18</f>
        <v>100000</v>
      </c>
      <c r="I18" s="4">
        <f>'Rep quarterly'!I18</f>
        <v>100000</v>
      </c>
    </row>
    <row r="19">
      <c r="A19" s="0" t="inlineStr">
        <is>
          <t xml:space="preserve">Quota</t>
        </is>
      </c>
      <c r="B19" s="0" t="inlineStr">
        <is>
          <t xml:space="preserve">Samuel Silva</t>
        </is>
      </c>
      <c r="C19" s="4">
        <f>'Rep quarterly'!C19</f>
        <v>100000</v>
      </c>
      <c r="D19" s="4">
        <f>'Rep quarterly'!D19</f>
        <v>100000</v>
      </c>
      <c r="E19" s="4">
        <f>'Rep quarterly'!E19</f>
        <v>100000</v>
      </c>
      <c r="F19" s="4">
        <f>'Rep quarterly'!F19</f>
        <v>100000</v>
      </c>
      <c r="G19" s="4">
        <f>'Rep quarterly'!G19</f>
        <v>100000</v>
      </c>
      <c r="H19" s="4">
        <f>'Rep quarterly'!H19</f>
        <v>100000</v>
      </c>
      <c r="I19" s="4">
        <f>'Rep quarterly'!I19</f>
        <v>100000</v>
      </c>
    </row>
    <row r="20">
      <c r="A20" s="0" t="inlineStr">
        <is>
          <t xml:space="preserve">Quota</t>
        </is>
      </c>
      <c r="B20" s="0" t="inlineStr">
        <is>
          <t xml:space="preserve">Yuki Larsen</t>
        </is>
      </c>
      <c r="C20" s="4">
        <f>'Rep quarterly'!C20</f>
        <v>262000</v>
      </c>
      <c r="D20" s="4">
        <f>'Rep quarterly'!D20</f>
        <v>262000</v>
      </c>
      <c r="E20" s="4">
        <f>'Rep quarterly'!E20</f>
        <v>262000</v>
      </c>
      <c r="F20" s="4">
        <f>'Rep quarterly'!F20</f>
        <v>262000</v>
      </c>
      <c r="G20" s="4">
        <f>'Rep quarterly'!G20</f>
        <v>262000</v>
      </c>
      <c r="H20" s="4">
        <f>'Rep quarterly'!H20</f>
        <v>262000</v>
      </c>
      <c r="I20" s="4">
        <f>'Rep quarterly'!I20</f>
        <v>262000</v>
      </c>
    </row>
    <row r="21">
      <c r="A21" s="0" t="inlineStr">
        <is>
          <t xml:space="preserve">Quota</t>
        </is>
      </c>
      <c r="B21" s="0" t="inlineStr">
        <is>
          <t xml:space="preserve">Nikolai Sato</t>
        </is>
      </c>
      <c r="C21" s="4">
        <f>'Rep quarterly'!C21</f>
        <v>262000</v>
      </c>
      <c r="D21" s="4">
        <f>'Rep quarterly'!D21</f>
        <v>262000</v>
      </c>
      <c r="E21" s="4">
        <f>'Rep quarterly'!E21</f>
        <v>262000</v>
      </c>
      <c r="F21" s="4">
        <f>'Rep quarterly'!F21</f>
        <v>262000</v>
      </c>
      <c r="G21" s="4">
        <f>'Rep quarterly'!G21</f>
        <v>262000</v>
      </c>
      <c r="H21" s="4">
        <f>'Rep quarterly'!H21</f>
        <v>262000</v>
      </c>
      <c r="I21" s="4">
        <f>'Rep quarterly'!I21</f>
        <v>262000</v>
      </c>
    </row>
    <row r="22">
      <c r="A22" s="0" t="inlineStr">
        <is>
          <t xml:space="preserve">Quota</t>
        </is>
      </c>
      <c r="B22" s="0" t="inlineStr">
        <is>
          <t xml:space="preserve">Elena Silva</t>
        </is>
      </c>
      <c r="C22" s="4">
        <f>'Rep quarterly'!C22</f>
        <v>112000</v>
      </c>
      <c r="D22" s="4">
        <f>'Rep quarterly'!D22</f>
        <v>150000</v>
      </c>
      <c r="E22" s="4">
        <f>'Rep quarterly'!E22</f>
        <v>150000</v>
      </c>
      <c r="F22" s="4">
        <f>'Rep quarterly'!F22</f>
        <v>150000</v>
      </c>
      <c r="G22" s="4">
        <f>'Rep quarterly'!G22</f>
        <v>150000</v>
      </c>
      <c r="H22" s="4">
        <f>'Rep quarterly'!H22</f>
        <v>150000</v>
      </c>
      <c r="I22" s="4">
        <f>'Rep quarterly'!I22</f>
        <v>150000</v>
      </c>
    </row>
    <row r="23">
      <c r="A23" s="0" t="inlineStr">
        <is>
          <t xml:space="preserve">Quota</t>
        </is>
      </c>
      <c r="B23" s="0" t="inlineStr">
        <is>
          <t xml:space="preserve">Arjun Müller</t>
        </is>
      </c>
      <c r="C23" s="4">
        <f>'Rep quarterly'!C23</f>
        <v>150000</v>
      </c>
      <c r="D23" s="4">
        <f>'Rep quarterly'!D23</f>
        <v>150000</v>
      </c>
      <c r="E23" s="4">
        <f>'Rep quarterly'!E23</f>
        <v>150000</v>
      </c>
      <c r="F23" s="4">
        <f>'Rep quarterly'!F23</f>
        <v>150000</v>
      </c>
      <c r="G23" s="4">
        <f>'Rep quarterly'!G23</f>
        <v>150000</v>
      </c>
      <c r="H23" s="4">
        <f>'Rep quarterly'!H23</f>
        <v>150000</v>
      </c>
      <c r="I23" s="4">
        <f>'Rep quarterly'!I23</f>
        <v>150000</v>
      </c>
    </row>
    <row r="24">
      <c r="A24" s="0" t="inlineStr">
        <is>
          <t xml:space="preserve">Quota</t>
        </is>
      </c>
      <c r="B24" s="0" t="inlineStr">
        <is>
          <t xml:space="preserve">Nikolai Park</t>
        </is>
      </c>
      <c r="C24" s="4">
        <f>'Rep quarterly'!C24</f>
        <v>0</v>
      </c>
      <c r="D24" s="4">
        <f>'Rep quarterly'!D24</f>
        <v>0</v>
      </c>
      <c r="E24" s="4">
        <f>'Rep quarterly'!E24</f>
        <v>0</v>
      </c>
      <c r="F24" s="4">
        <f>'Rep quarterly'!F24</f>
        <v>0</v>
      </c>
      <c r="G24" s="4">
        <f>'Rep quarterly'!G24</f>
        <v>20000</v>
      </c>
      <c r="H24" s="4">
        <f>'Rep quarterly'!H24</f>
        <v>40000</v>
      </c>
      <c r="I24" s="4">
        <f>'Rep quarterly'!I24</f>
        <v>60000</v>
      </c>
    </row>
    <row r="25">
      <c r="A25" s="0" t="inlineStr">
        <is>
          <t xml:space="preserve">Quota</t>
        </is>
      </c>
      <c r="B25" s="0" t="inlineStr">
        <is>
          <t xml:space="preserve">Ingrid Dubois</t>
        </is>
      </c>
      <c r="C25" s="4">
        <f>'Rep quarterly'!C25</f>
        <v>80000</v>
      </c>
      <c r="D25" s="4">
        <f>'Rep quarterly'!D25</f>
        <v>80000</v>
      </c>
      <c r="E25" s="4">
        <f>'Rep quarterly'!E25</f>
        <v>80000</v>
      </c>
      <c r="F25" s="4">
        <f>'Rep quarterly'!F25</f>
        <v>80000</v>
      </c>
      <c r="G25" s="4">
        <f>'Rep quarterly'!G25</f>
        <v>80000</v>
      </c>
      <c r="H25" s="4">
        <f>'Rep quarterly'!H25</f>
        <v>80000</v>
      </c>
      <c r="I25" s="4">
        <f>'Rep quarterly'!I25</f>
        <v>80000</v>
      </c>
    </row>
    <row r="26">
      <c r="A26" s="0" t="inlineStr">
        <is>
          <t xml:space="preserve">Bookings</t>
        </is>
      </c>
      <c r="B26" s="0" t="inlineStr">
        <is>
          <t xml:space="preserve">Noor Ortiz</t>
        </is>
      </c>
      <c r="C26" s="4">
        <f>'Rep quarterly'!C26</f>
        <v>0</v>
      </c>
      <c r="D26" s="4">
        <f>'Rep quarterly'!D26</f>
        <v>0</v>
      </c>
      <c r="E26" s="4">
        <f>'Rep quarterly'!E26</f>
        <v>201200</v>
      </c>
      <c r="F26" s="4">
        <f>'Rep quarterly'!F26</f>
        <v>505900</v>
      </c>
      <c r="G26" s="4">
        <f>'Rep quarterly'!G26</f>
        <v>436700</v>
      </c>
      <c r="H26" s="4">
        <f>'Rep quarterly'!H26</f>
        <v>138600</v>
      </c>
      <c r="I26" s="4">
        <f>'Rep quarterly'!I26</f>
        <v>0</v>
      </c>
    </row>
    <row r="27">
      <c r="A27" s="0" t="inlineStr">
        <is>
          <t xml:space="preserve">Bookings</t>
        </is>
      </c>
      <c r="B27" s="0" t="inlineStr">
        <is>
          <t xml:space="preserve">Priya Yilmaz</t>
        </is>
      </c>
      <c r="C27" s="4">
        <f>'Rep quarterly'!C27</f>
        <v>0</v>
      </c>
      <c r="D27" s="4">
        <f>'Rep quarterly'!D27</f>
        <v>0</v>
      </c>
      <c r="E27" s="4">
        <f>'Rep quarterly'!E27</f>
        <v>0</v>
      </c>
      <c r="F27" s="4">
        <f>'Rep quarterly'!F27</f>
        <v>0</v>
      </c>
      <c r="G27" s="4">
        <f>'Rep quarterly'!G27</f>
        <v>0</v>
      </c>
      <c r="H27" s="4">
        <f>'Rep quarterly'!H27</f>
        <v>0</v>
      </c>
      <c r="I27" s="4">
        <f>'Rep quarterly'!I27</f>
        <v>0</v>
      </c>
    </row>
    <row r="28">
      <c r="A28" s="0" t="inlineStr">
        <is>
          <t xml:space="preserve">Bookings</t>
        </is>
      </c>
      <c r="B28" s="0" t="inlineStr">
        <is>
          <t xml:space="preserve">Marcus Schmidt</t>
        </is>
      </c>
      <c r="C28" s="4">
        <f>'Rep quarterly'!C28</f>
        <v>0</v>
      </c>
      <c r="D28" s="4">
        <f>'Rep quarterly'!D28</f>
        <v>87800</v>
      </c>
      <c r="E28" s="4">
        <f>'Rep quarterly'!E28</f>
        <v>190600</v>
      </c>
      <c r="F28" s="4">
        <f>'Rep quarterly'!F28</f>
        <v>399700</v>
      </c>
      <c r="G28" s="4">
        <f>'Rep quarterly'!G28</f>
        <v>173900</v>
      </c>
      <c r="H28" s="4">
        <f>'Rep quarterly'!H28</f>
        <v>129800</v>
      </c>
      <c r="I28" s="4">
        <f>'Rep quarterly'!I28</f>
        <v>0</v>
      </c>
    </row>
    <row r="29">
      <c r="A29" s="0" t="inlineStr">
        <is>
          <t xml:space="preserve">Bookings</t>
        </is>
      </c>
      <c r="B29" s="0" t="inlineStr">
        <is>
          <t xml:space="preserve">Amara Haddad</t>
        </is>
      </c>
      <c r="C29" s="4">
        <f>'Rep quarterly'!C29</f>
        <v>207800</v>
      </c>
      <c r="D29" s="4">
        <f>'Rep quarterly'!D29</f>
        <v>261600</v>
      </c>
      <c r="E29" s="4">
        <f>'Rep quarterly'!E29</f>
        <v>138100</v>
      </c>
      <c r="F29" s="4">
        <f>'Rep quarterly'!F29</f>
        <v>50400</v>
      </c>
      <c r="G29" s="4">
        <f>'Rep quarterly'!G29</f>
        <v>37700</v>
      </c>
      <c r="H29" s="4">
        <f>'Rep quarterly'!H29</f>
        <v>55300</v>
      </c>
      <c r="I29" s="4">
        <f>'Rep quarterly'!I29</f>
        <v>0</v>
      </c>
    </row>
    <row r="30">
      <c r="A30" s="0" t="inlineStr">
        <is>
          <t xml:space="preserve">Bookings</t>
        </is>
      </c>
      <c r="B30" s="0" t="inlineStr">
        <is>
          <t xml:space="preserve">Fatima Silva</t>
        </is>
      </c>
      <c r="C30" s="4">
        <f>'Rep quarterly'!C30</f>
        <v>107400</v>
      </c>
      <c r="D30" s="4">
        <f>'Rep quarterly'!D30</f>
        <v>110500</v>
      </c>
      <c r="E30" s="4">
        <f>'Rep quarterly'!E30</f>
        <v>121500</v>
      </c>
      <c r="F30" s="4">
        <f>'Rep quarterly'!F30</f>
        <v>62500</v>
      </c>
      <c r="G30" s="4">
        <f>'Rep quarterly'!G30</f>
        <v>111600</v>
      </c>
      <c r="H30" s="4">
        <f>'Rep quarterly'!H30</f>
        <v>114200</v>
      </c>
      <c r="I30" s="4">
        <f>'Rep quarterly'!I30</f>
        <v>0</v>
      </c>
    </row>
    <row r="31">
      <c r="A31" s="0" t="inlineStr">
        <is>
          <t xml:space="preserve">Bookings</t>
        </is>
      </c>
      <c r="B31" s="0" t="inlineStr">
        <is>
          <t xml:space="preserve">Ana Ortiz</t>
        </is>
      </c>
      <c r="C31" s="4">
        <f>'Rep quarterly'!C31</f>
        <v>21000</v>
      </c>
      <c r="D31" s="4">
        <f>'Rep quarterly'!D31</f>
        <v>97000</v>
      </c>
      <c r="E31" s="4">
        <f>'Rep quarterly'!E31</f>
        <v>35000</v>
      </c>
      <c r="F31" s="4">
        <f>'Rep quarterly'!F31</f>
        <v>57000</v>
      </c>
      <c r="G31" s="4">
        <f>'Rep quarterly'!G31</f>
        <v>109000</v>
      </c>
      <c r="H31" s="4">
        <f>'Rep quarterly'!H31</f>
        <v>68700</v>
      </c>
      <c r="I31" s="4">
        <f>'Rep quarterly'!I31</f>
        <v>0</v>
      </c>
    </row>
    <row r="32">
      <c r="A32" s="0" t="inlineStr">
        <is>
          <t xml:space="preserve">Bookings</t>
        </is>
      </c>
      <c r="B32" s="0" t="inlineStr">
        <is>
          <t xml:space="preserve">Tobias Silva</t>
        </is>
      </c>
      <c r="C32" s="4">
        <f>'Rep quarterly'!C32</f>
        <v>0</v>
      </c>
      <c r="D32" s="4">
        <f>'Rep quarterly'!D32</f>
        <v>146800</v>
      </c>
      <c r="E32" s="4">
        <f>'Rep quarterly'!E32</f>
        <v>0</v>
      </c>
      <c r="F32" s="4">
        <f>'Rep quarterly'!F32</f>
        <v>1412300</v>
      </c>
      <c r="G32" s="4">
        <f>'Rep quarterly'!G32</f>
        <v>53000</v>
      </c>
      <c r="H32" s="4">
        <f>'Rep quarterly'!H32</f>
        <v>496300</v>
      </c>
      <c r="I32" s="4">
        <f>'Rep quarterly'!I32</f>
        <v>0</v>
      </c>
    </row>
    <row r="33">
      <c r="A33" s="0" t="inlineStr">
        <is>
          <t xml:space="preserve">Bookings</t>
        </is>
      </c>
      <c r="B33" s="0" t="inlineStr">
        <is>
          <t xml:space="preserve">Leila Osei</t>
        </is>
      </c>
      <c r="C33" s="4">
        <f>'Rep quarterly'!C33</f>
        <v>0</v>
      </c>
      <c r="D33" s="4">
        <f>'Rep quarterly'!D33</f>
        <v>0</v>
      </c>
      <c r="E33" s="4">
        <f>'Rep quarterly'!E33</f>
        <v>0</v>
      </c>
      <c r="F33" s="4">
        <f>'Rep quarterly'!F33</f>
        <v>35500</v>
      </c>
      <c r="G33" s="4">
        <f>'Rep quarterly'!G33</f>
        <v>355000</v>
      </c>
      <c r="H33" s="4">
        <f>'Rep quarterly'!H33</f>
        <v>698000</v>
      </c>
      <c r="I33" s="4">
        <f>'Rep quarterly'!I33</f>
        <v>0</v>
      </c>
    </row>
    <row r="34">
      <c r="A34" s="0" t="inlineStr">
        <is>
          <t xml:space="preserve">Bookings</t>
        </is>
      </c>
      <c r="B34" s="0" t="inlineStr">
        <is>
          <t xml:space="preserve">Grace Costa</t>
        </is>
      </c>
      <c r="C34" s="4">
        <f>'Rep quarterly'!C34</f>
        <v>72300</v>
      </c>
      <c r="D34" s="4">
        <f>'Rep quarterly'!D34</f>
        <v>114000</v>
      </c>
      <c r="E34" s="4">
        <f>'Rep quarterly'!E34</f>
        <v>345900</v>
      </c>
      <c r="F34" s="4">
        <f>'Rep quarterly'!F34</f>
        <v>323600</v>
      </c>
      <c r="G34" s="4">
        <f>'Rep quarterly'!G34</f>
        <v>647700</v>
      </c>
      <c r="H34" s="4">
        <f>'Rep quarterly'!H34</f>
        <v>382600</v>
      </c>
      <c r="I34" s="4">
        <f>'Rep quarterly'!I34</f>
        <v>0</v>
      </c>
    </row>
    <row r="35">
      <c r="A35" s="0" t="inlineStr">
        <is>
          <t xml:space="preserve">Bookings</t>
        </is>
      </c>
      <c r="B35" s="0" t="inlineStr">
        <is>
          <t xml:space="preserve">Ingrid Müller</t>
        </is>
      </c>
      <c r="C35" s="4">
        <f>'Rep quarterly'!C35</f>
        <v>0</v>
      </c>
      <c r="D35" s="4">
        <f>'Rep quarterly'!D35</f>
        <v>0</v>
      </c>
      <c r="E35" s="4">
        <f>'Rep quarterly'!E35</f>
        <v>0</v>
      </c>
      <c r="F35" s="4">
        <f>'Rep quarterly'!F35</f>
        <v>0</v>
      </c>
      <c r="G35" s="4">
        <f>'Rep quarterly'!G35</f>
        <v>146700</v>
      </c>
      <c r="H35" s="4">
        <f>'Rep quarterly'!H35</f>
        <v>245700</v>
      </c>
      <c r="I35" s="4">
        <f>'Rep quarterly'!I35</f>
        <v>0</v>
      </c>
    </row>
    <row r="36">
      <c r="A36" s="0" t="inlineStr">
        <is>
          <t xml:space="preserve">Bookings</t>
        </is>
      </c>
      <c r="B36" s="0" t="inlineStr">
        <is>
          <t xml:space="preserve">Ingrid Kim</t>
        </is>
      </c>
      <c r="C36" s="4">
        <f>'Rep quarterly'!C36</f>
        <v>80600</v>
      </c>
      <c r="D36" s="4">
        <f>'Rep quarterly'!D36</f>
        <v>86600</v>
      </c>
      <c r="E36" s="4">
        <f>'Rep quarterly'!E36</f>
        <v>125800</v>
      </c>
      <c r="F36" s="4">
        <f>'Rep quarterly'!F36</f>
        <v>106500</v>
      </c>
      <c r="G36" s="4">
        <f>'Rep quarterly'!G36</f>
        <v>26500</v>
      </c>
      <c r="H36" s="4">
        <f>'Rep quarterly'!H36</f>
        <v>89100</v>
      </c>
      <c r="I36" s="4">
        <f>'Rep quarterly'!I36</f>
        <v>0</v>
      </c>
    </row>
    <row r="37">
      <c r="A37" s="0" t="inlineStr">
        <is>
          <t xml:space="preserve">Bookings</t>
        </is>
      </c>
      <c r="B37" s="0" t="inlineStr">
        <is>
          <t xml:space="preserve">Priya Nair</t>
        </is>
      </c>
      <c r="C37" s="4">
        <f>'Rep quarterly'!C37</f>
        <v>70600</v>
      </c>
      <c r="D37" s="4">
        <f>'Rep quarterly'!D37</f>
        <v>101000</v>
      </c>
      <c r="E37" s="4">
        <f>'Rep quarterly'!E37</f>
        <v>111600</v>
      </c>
      <c r="F37" s="4">
        <f>'Rep quarterly'!F37</f>
        <v>75700</v>
      </c>
      <c r="G37" s="4">
        <f>'Rep quarterly'!G37</f>
        <v>103600</v>
      </c>
      <c r="H37" s="4">
        <f>'Rep quarterly'!H37</f>
        <v>37200</v>
      </c>
      <c r="I37" s="4">
        <f>'Rep quarterly'!I37</f>
        <v>0</v>
      </c>
    </row>
    <row r="38">
      <c r="A38" s="0" t="inlineStr">
        <is>
          <t xml:space="preserve">Bookings</t>
        </is>
      </c>
      <c r="B38" s="0" t="inlineStr">
        <is>
          <t xml:space="preserve">Hugo Lindqvist</t>
        </is>
      </c>
      <c r="C38" s="4">
        <f>'Rep quarterly'!C38</f>
        <v>245800</v>
      </c>
      <c r="D38" s="4">
        <f>'Rep quarterly'!D38</f>
        <v>732500</v>
      </c>
      <c r="E38" s="4">
        <f>'Rep quarterly'!E38</f>
        <v>271600</v>
      </c>
      <c r="F38" s="4">
        <f>'Rep quarterly'!F38</f>
        <v>543300</v>
      </c>
      <c r="G38" s="4">
        <f>'Rep quarterly'!G38</f>
        <v>457000</v>
      </c>
      <c r="H38" s="4">
        <f>'Rep quarterly'!H38</f>
        <v>376600</v>
      </c>
      <c r="I38" s="4">
        <f>'Rep quarterly'!I38</f>
        <v>0</v>
      </c>
    </row>
    <row r="39">
      <c r="A39" s="0" t="inlineStr">
        <is>
          <t xml:space="preserve">Bookings</t>
        </is>
      </c>
      <c r="B39" s="0" t="inlineStr">
        <is>
          <t xml:space="preserve">Wei Novak</t>
        </is>
      </c>
      <c r="C39" s="4">
        <f>'Rep quarterly'!C39</f>
        <v>0</v>
      </c>
      <c r="D39" s="4">
        <f>'Rep quarterly'!D39</f>
        <v>0</v>
      </c>
      <c r="E39" s="4">
        <f>'Rep quarterly'!E39</f>
        <v>0</v>
      </c>
      <c r="F39" s="4">
        <f>'Rep quarterly'!F39</f>
        <v>22800</v>
      </c>
      <c r="G39" s="4">
        <f>'Rep quarterly'!G39</f>
        <v>60000</v>
      </c>
      <c r="H39" s="4">
        <f>'Rep quarterly'!H39</f>
        <v>92900</v>
      </c>
      <c r="I39" s="4">
        <f>'Rep quarterly'!I39</f>
        <v>0</v>
      </c>
    </row>
    <row r="40">
      <c r="A40" s="0" t="inlineStr">
        <is>
          <t xml:space="preserve">Bookings</t>
        </is>
      </c>
      <c r="B40" s="0" t="inlineStr">
        <is>
          <t xml:space="preserve">Nikolai Kim</t>
        </is>
      </c>
      <c r="C40" s="4">
        <f>'Rep quarterly'!C40</f>
        <v>261600</v>
      </c>
      <c r="D40" s="4">
        <f>'Rep quarterly'!D40</f>
        <v>316500</v>
      </c>
      <c r="E40" s="4">
        <f>'Rep quarterly'!E40</f>
        <v>304700</v>
      </c>
      <c r="F40" s="4">
        <f>'Rep quarterly'!F40</f>
        <v>162500</v>
      </c>
      <c r="G40" s="4">
        <f>'Rep quarterly'!G40</f>
        <v>231600</v>
      </c>
      <c r="H40" s="4">
        <f>'Rep quarterly'!H40</f>
        <v>136400</v>
      </c>
      <c r="I40" s="4">
        <f>'Rep quarterly'!I40</f>
        <v>0</v>
      </c>
    </row>
    <row r="41">
      <c r="A41" s="0" t="inlineStr">
        <is>
          <t xml:space="preserve">Bookings</t>
        </is>
      </c>
      <c r="B41" s="0" t="inlineStr">
        <is>
          <t xml:space="preserve">Wei Nair</t>
        </is>
      </c>
      <c r="C41" s="4">
        <f>'Rep quarterly'!C41</f>
        <v>130600</v>
      </c>
      <c r="D41" s="4">
        <f>'Rep quarterly'!D41</f>
        <v>112700</v>
      </c>
      <c r="E41" s="4">
        <f>'Rep quarterly'!E41</f>
        <v>187800</v>
      </c>
      <c r="F41" s="4">
        <f>'Rep quarterly'!F41</f>
        <v>153100</v>
      </c>
      <c r="G41" s="4">
        <f>'Rep quarterly'!G41</f>
        <v>62500</v>
      </c>
      <c r="H41" s="4">
        <f>'Rep quarterly'!H41</f>
        <v>107600</v>
      </c>
      <c r="I41" s="4">
        <f>'Rep quarterly'!I41</f>
        <v>0</v>
      </c>
    </row>
    <row r="42">
      <c r="A42" s="0" t="inlineStr">
        <is>
          <t xml:space="preserve">Bookings</t>
        </is>
      </c>
      <c r="B42" s="0" t="inlineStr">
        <is>
          <t xml:space="preserve">Liam Silva</t>
        </is>
      </c>
      <c r="C42" s="4">
        <f>'Rep quarterly'!C42</f>
        <v>3500</v>
      </c>
      <c r="D42" s="4">
        <f>'Rep quarterly'!D42</f>
        <v>71500</v>
      </c>
      <c r="E42" s="4">
        <f>'Rep quarterly'!E42</f>
        <v>101700</v>
      </c>
      <c r="F42" s="4">
        <f>'Rep quarterly'!F42</f>
        <v>123900</v>
      </c>
      <c r="G42" s="4">
        <f>'Rep quarterly'!G42</f>
        <v>44500</v>
      </c>
      <c r="H42" s="4">
        <f>'Rep quarterly'!H42</f>
        <v>103000</v>
      </c>
      <c r="I42" s="4">
        <f>'Rep quarterly'!I42</f>
        <v>0</v>
      </c>
    </row>
    <row r="43">
      <c r="A43" s="0" t="inlineStr">
        <is>
          <t xml:space="preserve">Bookings</t>
        </is>
      </c>
      <c r="B43" s="0" t="inlineStr">
        <is>
          <t xml:space="preserve">Samuel Silva</t>
        </is>
      </c>
      <c r="C43" s="4">
        <f>'Rep quarterly'!C43</f>
        <v>33900</v>
      </c>
      <c r="D43" s="4">
        <f>'Rep quarterly'!D43</f>
        <v>154100</v>
      </c>
      <c r="E43" s="4">
        <f>'Rep quarterly'!E43</f>
        <v>96900</v>
      </c>
      <c r="F43" s="4">
        <f>'Rep quarterly'!F43</f>
        <v>169400</v>
      </c>
      <c r="G43" s="4">
        <f>'Rep quarterly'!G43</f>
        <v>100100</v>
      </c>
      <c r="H43" s="4">
        <f>'Rep quarterly'!H43</f>
        <v>71300</v>
      </c>
      <c r="I43" s="4">
        <f>'Rep quarterly'!I43</f>
        <v>0</v>
      </c>
    </row>
    <row r="44">
      <c r="A44" s="0" t="inlineStr">
        <is>
          <t xml:space="preserve">Bookings</t>
        </is>
      </c>
      <c r="B44" s="0" t="inlineStr">
        <is>
          <t xml:space="preserve">Yuki Larsen</t>
        </is>
      </c>
      <c r="C44" s="4">
        <f>'Rep quarterly'!C44</f>
        <v>0</v>
      </c>
      <c r="D44" s="4">
        <f>'Rep quarterly'!D44</f>
        <v>148500</v>
      </c>
      <c r="E44" s="4">
        <f>'Rep quarterly'!E44</f>
        <v>0</v>
      </c>
      <c r="F44" s="4">
        <f>'Rep quarterly'!F44</f>
        <v>0</v>
      </c>
      <c r="G44" s="4">
        <f>'Rep quarterly'!G44</f>
        <v>188400</v>
      </c>
      <c r="H44" s="4">
        <f>'Rep quarterly'!H44</f>
        <v>157600</v>
      </c>
      <c r="I44" s="4">
        <f>'Rep quarterly'!I44</f>
        <v>0</v>
      </c>
    </row>
    <row r="45">
      <c r="A45" s="0" t="inlineStr">
        <is>
          <t xml:space="preserve">Bookings</t>
        </is>
      </c>
      <c r="B45" s="0" t="inlineStr">
        <is>
          <t xml:space="preserve">Nikolai Sato</t>
        </is>
      </c>
      <c r="C45" s="4">
        <f>'Rep quarterly'!C45</f>
        <v>99700</v>
      </c>
      <c r="D45" s="4">
        <f>'Rep quarterly'!D45</f>
        <v>278700</v>
      </c>
      <c r="E45" s="4">
        <f>'Rep quarterly'!E45</f>
        <v>64300</v>
      </c>
      <c r="F45" s="4">
        <f>'Rep quarterly'!F45</f>
        <v>89800</v>
      </c>
      <c r="G45" s="4">
        <f>'Rep quarterly'!G45</f>
        <v>0</v>
      </c>
      <c r="H45" s="4">
        <f>'Rep quarterly'!H45</f>
        <v>103400</v>
      </c>
      <c r="I45" s="4">
        <f>'Rep quarterly'!I45</f>
        <v>0</v>
      </c>
    </row>
    <row r="46">
      <c r="A46" s="0" t="inlineStr">
        <is>
          <t xml:space="preserve">Bookings</t>
        </is>
      </c>
      <c r="B46" s="0" t="inlineStr">
        <is>
          <t xml:space="preserve">Elena Silva</t>
        </is>
      </c>
      <c r="C46" s="4">
        <f>'Rep quarterly'!C46</f>
        <v>111200</v>
      </c>
      <c r="D46" s="4">
        <f>'Rep quarterly'!D46</f>
        <v>286100</v>
      </c>
      <c r="E46" s="4">
        <f>'Rep quarterly'!E46</f>
        <v>230400</v>
      </c>
      <c r="F46" s="4">
        <f>'Rep quarterly'!F46</f>
        <v>137200</v>
      </c>
      <c r="G46" s="4">
        <f>'Rep quarterly'!G46</f>
        <v>183900</v>
      </c>
      <c r="H46" s="4">
        <f>'Rep quarterly'!H46</f>
        <v>191600</v>
      </c>
      <c r="I46" s="4">
        <f>'Rep quarterly'!I46</f>
        <v>0</v>
      </c>
    </row>
    <row r="47">
      <c r="A47" s="0" t="inlineStr">
        <is>
          <t xml:space="preserve">Bookings</t>
        </is>
      </c>
      <c r="B47" s="0" t="inlineStr">
        <is>
          <t xml:space="preserve">Arjun Müller</t>
        </is>
      </c>
      <c r="C47" s="4">
        <f>'Rep quarterly'!C47</f>
        <v>25000</v>
      </c>
      <c r="D47" s="4">
        <f>'Rep quarterly'!D47</f>
        <v>77600</v>
      </c>
      <c r="E47" s="4">
        <f>'Rep quarterly'!E47</f>
        <v>175800</v>
      </c>
      <c r="F47" s="4">
        <f>'Rep quarterly'!F47</f>
        <v>0</v>
      </c>
      <c r="G47" s="4">
        <f>'Rep quarterly'!G47</f>
        <v>193900</v>
      </c>
      <c r="H47" s="4">
        <f>'Rep quarterly'!H47</f>
        <v>162200</v>
      </c>
      <c r="I47" s="4">
        <f>'Rep quarterly'!I47</f>
        <v>0</v>
      </c>
    </row>
    <row r="48">
      <c r="A48" s="0" t="inlineStr">
        <is>
          <t xml:space="preserve">Bookings</t>
        </is>
      </c>
      <c r="B48" s="0" t="inlineStr">
        <is>
          <t xml:space="preserve">Nikolai Park</t>
        </is>
      </c>
      <c r="C48" s="4">
        <f>'Rep quarterly'!C48</f>
        <v>0</v>
      </c>
      <c r="D48" s="4">
        <f>'Rep quarterly'!D48</f>
        <v>0</v>
      </c>
      <c r="E48" s="4">
        <f>'Rep quarterly'!E48</f>
        <v>0</v>
      </c>
      <c r="F48" s="4">
        <f>'Rep quarterly'!F48</f>
        <v>0</v>
      </c>
      <c r="G48" s="4">
        <f>'Rep quarterly'!G48</f>
        <v>11000</v>
      </c>
      <c r="H48" s="4">
        <f>'Rep quarterly'!H48</f>
        <v>27800</v>
      </c>
      <c r="I48" s="4">
        <f>'Rep quarterly'!I48</f>
        <v>0</v>
      </c>
    </row>
    <row r="49">
      <c r="A49" s="0" t="inlineStr">
        <is>
          <t xml:space="preserve">Bookings</t>
        </is>
      </c>
      <c r="B49" s="0" t="inlineStr">
        <is>
          <t xml:space="preserve">Ingrid Dubois</t>
        </is>
      </c>
      <c r="C49" s="4">
        <f>'Rep quarterly'!C49</f>
        <v>0</v>
      </c>
      <c r="D49" s="4">
        <f>'Rep quarterly'!D49</f>
        <v>124300</v>
      </c>
      <c r="E49" s="4">
        <f>'Rep quarterly'!E49</f>
        <v>83400</v>
      </c>
      <c r="F49" s="4">
        <f>'Rep quarterly'!F49</f>
        <v>30900</v>
      </c>
      <c r="G49" s="4">
        <f>'Rep quarterly'!G49</f>
        <v>120700</v>
      </c>
      <c r="H49" s="4">
        <f>'Rep quarterly'!H49</f>
        <v>117900</v>
      </c>
      <c r="I49" s="4">
        <f>'Rep quarterly'!I49</f>
        <v>0</v>
      </c>
    </row>
    <row r="50">
      <c r="A50" s="0" t="inlineStr">
        <is>
          <t xml:space="preserve">Attainment</t>
        </is>
      </c>
      <c r="B50" s="0" t="inlineStr">
        <is>
          <t xml:space="preserve">Noor Ortiz</t>
        </is>
      </c>
      <c r="C50" s="12">
        <f>'Rep quarterly'!C50</f>
        <v>0</v>
      </c>
      <c r="D50" s="12">
        <f>'Rep quarterly'!D50</f>
        <v>0</v>
      </c>
      <c r="E50" s="12">
        <f>'Rep quarterly'!E50</f>
        <v>0.5365333333333333</v>
      </c>
      <c r="F50" s="12">
        <f>'Rep quarterly'!F50</f>
        <v>1.3490666666666666</v>
      </c>
      <c r="G50" s="12">
        <f>'Rep quarterly'!G50</f>
        <v>1.1645333333333334</v>
      </c>
      <c r="H50" s="12">
        <f>'Rep quarterly'!H50</f>
        <v>0.3696</v>
      </c>
      <c r="I50" s="12">
        <f>'Rep quarterly'!I50</f>
      </c>
    </row>
    <row r="51">
      <c r="A51" s="0" t="inlineStr">
        <is>
          <t xml:space="preserve">Attainment</t>
        </is>
      </c>
      <c r="B51" s="0" t="inlineStr">
        <is>
          <t xml:space="preserve">Priya Yilmaz</t>
        </is>
      </c>
      <c r="C51" s="12">
        <f>'Rep quarterly'!C51</f>
        <v>0</v>
      </c>
      <c r="D51" s="12">
        <f>'Rep quarterly'!D51</f>
        <v>0</v>
      </c>
      <c r="E51" s="12">
        <f>'Rep quarterly'!E51</f>
        <v>0</v>
      </c>
      <c r="F51" s="12">
        <f>'Rep quarterly'!F51</f>
        <v>0</v>
      </c>
      <c r="G51" s="12">
        <f>'Rep quarterly'!G51</f>
        <v>0</v>
      </c>
      <c r="H51" s="12">
        <f>'Rep quarterly'!H51</f>
        <v>0</v>
      </c>
      <c r="I51" s="12">
        <f>'Rep quarterly'!I51</f>
      </c>
    </row>
    <row r="52">
      <c r="A52" s="0" t="inlineStr">
        <is>
          <t xml:space="preserve">Attainment</t>
        </is>
      </c>
      <c r="B52" s="0" t="inlineStr">
        <is>
          <t xml:space="preserve">Marcus Schmidt</t>
        </is>
      </c>
      <c r="C52" s="12">
        <f>'Rep quarterly'!C52</f>
        <v>0</v>
      </c>
      <c r="D52" s="12">
        <f>'Rep quarterly'!D52</f>
        <v>1.6566037735849057</v>
      </c>
      <c r="E52" s="12">
        <f>'Rep quarterly'!E52</f>
        <v>1.7981132075471697</v>
      </c>
      <c r="F52" s="12">
        <f>'Rep quarterly'!F52</f>
        <v>2.5138364779874216</v>
      </c>
      <c r="G52" s="12">
        <f>'Rep quarterly'!G52</f>
        <v>0.8202830188679245</v>
      </c>
      <c r="H52" s="12">
        <f>'Rep quarterly'!H52</f>
        <v>0.6122641509433963</v>
      </c>
      <c r="I52" s="12">
        <f>'Rep quarterly'!I52</f>
      </c>
    </row>
    <row r="53">
      <c r="A53" s="0" t="inlineStr">
        <is>
          <t xml:space="preserve">Attainment</t>
        </is>
      </c>
      <c r="B53" s="0" t="inlineStr">
        <is>
          <t xml:space="preserve">Amara Haddad</t>
        </is>
      </c>
      <c r="C53" s="12">
        <f>'Rep quarterly'!C53</f>
        <v>0.980188679245283</v>
      </c>
      <c r="D53" s="12">
        <f>'Rep quarterly'!D53</f>
        <v>1.2339622641509433</v>
      </c>
      <c r="E53" s="12">
        <f>'Rep quarterly'!E53</f>
        <v>0.6514150943396226</v>
      </c>
      <c r="F53" s="12">
        <f>'Rep quarterly'!F53</f>
        <v>0.23773584905660378</v>
      </c>
      <c r="G53" s="12">
        <f>'Rep quarterly'!G53</f>
        <v>0.17783018867924527</v>
      </c>
      <c r="H53" s="12">
        <f>'Rep quarterly'!H53</f>
        <v>0.2608490566037736</v>
      </c>
      <c r="I53" s="12">
        <f>'Rep quarterly'!I53</f>
      </c>
    </row>
    <row r="54">
      <c r="A54" s="0" t="inlineStr">
        <is>
          <t xml:space="preserve">Attainment</t>
        </is>
      </c>
      <c r="B54" s="0" t="inlineStr">
        <is>
          <t xml:space="preserve">Fatima Silva</t>
        </is>
      </c>
      <c r="C54" s="12">
        <f>'Rep quarterly'!C54</f>
        <v>0.9589285714285715</v>
      </c>
      <c r="D54" s="12">
        <f>'Rep quarterly'!D54</f>
        <v>0.9866071428571429</v>
      </c>
      <c r="E54" s="12">
        <f>'Rep quarterly'!E54</f>
        <v>1.0848214285714286</v>
      </c>
      <c r="F54" s="12">
        <f>'Rep quarterly'!F54</f>
        <v>0.5580357142857143</v>
      </c>
      <c r="G54" s="12">
        <f>'Rep quarterly'!G54</f>
        <v>0.9964285714285714</v>
      </c>
      <c r="H54" s="12">
        <f>'Rep quarterly'!H54</f>
        <v>1.019642857142857</v>
      </c>
      <c r="I54" s="12">
        <f>'Rep quarterly'!I54</f>
      </c>
    </row>
    <row r="55">
      <c r="A55" s="0" t="inlineStr">
        <is>
          <t xml:space="preserve">Attainment</t>
        </is>
      </c>
      <c r="B55" s="0" t="inlineStr">
        <is>
          <t xml:space="preserve">Ana Ortiz</t>
        </is>
      </c>
      <c r="C55" s="12">
        <f>'Rep quarterly'!C55</f>
        <v>0.75</v>
      </c>
      <c r="D55" s="12">
        <f>'Rep quarterly'!D55</f>
        <v>1.7321428571428572</v>
      </c>
      <c r="E55" s="12">
        <f>'Rep quarterly'!E55</f>
        <v>0.4166666666666667</v>
      </c>
      <c r="F55" s="12">
        <f>'Rep quarterly'!F55</f>
        <v>0.5089285714285714</v>
      </c>
      <c r="G55" s="12">
        <f>'Rep quarterly'!G55</f>
        <v>0.9732142857142857</v>
      </c>
      <c r="H55" s="12">
        <f>'Rep quarterly'!H55</f>
        <v>0.6133928571428572</v>
      </c>
      <c r="I55" s="12">
        <f>'Rep quarterly'!I55</f>
      </c>
    </row>
    <row r="56">
      <c r="A56" s="0" t="inlineStr">
        <is>
          <t xml:space="preserve">Attainment</t>
        </is>
      </c>
      <c r="B56" s="0" t="inlineStr">
        <is>
          <t xml:space="preserve">Tobias Silva</t>
        </is>
      </c>
      <c r="C56" s="12">
        <f>'Rep quarterly'!C56</f>
        <v>0</v>
      </c>
      <c r="D56" s="12">
        <f>'Rep quarterly'!D56</f>
        <v>0.3914666666666667</v>
      </c>
      <c r="E56" s="12">
        <f>'Rep quarterly'!E56</f>
        <v>0</v>
      </c>
      <c r="F56" s="12">
        <f>'Rep quarterly'!F56</f>
        <v>3.7661333333333333</v>
      </c>
      <c r="G56" s="12">
        <f>'Rep quarterly'!G56</f>
        <v>0.14133333333333334</v>
      </c>
      <c r="H56" s="12">
        <f>'Rep quarterly'!H56</f>
        <v>1.3234666666666666</v>
      </c>
      <c r="I56" s="12">
        <f>'Rep quarterly'!I56</f>
      </c>
    </row>
    <row r="57">
      <c r="A57" s="0" t="inlineStr">
        <is>
          <t xml:space="preserve">Attainment</t>
        </is>
      </c>
      <c r="B57" s="0" t="inlineStr">
        <is>
          <t xml:space="preserve">Leila Osei</t>
        </is>
      </c>
      <c r="C57" s="12">
        <f>'Rep quarterly'!C57</f>
        <v>0</v>
      </c>
      <c r="D57" s="12">
        <f>'Rep quarterly'!D57</f>
        <v>0</v>
      </c>
      <c r="E57" s="12">
        <f>'Rep quarterly'!E57</f>
        <v>0</v>
      </c>
      <c r="F57" s="12">
        <f>'Rep quarterly'!F57</f>
        <v>0.09466666666666666</v>
      </c>
      <c r="G57" s="12">
        <f>'Rep quarterly'!G57</f>
        <v>0.9466666666666667</v>
      </c>
      <c r="H57" s="12">
        <f>'Rep quarterly'!H57</f>
        <v>1.8613333333333333</v>
      </c>
      <c r="I57" s="12">
        <f>'Rep quarterly'!I57</f>
      </c>
    </row>
    <row r="58">
      <c r="A58" s="0" t="inlineStr">
        <is>
          <t xml:space="preserve">Attainment</t>
        </is>
      </c>
      <c r="B58" s="0" t="inlineStr">
        <is>
          <t xml:space="preserve">Grace Costa</t>
        </is>
      </c>
      <c r="C58" s="12">
        <f>'Rep quarterly'!C58</f>
        <v>0.3410377358490566</v>
      </c>
      <c r="D58" s="12">
        <f>'Rep quarterly'!D58</f>
        <v>0.5377358490566038</v>
      </c>
      <c r="E58" s="12">
        <f>'Rep quarterly'!E58</f>
        <v>1.6316037735849056</v>
      </c>
      <c r="F58" s="12">
        <f>'Rep quarterly'!F58</f>
        <v>1.5264150943396226</v>
      </c>
      <c r="G58" s="12">
        <f>'Rep quarterly'!G58</f>
        <v>3.055188679245283</v>
      </c>
      <c r="H58" s="12">
        <f>'Rep quarterly'!H58</f>
        <v>1.8047169811320756</v>
      </c>
      <c r="I58" s="12">
        <f>'Rep quarterly'!I58</f>
      </c>
    </row>
    <row r="59">
      <c r="A59" s="0" t="inlineStr">
        <is>
          <t xml:space="preserve">Attainment</t>
        </is>
      </c>
      <c r="B59" s="0" t="inlineStr">
        <is>
          <t xml:space="preserve">Ingrid Müller</t>
        </is>
      </c>
      <c r="C59" s="12">
        <f>'Rep quarterly'!C59</f>
        <v>0</v>
      </c>
      <c r="D59" s="12">
        <f>'Rep quarterly'!D59</f>
        <v>0</v>
      </c>
      <c r="E59" s="12">
        <f>'Rep quarterly'!E59</f>
        <v>0</v>
      </c>
      <c r="F59" s="12">
        <f>'Rep quarterly'!F59</f>
        <v>0</v>
      </c>
      <c r="G59" s="12">
        <f>'Rep quarterly'!G59</f>
        <v>2.767924528301887</v>
      </c>
      <c r="H59" s="12">
        <f>'Rep quarterly'!H59</f>
        <v>2.3179245283018868</v>
      </c>
      <c r="I59" s="12">
        <f>'Rep quarterly'!I59</f>
      </c>
    </row>
    <row r="60">
      <c r="A60" s="0" t="inlineStr">
        <is>
          <t xml:space="preserve">Attainment</t>
        </is>
      </c>
      <c r="B60" s="0" t="inlineStr">
        <is>
          <t xml:space="preserve">Ingrid Kim</t>
        </is>
      </c>
      <c r="C60" s="12">
        <f>'Rep quarterly'!C60</f>
        <v>0.7196428571428571</v>
      </c>
      <c r="D60" s="12">
        <f>'Rep quarterly'!D60</f>
        <v>0.7732142857142857</v>
      </c>
      <c r="E60" s="12">
        <f>'Rep quarterly'!E60</f>
        <v>1.1232142857142857</v>
      </c>
      <c r="F60" s="12">
        <f>'Rep quarterly'!F60</f>
        <v>0.9508928571428571</v>
      </c>
      <c r="G60" s="12">
        <f>'Rep quarterly'!G60</f>
        <v>0.23660714285714285</v>
      </c>
      <c r="H60" s="12">
        <f>'Rep quarterly'!H60</f>
        <v>0.7955357142857142</v>
      </c>
      <c r="I60" s="12">
        <f>'Rep quarterly'!I60</f>
      </c>
    </row>
    <row r="61">
      <c r="A61" s="0" t="inlineStr">
        <is>
          <t xml:space="preserve">Attainment</t>
        </is>
      </c>
      <c r="B61" s="0" t="inlineStr">
        <is>
          <t xml:space="preserve">Priya Nair</t>
        </is>
      </c>
      <c r="C61" s="12">
        <f>'Rep quarterly'!C61</f>
        <v>0.6303571428571428</v>
      </c>
      <c r="D61" s="12">
        <f>'Rep quarterly'!D61</f>
        <v>0.9017857142857143</v>
      </c>
      <c r="E61" s="12">
        <f>'Rep quarterly'!E61</f>
        <v>0.9964285714285714</v>
      </c>
      <c r="F61" s="12">
        <f>'Rep quarterly'!F61</f>
        <v>0.6758928571428572</v>
      </c>
      <c r="G61" s="12">
        <f>'Rep quarterly'!G61</f>
        <v>0.925</v>
      </c>
      <c r="H61" s="12">
        <f>'Rep quarterly'!H61</f>
        <v>0.33214285714285713</v>
      </c>
      <c r="I61" s="12">
        <f>'Rep quarterly'!I61</f>
      </c>
    </row>
    <row r="62">
      <c r="A62" s="0" t="inlineStr">
        <is>
          <t xml:space="preserve">Attainment</t>
        </is>
      </c>
      <c r="B62" s="0" t="inlineStr">
        <is>
          <t xml:space="preserve">Hugo Lindqvist</t>
        </is>
      </c>
      <c r="C62" s="12">
        <f>'Rep quarterly'!C62</f>
        <v>0.7272189349112426</v>
      </c>
      <c r="D62" s="12">
        <f>'Rep quarterly'!D62</f>
        <v>2.1671597633136095</v>
      </c>
      <c r="E62" s="12">
        <f>'Rep quarterly'!E62</f>
        <v>0.8035502958579882</v>
      </c>
      <c r="F62" s="12">
        <f>'Rep quarterly'!F62</f>
        <v>1.607396449704142</v>
      </c>
      <c r="G62" s="12">
        <f>'Rep quarterly'!G62</f>
        <v>1.3520710059171597</v>
      </c>
      <c r="H62" s="12">
        <f>'Rep quarterly'!H62</f>
        <v>1.1142011834319527</v>
      </c>
      <c r="I62" s="12">
        <f>'Rep quarterly'!I62</f>
      </c>
    </row>
    <row r="63">
      <c r="A63" s="0" t="inlineStr">
        <is>
          <t xml:space="preserve">Attainment</t>
        </is>
      </c>
      <c r="B63" s="0" t="inlineStr">
        <is>
          <t xml:space="preserve">Wei Novak</t>
        </is>
      </c>
      <c r="C63" s="12">
        <f>'Rep quarterly'!C63</f>
        <v>0</v>
      </c>
      <c r="D63" s="12">
        <f>'Rep quarterly'!D63</f>
        <v>0</v>
      </c>
      <c r="E63" s="12">
        <f>'Rep quarterly'!E63</f>
        <v>0</v>
      </c>
      <c r="F63" s="12">
        <f>'Rep quarterly'!F63</f>
        <v>0.2714285714285714</v>
      </c>
      <c r="G63" s="12">
        <f>'Rep quarterly'!G63</f>
        <v>0.35502958579881655</v>
      </c>
      <c r="H63" s="12">
        <f>'Rep quarterly'!H63</f>
        <v>0.36719367588932805</v>
      </c>
      <c r="I63" s="12">
        <f>'Rep quarterly'!I63</f>
      </c>
    </row>
    <row r="64">
      <c r="A64" s="0" t="inlineStr">
        <is>
          <t xml:space="preserve">Attainment</t>
        </is>
      </c>
      <c r="B64" s="0" t="inlineStr">
        <is>
          <t xml:space="preserve">Nikolai Kim</t>
        </is>
      </c>
      <c r="C64" s="12">
        <f>'Rep quarterly'!C64</f>
        <v>1.3768421052631579</v>
      </c>
      <c r="D64" s="12">
        <f>'Rep quarterly'!D64</f>
        <v>1.6657894736842105</v>
      </c>
      <c r="E64" s="12">
        <f>'Rep quarterly'!E64</f>
        <v>1.6036842105263158</v>
      </c>
      <c r="F64" s="12">
        <f>'Rep quarterly'!F64</f>
        <v>0.8552631578947368</v>
      </c>
      <c r="G64" s="12">
        <f>'Rep quarterly'!G64</f>
        <v>1.2189473684210526</v>
      </c>
      <c r="H64" s="12">
        <f>'Rep quarterly'!H64</f>
        <v>0.7178947368421053</v>
      </c>
      <c r="I64" s="12">
        <f>'Rep quarterly'!I64</f>
      </c>
    </row>
    <row r="65">
      <c r="A65" s="0" t="inlineStr">
        <is>
          <t xml:space="preserve">Attainment</t>
        </is>
      </c>
      <c r="B65" s="0" t="inlineStr">
        <is>
          <t xml:space="preserve">Wei Nair</t>
        </is>
      </c>
      <c r="C65" s="12">
        <f>'Rep quarterly'!C65</f>
        <v>0.6873684210526316</v>
      </c>
      <c r="D65" s="12">
        <f>'Rep quarterly'!D65</f>
        <v>0.5931578947368421</v>
      </c>
      <c r="E65" s="12">
        <f>'Rep quarterly'!E65</f>
        <v>0.988421052631579</v>
      </c>
      <c r="F65" s="12">
        <f>'Rep quarterly'!F65</f>
        <v>0.8057894736842105</v>
      </c>
      <c r="G65" s="12">
        <f>'Rep quarterly'!G65</f>
        <v>0.32894736842105265</v>
      </c>
      <c r="H65" s="12">
        <f>'Rep quarterly'!H65</f>
        <v>0.5663157894736842</v>
      </c>
      <c r="I65" s="12">
        <f>'Rep quarterly'!I65</f>
      </c>
    </row>
    <row r="66">
      <c r="A66" s="0" t="inlineStr">
        <is>
          <t xml:space="preserve">Attainment</t>
        </is>
      </c>
      <c r="B66" s="0" t="inlineStr">
        <is>
          <t xml:space="preserve">Liam Silva</t>
        </is>
      </c>
      <c r="C66" s="12">
        <f>'Rep quarterly'!C66</f>
        <v>0.14</v>
      </c>
      <c r="D66" s="12">
        <f>'Rep quarterly'!D66</f>
        <v>1.43</v>
      </c>
      <c r="E66" s="12">
        <f>'Rep quarterly'!E66</f>
        <v>1.356</v>
      </c>
      <c r="F66" s="12">
        <f>'Rep quarterly'!F66</f>
        <v>1.239</v>
      </c>
      <c r="G66" s="12">
        <f>'Rep quarterly'!G66</f>
        <v>0.445</v>
      </c>
      <c r="H66" s="12">
        <f>'Rep quarterly'!H66</f>
        <v>1.03</v>
      </c>
      <c r="I66" s="12">
        <f>'Rep quarterly'!I66</f>
      </c>
    </row>
    <row r="67">
      <c r="A67" s="0" t="inlineStr">
        <is>
          <t xml:space="preserve">Attainment</t>
        </is>
      </c>
      <c r="B67" s="0" t="inlineStr">
        <is>
          <t xml:space="preserve">Samuel Silva</t>
        </is>
      </c>
      <c r="C67" s="12">
        <f>'Rep quarterly'!C67</f>
        <v>0.339</v>
      </c>
      <c r="D67" s="12">
        <f>'Rep quarterly'!D67</f>
        <v>1.541</v>
      </c>
      <c r="E67" s="12">
        <f>'Rep quarterly'!E67</f>
        <v>0.969</v>
      </c>
      <c r="F67" s="12">
        <f>'Rep quarterly'!F67</f>
        <v>1.694</v>
      </c>
      <c r="G67" s="12">
        <f>'Rep quarterly'!G67</f>
        <v>1.001</v>
      </c>
      <c r="H67" s="12">
        <f>'Rep quarterly'!H67</f>
        <v>0.713</v>
      </c>
      <c r="I67" s="12">
        <f>'Rep quarterly'!I67</f>
      </c>
    </row>
    <row r="68">
      <c r="A68" s="0" t="inlineStr">
        <is>
          <t xml:space="preserve">Attainment</t>
        </is>
      </c>
      <c r="B68" s="0" t="inlineStr">
        <is>
          <t xml:space="preserve">Yuki Larsen</t>
        </is>
      </c>
      <c r="C68" s="12">
        <f>'Rep quarterly'!C68</f>
        <v>0</v>
      </c>
      <c r="D68" s="12">
        <f>'Rep quarterly'!D68</f>
        <v>0.566793893129771</v>
      </c>
      <c r="E68" s="12">
        <f>'Rep quarterly'!E68</f>
        <v>0</v>
      </c>
      <c r="F68" s="12">
        <f>'Rep quarterly'!F68</f>
        <v>0</v>
      </c>
      <c r="G68" s="12">
        <f>'Rep quarterly'!G68</f>
        <v>0.7190839694656489</v>
      </c>
      <c r="H68" s="12">
        <f>'Rep quarterly'!H68</f>
        <v>0.601526717557252</v>
      </c>
      <c r="I68" s="12">
        <f>'Rep quarterly'!I68</f>
      </c>
    </row>
    <row r="69">
      <c r="A69" s="0" t="inlineStr">
        <is>
          <t xml:space="preserve">Attainment</t>
        </is>
      </c>
      <c r="B69" s="0" t="inlineStr">
        <is>
          <t xml:space="preserve">Nikolai Sato</t>
        </is>
      </c>
      <c r="C69" s="12">
        <f>'Rep quarterly'!C69</f>
        <v>0.38053435114503814</v>
      </c>
      <c r="D69" s="12">
        <f>'Rep quarterly'!D69</f>
        <v>1.0637404580152672</v>
      </c>
      <c r="E69" s="12">
        <f>'Rep quarterly'!E69</f>
        <v>0.24541984732824426</v>
      </c>
      <c r="F69" s="12">
        <f>'Rep quarterly'!F69</f>
        <v>0.3427480916030534</v>
      </c>
      <c r="G69" s="12">
        <f>'Rep quarterly'!G69</f>
        <v>0</v>
      </c>
      <c r="H69" s="12">
        <f>'Rep quarterly'!H69</f>
        <v>0.3946564885496183</v>
      </c>
      <c r="I69" s="12">
        <f>'Rep quarterly'!I69</f>
      </c>
    </row>
    <row r="70">
      <c r="A70" s="0" t="inlineStr">
        <is>
          <t xml:space="preserve">Attainment</t>
        </is>
      </c>
      <c r="B70" s="0" t="inlineStr">
        <is>
          <t xml:space="preserve">Elena Silva</t>
        </is>
      </c>
      <c r="C70" s="12">
        <f>'Rep quarterly'!C70</f>
        <v>0.9928571428571429</v>
      </c>
      <c r="D70" s="12">
        <f>'Rep quarterly'!D70</f>
        <v>1.9073333333333333</v>
      </c>
      <c r="E70" s="12">
        <f>'Rep quarterly'!E70</f>
        <v>1.536</v>
      </c>
      <c r="F70" s="12">
        <f>'Rep quarterly'!F70</f>
        <v>0.9146666666666666</v>
      </c>
      <c r="G70" s="12">
        <f>'Rep quarterly'!G70</f>
        <v>1.226</v>
      </c>
      <c r="H70" s="12">
        <f>'Rep quarterly'!H70</f>
        <v>1.2773333333333334</v>
      </c>
      <c r="I70" s="12">
        <f>'Rep quarterly'!I70</f>
      </c>
    </row>
    <row r="71">
      <c r="A71" s="0" t="inlineStr">
        <is>
          <t xml:space="preserve">Attainment</t>
        </is>
      </c>
      <c r="B71" s="0" t="inlineStr">
        <is>
          <t xml:space="preserve">Arjun Müller</t>
        </is>
      </c>
      <c r="C71" s="12">
        <f>'Rep quarterly'!C71</f>
        <v>0.16666666666666666</v>
      </c>
      <c r="D71" s="12">
        <f>'Rep quarterly'!D71</f>
        <v>0.5173333333333333</v>
      </c>
      <c r="E71" s="12">
        <f>'Rep quarterly'!E71</f>
        <v>1.172</v>
      </c>
      <c r="F71" s="12">
        <f>'Rep quarterly'!F71</f>
        <v>0</v>
      </c>
      <c r="G71" s="12">
        <f>'Rep quarterly'!G71</f>
        <v>1.2926666666666666</v>
      </c>
      <c r="H71" s="12">
        <f>'Rep quarterly'!H71</f>
        <v>1.0813333333333333</v>
      </c>
      <c r="I71" s="12">
        <f>'Rep quarterly'!I71</f>
      </c>
    </row>
    <row r="72">
      <c r="A72" s="0" t="inlineStr">
        <is>
          <t xml:space="preserve">Attainment</t>
        </is>
      </c>
      <c r="B72" s="0" t="inlineStr">
        <is>
          <t xml:space="preserve">Nikolai Park</t>
        </is>
      </c>
      <c r="C72" s="12">
        <f>'Rep quarterly'!C72</f>
        <v>0</v>
      </c>
      <c r="D72" s="12">
        <f>'Rep quarterly'!D72</f>
        <v>0</v>
      </c>
      <c r="E72" s="12">
        <f>'Rep quarterly'!E72</f>
        <v>0</v>
      </c>
      <c r="F72" s="12">
        <f>'Rep quarterly'!F72</f>
        <v>0</v>
      </c>
      <c r="G72" s="12">
        <f>'Rep quarterly'!G72</f>
        <v>0.55</v>
      </c>
      <c r="H72" s="12">
        <f>'Rep quarterly'!H72</f>
        <v>0.695</v>
      </c>
      <c r="I72" s="12">
        <f>'Rep quarterly'!I72</f>
      </c>
    </row>
    <row r="73">
      <c r="A73" s="0" t="inlineStr">
        <is>
          <t xml:space="preserve">Attainment</t>
        </is>
      </c>
      <c r="B73" s="0" t="inlineStr">
        <is>
          <t xml:space="preserve">Ingrid Dubois</t>
        </is>
      </c>
      <c r="C73" s="12">
        <f>'Rep quarterly'!C73</f>
        <v>0</v>
      </c>
      <c r="D73" s="12">
        <f>'Rep quarterly'!D73</f>
        <v>1.55375</v>
      </c>
      <c r="E73" s="12">
        <f>'Rep quarterly'!E73</f>
        <v>1.0425</v>
      </c>
      <c r="F73" s="12">
        <f>'Rep quarterly'!F73</f>
        <v>0.38625</v>
      </c>
      <c r="G73" s="12">
        <f>'Rep quarterly'!G73</f>
        <v>1.50875</v>
      </c>
      <c r="H73" s="12">
        <f>'Rep quarterly'!H73</f>
        <v>1.47375</v>
      </c>
      <c r="I73" s="12">
        <f>'Rep quarterly'!I73</f>
      </c>
    </row>
    <row r="74">
      <c r="A74" s="0" t="inlineStr">
        <is>
          <t xml:space="preserve">Commission (tranches)</t>
        </is>
      </c>
      <c r="B74" s="0" t="inlineStr">
        <is>
          <t xml:space="preserve">Noor Ortiz</t>
        </is>
      </c>
      <c r="C74" s="8">
        <f>'Commission by tranche'!I506</f>
        <v>0</v>
      </c>
      <c r="D74" s="8">
        <f>'Commission by tranche'!I507</f>
        <v>0</v>
      </c>
      <c r="E74" s="8">
        <f>'Commission by tranche'!I508</f>
        <v>15432.5</v>
      </c>
      <c r="F74" s="8">
        <f>'Commission by tranche'!I509</f>
        <v>54305</v>
      </c>
      <c r="G74" s="8">
        <f>'Commission by tranche'!I510</f>
        <v>42067.50000000001</v>
      </c>
      <c r="H74" s="8">
        <f>'Commission by tranche'!I511</f>
        <v>10395.000000000002</v>
      </c>
      <c r="I74" s="8">
        <f>'Commission by tranche'!I512</f>
        <v>0</v>
      </c>
    </row>
    <row r="75">
      <c r="A75" s="0" t="inlineStr">
        <is>
          <t xml:space="preserve">Commission (tranches)</t>
        </is>
      </c>
      <c r="B75" s="0" t="inlineStr">
        <is>
          <t xml:space="preserve">Priya Yilmaz</t>
        </is>
      </c>
      <c r="C75" s="4">
        <f>'Commission by tranche'!I513</f>
        <v>0</v>
      </c>
      <c r="D75" s="4">
        <f>'Commission by tranche'!I514</f>
        <v>0</v>
      </c>
      <c r="E75" s="4">
        <f>'Commission by tranche'!I515</f>
        <v>0</v>
      </c>
      <c r="F75" s="4">
        <f>'Commission by tranche'!I516</f>
        <v>0</v>
      </c>
      <c r="G75" s="4">
        <f>'Commission by tranche'!I517</f>
        <v>0</v>
      </c>
      <c r="H75" s="4">
        <f>'Commission by tranche'!I518</f>
        <v>0</v>
      </c>
      <c r="I75" s="4">
        <f>'Commission by tranche'!I519</f>
        <v>0</v>
      </c>
    </row>
    <row r="76">
      <c r="A76" s="0" t="inlineStr">
        <is>
          <t xml:space="preserve">Commission (tranches)</t>
        </is>
      </c>
      <c r="B76" s="0" t="inlineStr">
        <is>
          <t xml:space="preserve">Marcus Schmidt</t>
        </is>
      </c>
      <c r="C76" s="8">
        <f>'Commission by tranche'!I520</f>
        <v>0</v>
      </c>
      <c r="D76" s="8">
        <f>'Commission by tranche'!I521</f>
        <v>15223.91</v>
      </c>
      <c r="E76" s="8">
        <f>'Commission by tranche'!I522</f>
        <v>36270.81999999999</v>
      </c>
      <c r="F76" s="8">
        <f>'Commission by tranche'!I523</f>
        <v>98583.39000000001</v>
      </c>
      <c r="G76" s="8">
        <f>'Commission by tranche'!I524</f>
        <v>19073.559999999998</v>
      </c>
      <c r="H76" s="8">
        <f>'Commission by tranche'!I525</f>
        <v>13367.02</v>
      </c>
      <c r="I76" s="8">
        <f>'Commission by tranche'!I526</f>
        <v>0</v>
      </c>
    </row>
    <row r="77">
      <c r="A77" s="0" t="inlineStr">
        <is>
          <t xml:space="preserve">Commission (tranches)</t>
        </is>
      </c>
      <c r="B77" s="0" t="inlineStr">
        <is>
          <t xml:space="preserve">Amara Haddad</t>
        </is>
      </c>
      <c r="C77" s="8">
        <f>'Commission by tranche'!I527</f>
        <v>23460.219999999994</v>
      </c>
      <c r="D77" s="8">
        <f>'Commission by tranche'!I528</f>
        <v>33631.06</v>
      </c>
      <c r="E77" s="8">
        <f>'Commission by tranche'!I529</f>
        <v>14441.039999999999</v>
      </c>
      <c r="F77" s="8">
        <f>'Commission by tranche'!I530</f>
        <v>4891.32</v>
      </c>
      <c r="G77" s="8">
        <f>'Commission by tranche'!I531</f>
        <v>3658.785</v>
      </c>
      <c r="H77" s="8">
        <f>'Commission by tranche'!I532</f>
        <v>5366.865000000001</v>
      </c>
      <c r="I77" s="8">
        <f>'Commission by tranche'!I533</f>
        <v>0</v>
      </c>
    </row>
    <row r="78">
      <c r="A78" s="0" t="inlineStr">
        <is>
          <t xml:space="preserve">Commission (tranches)</t>
        </is>
      </c>
      <c r="B78" s="0" t="inlineStr">
        <is>
          <t xml:space="preserve">Fatima Silva</t>
        </is>
      </c>
      <c r="C78" s="8">
        <f>'Commission by tranche'!I534</f>
        <v>16606.520000000004</v>
      </c>
      <c r="D78" s="8">
        <f>'Commission by tranche'!I535</f>
        <v>17157.700000000004</v>
      </c>
      <c r="E78" s="8">
        <f>'Commission by tranche'!I536</f>
        <v>19958.050000000003</v>
      </c>
      <c r="F78" s="8">
        <f>'Commission by tranche'!I537</f>
        <v>8623.300000000001</v>
      </c>
      <c r="G78" s="8">
        <f>'Commission by tranche'!I538</f>
        <v>17353.280000000002</v>
      </c>
      <c r="H78" s="8">
        <f>'Commission by tranche'!I539</f>
        <v>18011.14</v>
      </c>
      <c r="I78" s="8">
        <f>'Commission by tranche'!I540</f>
        <v>0</v>
      </c>
    </row>
    <row r="79">
      <c r="A79" s="0" t="inlineStr">
        <is>
          <t xml:space="preserve">Commission (tranches)</t>
        </is>
      </c>
      <c r="B79" s="0" t="inlineStr">
        <is>
          <t xml:space="preserve">Ana Ortiz</t>
        </is>
      </c>
      <c r="C79" s="8">
        <f>'Commission by tranche'!I541</f>
        <v>3111.5000000000005</v>
      </c>
      <c r="D79" s="8">
        <f>'Commission by tranche'!I542</f>
        <v>24358.600000000006</v>
      </c>
      <c r="E79" s="8">
        <f>'Commission by tranche'!I543</f>
        <v>4667.250000000001</v>
      </c>
      <c r="F79" s="8">
        <f>'Commission by tranche'!I544</f>
        <v>7645.400000000001</v>
      </c>
      <c r="G79" s="8">
        <f>'Commission by tranche'!I545</f>
        <v>16891.000000000004</v>
      </c>
      <c r="H79" s="8">
        <f>'Commission by tranche'!I546</f>
        <v>9725.660000000003</v>
      </c>
      <c r="I79" s="8">
        <f>'Commission by tranche'!I547</f>
        <v>0</v>
      </c>
    </row>
    <row r="80">
      <c r="A80" s="0" t="inlineStr">
        <is>
          <t xml:space="preserve">Commission (tranches)</t>
        </is>
      </c>
      <c r="B80" s="0" t="inlineStr">
        <is>
          <t xml:space="preserve">Tobias Silva</t>
        </is>
      </c>
      <c r="C80" s="8">
        <f>'Commission by tranche'!I548</f>
        <v>0</v>
      </c>
      <c r="D80" s="8">
        <f>'Commission by tranche'!I549</f>
        <v>11010.000000000002</v>
      </c>
      <c r="E80" s="8">
        <f>'Commission by tranche'!I550</f>
        <v>0</v>
      </c>
      <c r="F80" s="8">
        <f>'Commission by tranche'!I551</f>
        <v>320565</v>
      </c>
      <c r="G80" s="8">
        <f>'Commission by tranche'!I552</f>
        <v>3975.0000000000005</v>
      </c>
      <c r="H80" s="8">
        <f>'Commission by tranche'!I553</f>
        <v>52384.99999999999</v>
      </c>
      <c r="I80" s="8">
        <f>'Commission by tranche'!I554</f>
        <v>0</v>
      </c>
    </row>
    <row r="81">
      <c r="A81" s="0" t="inlineStr">
        <is>
          <t xml:space="preserve">Commission (tranches)</t>
        </is>
      </c>
      <c r="B81" s="0" t="inlineStr">
        <is>
          <t xml:space="preserve">Leila Osei</t>
        </is>
      </c>
      <c r="C81" s="8">
        <f>'Commission by tranche'!I555</f>
        <v>0</v>
      </c>
      <c r="D81" s="8">
        <f>'Commission by tranche'!I556</f>
        <v>0</v>
      </c>
      <c r="E81" s="8">
        <f>'Commission by tranche'!I557</f>
        <v>0</v>
      </c>
      <c r="F81" s="8">
        <f>'Commission by tranche'!I558</f>
        <v>2662.5000000000005</v>
      </c>
      <c r="G81" s="8">
        <f>'Commission by tranche'!I559</f>
        <v>30812.5</v>
      </c>
      <c r="H81" s="8">
        <f>'Commission by tranche'!I560</f>
        <v>106275</v>
      </c>
      <c r="I81" s="8">
        <f>'Commission by tranche'!I561</f>
        <v>0</v>
      </c>
    </row>
    <row r="82">
      <c r="A82" s="0" t="inlineStr">
        <is>
          <t xml:space="preserve">Commission (tranches)</t>
        </is>
      </c>
      <c r="B82" s="0" t="inlineStr">
        <is>
          <t xml:space="preserve">Grace Costa</t>
        </is>
      </c>
      <c r="C82" s="8">
        <f>'Commission by tranche'!I562</f>
        <v>7016.715</v>
      </c>
      <c r="D82" s="8">
        <f>'Commission by tranche'!I563</f>
        <v>11322.499999999998</v>
      </c>
      <c r="E82" s="8">
        <f>'Commission by tranche'!I564</f>
        <v>58838.17999999999</v>
      </c>
      <c r="F82" s="8">
        <f>'Commission by tranche'!I565</f>
        <v>50181.31999999999</v>
      </c>
      <c r="G82" s="8">
        <f>'Commission by tranche'!I566</f>
        <v>175996.94</v>
      </c>
      <c r="H82" s="8">
        <f>'Commission by tranche'!I567</f>
        <v>73085.12</v>
      </c>
      <c r="I82" s="8">
        <f>'Commission by tranche'!I568</f>
        <v>0</v>
      </c>
    </row>
    <row r="83">
      <c r="A83" s="0" t="inlineStr">
        <is>
          <t xml:space="preserve">Commission (tranches)</t>
        </is>
      </c>
      <c r="B83" s="0" t="inlineStr">
        <is>
          <t xml:space="preserve">Ingrid Müller</t>
        </is>
      </c>
      <c r="C83" s="8">
        <f>'Commission by tranche'!I569</f>
        <v>0</v>
      </c>
      <c r="D83" s="8">
        <f>'Commission by tranche'!I570</f>
        <v>0</v>
      </c>
      <c r="E83" s="8">
        <f>'Commission by tranche'!I571</f>
        <v>0</v>
      </c>
      <c r="F83" s="8">
        <f>'Commission by tranche'!I572</f>
        <v>0</v>
      </c>
      <c r="G83" s="8">
        <f>'Commission by tranche'!I573</f>
        <v>38088.89</v>
      </c>
      <c r="H83" s="8">
        <f>'Commission by tranche'!I574</f>
        <v>57660.64</v>
      </c>
      <c r="I83" s="8">
        <f>'Commission by tranche'!I575</f>
        <v>0</v>
      </c>
    </row>
    <row r="84">
      <c r="A84" s="0" t="inlineStr">
        <is>
          <t xml:space="preserve">Commission (tranches)</t>
        </is>
      </c>
      <c r="B84" s="0" t="inlineStr">
        <is>
          <t xml:space="preserve">Ingrid Kim</t>
        </is>
      </c>
      <c r="C84" s="8">
        <f>'Commission by tranche'!I576</f>
        <v>11841.480000000001</v>
      </c>
      <c r="D84" s="8">
        <f>'Commission by tranche'!I577</f>
        <v>12908.280000000002</v>
      </c>
      <c r="E84" s="8">
        <f>'Commission by tranche'!I578</f>
        <v>21104.86</v>
      </c>
      <c r="F84" s="8">
        <f>'Commission by tranche'!I579</f>
        <v>16446.5</v>
      </c>
      <c r="G84" s="8">
        <f>'Commission by tranche'!I580</f>
        <v>3533.7750000000005</v>
      </c>
      <c r="H84" s="8">
        <f>'Commission by tranche'!I581</f>
        <v>13352.78</v>
      </c>
      <c r="I84" s="8">
        <f>'Commission by tranche'!I582</f>
        <v>0</v>
      </c>
    </row>
    <row r="85">
      <c r="A85" s="0" t="inlineStr">
        <is>
          <t xml:space="preserve">Commission (tranches)</t>
        </is>
      </c>
      <c r="B85" s="0" t="inlineStr">
        <is>
          <t xml:space="preserve">Priya Nair</t>
        </is>
      </c>
      <c r="C85" s="8">
        <f>'Commission by tranche'!I583</f>
        <v>10063.480000000001</v>
      </c>
      <c r="D85" s="8">
        <f>'Commission by tranche'!I584</f>
        <v>15468.600000000002</v>
      </c>
      <c r="E85" s="8">
        <f>'Commission by tranche'!I585</f>
        <v>17353.280000000002</v>
      </c>
      <c r="F85" s="8">
        <f>'Commission by tranche'!I586</f>
        <v>10970.260000000002</v>
      </c>
      <c r="G85" s="8">
        <f>'Commission by tranche'!I587</f>
        <v>15930.880000000005</v>
      </c>
      <c r="H85" s="8">
        <f>'Commission by tranche'!I588</f>
        <v>4960.620000000001</v>
      </c>
      <c r="I85" s="8">
        <f>'Commission by tranche'!I589</f>
        <v>0</v>
      </c>
    </row>
    <row r="86">
      <c r="A86" s="0" t="inlineStr">
        <is>
          <t xml:space="preserve">Commission (tranches)</t>
        </is>
      </c>
      <c r="B86" s="0" t="inlineStr">
        <is>
          <t xml:space="preserve">Hugo Lindqvist</t>
        </is>
      </c>
      <c r="C86" s="8">
        <f>'Commission by tranche'!I590</f>
        <v>22614.405</v>
      </c>
      <c r="D86" s="8">
        <f>'Commission by tranche'!I591</f>
        <v>140874.80000000002</v>
      </c>
      <c r="E86" s="8">
        <f>'Commission by tranche'!I592</f>
        <v>25480.785000000003</v>
      </c>
      <c r="F86" s="8">
        <f>'Commission by tranche'!I593</f>
        <v>77814.44</v>
      </c>
      <c r="G86" s="8">
        <f>'Commission by tranche'!I594</f>
        <v>54605.65</v>
      </c>
      <c r="H86" s="8">
        <f>'Commission by tranche'!I595</f>
        <v>39290.51500000001</v>
      </c>
      <c r="I86" s="8">
        <f>'Commission by tranche'!I596</f>
        <v>0</v>
      </c>
    </row>
    <row r="87">
      <c r="A87" s="0" t="inlineStr">
        <is>
          <t xml:space="preserve">Commission (tranches)</t>
        </is>
      </c>
      <c r="B87" s="0" t="inlineStr">
        <is>
          <t xml:space="preserve">Wei Novak</t>
        </is>
      </c>
      <c r="C87" s="8">
        <f>'Commission by tranche'!I597</f>
        <v>0</v>
      </c>
      <c r="D87" s="8">
        <f>'Commission by tranche'!I598</f>
        <v>0</v>
      </c>
      <c r="E87" s="8">
        <f>'Commission by tranche'!I599</f>
        <v>0</v>
      </c>
      <c r="F87" s="8">
        <f>'Commission by tranche'!I600</f>
        <v>1899.8100000000002</v>
      </c>
      <c r="G87" s="8">
        <f>'Commission by tranche'!I601</f>
        <v>4999.500000000001</v>
      </c>
      <c r="H87" s="8">
        <f>'Commission by tranche'!I602</f>
        <v>7740.892500000001</v>
      </c>
      <c r="I87" s="8">
        <f>'Commission by tranche'!I603</f>
        <v>0</v>
      </c>
    </row>
    <row r="88">
      <c r="A88" s="0" t="inlineStr">
        <is>
          <t xml:space="preserve">Commission (tranches)</t>
        </is>
      </c>
      <c r="B88" s="0" t="inlineStr">
        <is>
          <t xml:space="preserve">Nikolai Kim</t>
        </is>
      </c>
      <c r="C88" s="8">
        <f>'Commission by tranche'!I604</f>
        <v>41340.79</v>
      </c>
      <c r="D88" s="8">
        <f>'Commission by tranche'!I605</f>
        <v>61786.899999999994</v>
      </c>
      <c r="E88" s="8">
        <f>'Commission by tranche'!I606</f>
        <v>56664.520000000004</v>
      </c>
      <c r="F88" s="8">
        <f>'Commission by tranche'!I607</f>
        <v>20077.125</v>
      </c>
      <c r="G88" s="8">
        <f>'Commission by tranche'!I608</f>
        <v>33085.655</v>
      </c>
      <c r="H88" s="8">
        <f>'Commission by tranche'!I609</f>
        <v>16300.455</v>
      </c>
      <c r="I88" s="8">
        <f>'Commission by tranche'!I610</f>
        <v>0</v>
      </c>
    </row>
    <row r="89">
      <c r="A89" s="0" t="inlineStr">
        <is>
          <t xml:space="preserve">Commission (tranches)</t>
        </is>
      </c>
      <c r="B89" s="0" t="inlineStr">
        <is>
          <t xml:space="preserve">Wei Nair</t>
        </is>
      </c>
      <c r="C89" s="8">
        <f>'Commission by tranche'!I611</f>
        <v>15461.195</v>
      </c>
      <c r="D89" s="8">
        <f>'Commission by tranche'!I612</f>
        <v>12871.065</v>
      </c>
      <c r="E89" s="8">
        <f>'Commission by tranche'!I613</f>
        <v>23738.035</v>
      </c>
      <c r="F89" s="8">
        <f>'Commission by tranche'!I614</f>
        <v>18716.945</v>
      </c>
      <c r="G89" s="8">
        <f>'Commission by tranche'!I615</f>
        <v>6782.812500000001</v>
      </c>
      <c r="H89" s="8">
        <f>'Commission by tranche'!I616</f>
        <v>12133.095000000001</v>
      </c>
      <c r="I89" s="8">
        <f>'Commission by tranche'!I617</f>
        <v>0</v>
      </c>
    </row>
    <row r="90">
      <c r="A90" s="0" t="inlineStr">
        <is>
          <t xml:space="preserve">Commission (tranches)</t>
        </is>
      </c>
      <c r="B90" s="0" t="inlineStr">
        <is>
          <t xml:space="preserve">Liam Silva</t>
        </is>
      </c>
      <c r="C90" s="8">
        <f>'Commission by tranche'!I618</f>
        <v>525.0000000000001</v>
      </c>
      <c r="D90" s="8">
        <f>'Commission by tranche'!I619</f>
        <v>16099.999999999998</v>
      </c>
      <c r="E90" s="8">
        <f>'Commission by tranche'!I620</f>
        <v>21930.000000000004</v>
      </c>
      <c r="F90" s="8">
        <f>'Commission by tranche'!I621</f>
        <v>24670.000000000004</v>
      </c>
      <c r="G90" s="8">
        <f>'Commission by tranche'!I622</f>
        <v>6675.000000000001</v>
      </c>
      <c r="H90" s="8">
        <f>'Commission by tranche'!I623</f>
        <v>18400</v>
      </c>
      <c r="I90" s="8">
        <f>'Commission by tranche'!I624</f>
        <v>0</v>
      </c>
    </row>
    <row r="91">
      <c r="A91" s="0" t="inlineStr">
        <is>
          <t xml:space="preserve">Commission (tranches)</t>
        </is>
      </c>
      <c r="B91" s="0" t="inlineStr">
        <is>
          <t xml:space="preserve">Samuel Silva</t>
        </is>
      </c>
      <c r="C91" s="8">
        <f>'Commission by tranche'!I625</f>
        <v>5085.000000000001</v>
      </c>
      <c r="D91" s="8">
        <f>'Commission by tranche'!I626</f>
        <v>37459.99999999999</v>
      </c>
      <c r="E91" s="8">
        <f>'Commission by tranche'!I627</f>
        <v>16880</v>
      </c>
      <c r="F91" s="8">
        <f>'Commission by tranche'!I628</f>
        <v>46640</v>
      </c>
      <c r="G91" s="8">
        <f>'Commission by tranche'!I629</f>
        <v>17529.999999999996</v>
      </c>
      <c r="H91" s="8">
        <f>'Commission by tranche'!I630</f>
        <v>11760</v>
      </c>
      <c r="I91" s="8">
        <f>'Commission by tranche'!I631</f>
        <v>0</v>
      </c>
    </row>
    <row r="92">
      <c r="A92" s="0" t="inlineStr">
        <is>
          <t xml:space="preserve">Commission (tranches)</t>
        </is>
      </c>
      <c r="B92" s="0" t="inlineStr">
        <is>
          <t xml:space="preserve">Yuki Larsen</t>
        </is>
      </c>
      <c r="C92" s="8">
        <f>'Commission by tranche'!I632</f>
        <v>0</v>
      </c>
      <c r="D92" s="8">
        <f>'Commission by tranche'!I633</f>
        <v>16540.675</v>
      </c>
      <c r="E92" s="8">
        <f>'Commission by tranche'!I634</f>
        <v>0</v>
      </c>
      <c r="F92" s="8">
        <f>'Commission by tranche'!I635</f>
        <v>0</v>
      </c>
      <c r="G92" s="8">
        <f>'Commission by tranche'!I636</f>
        <v>22242.385000000002</v>
      </c>
      <c r="H92" s="8">
        <f>'Commission by tranche'!I637</f>
        <v>17841.065000000002</v>
      </c>
      <c r="I92" s="8">
        <f>'Commission by tranche'!I638</f>
        <v>0</v>
      </c>
    </row>
    <row r="93">
      <c r="A93" s="0" t="inlineStr">
        <is>
          <t xml:space="preserve">Commission (tranches)</t>
        </is>
      </c>
      <c r="B93" s="0" t="inlineStr">
        <is>
          <t xml:space="preserve">Nikolai Sato</t>
        </is>
      </c>
      <c r="C93" s="8">
        <f>'Commission by tranche'!I639</f>
        <v>10685.3475</v>
      </c>
      <c r="D93" s="8">
        <f>'Commission by tranche'!I640</f>
        <v>36339.47</v>
      </c>
      <c r="E93" s="8">
        <f>'Commission by tranche'!I641</f>
        <v>6891.3525</v>
      </c>
      <c r="F93" s="8">
        <f>'Commission by tranche'!I642</f>
        <v>9624.314999999999</v>
      </c>
      <c r="G93" s="8">
        <f>'Commission by tranche'!I643</f>
        <v>0</v>
      </c>
      <c r="H93" s="8">
        <f>'Commission by tranche'!I644</f>
        <v>11081.894999999999</v>
      </c>
      <c r="I93" s="8">
        <f>'Commission by tranche'!I645</f>
        <v>0</v>
      </c>
    </row>
    <row r="94">
      <c r="A94" s="0" t="inlineStr">
        <is>
          <t xml:space="preserve">Commission (tranches)</t>
        </is>
      </c>
      <c r="B94" s="0" t="inlineStr">
        <is>
          <t xml:space="preserve">Elena Silva</t>
        </is>
      </c>
      <c r="C94" s="8">
        <f>'Commission by tranche'!I646</f>
        <v>17816.76</v>
      </c>
      <c r="D94" s="8">
        <f>'Commission by tranche'!I647</f>
        <v>81715.14</v>
      </c>
      <c r="E94" s="8">
        <f>'Commission by tranche'!I648</f>
        <v>51085.71</v>
      </c>
      <c r="F94" s="8">
        <f>'Commission by tranche'!I649</f>
        <v>21711.884999999995</v>
      </c>
      <c r="G94" s="8">
        <f>'Commission by tranche'!I650</f>
        <v>33378.93</v>
      </c>
      <c r="H94" s="8">
        <f>'Commission by tranche'!I651</f>
        <v>35871.810000000005</v>
      </c>
      <c r="I94" s="8">
        <f>'Commission by tranche'!I652</f>
        <v>0</v>
      </c>
    </row>
    <row r="95">
      <c r="A95" s="0" t="inlineStr">
        <is>
          <t xml:space="preserve">Commission (tranches)</t>
        </is>
      </c>
      <c r="B95" s="0" t="inlineStr">
        <is>
          <t xml:space="preserve">Arjun Müller</t>
        </is>
      </c>
      <c r="C95" s="8">
        <f>'Commission by tranche'!I653</f>
        <v>3436.8749999999995</v>
      </c>
      <c r="D95" s="8">
        <f>'Commission by tranche'!I654</f>
        <v>10787.204999999998</v>
      </c>
      <c r="E95" s="8">
        <f>'Commission by tranche'!I655</f>
        <v>31151.834999999995</v>
      </c>
      <c r="F95" s="8">
        <f>'Commission by tranche'!I656</f>
        <v>0</v>
      </c>
      <c r="G95" s="8">
        <f>'Commission by tranche'!I657</f>
        <v>36714.99</v>
      </c>
      <c r="H95" s="8">
        <f>'Commission by tranche'!I658</f>
        <v>27412.514999999996</v>
      </c>
      <c r="I95" s="8">
        <f>'Commission by tranche'!I659</f>
        <v>0</v>
      </c>
    </row>
    <row r="96">
      <c r="A96" s="0" t="inlineStr">
        <is>
          <t xml:space="preserve">Commission (tranches)</t>
        </is>
      </c>
      <c r="B96" s="0" t="inlineStr">
        <is>
          <t xml:space="preserve">Nikolai Park</t>
        </is>
      </c>
      <c r="C96" s="4">
        <f>'Commission by tranche'!I660</f>
        <v>0</v>
      </c>
      <c r="D96" s="4">
        <f>'Commission by tranche'!I661</f>
        <v>0</v>
      </c>
      <c r="E96" s="4">
        <f>'Commission by tranche'!I662</f>
        <v>0</v>
      </c>
      <c r="F96" s="4">
        <f>'Commission by tranche'!I663</f>
        <v>0</v>
      </c>
      <c r="G96" s="4">
        <f>'Commission by tranche'!I664</f>
        <v>2125</v>
      </c>
      <c r="H96" s="4">
        <f>'Commission by tranche'!I665</f>
        <v>5700</v>
      </c>
      <c r="I96" s="4">
        <f>'Commission by tranche'!I666</f>
        <v>0</v>
      </c>
    </row>
    <row r="97">
      <c r="A97" s="0" t="inlineStr">
        <is>
          <t xml:space="preserve">Commission (tranches)</t>
        </is>
      </c>
      <c r="B97" s="0" t="inlineStr">
        <is>
          <t xml:space="preserve">Ingrid Dubois</t>
        </is>
      </c>
      <c r="C97" s="8">
        <f>'Commission by tranche'!I667</f>
        <v>0</v>
      </c>
      <c r="D97" s="8">
        <f>'Commission by tranche'!I668</f>
        <v>38225</v>
      </c>
      <c r="E97" s="8">
        <f>'Commission by tranche'!I669</f>
        <v>18775</v>
      </c>
      <c r="F97" s="8">
        <f>'Commission by tranche'!I670</f>
        <v>5793.75</v>
      </c>
      <c r="G97" s="8">
        <f>'Commission by tranche'!I671</f>
        <v>35525</v>
      </c>
      <c r="H97" s="8">
        <f>'Commission by tranche'!I672</f>
        <v>33950</v>
      </c>
      <c r="I97" s="8">
        <f>'Commission by tranche'!I673</f>
        <v>0</v>
      </c>
    </row>
    <row r="98">
      <c r="A98" s="0" t="inlineStr">
        <is>
          <t xml:space="preserve">New-logo kicker</t>
        </is>
      </c>
      <c r="B98" s="0" t="inlineStr">
        <is>
          <t xml:space="preserve">Noor Ortiz</t>
        </is>
      </c>
      <c r="C98" s="8">
        <f>('Rep quarterly'!C218*'Plan parameters'!B3)</f>
        <v>0</v>
      </c>
      <c r="D98" s="8">
        <f>('Rep quarterly'!D218*'Plan parameters'!B3)</f>
        <v>0</v>
      </c>
      <c r="E98" s="8">
        <f>('Rep quarterly'!E218*'Plan parameters'!B3)</f>
        <v>3018</v>
      </c>
      <c r="F98" s="8">
        <f>('Rep quarterly'!F218*'Plan parameters'!B3)</f>
        <v>7588.5</v>
      </c>
      <c r="G98" s="8">
        <f>('Rep quarterly'!G218*'Plan parameters'!B3)</f>
        <v>3142.5</v>
      </c>
      <c r="H98" s="8">
        <f>('Rep quarterly'!H218*'Plan parameters'!B3)</f>
        <v>927</v>
      </c>
      <c r="I98" s="8">
        <f>('Rep quarterly'!I218*'Plan parameters'!B3)</f>
        <v>0</v>
      </c>
    </row>
    <row r="99">
      <c r="A99" s="0" t="inlineStr">
        <is>
          <t xml:space="preserve">New-logo kicker</t>
        </is>
      </c>
      <c r="B99" s="0" t="inlineStr">
        <is>
          <t xml:space="preserve">Priya Yilmaz</t>
        </is>
      </c>
      <c r="C99" s="4">
        <f>('Rep quarterly'!C219*'Plan parameters'!B3)</f>
        <v>0</v>
      </c>
      <c r="D99" s="4">
        <f>('Rep quarterly'!D219*'Plan parameters'!B3)</f>
        <v>0</v>
      </c>
      <c r="E99" s="4">
        <f>('Rep quarterly'!E219*'Plan parameters'!B3)</f>
        <v>0</v>
      </c>
      <c r="F99" s="4">
        <f>('Rep quarterly'!F219*'Plan parameters'!B3)</f>
        <v>0</v>
      </c>
      <c r="G99" s="4">
        <f>('Rep quarterly'!G219*'Plan parameters'!B3)</f>
        <v>0</v>
      </c>
      <c r="H99" s="4">
        <f>('Rep quarterly'!H219*'Plan parameters'!B3)</f>
        <v>0</v>
      </c>
      <c r="I99" s="4">
        <f>('Rep quarterly'!I219*'Plan parameters'!B3)</f>
        <v>0</v>
      </c>
    </row>
    <row r="100">
      <c r="A100" s="0" t="inlineStr">
        <is>
          <t xml:space="preserve">New-logo kicker</t>
        </is>
      </c>
      <c r="B100" s="0" t="inlineStr">
        <is>
          <t xml:space="preserve">Marcus Schmidt</t>
        </is>
      </c>
      <c r="C100" s="8">
        <f>('Rep quarterly'!C220*'Plan parameters'!B3)</f>
        <v>0</v>
      </c>
      <c r="D100" s="8">
        <f>('Rep quarterly'!D220*'Plan parameters'!B3)</f>
        <v>1317</v>
      </c>
      <c r="E100" s="8">
        <f>('Rep quarterly'!E220*'Plan parameters'!B3)</f>
        <v>2649</v>
      </c>
      <c r="F100" s="8">
        <f>('Rep quarterly'!F220*'Plan parameters'!B3)</f>
        <v>3556.5</v>
      </c>
      <c r="G100" s="8">
        <f>('Rep quarterly'!G220*'Plan parameters'!B3)</f>
        <v>2254.5</v>
      </c>
      <c r="H100" s="8">
        <f>('Rep quarterly'!H220*'Plan parameters'!B3)</f>
        <v>1503</v>
      </c>
      <c r="I100" s="8">
        <f>('Rep quarterly'!I220*'Plan parameters'!B3)</f>
        <v>0</v>
      </c>
    </row>
    <row r="101">
      <c r="A101" s="0" t="inlineStr">
        <is>
          <t xml:space="preserve">New-logo kicker</t>
        </is>
      </c>
      <c r="B101" s="0" t="inlineStr">
        <is>
          <t xml:space="preserve">Amara Haddad</t>
        </is>
      </c>
      <c r="C101" s="8">
        <f>('Rep quarterly'!C221*'Plan parameters'!B3)</f>
        <v>2952</v>
      </c>
      <c r="D101" s="8">
        <f>('Rep quarterly'!D221*'Plan parameters'!B3)</f>
        <v>2781</v>
      </c>
      <c r="E101" s="8">
        <f>('Rep quarterly'!E221*'Plan parameters'!B3)</f>
        <v>1380</v>
      </c>
      <c r="F101" s="8">
        <f>('Rep quarterly'!F221*'Plan parameters'!B3)</f>
        <v>0</v>
      </c>
      <c r="G101" s="8">
        <f>('Rep quarterly'!G221*'Plan parameters'!B3)</f>
        <v>565.5</v>
      </c>
      <c r="H101" s="8">
        <f>('Rep quarterly'!H221*'Plan parameters'!B3)</f>
        <v>829.5</v>
      </c>
      <c r="I101" s="8">
        <f>('Rep quarterly'!I221*'Plan parameters'!B3)</f>
        <v>0</v>
      </c>
    </row>
    <row r="102">
      <c r="A102" s="0" t="inlineStr">
        <is>
          <t xml:space="preserve">New-logo kicker</t>
        </is>
      </c>
      <c r="B102" s="0" t="inlineStr">
        <is>
          <t xml:space="preserve">Fatima Silva</t>
        </is>
      </c>
      <c r="C102" s="8">
        <f>('Rep quarterly'!C222*'Plan parameters'!B3)</f>
        <v>1284</v>
      </c>
      <c r="D102" s="8">
        <f>('Rep quarterly'!D222*'Plan parameters'!B3)</f>
        <v>1368</v>
      </c>
      <c r="E102" s="8">
        <f>('Rep quarterly'!E222*'Plan parameters'!B3)</f>
        <v>1627.5</v>
      </c>
      <c r="F102" s="8">
        <f>('Rep quarterly'!F222*'Plan parameters'!B3)</f>
        <v>708</v>
      </c>
      <c r="G102" s="8">
        <f>('Rep quarterly'!G222*'Plan parameters'!B3)</f>
        <v>910.5</v>
      </c>
      <c r="H102" s="8">
        <f>('Rep quarterly'!H222*'Plan parameters'!B3)</f>
        <v>1218</v>
      </c>
      <c r="I102" s="8">
        <f>('Rep quarterly'!I222*'Plan parameters'!B3)</f>
        <v>0</v>
      </c>
    </row>
    <row r="103">
      <c r="A103" s="0" t="inlineStr">
        <is>
          <t xml:space="preserve">New-logo kicker</t>
        </is>
      </c>
      <c r="B103" s="0" t="inlineStr">
        <is>
          <t xml:space="preserve">Ana Ortiz</t>
        </is>
      </c>
      <c r="C103" s="8">
        <f>('Rep quarterly'!C223*'Plan parameters'!B3)</f>
        <v>213</v>
      </c>
      <c r="D103" s="8">
        <f>('Rep quarterly'!D223*'Plan parameters'!B3)</f>
        <v>936</v>
      </c>
      <c r="E103" s="8">
        <f>('Rep quarterly'!E223*'Plan parameters'!B3)</f>
        <v>306</v>
      </c>
      <c r="F103" s="8">
        <f>('Rep quarterly'!F223*'Plan parameters'!B3)</f>
        <v>723</v>
      </c>
      <c r="G103" s="8">
        <f>('Rep quarterly'!G223*'Plan parameters'!B3)</f>
        <v>1093.5</v>
      </c>
      <c r="H103" s="8">
        <f>('Rep quarterly'!H223*'Plan parameters'!B3)</f>
        <v>742.5</v>
      </c>
      <c r="I103" s="8">
        <f>('Rep quarterly'!I223*'Plan parameters'!B3)</f>
        <v>0</v>
      </c>
    </row>
    <row r="104">
      <c r="A104" s="0" t="inlineStr">
        <is>
          <t xml:space="preserve">New-logo kicker</t>
        </is>
      </c>
      <c r="B104" s="0" t="inlineStr">
        <is>
          <t xml:space="preserve">Tobias Silva</t>
        </is>
      </c>
      <c r="C104" s="8">
        <f>('Rep quarterly'!C224*'Plan parameters'!B3)</f>
        <v>0</v>
      </c>
      <c r="D104" s="8">
        <f>('Rep quarterly'!D224*'Plan parameters'!B3)</f>
        <v>2202</v>
      </c>
      <c r="E104" s="8">
        <f>('Rep quarterly'!E224*'Plan parameters'!B3)</f>
        <v>0</v>
      </c>
      <c r="F104" s="8">
        <f>('Rep quarterly'!F224*'Plan parameters'!B3)</f>
        <v>21184.5</v>
      </c>
      <c r="G104" s="8">
        <f>('Rep quarterly'!G224*'Plan parameters'!B3)</f>
        <v>795</v>
      </c>
      <c r="H104" s="8">
        <f>('Rep quarterly'!H224*'Plan parameters'!B3)</f>
        <v>7444.5</v>
      </c>
      <c r="I104" s="8">
        <f>('Rep quarterly'!I224*'Plan parameters'!B3)</f>
        <v>0</v>
      </c>
    </row>
    <row r="105">
      <c r="A105" s="0" t="inlineStr">
        <is>
          <t xml:space="preserve">New-logo kicker</t>
        </is>
      </c>
      <c r="B105" s="0" t="inlineStr">
        <is>
          <t xml:space="preserve">Leila Osei</t>
        </is>
      </c>
      <c r="C105" s="8">
        <f>('Rep quarterly'!C225*'Plan parameters'!B3)</f>
        <v>0</v>
      </c>
      <c r="D105" s="8">
        <f>('Rep quarterly'!D225*'Plan parameters'!B3)</f>
        <v>0</v>
      </c>
      <c r="E105" s="8">
        <f>('Rep quarterly'!E225*'Plan parameters'!B3)</f>
        <v>0</v>
      </c>
      <c r="F105" s="8">
        <f>('Rep quarterly'!F225*'Plan parameters'!B3)</f>
        <v>0</v>
      </c>
      <c r="G105" s="8">
        <f>('Rep quarterly'!G225*'Plan parameters'!B3)</f>
        <v>3750</v>
      </c>
      <c r="H105" s="8">
        <f>('Rep quarterly'!H225*'Plan parameters'!B3)</f>
        <v>8569.5</v>
      </c>
      <c r="I105" s="8">
        <f>('Rep quarterly'!I225*'Plan parameters'!B3)</f>
        <v>0</v>
      </c>
    </row>
    <row r="106">
      <c r="A106" s="0" t="inlineStr">
        <is>
          <t xml:space="preserve">New-logo kicker</t>
        </is>
      </c>
      <c r="B106" s="0" t="inlineStr">
        <is>
          <t xml:space="preserve">Grace Costa</t>
        </is>
      </c>
      <c r="C106" s="8">
        <f>('Rep quarterly'!C226*'Plan parameters'!B3)</f>
        <v>787.5</v>
      </c>
      <c r="D106" s="8">
        <f>('Rep quarterly'!D226*'Plan parameters'!B3)</f>
        <v>1504.5</v>
      </c>
      <c r="E106" s="8">
        <f>('Rep quarterly'!E226*'Plan parameters'!B3)</f>
        <v>4983</v>
      </c>
      <c r="F106" s="8">
        <f>('Rep quarterly'!F226*'Plan parameters'!B3)</f>
        <v>4165.5</v>
      </c>
      <c r="G106" s="8">
        <f>('Rep quarterly'!G226*'Plan parameters'!B3)</f>
        <v>8674.5</v>
      </c>
      <c r="H106" s="8">
        <f>('Rep quarterly'!H226*'Plan parameters'!B3)</f>
        <v>5023.5</v>
      </c>
      <c r="I106" s="8">
        <f>('Rep quarterly'!I226*'Plan parameters'!B3)</f>
        <v>0</v>
      </c>
    </row>
    <row r="107">
      <c r="A107" s="0" t="inlineStr">
        <is>
          <t xml:space="preserve">New-logo kicker</t>
        </is>
      </c>
      <c r="B107" s="0" t="inlineStr">
        <is>
          <t xml:space="preserve">Ingrid Müller</t>
        </is>
      </c>
      <c r="C107" s="8">
        <f>('Rep quarterly'!C227*'Plan parameters'!B3)</f>
        <v>0</v>
      </c>
      <c r="D107" s="8">
        <f>('Rep quarterly'!D227*'Plan parameters'!B3)</f>
        <v>0</v>
      </c>
      <c r="E107" s="8">
        <f>('Rep quarterly'!E227*'Plan parameters'!B3)</f>
        <v>0</v>
      </c>
      <c r="F107" s="8">
        <f>('Rep quarterly'!F227*'Plan parameters'!B3)</f>
        <v>0</v>
      </c>
      <c r="G107" s="8">
        <f>('Rep quarterly'!G227*'Plan parameters'!B3)</f>
        <v>2200.5</v>
      </c>
      <c r="H107" s="8">
        <f>('Rep quarterly'!H227*'Plan parameters'!B3)</f>
        <v>3259.5</v>
      </c>
      <c r="I107" s="8">
        <f>('Rep quarterly'!I227*'Plan parameters'!B3)</f>
        <v>0</v>
      </c>
    </row>
    <row r="108">
      <c r="A108" s="0" t="inlineStr">
        <is>
          <t xml:space="preserve">New-logo kicker</t>
        </is>
      </c>
      <c r="B108" s="0" t="inlineStr">
        <is>
          <t xml:space="preserve">Ingrid Kim</t>
        </is>
      </c>
      <c r="C108" s="8">
        <f>('Rep quarterly'!C228*'Plan parameters'!B3)</f>
        <v>955.5</v>
      </c>
      <c r="D108" s="8">
        <f>('Rep quarterly'!D228*'Plan parameters'!B3)</f>
        <v>1006.5</v>
      </c>
      <c r="E108" s="8">
        <f>('Rep quarterly'!E228*'Plan parameters'!B3)</f>
        <v>1809</v>
      </c>
      <c r="F108" s="8">
        <f>('Rep quarterly'!F228*'Plan parameters'!B3)</f>
        <v>793.5</v>
      </c>
      <c r="G108" s="8">
        <f>('Rep quarterly'!G228*'Plan parameters'!B3)</f>
        <v>307.5</v>
      </c>
      <c r="H108" s="8">
        <f>('Rep quarterly'!H228*'Plan parameters'!B3)</f>
        <v>1170</v>
      </c>
      <c r="I108" s="8">
        <f>('Rep quarterly'!I228*'Plan parameters'!B3)</f>
        <v>0</v>
      </c>
    </row>
    <row r="109">
      <c r="A109" s="0" t="inlineStr">
        <is>
          <t xml:space="preserve">New-logo kicker</t>
        </is>
      </c>
      <c r="B109" s="0" t="inlineStr">
        <is>
          <t xml:space="preserve">Priya Nair</t>
        </is>
      </c>
      <c r="C109" s="8">
        <f>('Rep quarterly'!C229*'Plan parameters'!B3)</f>
        <v>729</v>
      </c>
      <c r="D109" s="8">
        <f>('Rep quarterly'!D229*'Plan parameters'!B3)</f>
        <v>1315.5</v>
      </c>
      <c r="E109" s="8">
        <f>('Rep quarterly'!E229*'Plan parameters'!B3)</f>
        <v>1597.5</v>
      </c>
      <c r="F109" s="8">
        <f>('Rep quarterly'!F229*'Plan parameters'!B3)</f>
        <v>1039.5</v>
      </c>
      <c r="G109" s="8">
        <f>('Rep quarterly'!G229*'Plan parameters'!B3)</f>
        <v>1143</v>
      </c>
      <c r="H109" s="8">
        <f>('Rep quarterly'!H229*'Plan parameters'!B3)</f>
        <v>477</v>
      </c>
      <c r="I109" s="8">
        <f>('Rep quarterly'!I229*'Plan parameters'!B3)</f>
        <v>0</v>
      </c>
    </row>
    <row r="110">
      <c r="A110" s="0" t="inlineStr">
        <is>
          <t xml:space="preserve">New-logo kicker</t>
        </is>
      </c>
      <c r="B110" s="0" t="inlineStr">
        <is>
          <t xml:space="preserve">Hugo Lindqvist</t>
        </is>
      </c>
      <c r="C110" s="8">
        <f>('Rep quarterly'!C230*'Plan parameters'!B3)</f>
        <v>3687</v>
      </c>
      <c r="D110" s="8">
        <f>('Rep quarterly'!D230*'Plan parameters'!B3)</f>
        <v>9031.5</v>
      </c>
      <c r="E110" s="8">
        <f>('Rep quarterly'!E230*'Plan parameters'!B3)</f>
        <v>3118.5</v>
      </c>
      <c r="F110" s="8">
        <f>('Rep quarterly'!F230*'Plan parameters'!B3)</f>
        <v>8149.5</v>
      </c>
      <c r="G110" s="8">
        <f>('Rep quarterly'!G230*'Plan parameters'!B3)</f>
        <v>5233.5</v>
      </c>
      <c r="H110" s="8">
        <f>('Rep quarterly'!H230*'Plan parameters'!B3)</f>
        <v>5649</v>
      </c>
      <c r="I110" s="8">
        <f>('Rep quarterly'!I230*'Plan parameters'!B3)</f>
        <v>0</v>
      </c>
    </row>
    <row r="111">
      <c r="A111" s="0" t="inlineStr">
        <is>
          <t xml:space="preserve">New-logo kicker</t>
        </is>
      </c>
      <c r="B111" s="0" t="inlineStr">
        <is>
          <t xml:space="preserve">Wei Novak</t>
        </is>
      </c>
      <c r="C111" s="8">
        <f>('Rep quarterly'!C231*'Plan parameters'!B3)</f>
        <v>0</v>
      </c>
      <c r="D111" s="8">
        <f>('Rep quarterly'!D231*'Plan parameters'!B3)</f>
        <v>0</v>
      </c>
      <c r="E111" s="8">
        <f>('Rep quarterly'!E231*'Plan parameters'!B3)</f>
        <v>0</v>
      </c>
      <c r="F111" s="8">
        <f>('Rep quarterly'!F231*'Plan parameters'!B3)</f>
        <v>0</v>
      </c>
      <c r="G111" s="8">
        <f>('Rep quarterly'!G231*'Plan parameters'!B3)</f>
        <v>0</v>
      </c>
      <c r="H111" s="8">
        <f>('Rep quarterly'!H231*'Plan parameters'!B3)</f>
        <v>1393.5</v>
      </c>
      <c r="I111" s="8">
        <f>('Rep quarterly'!I231*'Plan parameters'!B3)</f>
        <v>0</v>
      </c>
    </row>
    <row r="112">
      <c r="A112" s="0" t="inlineStr">
        <is>
          <t xml:space="preserve">New-logo kicker</t>
        </is>
      </c>
      <c r="B112" s="0" t="inlineStr">
        <is>
          <t xml:space="preserve">Nikolai Kim</t>
        </is>
      </c>
      <c r="C112" s="4">
        <f>('Rep quarterly'!C232*'Plan parameters'!B3)</f>
        <v>3174</v>
      </c>
      <c r="D112" s="4">
        <f>('Rep quarterly'!D232*'Plan parameters'!B3)</f>
        <v>3855</v>
      </c>
      <c r="E112" s="4">
        <f>('Rep quarterly'!E232*'Plan parameters'!B3)</f>
        <v>2634</v>
      </c>
      <c r="F112" s="4">
        <f>('Rep quarterly'!F232*'Plan parameters'!B3)</f>
        <v>1383</v>
      </c>
      <c r="G112" s="4">
        <f>('Rep quarterly'!G232*'Plan parameters'!B3)</f>
        <v>2163</v>
      </c>
      <c r="H112" s="4">
        <f>('Rep quarterly'!H232*'Plan parameters'!B3)</f>
        <v>1323</v>
      </c>
      <c r="I112" s="4">
        <f>('Rep quarterly'!I232*'Plan parameters'!B3)</f>
        <v>0</v>
      </c>
    </row>
    <row r="113">
      <c r="A113" s="0" t="inlineStr">
        <is>
          <t xml:space="preserve">New-logo kicker</t>
        </is>
      </c>
      <c r="B113" s="0" t="inlineStr">
        <is>
          <t xml:space="preserve">Wei Nair</t>
        </is>
      </c>
      <c r="C113" s="8">
        <f>('Rep quarterly'!C233*'Plan parameters'!B3)</f>
        <v>1509</v>
      </c>
      <c r="D113" s="8">
        <f>('Rep quarterly'!D233*'Plan parameters'!B3)</f>
        <v>1045.5</v>
      </c>
      <c r="E113" s="8">
        <f>('Rep quarterly'!E233*'Plan parameters'!B3)</f>
        <v>2221.5</v>
      </c>
      <c r="F113" s="8">
        <f>('Rep quarterly'!F233*'Plan parameters'!B3)</f>
        <v>1762.5</v>
      </c>
      <c r="G113" s="8">
        <f>('Rep quarterly'!G233*'Plan parameters'!B3)</f>
        <v>811.5</v>
      </c>
      <c r="H113" s="8">
        <f>('Rep quarterly'!H233*'Plan parameters'!B3)</f>
        <v>1614</v>
      </c>
      <c r="I113" s="8">
        <f>('Rep quarterly'!I233*'Plan parameters'!B3)</f>
        <v>0</v>
      </c>
    </row>
    <row r="114">
      <c r="A114" s="0" t="inlineStr">
        <is>
          <t xml:space="preserve">New-logo kicker</t>
        </is>
      </c>
      <c r="B114" s="0" t="inlineStr">
        <is>
          <t xml:space="preserve">Liam Silva</t>
        </is>
      </c>
      <c r="C114" s="8">
        <f>('Rep quarterly'!C234*'Plan parameters'!B3)</f>
        <v>0</v>
      </c>
      <c r="D114" s="8">
        <f>('Rep quarterly'!D234*'Plan parameters'!B3)</f>
        <v>916.5</v>
      </c>
      <c r="E114" s="8">
        <f>('Rep quarterly'!E234*'Plan parameters'!B3)</f>
        <v>1131</v>
      </c>
      <c r="F114" s="8">
        <f>('Rep quarterly'!F234*'Plan parameters'!B3)</f>
        <v>1629</v>
      </c>
      <c r="G114" s="8">
        <f>('Rep quarterly'!G234*'Plan parameters'!B3)</f>
        <v>537</v>
      </c>
      <c r="H114" s="8">
        <f>('Rep quarterly'!H234*'Plan parameters'!B3)</f>
        <v>1342.5</v>
      </c>
      <c r="I114" s="8">
        <f>('Rep quarterly'!I234*'Plan parameters'!B3)</f>
        <v>0</v>
      </c>
    </row>
    <row r="115">
      <c r="A115" s="0" t="inlineStr">
        <is>
          <t xml:space="preserve">New-logo kicker</t>
        </is>
      </c>
      <c r="B115" s="0" t="inlineStr">
        <is>
          <t xml:space="preserve">Samuel Silva</t>
        </is>
      </c>
      <c r="C115" s="8">
        <f>('Rep quarterly'!C235*'Plan parameters'!B3)</f>
        <v>255</v>
      </c>
      <c r="D115" s="8">
        <f>('Rep quarterly'!D235*'Plan parameters'!B3)</f>
        <v>2161.5</v>
      </c>
      <c r="E115" s="8">
        <f>('Rep quarterly'!E235*'Plan parameters'!B3)</f>
        <v>1416</v>
      </c>
      <c r="F115" s="8">
        <f>('Rep quarterly'!F235*'Plan parameters'!B3)</f>
        <v>2077.5</v>
      </c>
      <c r="G115" s="8">
        <f>('Rep quarterly'!G235*'Plan parameters'!B3)</f>
        <v>1374</v>
      </c>
      <c r="H115" s="8">
        <f>('Rep quarterly'!H235*'Plan parameters'!B3)</f>
        <v>889.5</v>
      </c>
      <c r="I115" s="8">
        <f>('Rep quarterly'!I235*'Plan parameters'!B3)</f>
        <v>0</v>
      </c>
    </row>
    <row r="116">
      <c r="A116" s="0" t="inlineStr">
        <is>
          <t xml:space="preserve">New-logo kicker</t>
        </is>
      </c>
      <c r="B116" s="0" t="inlineStr">
        <is>
          <t xml:space="preserve">Yuki Larsen</t>
        </is>
      </c>
      <c r="C116" s="4">
        <f>('Rep quarterly'!C236*'Plan parameters'!B3)</f>
        <v>0</v>
      </c>
      <c r="D116" s="4">
        <f>('Rep quarterly'!D236*'Plan parameters'!B3)</f>
        <v>1230</v>
      </c>
      <c r="E116" s="4">
        <f>('Rep quarterly'!E236*'Plan parameters'!B3)</f>
        <v>0</v>
      </c>
      <c r="F116" s="4">
        <f>('Rep quarterly'!F236*'Plan parameters'!B3)</f>
        <v>0</v>
      </c>
      <c r="G116" s="4">
        <f>('Rep quarterly'!G236*'Plan parameters'!B3)</f>
        <v>2826</v>
      </c>
      <c r="H116" s="4">
        <f>('Rep quarterly'!H236*'Plan parameters'!B3)</f>
        <v>2364</v>
      </c>
      <c r="I116" s="4">
        <f>('Rep quarterly'!I236*'Plan parameters'!B3)</f>
        <v>0</v>
      </c>
    </row>
    <row r="117">
      <c r="A117" s="0" t="inlineStr">
        <is>
          <t xml:space="preserve">New-logo kicker</t>
        </is>
      </c>
      <c r="B117" s="0" t="inlineStr">
        <is>
          <t xml:space="preserve">Nikolai Sato</t>
        </is>
      </c>
      <c r="C117" s="8">
        <f>('Rep quarterly'!C237*'Plan parameters'!B3)</f>
        <v>1495.5</v>
      </c>
      <c r="D117" s="8">
        <f>('Rep quarterly'!D237*'Plan parameters'!B3)</f>
        <v>2085</v>
      </c>
      <c r="E117" s="8">
        <f>('Rep quarterly'!E237*'Plan parameters'!B3)</f>
        <v>0</v>
      </c>
      <c r="F117" s="8">
        <f>('Rep quarterly'!F237*'Plan parameters'!B3)</f>
        <v>0</v>
      </c>
      <c r="G117" s="8">
        <f>('Rep quarterly'!G237*'Plan parameters'!B3)</f>
        <v>0</v>
      </c>
      <c r="H117" s="8">
        <f>('Rep quarterly'!H237*'Plan parameters'!B3)</f>
        <v>1551</v>
      </c>
      <c r="I117" s="8">
        <f>('Rep quarterly'!I237*'Plan parameters'!B3)</f>
        <v>0</v>
      </c>
    </row>
    <row r="118">
      <c r="A118" s="0" t="inlineStr">
        <is>
          <t xml:space="preserve">New-logo kicker</t>
        </is>
      </c>
      <c r="B118" s="0" t="inlineStr">
        <is>
          <t xml:space="preserve">Elena Silva</t>
        </is>
      </c>
      <c r="C118" s="8">
        <f>('Rep quarterly'!C238*'Plan parameters'!B3)</f>
        <v>429</v>
      </c>
      <c r="D118" s="8">
        <f>('Rep quarterly'!D238*'Plan parameters'!B3)</f>
        <v>4291.5</v>
      </c>
      <c r="E118" s="8">
        <f>('Rep quarterly'!E238*'Plan parameters'!B3)</f>
        <v>3261</v>
      </c>
      <c r="F118" s="8">
        <f>('Rep quarterly'!F238*'Plan parameters'!B3)</f>
        <v>1528.5</v>
      </c>
      <c r="G118" s="8">
        <f>('Rep quarterly'!G238*'Plan parameters'!B3)</f>
        <v>2632.5</v>
      </c>
      <c r="H118" s="8">
        <f>('Rep quarterly'!H238*'Plan parameters'!B3)</f>
        <v>1675.5</v>
      </c>
      <c r="I118" s="8">
        <f>('Rep quarterly'!I238*'Plan parameters'!B3)</f>
        <v>0</v>
      </c>
    </row>
    <row r="119">
      <c r="A119" s="0" t="inlineStr">
        <is>
          <t xml:space="preserve">New-logo kicker</t>
        </is>
      </c>
      <c r="B119" s="0" t="inlineStr">
        <is>
          <t xml:space="preserve">Arjun Müller</t>
        </is>
      </c>
      <c r="C119" s="8">
        <f>('Rep quarterly'!C239*'Plan parameters'!B3)</f>
        <v>0</v>
      </c>
      <c r="D119" s="8">
        <f>('Rep quarterly'!D239*'Plan parameters'!B3)</f>
        <v>1059</v>
      </c>
      <c r="E119" s="8">
        <f>('Rep quarterly'!E239*'Plan parameters'!B3)</f>
        <v>2280</v>
      </c>
      <c r="F119" s="8">
        <f>('Rep quarterly'!F239*'Plan parameters'!B3)</f>
        <v>0</v>
      </c>
      <c r="G119" s="8">
        <f>('Rep quarterly'!G239*'Plan parameters'!B3)</f>
        <v>1021.5</v>
      </c>
      <c r="H119" s="8">
        <f>('Rep quarterly'!H239*'Plan parameters'!B3)</f>
        <v>1120.5</v>
      </c>
      <c r="I119" s="8">
        <f>('Rep quarterly'!I239*'Plan parameters'!B3)</f>
        <v>0</v>
      </c>
    </row>
    <row r="120">
      <c r="A120" s="0" t="inlineStr">
        <is>
          <t xml:space="preserve">New-logo kicker</t>
        </is>
      </c>
      <c r="B120" s="0" t="inlineStr">
        <is>
          <t xml:space="preserve">Nikolai Park</t>
        </is>
      </c>
      <c r="C120" s="4">
        <f>('Rep quarterly'!C240*'Plan parameters'!B3)</f>
        <v>0</v>
      </c>
      <c r="D120" s="4">
        <f>('Rep quarterly'!D240*'Plan parameters'!B3)</f>
        <v>0</v>
      </c>
      <c r="E120" s="4">
        <f>('Rep quarterly'!E240*'Plan parameters'!B3)</f>
        <v>0</v>
      </c>
      <c r="F120" s="4">
        <f>('Rep quarterly'!F240*'Plan parameters'!B3)</f>
        <v>0</v>
      </c>
      <c r="G120" s="4">
        <f>('Rep quarterly'!G240*'Plan parameters'!B3)</f>
        <v>165</v>
      </c>
      <c r="H120" s="4">
        <f>('Rep quarterly'!H240*'Plan parameters'!B3)</f>
        <v>417</v>
      </c>
      <c r="I120" s="4">
        <f>('Rep quarterly'!I240*'Plan parameters'!B3)</f>
        <v>0</v>
      </c>
    </row>
    <row r="121">
      <c r="A121" s="0" t="inlineStr">
        <is>
          <t xml:space="preserve">New-logo kicker</t>
        </is>
      </c>
      <c r="B121" s="0" t="inlineStr">
        <is>
          <t xml:space="preserve">Ingrid Dubois</t>
        </is>
      </c>
      <c r="C121" s="8">
        <f>('Rep quarterly'!C241*'Plan parameters'!B3)</f>
        <v>0</v>
      </c>
      <c r="D121" s="8">
        <f>('Rep quarterly'!D241*'Plan parameters'!B3)</f>
        <v>1590</v>
      </c>
      <c r="E121" s="8">
        <f>('Rep quarterly'!E241*'Plan parameters'!B3)</f>
        <v>1194</v>
      </c>
      <c r="F121" s="8">
        <f>('Rep quarterly'!F241*'Plan parameters'!B3)</f>
        <v>358.5</v>
      </c>
      <c r="G121" s="8">
        <f>('Rep quarterly'!G241*'Plan parameters'!B3)</f>
        <v>1291.5</v>
      </c>
      <c r="H121" s="8">
        <f>('Rep quarterly'!H241*'Plan parameters'!B3)</f>
        <v>1570.5</v>
      </c>
      <c r="I121" s="8">
        <f>('Rep quarterly'!I241*'Plan parameters'!B3)</f>
        <v>0</v>
      </c>
    </row>
    <row r="122">
      <c r="A122" s="0" t="inlineStr">
        <is>
          <t xml:space="preserve">Extra contracted years × ACV</t>
        </is>
      </c>
      <c r="B122" s="0" t="inlineStr">
        <is>
          <t xml:space="preserve">Noor Ortiz</t>
        </is>
      </c>
      <c r="C122" s="4">
        <f>SUMIFS('Opportunities'!$U$2:$U$1775,'Opportunities'!$C$2:$C$1775,"=r01",'Opportunities'!$P$2:$P$1775,"=1",'Opportunities'!$X$2:$X$1775,"=q2_2025")</f>
        <v>0</v>
      </c>
      <c r="D122" s="4">
        <f>SUMIFS('Opportunities'!$U$2:$U$1775,'Opportunities'!$C$2:$C$1775,"=r01",'Opportunities'!$P$2:$P$1775,"=1",'Opportunities'!$X$2:$X$1775,"=q3_2025")</f>
        <v>0</v>
      </c>
      <c r="E122" s="4">
        <f>SUMIFS('Opportunities'!$U$2:$U$1775,'Opportunities'!$C$2:$C$1775,"=r01",'Opportunities'!$P$2:$P$1775,"=1",'Opportunities'!$X$2:$X$1775,"=q4_2025")</f>
        <v>308100</v>
      </c>
      <c r="F122" s="4">
        <f>SUMIFS('Opportunities'!$U$2:$U$1775,'Opportunities'!$C$2:$C$1775,"=r01",'Opportunities'!$P$2:$P$1775,"=1",'Opportunities'!$X$2:$X$1775,"=q1_2026")</f>
        <v>846000</v>
      </c>
      <c r="G122" s="4">
        <f>SUMIFS('Opportunities'!$U$2:$U$1775,'Opportunities'!$C$2:$C$1775,"=r01",'Opportunities'!$P$2:$P$1775,"=1",'Opportunities'!$X$2:$X$1775,"=q2_2026")</f>
        <v>543500</v>
      </c>
      <c r="H122" s="4">
        <f>SUMIFS('Opportunities'!$U$2:$U$1775,'Opportunities'!$C$2:$C$1775,"=r01",'Opportunities'!$P$2:$P$1775,"=1",'Opportunities'!$X$2:$X$1775,"=q3_2026")</f>
        <v>76800</v>
      </c>
      <c r="I122" s="4">
        <f>SUMIFS('Opportunities'!$U$2:$U$1775,'Opportunities'!$C$2:$C$1775,"=r01",'Opportunities'!$P$2:$P$1775,"=1",'Opportunities'!$X$2:$X$1775,"=q4_2026")</f>
        <v>0</v>
      </c>
    </row>
    <row r="123">
      <c r="A123" s="0" t="inlineStr">
        <is>
          <t xml:space="preserve">Extra contracted years × ACV</t>
        </is>
      </c>
      <c r="B123" s="0" t="inlineStr">
        <is>
          <t xml:space="preserve">Priya Yilmaz</t>
        </is>
      </c>
      <c r="C123" s="4">
        <f>SUMIFS('Opportunities'!$U$2:$U$1775,'Opportunities'!$C$2:$C$1775,"=r02",'Opportunities'!$P$2:$P$1775,"=1",'Opportunities'!$X$2:$X$1775,"=q2_2025")</f>
        <v>0</v>
      </c>
      <c r="D123" s="4">
        <f>SUMIFS('Opportunities'!$U$2:$U$1775,'Opportunities'!$C$2:$C$1775,"=r02",'Opportunities'!$P$2:$P$1775,"=1",'Opportunities'!$X$2:$X$1775,"=q3_2025")</f>
        <v>0</v>
      </c>
      <c r="E123" s="4">
        <f>SUMIFS('Opportunities'!$U$2:$U$1775,'Opportunities'!$C$2:$C$1775,"=r02",'Opportunities'!$P$2:$P$1775,"=1",'Opportunities'!$X$2:$X$1775,"=q4_2025")</f>
        <v>0</v>
      </c>
      <c r="F123" s="4">
        <f>SUMIFS('Opportunities'!$U$2:$U$1775,'Opportunities'!$C$2:$C$1775,"=r02",'Opportunities'!$P$2:$P$1775,"=1",'Opportunities'!$X$2:$X$1775,"=q1_2026")</f>
        <v>0</v>
      </c>
      <c r="G123" s="4">
        <f>SUMIFS('Opportunities'!$U$2:$U$1775,'Opportunities'!$C$2:$C$1775,"=r02",'Opportunities'!$P$2:$P$1775,"=1",'Opportunities'!$X$2:$X$1775,"=q2_2026")</f>
        <v>0</v>
      </c>
      <c r="H123" s="4">
        <f>SUMIFS('Opportunities'!$U$2:$U$1775,'Opportunities'!$C$2:$C$1775,"=r02",'Opportunities'!$P$2:$P$1775,"=1",'Opportunities'!$X$2:$X$1775,"=q3_2026")</f>
        <v>0</v>
      </c>
      <c r="I123" s="4">
        <f>SUMIFS('Opportunities'!$U$2:$U$1775,'Opportunities'!$C$2:$C$1775,"=r02",'Opportunities'!$P$2:$P$1775,"=1",'Opportunities'!$X$2:$X$1775,"=q4_2026")</f>
        <v>0</v>
      </c>
    </row>
    <row r="124">
      <c r="A124" s="0" t="inlineStr">
        <is>
          <t xml:space="preserve">Extra contracted years × ACV</t>
        </is>
      </c>
      <c r="B124" s="0" t="inlineStr">
        <is>
          <t xml:space="preserve">Marcus Schmidt</t>
        </is>
      </c>
      <c r="C124" s="4">
        <f>SUMIFS('Opportunities'!$U$2:$U$1775,'Opportunities'!$C$2:$C$1775,"=r03",'Opportunities'!$P$2:$P$1775,"=1",'Opportunities'!$X$2:$X$1775,"=q2_2025")</f>
        <v>0</v>
      </c>
      <c r="D124" s="4">
        <f>SUMIFS('Opportunities'!$U$2:$U$1775,'Opportunities'!$C$2:$C$1775,"=r03",'Opportunities'!$P$2:$P$1775,"=1",'Opportunities'!$X$2:$X$1775,"=q3_2025")</f>
        <v>0</v>
      </c>
      <c r="E124" s="4">
        <f>SUMIFS('Opportunities'!$U$2:$U$1775,'Opportunities'!$C$2:$C$1775,"=r03",'Opportunities'!$P$2:$P$1775,"=1",'Opportunities'!$X$2:$X$1775,"=q4_2025")</f>
        <v>0</v>
      </c>
      <c r="F124" s="4">
        <f>SUMIFS('Opportunities'!$U$2:$U$1775,'Opportunities'!$C$2:$C$1775,"=r03",'Opportunities'!$P$2:$P$1775,"=1",'Opportunities'!$X$2:$X$1775,"=q1_2026")</f>
        <v>182000</v>
      </c>
      <c r="G124" s="4">
        <f>SUMIFS('Opportunities'!$U$2:$U$1775,'Opportunities'!$C$2:$C$1775,"=r03",'Opportunities'!$P$2:$P$1775,"=1",'Opportunities'!$X$2:$X$1775,"=q2_2026")</f>
        <v>86200</v>
      </c>
      <c r="H124" s="4">
        <f>SUMIFS('Opportunities'!$U$2:$U$1775,'Opportunities'!$C$2:$C$1775,"=r03",'Opportunities'!$P$2:$P$1775,"=1",'Opportunities'!$X$2:$X$1775,"=q3_2026")</f>
        <v>0</v>
      </c>
      <c r="I124" s="4">
        <f>SUMIFS('Opportunities'!$U$2:$U$1775,'Opportunities'!$C$2:$C$1775,"=r03",'Opportunities'!$P$2:$P$1775,"=1",'Opportunities'!$X$2:$X$1775,"=q4_2026")</f>
        <v>0</v>
      </c>
    </row>
    <row r="125">
      <c r="A125" s="0" t="inlineStr">
        <is>
          <t xml:space="preserve">Extra contracted years × ACV</t>
        </is>
      </c>
      <c r="B125" s="0" t="inlineStr">
        <is>
          <t xml:space="preserve">Amara Haddad</t>
        </is>
      </c>
      <c r="C125" s="4">
        <f>SUMIFS('Opportunities'!$U$2:$U$1775,'Opportunities'!$C$2:$C$1775,"=r04",'Opportunities'!$P$2:$P$1775,"=1",'Opportunities'!$X$2:$X$1775,"=q2_2025")</f>
        <v>44800</v>
      </c>
      <c r="D125" s="4">
        <f>SUMIFS('Opportunities'!$U$2:$U$1775,'Opportunities'!$C$2:$C$1775,"=r04",'Opportunities'!$P$2:$P$1775,"=1",'Opportunities'!$X$2:$X$1775,"=q3_2025")</f>
        <v>32700</v>
      </c>
      <c r="E125" s="4">
        <f>SUMIFS('Opportunities'!$U$2:$U$1775,'Opportunities'!$C$2:$C$1775,"=r04",'Opportunities'!$P$2:$P$1775,"=1",'Opportunities'!$X$2:$X$1775,"=q4_2025")</f>
        <v>12300</v>
      </c>
      <c r="F125" s="4">
        <f>SUMIFS('Opportunities'!$U$2:$U$1775,'Opportunities'!$C$2:$C$1775,"=r04",'Opportunities'!$P$2:$P$1775,"=1",'Opportunities'!$X$2:$X$1775,"=q1_2026")</f>
        <v>50400</v>
      </c>
      <c r="G125" s="4">
        <f>SUMIFS('Opportunities'!$U$2:$U$1775,'Opportunities'!$C$2:$C$1775,"=r04",'Opportunities'!$P$2:$P$1775,"=1",'Opportunities'!$X$2:$X$1775,"=q2_2026")</f>
        <v>0</v>
      </c>
      <c r="H125" s="4">
        <f>SUMIFS('Opportunities'!$U$2:$U$1775,'Opportunities'!$C$2:$C$1775,"=r04",'Opportunities'!$P$2:$P$1775,"=1",'Opportunities'!$X$2:$X$1775,"=q3_2026")</f>
        <v>0</v>
      </c>
      <c r="I125" s="4">
        <f>SUMIFS('Opportunities'!$U$2:$U$1775,'Opportunities'!$C$2:$C$1775,"=r04",'Opportunities'!$P$2:$P$1775,"=1",'Opportunities'!$X$2:$X$1775,"=q4_2026")</f>
        <v>0</v>
      </c>
    </row>
    <row r="126">
      <c r="A126" s="0" t="inlineStr">
        <is>
          <t xml:space="preserve">Extra contracted years × ACV</t>
        </is>
      </c>
      <c r="B126" s="0" t="inlineStr">
        <is>
          <t xml:space="preserve">Fatima Silva</t>
        </is>
      </c>
      <c r="C126" s="4">
        <f>SUMIFS('Opportunities'!$U$2:$U$1775,'Opportunities'!$C$2:$C$1775,"=r05",'Opportunities'!$P$2:$P$1775,"=1",'Opportunities'!$X$2:$X$1775,"=q2_2025")</f>
        <v>32800</v>
      </c>
      <c r="D126" s="4">
        <f>SUMIFS('Opportunities'!$U$2:$U$1775,'Opportunities'!$C$2:$C$1775,"=r05",'Opportunities'!$P$2:$P$1775,"=1",'Opportunities'!$X$2:$X$1775,"=q3_2025")</f>
        <v>0</v>
      </c>
      <c r="E126" s="4">
        <f>SUMIFS('Opportunities'!$U$2:$U$1775,'Opportunities'!$C$2:$C$1775,"=r05",'Opportunities'!$P$2:$P$1775,"=1",'Opportunities'!$X$2:$X$1775,"=q4_2025")</f>
        <v>9800</v>
      </c>
      <c r="F126" s="4">
        <f>SUMIFS('Opportunities'!$U$2:$U$1775,'Opportunities'!$C$2:$C$1775,"=r05",'Opportunities'!$P$2:$P$1775,"=1",'Opportunities'!$X$2:$X$1775,"=q1_2026")</f>
        <v>0</v>
      </c>
      <c r="G126" s="4">
        <f>SUMIFS('Opportunities'!$U$2:$U$1775,'Opportunities'!$C$2:$C$1775,"=r05",'Opportunities'!$P$2:$P$1775,"=1",'Opportunities'!$X$2:$X$1775,"=q2_2026")</f>
        <v>30500</v>
      </c>
      <c r="H126" s="4">
        <f>SUMIFS('Opportunities'!$U$2:$U$1775,'Opportunities'!$C$2:$C$1775,"=r05",'Opportunities'!$P$2:$P$1775,"=1",'Opportunities'!$X$2:$X$1775,"=q3_2026")</f>
        <v>0</v>
      </c>
      <c r="I126" s="4">
        <f>SUMIFS('Opportunities'!$U$2:$U$1775,'Opportunities'!$C$2:$C$1775,"=r05",'Opportunities'!$P$2:$P$1775,"=1",'Opportunities'!$X$2:$X$1775,"=q4_2026")</f>
        <v>0</v>
      </c>
    </row>
    <row r="127">
      <c r="A127" s="0" t="inlineStr">
        <is>
          <t xml:space="preserve">Extra contracted years × ACV</t>
        </is>
      </c>
      <c r="B127" s="0" t="inlineStr">
        <is>
          <t xml:space="preserve">Ana Ortiz</t>
        </is>
      </c>
      <c r="C127" s="4">
        <f>SUMIFS('Opportunities'!$U$2:$U$1775,'Opportunities'!$C$2:$C$1775,"=r06",'Opportunities'!$P$2:$P$1775,"=1",'Opportunities'!$X$2:$X$1775,"=q2_2025")</f>
        <v>0</v>
      </c>
      <c r="D127" s="4">
        <f>SUMIFS('Opportunities'!$U$2:$U$1775,'Opportunities'!$C$2:$C$1775,"=r06",'Opportunities'!$P$2:$P$1775,"=1",'Opportunities'!$X$2:$X$1775,"=q3_2025")</f>
        <v>7900</v>
      </c>
      <c r="E127" s="4">
        <f>SUMIFS('Opportunities'!$U$2:$U$1775,'Opportunities'!$C$2:$C$1775,"=r06",'Opportunities'!$P$2:$P$1775,"=1",'Opportunities'!$X$2:$X$1775,"=q4_2025")</f>
        <v>0</v>
      </c>
      <c r="F127" s="4">
        <f>SUMIFS('Opportunities'!$U$2:$U$1775,'Opportunities'!$C$2:$C$1775,"=r06",'Opportunities'!$P$2:$P$1775,"=1",'Opportunities'!$X$2:$X$1775,"=q1_2026")</f>
        <v>15000</v>
      </c>
      <c r="G127" s="4">
        <f>SUMIFS('Opportunities'!$U$2:$U$1775,'Opportunities'!$C$2:$C$1775,"=r06",'Opportunities'!$P$2:$P$1775,"=1",'Opportunities'!$X$2:$X$1775,"=q2_2026")</f>
        <v>21000</v>
      </c>
      <c r="H127" s="4">
        <f>SUMIFS('Opportunities'!$U$2:$U$1775,'Opportunities'!$C$2:$C$1775,"=r06",'Opportunities'!$P$2:$P$1775,"=1",'Opportunities'!$X$2:$X$1775,"=q3_2026")</f>
        <v>0</v>
      </c>
      <c r="I127" s="4">
        <f>SUMIFS('Opportunities'!$U$2:$U$1775,'Opportunities'!$C$2:$C$1775,"=r06",'Opportunities'!$P$2:$P$1775,"=1",'Opportunities'!$X$2:$X$1775,"=q4_2026")</f>
        <v>0</v>
      </c>
    </row>
    <row r="128">
      <c r="A128" s="0" t="inlineStr">
        <is>
          <t xml:space="preserve">Extra contracted years × ACV</t>
        </is>
      </c>
      <c r="B128" s="0" t="inlineStr">
        <is>
          <t xml:space="preserve">Tobias Silva</t>
        </is>
      </c>
      <c r="C128" s="4">
        <f>SUMIFS('Opportunities'!$U$2:$U$1775,'Opportunities'!$C$2:$C$1775,"=r07",'Opportunities'!$P$2:$P$1775,"=1",'Opportunities'!$X$2:$X$1775,"=q2_2025")</f>
        <v>0</v>
      </c>
      <c r="D128" s="4">
        <f>SUMIFS('Opportunities'!$U$2:$U$1775,'Opportunities'!$C$2:$C$1775,"=r07",'Opportunities'!$P$2:$P$1775,"=1",'Opportunities'!$X$2:$X$1775,"=q3_2025")</f>
        <v>146800</v>
      </c>
      <c r="E128" s="4">
        <f>SUMIFS('Opportunities'!$U$2:$U$1775,'Opportunities'!$C$2:$C$1775,"=r07",'Opportunities'!$P$2:$P$1775,"=1",'Opportunities'!$X$2:$X$1775,"=q4_2025")</f>
        <v>0</v>
      </c>
      <c r="F128" s="4">
        <f>SUMIFS('Opportunities'!$U$2:$U$1775,'Opportunities'!$C$2:$C$1775,"=r07",'Opportunities'!$P$2:$P$1775,"=1",'Opportunities'!$X$2:$X$1775,"=q1_2026")</f>
        <v>1387000</v>
      </c>
      <c r="G128" s="4">
        <f>SUMIFS('Opportunities'!$U$2:$U$1775,'Opportunities'!$C$2:$C$1775,"=r07",'Opportunities'!$P$2:$P$1775,"=1",'Opportunities'!$X$2:$X$1775,"=q2_2026")</f>
        <v>53000</v>
      </c>
      <c r="H128" s="4">
        <f>SUMIFS('Opportunities'!$U$2:$U$1775,'Opportunities'!$C$2:$C$1775,"=r07",'Opportunities'!$P$2:$P$1775,"=1",'Opportunities'!$X$2:$X$1775,"=q3_2026")</f>
        <v>574600</v>
      </c>
      <c r="I128" s="4">
        <f>SUMIFS('Opportunities'!$U$2:$U$1775,'Opportunities'!$C$2:$C$1775,"=r07",'Opportunities'!$P$2:$P$1775,"=1",'Opportunities'!$X$2:$X$1775,"=q4_2026")</f>
        <v>0</v>
      </c>
    </row>
    <row r="129">
      <c r="A129" s="0" t="inlineStr">
        <is>
          <t xml:space="preserve">Extra contracted years × ACV</t>
        </is>
      </c>
      <c r="B129" s="0" t="inlineStr">
        <is>
          <t xml:space="preserve">Leila Osei</t>
        </is>
      </c>
      <c r="C129" s="4">
        <f>SUMIFS('Opportunities'!$U$2:$U$1775,'Opportunities'!$C$2:$C$1775,"=r08",'Opportunities'!$P$2:$P$1775,"=1",'Opportunities'!$X$2:$X$1775,"=q2_2025")</f>
        <v>0</v>
      </c>
      <c r="D129" s="4">
        <f>SUMIFS('Opportunities'!$U$2:$U$1775,'Opportunities'!$C$2:$C$1775,"=r08",'Opportunities'!$P$2:$P$1775,"=1",'Opportunities'!$X$2:$X$1775,"=q3_2025")</f>
        <v>0</v>
      </c>
      <c r="E129" s="4">
        <f>SUMIFS('Opportunities'!$U$2:$U$1775,'Opportunities'!$C$2:$C$1775,"=r08",'Opportunities'!$P$2:$P$1775,"=1",'Opportunities'!$X$2:$X$1775,"=q4_2025")</f>
        <v>0</v>
      </c>
      <c r="F129" s="4">
        <f>SUMIFS('Opportunities'!$U$2:$U$1775,'Opportunities'!$C$2:$C$1775,"=r08",'Opportunities'!$P$2:$P$1775,"=1",'Opportunities'!$X$2:$X$1775,"=q1_2026")</f>
        <v>71000</v>
      </c>
      <c r="G129" s="4">
        <f>SUMIFS('Opportunities'!$U$2:$U$1775,'Opportunities'!$C$2:$C$1775,"=r08",'Opportunities'!$P$2:$P$1775,"=1",'Opportunities'!$X$2:$X$1775,"=q2_2026")</f>
        <v>565500</v>
      </c>
      <c r="H129" s="4">
        <f>SUMIFS('Opportunities'!$U$2:$U$1775,'Opportunities'!$C$2:$C$1775,"=r08",'Opportunities'!$P$2:$P$1775,"=1",'Opportunities'!$X$2:$X$1775,"=q3_2026")</f>
        <v>942100</v>
      </c>
      <c r="I129" s="4">
        <f>SUMIFS('Opportunities'!$U$2:$U$1775,'Opportunities'!$C$2:$C$1775,"=r08",'Opportunities'!$P$2:$P$1775,"=1",'Opportunities'!$X$2:$X$1775,"=q4_2026")</f>
        <v>0</v>
      </c>
    </row>
    <row r="130">
      <c r="A130" s="0" t="inlineStr">
        <is>
          <t xml:space="preserve">Extra contracted years × ACV</t>
        </is>
      </c>
      <c r="B130" s="0" t="inlineStr">
        <is>
          <t xml:space="preserve">Grace Costa</t>
        </is>
      </c>
      <c r="C130" s="4">
        <f>SUMIFS('Opportunities'!$U$2:$U$1775,'Opportunities'!$C$2:$C$1775,"=r09",'Opportunities'!$P$2:$P$1775,"=1",'Opportunities'!$X$2:$X$1775,"=q2_2025")</f>
        <v>19800</v>
      </c>
      <c r="D130" s="4">
        <f>SUMIFS('Opportunities'!$U$2:$U$1775,'Opportunities'!$C$2:$C$1775,"=r09",'Opportunities'!$P$2:$P$1775,"=1",'Opportunities'!$X$2:$X$1775,"=q3_2025")</f>
        <v>115700</v>
      </c>
      <c r="E130" s="4">
        <f>SUMIFS('Opportunities'!$U$2:$U$1775,'Opportunities'!$C$2:$C$1775,"=r09",'Opportunities'!$P$2:$P$1775,"=1",'Opportunities'!$X$2:$X$1775,"=q4_2025")</f>
        <v>123400</v>
      </c>
      <c r="F130" s="4">
        <f>SUMIFS('Opportunities'!$U$2:$U$1775,'Opportunities'!$C$2:$C$1775,"=r09",'Opportunities'!$P$2:$P$1775,"=1",'Opportunities'!$X$2:$X$1775,"=q1_2026")</f>
        <v>143800</v>
      </c>
      <c r="G130" s="4">
        <f>SUMIFS('Opportunities'!$U$2:$U$1775,'Opportunities'!$C$2:$C$1775,"=r09",'Opportunities'!$P$2:$P$1775,"=1",'Opportunities'!$X$2:$X$1775,"=q2_2026")</f>
        <v>279300</v>
      </c>
      <c r="H130" s="4">
        <f>SUMIFS('Opportunities'!$U$2:$U$1775,'Opportunities'!$C$2:$C$1775,"=r09",'Opportunities'!$P$2:$P$1775,"=1",'Opportunities'!$X$2:$X$1775,"=q3_2026")</f>
        <v>19500</v>
      </c>
      <c r="I130" s="4">
        <f>SUMIFS('Opportunities'!$U$2:$U$1775,'Opportunities'!$C$2:$C$1775,"=r09",'Opportunities'!$P$2:$P$1775,"=1",'Opportunities'!$X$2:$X$1775,"=q4_2026")</f>
        <v>0</v>
      </c>
    </row>
    <row r="131">
      <c r="A131" s="0" t="inlineStr">
        <is>
          <t xml:space="preserve">Extra contracted years × ACV</t>
        </is>
      </c>
      <c r="B131" s="0" t="inlineStr">
        <is>
          <t xml:space="preserve">Ingrid Müller</t>
        </is>
      </c>
      <c r="C131" s="4">
        <f>SUMIFS('Opportunities'!$U$2:$U$1775,'Opportunities'!$C$2:$C$1775,"=r10",'Opportunities'!$P$2:$P$1775,"=1",'Opportunities'!$X$2:$X$1775,"=q2_2025")</f>
        <v>0</v>
      </c>
      <c r="D131" s="4">
        <f>SUMIFS('Opportunities'!$U$2:$U$1775,'Opportunities'!$C$2:$C$1775,"=r10",'Opportunities'!$P$2:$P$1775,"=1",'Opportunities'!$X$2:$X$1775,"=q3_2025")</f>
        <v>0</v>
      </c>
      <c r="E131" s="4">
        <f>SUMIFS('Opportunities'!$U$2:$U$1775,'Opportunities'!$C$2:$C$1775,"=r10",'Opportunities'!$P$2:$P$1775,"=1",'Opportunities'!$X$2:$X$1775,"=q4_2025")</f>
        <v>0</v>
      </c>
      <c r="F131" s="4">
        <f>SUMIFS('Opportunities'!$U$2:$U$1775,'Opportunities'!$C$2:$C$1775,"=r10",'Opportunities'!$P$2:$P$1775,"=1",'Opportunities'!$X$2:$X$1775,"=q1_2026")</f>
        <v>0</v>
      </c>
      <c r="G131" s="4">
        <f>SUMIFS('Opportunities'!$U$2:$U$1775,'Opportunities'!$C$2:$C$1775,"=r10",'Opportunities'!$P$2:$P$1775,"=1",'Opportunities'!$X$2:$X$1775,"=q2_2026")</f>
        <v>75200</v>
      </c>
      <c r="H131" s="4">
        <f>SUMIFS('Opportunities'!$U$2:$U$1775,'Opportunities'!$C$2:$C$1775,"=r10",'Opportunities'!$P$2:$P$1775,"=1",'Opportunities'!$X$2:$X$1775,"=q3_2026")</f>
        <v>67300</v>
      </c>
      <c r="I131" s="4">
        <f>SUMIFS('Opportunities'!$U$2:$U$1775,'Opportunities'!$C$2:$C$1775,"=r10",'Opportunities'!$P$2:$P$1775,"=1",'Opportunities'!$X$2:$X$1775,"=q4_2026")</f>
        <v>0</v>
      </c>
    </row>
    <row r="132">
      <c r="A132" s="0" t="inlineStr">
        <is>
          <t xml:space="preserve">Extra contracted years × ACV</t>
        </is>
      </c>
      <c r="B132" s="0" t="inlineStr">
        <is>
          <t xml:space="preserve">Ingrid Kim</t>
        </is>
      </c>
      <c r="C132" s="4">
        <f>SUMIFS('Opportunities'!$U$2:$U$1775,'Opportunities'!$C$2:$C$1775,"=r11",'Opportunities'!$P$2:$P$1775,"=1",'Opportunities'!$X$2:$X$1775,"=q2_2025")</f>
        <v>0</v>
      </c>
      <c r="D132" s="4">
        <f>SUMIFS('Opportunities'!$U$2:$U$1775,'Opportunities'!$C$2:$C$1775,"=r11",'Opportunities'!$P$2:$P$1775,"=1",'Opportunities'!$X$2:$X$1775,"=q3_2025")</f>
        <v>0</v>
      </c>
      <c r="E132" s="4">
        <f>SUMIFS('Opportunities'!$U$2:$U$1775,'Opportunities'!$C$2:$C$1775,"=r11",'Opportunities'!$P$2:$P$1775,"=1",'Opportunities'!$X$2:$X$1775,"=q4_2025")</f>
        <v>0</v>
      </c>
      <c r="F132" s="4">
        <f>SUMIFS('Opportunities'!$U$2:$U$1775,'Opportunities'!$C$2:$C$1775,"=r11",'Opportunities'!$P$2:$P$1775,"=1",'Opportunities'!$X$2:$X$1775,"=q1_2026")</f>
        <v>41100</v>
      </c>
      <c r="G132" s="4">
        <f>SUMIFS('Opportunities'!$U$2:$U$1775,'Opportunities'!$C$2:$C$1775,"=r11",'Opportunities'!$P$2:$P$1775,"=1",'Opportunities'!$X$2:$X$1775,"=q2_2026")</f>
        <v>20500</v>
      </c>
      <c r="H132" s="4">
        <f>SUMIFS('Opportunities'!$U$2:$U$1775,'Opportunities'!$C$2:$C$1775,"=r11",'Opportunities'!$P$2:$P$1775,"=1",'Opportunities'!$X$2:$X$1775,"=q3_2026")</f>
        <v>0</v>
      </c>
      <c r="I132" s="4">
        <f>SUMIFS('Opportunities'!$U$2:$U$1775,'Opportunities'!$C$2:$C$1775,"=r11",'Opportunities'!$P$2:$P$1775,"=1",'Opportunities'!$X$2:$X$1775,"=q4_2026")</f>
        <v>0</v>
      </c>
    </row>
    <row r="133">
      <c r="A133" s="0" t="inlineStr">
        <is>
          <t xml:space="preserve">Extra contracted years × ACV</t>
        </is>
      </c>
      <c r="B133" s="0" t="inlineStr">
        <is>
          <t xml:space="preserve">Priya Nair</t>
        </is>
      </c>
      <c r="C133" s="4">
        <f>SUMIFS('Opportunities'!$U$2:$U$1775,'Opportunities'!$C$2:$C$1775,"=r12",'Opportunities'!$P$2:$P$1775,"=1",'Opportunities'!$X$2:$X$1775,"=q2_2025")</f>
        <v>0</v>
      </c>
      <c r="D133" s="4">
        <f>SUMIFS('Opportunities'!$U$2:$U$1775,'Opportunities'!$C$2:$C$1775,"=r12",'Opportunities'!$P$2:$P$1775,"=1",'Opportunities'!$X$2:$X$1775,"=q3_2025")</f>
        <v>10500</v>
      </c>
      <c r="E133" s="4">
        <f>SUMIFS('Opportunities'!$U$2:$U$1775,'Opportunities'!$C$2:$C$1775,"=r12",'Opportunities'!$P$2:$P$1775,"=1",'Opportunities'!$X$2:$X$1775,"=q4_2025")</f>
        <v>0</v>
      </c>
      <c r="F133" s="4">
        <f>SUMIFS('Opportunities'!$U$2:$U$1775,'Opportunities'!$C$2:$C$1775,"=r12",'Opportunities'!$P$2:$P$1775,"=1",'Opportunities'!$X$2:$X$1775,"=q1_2026")</f>
        <v>6400</v>
      </c>
      <c r="G133" s="4">
        <f>SUMIFS('Opportunities'!$U$2:$U$1775,'Opportunities'!$C$2:$C$1775,"=r12",'Opportunities'!$P$2:$P$1775,"=1",'Opportunities'!$X$2:$X$1775,"=q2_2026")</f>
        <v>0</v>
      </c>
      <c r="H133" s="4">
        <f>SUMIFS('Opportunities'!$U$2:$U$1775,'Opportunities'!$C$2:$C$1775,"=r12",'Opportunities'!$P$2:$P$1775,"=1",'Opportunities'!$X$2:$X$1775,"=q3_2026")</f>
        <v>13200</v>
      </c>
      <c r="I133" s="4">
        <f>SUMIFS('Opportunities'!$U$2:$U$1775,'Opportunities'!$C$2:$C$1775,"=r12",'Opportunities'!$P$2:$P$1775,"=1",'Opportunities'!$X$2:$X$1775,"=q4_2026")</f>
        <v>0</v>
      </c>
    </row>
    <row r="134">
      <c r="A134" s="0" t="inlineStr">
        <is>
          <t xml:space="preserve">Extra contracted years × ACV</t>
        </is>
      </c>
      <c r="B134" s="0" t="inlineStr">
        <is>
          <t xml:space="preserve">Hugo Lindqvist</t>
        </is>
      </c>
      <c r="C134" s="4">
        <f>SUMIFS('Opportunities'!$U$2:$U$1775,'Opportunities'!$C$2:$C$1775,"=r13",'Opportunities'!$P$2:$P$1775,"=1",'Opportunities'!$X$2:$X$1775,"=q2_2025")</f>
        <v>0</v>
      </c>
      <c r="D134" s="4">
        <f>SUMIFS('Opportunities'!$U$2:$U$1775,'Opportunities'!$C$2:$C$1775,"=r13",'Opportunities'!$P$2:$P$1775,"=1",'Opportunities'!$X$2:$X$1775,"=q3_2025")</f>
        <v>145800</v>
      </c>
      <c r="E134" s="4">
        <f>SUMIFS('Opportunities'!$U$2:$U$1775,'Opportunities'!$C$2:$C$1775,"=r13",'Opportunities'!$P$2:$P$1775,"=1",'Opportunities'!$X$2:$X$1775,"=q4_2025")</f>
        <v>294500</v>
      </c>
      <c r="F134" s="4">
        <f>SUMIFS('Opportunities'!$U$2:$U$1775,'Opportunities'!$C$2:$C$1775,"=r13",'Opportunities'!$P$2:$P$1775,"=1",'Opportunities'!$X$2:$X$1775,"=q1_2026")</f>
        <v>543300</v>
      </c>
      <c r="G134" s="4">
        <f>SUMIFS('Opportunities'!$U$2:$U$1775,'Opportunities'!$C$2:$C$1775,"=r13",'Opportunities'!$P$2:$P$1775,"=1",'Opportunities'!$X$2:$X$1775,"=q2_2026")</f>
        <v>277900</v>
      </c>
      <c r="H134" s="4">
        <f>SUMIFS('Opportunities'!$U$2:$U$1775,'Opportunities'!$C$2:$C$1775,"=r13",'Opportunities'!$P$2:$P$1775,"=1",'Opportunities'!$X$2:$X$1775,"=q3_2026")</f>
        <v>753200</v>
      </c>
      <c r="I134" s="4">
        <f>SUMIFS('Opportunities'!$U$2:$U$1775,'Opportunities'!$C$2:$C$1775,"=r13",'Opportunities'!$P$2:$P$1775,"=1",'Opportunities'!$X$2:$X$1775,"=q4_2026")</f>
        <v>0</v>
      </c>
    </row>
    <row r="135">
      <c r="A135" s="0" t="inlineStr">
        <is>
          <t xml:space="preserve">Extra contracted years × ACV</t>
        </is>
      </c>
      <c r="B135" s="0" t="inlineStr">
        <is>
          <t xml:space="preserve">Wei Novak</t>
        </is>
      </c>
      <c r="C135" s="4">
        <f>SUMIFS('Opportunities'!$U$2:$U$1775,'Opportunities'!$C$2:$C$1775,"=r14",'Opportunities'!$P$2:$P$1775,"=1",'Opportunities'!$X$2:$X$1775,"=q2_2025")</f>
        <v>0</v>
      </c>
      <c r="D135" s="4">
        <f>SUMIFS('Opportunities'!$U$2:$U$1775,'Opportunities'!$C$2:$C$1775,"=r14",'Opportunities'!$P$2:$P$1775,"=1",'Opportunities'!$X$2:$X$1775,"=q3_2025")</f>
        <v>0</v>
      </c>
      <c r="E135" s="4">
        <f>SUMIFS('Opportunities'!$U$2:$U$1775,'Opportunities'!$C$2:$C$1775,"=r14",'Opportunities'!$P$2:$P$1775,"=1",'Opportunities'!$X$2:$X$1775,"=q4_2025")</f>
        <v>0</v>
      </c>
      <c r="F135" s="4">
        <f>SUMIFS('Opportunities'!$U$2:$U$1775,'Opportunities'!$C$2:$C$1775,"=r14",'Opportunities'!$P$2:$P$1775,"=1",'Opportunities'!$X$2:$X$1775,"=q1_2026")</f>
        <v>45600</v>
      </c>
      <c r="G135" s="4">
        <f>SUMIFS('Opportunities'!$U$2:$U$1775,'Opportunities'!$C$2:$C$1775,"=r14",'Opportunities'!$P$2:$P$1775,"=1",'Opportunities'!$X$2:$X$1775,"=q2_2026")</f>
        <v>0</v>
      </c>
      <c r="H135" s="4">
        <f>SUMIFS('Opportunities'!$U$2:$U$1775,'Opportunities'!$C$2:$C$1775,"=r14",'Opportunities'!$P$2:$P$1775,"=1",'Opportunities'!$X$2:$X$1775,"=q3_2026")</f>
        <v>0</v>
      </c>
      <c r="I135" s="4">
        <f>SUMIFS('Opportunities'!$U$2:$U$1775,'Opportunities'!$C$2:$C$1775,"=r14",'Opportunities'!$P$2:$P$1775,"=1",'Opportunities'!$X$2:$X$1775,"=q4_2026")</f>
        <v>0</v>
      </c>
    </row>
    <row r="136">
      <c r="A136" s="0" t="inlineStr">
        <is>
          <t xml:space="preserve">Extra contracted years × ACV</t>
        </is>
      </c>
      <c r="B136" s="0" t="inlineStr">
        <is>
          <t xml:space="preserve">Nikolai Kim</t>
        </is>
      </c>
      <c r="C136" s="4">
        <f>SUMIFS('Opportunities'!$U$2:$U$1775,'Opportunities'!$C$2:$C$1775,"=r15",'Opportunities'!$P$2:$P$1775,"=1",'Opportunities'!$X$2:$X$1775,"=q2_2025")</f>
        <v>66900</v>
      </c>
      <c r="D136" s="4">
        <f>SUMIFS('Opportunities'!$U$2:$U$1775,'Opportunities'!$C$2:$C$1775,"=r15",'Opportunities'!$P$2:$P$1775,"=1",'Opportunities'!$X$2:$X$1775,"=q3_2025")</f>
        <v>423600</v>
      </c>
      <c r="E136" s="4">
        <f>SUMIFS('Opportunities'!$U$2:$U$1775,'Opportunities'!$C$2:$C$1775,"=r15",'Opportunities'!$P$2:$P$1775,"=1",'Opportunities'!$X$2:$X$1775,"=q4_2025")</f>
        <v>0</v>
      </c>
      <c r="F136" s="4">
        <f>SUMIFS('Opportunities'!$U$2:$U$1775,'Opportunities'!$C$2:$C$1775,"=r15",'Opportunities'!$P$2:$P$1775,"=1",'Opportunities'!$X$2:$X$1775,"=q1_2026")</f>
        <v>0</v>
      </c>
      <c r="G136" s="4">
        <f>SUMIFS('Opportunities'!$U$2:$U$1775,'Opportunities'!$C$2:$C$1775,"=r15",'Opportunities'!$P$2:$P$1775,"=1",'Opportunities'!$X$2:$X$1775,"=q2_2026")</f>
        <v>52900</v>
      </c>
      <c r="H136" s="4">
        <f>SUMIFS('Opportunities'!$U$2:$U$1775,'Opportunities'!$C$2:$C$1775,"=r15",'Opportunities'!$P$2:$P$1775,"=1",'Opportunities'!$X$2:$X$1775,"=q3_2026")</f>
        <v>12500</v>
      </c>
      <c r="I136" s="4">
        <f>SUMIFS('Opportunities'!$U$2:$U$1775,'Opportunities'!$C$2:$C$1775,"=r15",'Opportunities'!$P$2:$P$1775,"=1",'Opportunities'!$X$2:$X$1775,"=q4_2026")</f>
        <v>0</v>
      </c>
    </row>
    <row r="137">
      <c r="A137" s="0" t="inlineStr">
        <is>
          <t xml:space="preserve">Extra contracted years × ACV</t>
        </is>
      </c>
      <c r="B137" s="0" t="inlineStr">
        <is>
          <t xml:space="preserve">Wei Nair</t>
        </is>
      </c>
      <c r="C137" s="4">
        <f>SUMIFS('Opportunities'!$U$2:$U$1775,'Opportunities'!$C$2:$C$1775,"=r16",'Opportunities'!$P$2:$P$1775,"=1",'Opportunities'!$X$2:$X$1775,"=q2_2025")</f>
        <v>0</v>
      </c>
      <c r="D137" s="4">
        <f>SUMIFS('Opportunities'!$U$2:$U$1775,'Opportunities'!$C$2:$C$1775,"=r16",'Opportunities'!$P$2:$P$1775,"=1",'Opportunities'!$X$2:$X$1775,"=q3_2025")</f>
        <v>25500</v>
      </c>
      <c r="E137" s="4">
        <f>SUMIFS('Opportunities'!$U$2:$U$1775,'Opportunities'!$C$2:$C$1775,"=r16",'Opportunities'!$P$2:$P$1775,"=1",'Opportunities'!$X$2:$X$1775,"=q4_2025")</f>
        <v>0</v>
      </c>
      <c r="F137" s="4">
        <f>SUMIFS('Opportunities'!$U$2:$U$1775,'Opportunities'!$C$2:$C$1775,"=r16",'Opportunities'!$P$2:$P$1775,"=1",'Opportunities'!$X$2:$X$1775,"=q1_2026")</f>
        <v>86300</v>
      </c>
      <c r="G137" s="4">
        <f>SUMIFS('Opportunities'!$U$2:$U$1775,'Opportunities'!$C$2:$C$1775,"=r16",'Opportunities'!$P$2:$P$1775,"=1",'Opportunities'!$X$2:$X$1775,"=q2_2026")</f>
        <v>35400</v>
      </c>
      <c r="H137" s="4">
        <f>SUMIFS('Opportunities'!$U$2:$U$1775,'Opportunities'!$C$2:$C$1775,"=r16",'Opportunities'!$P$2:$P$1775,"=1",'Opportunities'!$X$2:$X$1775,"=q3_2026")</f>
        <v>70400</v>
      </c>
      <c r="I137" s="4">
        <f>SUMIFS('Opportunities'!$U$2:$U$1775,'Opportunities'!$C$2:$C$1775,"=r16",'Opportunities'!$P$2:$P$1775,"=1",'Opportunities'!$X$2:$X$1775,"=q4_2026")</f>
        <v>0</v>
      </c>
    </row>
    <row r="138">
      <c r="A138" s="0" t="inlineStr">
        <is>
          <t xml:space="preserve">Extra contracted years × ACV</t>
        </is>
      </c>
      <c r="B138" s="0" t="inlineStr">
        <is>
          <t xml:space="preserve">Liam Silva</t>
        </is>
      </c>
      <c r="C138" s="4">
        <f>SUMIFS('Opportunities'!$U$2:$U$1775,'Opportunities'!$C$2:$C$1775,"=r17",'Opportunities'!$P$2:$P$1775,"=1",'Opportunities'!$X$2:$X$1775,"=q2_2025")</f>
        <v>0</v>
      </c>
      <c r="D138" s="4">
        <f>SUMIFS('Opportunities'!$U$2:$U$1775,'Opportunities'!$C$2:$C$1775,"=r17",'Opportunities'!$P$2:$P$1775,"=1",'Opportunities'!$X$2:$X$1775,"=q3_2025")</f>
        <v>0</v>
      </c>
      <c r="E138" s="4">
        <f>SUMIFS('Opportunities'!$U$2:$U$1775,'Opportunities'!$C$2:$C$1775,"=r17",'Opportunities'!$P$2:$P$1775,"=1",'Opportunities'!$X$2:$X$1775,"=q4_2025")</f>
        <v>0</v>
      </c>
      <c r="F138" s="4">
        <f>SUMIFS('Opportunities'!$U$2:$U$1775,'Opportunities'!$C$2:$C$1775,"=r17",'Opportunities'!$P$2:$P$1775,"=1",'Opportunities'!$X$2:$X$1775,"=q1_2026")</f>
        <v>21700</v>
      </c>
      <c r="G138" s="4">
        <f>SUMIFS('Opportunities'!$U$2:$U$1775,'Opportunities'!$C$2:$C$1775,"=r17",'Opportunities'!$P$2:$P$1775,"=1",'Opportunities'!$X$2:$X$1775,"=q2_2026")</f>
        <v>0</v>
      </c>
      <c r="H138" s="4">
        <f>SUMIFS('Opportunities'!$U$2:$U$1775,'Opportunities'!$C$2:$C$1775,"=r17",'Opportunities'!$P$2:$P$1775,"=1",'Opportunities'!$X$2:$X$1775,"=q3_2026")</f>
        <v>0</v>
      </c>
      <c r="I138" s="4">
        <f>SUMIFS('Opportunities'!$U$2:$U$1775,'Opportunities'!$C$2:$C$1775,"=r17",'Opportunities'!$P$2:$P$1775,"=1",'Opportunities'!$X$2:$X$1775,"=q4_2026")</f>
        <v>0</v>
      </c>
    </row>
    <row r="139">
      <c r="A139" s="0" t="inlineStr">
        <is>
          <t xml:space="preserve">Extra contracted years × ACV</t>
        </is>
      </c>
      <c r="B139" s="0" t="inlineStr">
        <is>
          <t xml:space="preserve">Samuel Silva</t>
        </is>
      </c>
      <c r="C139" s="4">
        <f>SUMIFS('Opportunities'!$U$2:$U$1775,'Opportunities'!$C$2:$C$1775,"=r18",'Opportunities'!$P$2:$P$1775,"=1",'Opportunities'!$X$2:$X$1775,"=q2_2025")</f>
        <v>0</v>
      </c>
      <c r="D139" s="4">
        <f>SUMIFS('Opportunities'!$U$2:$U$1775,'Opportunities'!$C$2:$C$1775,"=r18",'Opportunities'!$P$2:$P$1775,"=1",'Opportunities'!$X$2:$X$1775,"=q3_2025")</f>
        <v>0</v>
      </c>
      <c r="E139" s="4">
        <f>SUMIFS('Opportunities'!$U$2:$U$1775,'Opportunities'!$C$2:$C$1775,"=r18",'Opportunities'!$P$2:$P$1775,"=1",'Opportunities'!$X$2:$X$1775,"=q4_2025")</f>
        <v>0</v>
      </c>
      <c r="F139" s="4">
        <f>SUMIFS('Opportunities'!$U$2:$U$1775,'Opportunities'!$C$2:$C$1775,"=r18",'Opportunities'!$P$2:$P$1775,"=1",'Opportunities'!$X$2:$X$1775,"=q1_2026")</f>
        <v>0</v>
      </c>
      <c r="G139" s="4">
        <f>SUMIFS('Opportunities'!$U$2:$U$1775,'Opportunities'!$C$2:$C$1775,"=r18",'Opportunities'!$P$2:$P$1775,"=1",'Opportunities'!$X$2:$X$1775,"=q2_2026")</f>
        <v>51400</v>
      </c>
      <c r="H139" s="4">
        <f>SUMIFS('Opportunities'!$U$2:$U$1775,'Opportunities'!$C$2:$C$1775,"=r18",'Opportunities'!$P$2:$P$1775,"=1",'Opportunities'!$X$2:$X$1775,"=q3_2026")</f>
        <v>0</v>
      </c>
      <c r="I139" s="4">
        <f>SUMIFS('Opportunities'!$U$2:$U$1775,'Opportunities'!$C$2:$C$1775,"=r18",'Opportunities'!$P$2:$P$1775,"=1",'Opportunities'!$X$2:$X$1775,"=q4_2026")</f>
        <v>0</v>
      </c>
    </row>
    <row r="140">
      <c r="A140" s="0" t="inlineStr">
        <is>
          <t xml:space="preserve">Extra contracted years × ACV</t>
        </is>
      </c>
      <c r="B140" s="0" t="inlineStr">
        <is>
          <t xml:space="preserve">Yuki Larsen</t>
        </is>
      </c>
      <c r="C140" s="4">
        <f>SUMIFS('Opportunities'!$U$2:$U$1775,'Opportunities'!$C$2:$C$1775,"=r19",'Opportunities'!$P$2:$P$1775,"=1",'Opportunities'!$X$2:$X$1775,"=q2_2025")</f>
        <v>0</v>
      </c>
      <c r="D140" s="4">
        <f>SUMIFS('Opportunities'!$U$2:$U$1775,'Opportunities'!$C$2:$C$1775,"=r19",'Opportunities'!$P$2:$P$1775,"=1",'Opportunities'!$X$2:$X$1775,"=q3_2025")</f>
        <v>230500</v>
      </c>
      <c r="E140" s="4">
        <f>SUMIFS('Opportunities'!$U$2:$U$1775,'Opportunities'!$C$2:$C$1775,"=r19",'Opportunities'!$P$2:$P$1775,"=1",'Opportunities'!$X$2:$X$1775,"=q4_2025")</f>
        <v>0</v>
      </c>
      <c r="F140" s="4">
        <f>SUMIFS('Opportunities'!$U$2:$U$1775,'Opportunities'!$C$2:$C$1775,"=r19",'Opportunities'!$P$2:$P$1775,"=1",'Opportunities'!$X$2:$X$1775,"=q1_2026")</f>
        <v>0</v>
      </c>
      <c r="G140" s="4">
        <f>SUMIFS('Opportunities'!$U$2:$U$1775,'Opportunities'!$C$2:$C$1775,"=r19",'Opportunities'!$P$2:$P$1775,"=1",'Opportunities'!$X$2:$X$1775,"=q2_2026")</f>
        <v>0</v>
      </c>
      <c r="H140" s="4">
        <f>SUMIFS('Opportunities'!$U$2:$U$1775,'Opportunities'!$C$2:$C$1775,"=r19",'Opportunities'!$P$2:$P$1775,"=1",'Opportunities'!$X$2:$X$1775,"=q3_2026")</f>
        <v>157600</v>
      </c>
      <c r="I140" s="4">
        <f>SUMIFS('Opportunities'!$U$2:$U$1775,'Opportunities'!$C$2:$C$1775,"=r19",'Opportunities'!$P$2:$P$1775,"=1",'Opportunities'!$X$2:$X$1775,"=q4_2026")</f>
        <v>0</v>
      </c>
    </row>
    <row r="141">
      <c r="A141" s="0" t="inlineStr">
        <is>
          <t xml:space="preserve">Extra contracted years × ACV</t>
        </is>
      </c>
      <c r="B141" s="0" t="inlineStr">
        <is>
          <t xml:space="preserve">Nikolai Sato</t>
        </is>
      </c>
      <c r="C141" s="4">
        <f>SUMIFS('Opportunities'!$U$2:$U$1775,'Opportunities'!$C$2:$C$1775,"=r20",'Opportunities'!$P$2:$P$1775,"=1",'Opportunities'!$X$2:$X$1775,"=q2_2025")</f>
        <v>99700</v>
      </c>
      <c r="D141" s="4">
        <f>SUMIFS('Opportunities'!$U$2:$U$1775,'Opportunities'!$C$2:$C$1775,"=r20",'Opportunities'!$P$2:$P$1775,"=1",'Opportunities'!$X$2:$X$1775,"=q3_2025")</f>
        <v>417700</v>
      </c>
      <c r="E141" s="4">
        <f>SUMIFS('Opportunities'!$U$2:$U$1775,'Opportunities'!$C$2:$C$1775,"=r20",'Opportunities'!$P$2:$P$1775,"=1",'Opportunities'!$X$2:$X$1775,"=q4_2025")</f>
        <v>64300</v>
      </c>
      <c r="F141" s="4">
        <f>SUMIFS('Opportunities'!$U$2:$U$1775,'Opportunities'!$C$2:$C$1775,"=r20",'Opportunities'!$P$2:$P$1775,"=1",'Opportunities'!$X$2:$X$1775,"=q1_2026")</f>
        <v>89800</v>
      </c>
      <c r="G141" s="4">
        <f>SUMIFS('Opportunities'!$U$2:$U$1775,'Opportunities'!$C$2:$C$1775,"=r20",'Opportunities'!$P$2:$P$1775,"=1",'Opportunities'!$X$2:$X$1775,"=q2_2026")</f>
        <v>0</v>
      </c>
      <c r="H141" s="4">
        <f>SUMIFS('Opportunities'!$U$2:$U$1775,'Opportunities'!$C$2:$C$1775,"=r20",'Opportunities'!$P$2:$P$1775,"=1",'Opportunities'!$X$2:$X$1775,"=q3_2026")</f>
        <v>103400</v>
      </c>
      <c r="I141" s="4">
        <f>SUMIFS('Opportunities'!$U$2:$U$1775,'Opportunities'!$C$2:$C$1775,"=r20",'Opportunities'!$P$2:$P$1775,"=1",'Opportunities'!$X$2:$X$1775,"=q4_2026")</f>
        <v>0</v>
      </c>
    </row>
    <row r="142">
      <c r="A142" s="0" t="inlineStr">
        <is>
          <t xml:space="preserve">Extra contracted years × ACV</t>
        </is>
      </c>
      <c r="B142" s="0" t="inlineStr">
        <is>
          <t xml:space="preserve">Elena Silva</t>
        </is>
      </c>
      <c r="C142" s="4">
        <f>SUMIFS('Opportunities'!$U$2:$U$1775,'Opportunities'!$C$2:$C$1775,"=r21",'Opportunities'!$P$2:$P$1775,"=1",'Opportunities'!$X$2:$X$1775,"=q2_2025")</f>
        <v>91500</v>
      </c>
      <c r="D142" s="4">
        <f>SUMIFS('Opportunities'!$U$2:$U$1775,'Opportunities'!$C$2:$C$1775,"=r21",'Opportunities'!$P$2:$P$1775,"=1",'Opportunities'!$X$2:$X$1775,"=q3_2025")</f>
        <v>38500</v>
      </c>
      <c r="E142" s="4">
        <f>SUMIFS('Opportunities'!$U$2:$U$1775,'Opportunities'!$C$2:$C$1775,"=r21",'Opportunities'!$P$2:$P$1775,"=1",'Opportunities'!$X$2:$X$1775,"=q4_2025")</f>
        <v>73600</v>
      </c>
      <c r="F142" s="4">
        <f>SUMIFS('Opportunities'!$U$2:$U$1775,'Opportunities'!$C$2:$C$1775,"=r21",'Opportunities'!$P$2:$P$1775,"=1",'Opportunities'!$X$2:$X$1775,"=q1_2026")</f>
        <v>0</v>
      </c>
      <c r="G142" s="4">
        <f>SUMIFS('Opportunities'!$U$2:$U$1775,'Opportunities'!$C$2:$C$1775,"=r21",'Opportunities'!$P$2:$P$1775,"=1",'Opportunities'!$X$2:$X$1775,"=q2_2026")</f>
        <v>0</v>
      </c>
      <c r="H142" s="4">
        <f>SUMIFS('Opportunities'!$U$2:$U$1775,'Opportunities'!$C$2:$C$1775,"=r21",'Opportunities'!$P$2:$P$1775,"=1",'Opportunities'!$X$2:$X$1775,"=q3_2026")</f>
        <v>62500</v>
      </c>
      <c r="I142" s="4">
        <f>SUMIFS('Opportunities'!$U$2:$U$1775,'Opportunities'!$C$2:$C$1775,"=r21",'Opportunities'!$P$2:$P$1775,"=1",'Opportunities'!$X$2:$X$1775,"=q4_2026")</f>
        <v>0</v>
      </c>
    </row>
    <row r="143">
      <c r="A143" s="0" t="inlineStr">
        <is>
          <t xml:space="preserve">Extra contracted years × ACV</t>
        </is>
      </c>
      <c r="B143" s="0" t="inlineStr">
        <is>
          <t xml:space="preserve">Arjun Müller</t>
        </is>
      </c>
      <c r="C143" s="4">
        <f>SUMIFS('Opportunities'!$U$2:$U$1775,'Opportunities'!$C$2:$C$1775,"=r22",'Opportunities'!$P$2:$P$1775,"=1",'Opportunities'!$X$2:$X$1775,"=q2_2025")</f>
        <v>0</v>
      </c>
      <c r="D143" s="4">
        <f>SUMIFS('Opportunities'!$U$2:$U$1775,'Opportunities'!$C$2:$C$1775,"=r22",'Opportunities'!$P$2:$P$1775,"=1",'Opportunities'!$X$2:$X$1775,"=q3_2025")</f>
        <v>0</v>
      </c>
      <c r="E143" s="4">
        <f>SUMIFS('Opportunities'!$U$2:$U$1775,'Opportunities'!$C$2:$C$1775,"=r22",'Opportunities'!$P$2:$P$1775,"=1",'Opportunities'!$X$2:$X$1775,"=q4_2025")</f>
        <v>149500</v>
      </c>
      <c r="F143" s="4">
        <f>SUMIFS('Opportunities'!$U$2:$U$1775,'Opportunities'!$C$2:$C$1775,"=r22",'Opportunities'!$P$2:$P$1775,"=1",'Opportunities'!$X$2:$X$1775,"=q1_2026")</f>
        <v>0</v>
      </c>
      <c r="G143" s="4">
        <f>SUMIFS('Opportunities'!$U$2:$U$1775,'Opportunities'!$C$2:$C$1775,"=r22",'Opportunities'!$P$2:$P$1775,"=1",'Opportunities'!$X$2:$X$1775,"=q2_2026")</f>
        <v>65200</v>
      </c>
      <c r="H143" s="4">
        <f>SUMIFS('Opportunities'!$U$2:$U$1775,'Opportunities'!$C$2:$C$1775,"=r22",'Opportunities'!$P$2:$P$1775,"=1",'Opportunities'!$X$2:$X$1775,"=q3_2026")</f>
        <v>144500</v>
      </c>
      <c r="I143" s="4">
        <f>SUMIFS('Opportunities'!$U$2:$U$1775,'Opportunities'!$C$2:$C$1775,"=r22",'Opportunities'!$P$2:$P$1775,"=1",'Opportunities'!$X$2:$X$1775,"=q4_2026")</f>
        <v>0</v>
      </c>
    </row>
    <row r="144">
      <c r="A144" s="0" t="inlineStr">
        <is>
          <t xml:space="preserve">Extra contracted years × ACV</t>
        </is>
      </c>
      <c r="B144" s="0" t="inlineStr">
        <is>
          <t xml:space="preserve">Nikolai Park</t>
        </is>
      </c>
      <c r="C144" s="4">
        <f>SUMIFS('Opportunities'!$U$2:$U$1775,'Opportunities'!$C$2:$C$1775,"=r23",'Opportunities'!$P$2:$P$1775,"=1",'Opportunities'!$X$2:$X$1775,"=q2_2025")</f>
        <v>0</v>
      </c>
      <c r="D144" s="4">
        <f>SUMIFS('Opportunities'!$U$2:$U$1775,'Opportunities'!$C$2:$C$1775,"=r23",'Opportunities'!$P$2:$P$1775,"=1",'Opportunities'!$X$2:$X$1775,"=q3_2025")</f>
        <v>0</v>
      </c>
      <c r="E144" s="4">
        <f>SUMIFS('Opportunities'!$U$2:$U$1775,'Opportunities'!$C$2:$C$1775,"=r23",'Opportunities'!$P$2:$P$1775,"=1",'Opportunities'!$X$2:$X$1775,"=q4_2025")</f>
        <v>0</v>
      </c>
      <c r="F144" s="4">
        <f>SUMIFS('Opportunities'!$U$2:$U$1775,'Opportunities'!$C$2:$C$1775,"=r23",'Opportunities'!$P$2:$P$1775,"=1",'Opportunities'!$X$2:$X$1775,"=q1_2026")</f>
        <v>0</v>
      </c>
      <c r="G144" s="4">
        <f>SUMIFS('Opportunities'!$U$2:$U$1775,'Opportunities'!$C$2:$C$1775,"=r23",'Opportunities'!$P$2:$P$1775,"=1",'Opportunities'!$X$2:$X$1775,"=q2_2026")</f>
        <v>0</v>
      </c>
      <c r="H144" s="4">
        <f>SUMIFS('Opportunities'!$U$2:$U$1775,'Opportunities'!$C$2:$C$1775,"=r23",'Opportunities'!$P$2:$P$1775,"=1",'Opportunities'!$X$2:$X$1775,"=q3_2026")</f>
        <v>0</v>
      </c>
      <c r="I144" s="4">
        <f>SUMIFS('Opportunities'!$U$2:$U$1775,'Opportunities'!$C$2:$C$1775,"=r23",'Opportunities'!$P$2:$P$1775,"=1",'Opportunities'!$X$2:$X$1775,"=q4_2026")</f>
        <v>0</v>
      </c>
    </row>
    <row r="145">
      <c r="A145" s="0" t="inlineStr">
        <is>
          <t xml:space="preserve">Extra contracted years × ACV</t>
        </is>
      </c>
      <c r="B145" s="0" t="inlineStr">
        <is>
          <t xml:space="preserve">Ingrid Dubois</t>
        </is>
      </c>
      <c r="C145" s="4">
        <f>SUMIFS('Opportunities'!$U$2:$U$1775,'Opportunities'!$C$2:$C$1775,"=r24",'Opportunities'!$P$2:$P$1775,"=1",'Opportunities'!$X$2:$X$1775,"=q2_2025")</f>
        <v>0</v>
      </c>
      <c r="D145" s="4">
        <f>SUMIFS('Opportunities'!$U$2:$U$1775,'Opportunities'!$C$2:$C$1775,"=r24",'Opportunities'!$P$2:$P$1775,"=1",'Opportunities'!$X$2:$X$1775,"=q3_2025")</f>
        <v>0</v>
      </c>
      <c r="E145" s="4">
        <f>SUMIFS('Opportunities'!$U$2:$U$1775,'Opportunities'!$C$2:$C$1775,"=r24",'Opportunities'!$P$2:$P$1775,"=1",'Opportunities'!$X$2:$X$1775,"=q4_2025")</f>
        <v>0</v>
      </c>
      <c r="F145" s="4">
        <f>SUMIFS('Opportunities'!$U$2:$U$1775,'Opportunities'!$C$2:$C$1775,"=r24",'Opportunities'!$P$2:$P$1775,"=1",'Opportunities'!$X$2:$X$1775,"=q1_2026")</f>
        <v>0</v>
      </c>
      <c r="G145" s="4">
        <f>SUMIFS('Opportunities'!$U$2:$U$1775,'Opportunities'!$C$2:$C$1775,"=r24",'Opportunities'!$P$2:$P$1775,"=1",'Opportunities'!$X$2:$X$1775,"=q2_2026")</f>
        <v>0</v>
      </c>
      <c r="H145" s="4">
        <f>SUMIFS('Opportunities'!$U$2:$U$1775,'Opportunities'!$C$2:$C$1775,"=r24",'Opportunities'!$P$2:$P$1775,"=1",'Opportunities'!$X$2:$X$1775,"=q3_2026")</f>
        <v>0</v>
      </c>
      <c r="I145" s="4">
        <f>SUMIFS('Opportunities'!$U$2:$U$1775,'Opportunities'!$C$2:$C$1775,"=r24",'Opportunities'!$P$2:$P$1775,"=1",'Opportunities'!$X$2:$X$1775,"=q4_2026")</f>
        <v>0</v>
      </c>
    </row>
    <row r="146">
      <c r="A146" s="0" t="inlineStr">
        <is>
          <t xml:space="preserve">Multi-year kicker</t>
        </is>
      </c>
      <c r="B146" s="0" t="inlineStr">
        <is>
          <t xml:space="preserve">Noor Ortiz</t>
        </is>
      </c>
      <c r="C146" s="4">
        <f>(C122*'Plan parameters'!B4)</f>
        <v>0</v>
      </c>
      <c r="D146" s="4">
        <f>(D122*'Plan parameters'!B4)</f>
        <v>0</v>
      </c>
      <c r="E146" s="4">
        <f>(E122*'Plan parameters'!B4)</f>
        <v>3081</v>
      </c>
      <c r="F146" s="4">
        <f>(F122*'Plan parameters'!B4)</f>
        <v>8460</v>
      </c>
      <c r="G146" s="4">
        <f>(G122*'Plan parameters'!B4)</f>
        <v>5435</v>
      </c>
      <c r="H146" s="4">
        <f>(H122*'Plan parameters'!B4)</f>
        <v>768</v>
      </c>
      <c r="I146" s="4">
        <f>(I122*'Plan parameters'!B4)</f>
        <v>0</v>
      </c>
    </row>
    <row r="147">
      <c r="A147" s="0" t="inlineStr">
        <is>
          <t xml:space="preserve">Multi-year kicker</t>
        </is>
      </c>
      <c r="B147" s="0" t="inlineStr">
        <is>
          <t xml:space="preserve">Priya Yilmaz</t>
        </is>
      </c>
      <c r="C147" s="4">
        <f>(C123*'Plan parameters'!B4)</f>
        <v>0</v>
      </c>
      <c r="D147" s="4">
        <f>(D123*'Plan parameters'!B4)</f>
        <v>0</v>
      </c>
      <c r="E147" s="4">
        <f>(E123*'Plan parameters'!B4)</f>
        <v>0</v>
      </c>
      <c r="F147" s="4">
        <f>(F123*'Plan parameters'!B4)</f>
        <v>0</v>
      </c>
      <c r="G147" s="4">
        <f>(G123*'Plan parameters'!B4)</f>
        <v>0</v>
      </c>
      <c r="H147" s="4">
        <f>(H123*'Plan parameters'!B4)</f>
        <v>0</v>
      </c>
      <c r="I147" s="4">
        <f>(I123*'Plan parameters'!B4)</f>
        <v>0</v>
      </c>
    </row>
    <row r="148">
      <c r="A148" s="0" t="inlineStr">
        <is>
          <t xml:space="preserve">Multi-year kicker</t>
        </is>
      </c>
      <c r="B148" s="0" t="inlineStr">
        <is>
          <t xml:space="preserve">Marcus Schmidt</t>
        </is>
      </c>
      <c r="C148" s="4">
        <f>(C124*'Plan parameters'!B4)</f>
        <v>0</v>
      </c>
      <c r="D148" s="4">
        <f>(D124*'Plan parameters'!B4)</f>
        <v>0</v>
      </c>
      <c r="E148" s="4">
        <f>(E124*'Plan parameters'!B4)</f>
        <v>0</v>
      </c>
      <c r="F148" s="4">
        <f>(F124*'Plan parameters'!B4)</f>
        <v>1820</v>
      </c>
      <c r="G148" s="4">
        <f>(G124*'Plan parameters'!B4)</f>
        <v>862</v>
      </c>
      <c r="H148" s="4">
        <f>(H124*'Plan parameters'!B4)</f>
        <v>0</v>
      </c>
      <c r="I148" s="4">
        <f>(I124*'Plan parameters'!B4)</f>
        <v>0</v>
      </c>
    </row>
    <row r="149">
      <c r="A149" s="0" t="inlineStr">
        <is>
          <t xml:space="preserve">Multi-year kicker</t>
        </is>
      </c>
      <c r="B149" s="0" t="inlineStr">
        <is>
          <t xml:space="preserve">Amara Haddad</t>
        </is>
      </c>
      <c r="C149" s="4">
        <f>(C125*'Plan parameters'!B4)</f>
        <v>448</v>
      </c>
      <c r="D149" s="4">
        <f>(D125*'Plan parameters'!B4)</f>
        <v>327</v>
      </c>
      <c r="E149" s="4">
        <f>(E125*'Plan parameters'!B4)</f>
        <v>123</v>
      </c>
      <c r="F149" s="4">
        <f>(F125*'Plan parameters'!B4)</f>
        <v>504</v>
      </c>
      <c r="G149" s="4">
        <f>(G125*'Plan parameters'!B4)</f>
        <v>0</v>
      </c>
      <c r="H149" s="4">
        <f>(H125*'Plan parameters'!B4)</f>
        <v>0</v>
      </c>
      <c r="I149" s="4">
        <f>(I125*'Plan parameters'!B4)</f>
        <v>0</v>
      </c>
    </row>
    <row r="150">
      <c r="A150" s="0" t="inlineStr">
        <is>
          <t xml:space="preserve">Multi-year kicker</t>
        </is>
      </c>
      <c r="B150" s="0" t="inlineStr">
        <is>
          <t xml:space="preserve">Fatima Silva</t>
        </is>
      </c>
      <c r="C150" s="4">
        <f>(C126*'Plan parameters'!B4)</f>
        <v>328</v>
      </c>
      <c r="D150" s="4">
        <f>(D126*'Plan parameters'!B4)</f>
        <v>0</v>
      </c>
      <c r="E150" s="4">
        <f>(E126*'Plan parameters'!B4)</f>
        <v>98</v>
      </c>
      <c r="F150" s="4">
        <f>(F126*'Plan parameters'!B4)</f>
        <v>0</v>
      </c>
      <c r="G150" s="4">
        <f>(G126*'Plan parameters'!B4)</f>
        <v>305</v>
      </c>
      <c r="H150" s="4">
        <f>(H126*'Plan parameters'!B4)</f>
        <v>0</v>
      </c>
      <c r="I150" s="4">
        <f>(I126*'Plan parameters'!B4)</f>
        <v>0</v>
      </c>
    </row>
    <row r="151">
      <c r="A151" s="0" t="inlineStr">
        <is>
          <t xml:space="preserve">Multi-year kicker</t>
        </is>
      </c>
      <c r="B151" s="0" t="inlineStr">
        <is>
          <t xml:space="preserve">Ana Ortiz</t>
        </is>
      </c>
      <c r="C151" s="4">
        <f>(C127*'Plan parameters'!B4)</f>
        <v>0</v>
      </c>
      <c r="D151" s="4">
        <f>(D127*'Plan parameters'!B4)</f>
        <v>79</v>
      </c>
      <c r="E151" s="4">
        <f>(E127*'Plan parameters'!B4)</f>
        <v>0</v>
      </c>
      <c r="F151" s="4">
        <f>(F127*'Plan parameters'!B4)</f>
        <v>150</v>
      </c>
      <c r="G151" s="4">
        <f>(G127*'Plan parameters'!B4)</f>
        <v>210</v>
      </c>
      <c r="H151" s="4">
        <f>(H127*'Plan parameters'!B4)</f>
        <v>0</v>
      </c>
      <c r="I151" s="4">
        <f>(I127*'Plan parameters'!B4)</f>
        <v>0</v>
      </c>
    </row>
    <row r="152">
      <c r="A152" s="0" t="inlineStr">
        <is>
          <t xml:space="preserve">Multi-year kicker</t>
        </is>
      </c>
      <c r="B152" s="0" t="inlineStr">
        <is>
          <t xml:space="preserve">Tobias Silva</t>
        </is>
      </c>
      <c r="C152" s="4">
        <f>(C128*'Plan parameters'!B4)</f>
        <v>0</v>
      </c>
      <c r="D152" s="4">
        <f>(D128*'Plan parameters'!B4)</f>
        <v>1468</v>
      </c>
      <c r="E152" s="4">
        <f>(E128*'Plan parameters'!B4)</f>
        <v>0</v>
      </c>
      <c r="F152" s="4">
        <f>(F128*'Plan parameters'!B4)</f>
        <v>13870</v>
      </c>
      <c r="G152" s="4">
        <f>(G128*'Plan parameters'!B4)</f>
        <v>530</v>
      </c>
      <c r="H152" s="4">
        <f>(H128*'Plan parameters'!B4)</f>
        <v>5746</v>
      </c>
      <c r="I152" s="4">
        <f>(I128*'Plan parameters'!B4)</f>
        <v>0</v>
      </c>
    </row>
    <row r="153">
      <c r="A153" s="0" t="inlineStr">
        <is>
          <t xml:space="preserve">Multi-year kicker</t>
        </is>
      </c>
      <c r="B153" s="0" t="inlineStr">
        <is>
          <t xml:space="preserve">Leila Osei</t>
        </is>
      </c>
      <c r="C153" s="4">
        <f>(C129*'Plan parameters'!B4)</f>
        <v>0</v>
      </c>
      <c r="D153" s="4">
        <f>(D129*'Plan parameters'!B4)</f>
        <v>0</v>
      </c>
      <c r="E153" s="4">
        <f>(E129*'Plan parameters'!B4)</f>
        <v>0</v>
      </c>
      <c r="F153" s="4">
        <f>(F129*'Plan parameters'!B4)</f>
        <v>710</v>
      </c>
      <c r="G153" s="4">
        <f>(G129*'Plan parameters'!B4)</f>
        <v>5655</v>
      </c>
      <c r="H153" s="4">
        <f>(H129*'Plan parameters'!B4)</f>
        <v>9421</v>
      </c>
      <c r="I153" s="4">
        <f>(I129*'Plan parameters'!B4)</f>
        <v>0</v>
      </c>
    </row>
    <row r="154">
      <c r="A154" s="0" t="inlineStr">
        <is>
          <t xml:space="preserve">Multi-year kicker</t>
        </is>
      </c>
      <c r="B154" s="0" t="inlineStr">
        <is>
          <t xml:space="preserve">Grace Costa</t>
        </is>
      </c>
      <c r="C154" s="4">
        <f>(C130*'Plan parameters'!B4)</f>
        <v>198</v>
      </c>
      <c r="D154" s="4">
        <f>(D130*'Plan parameters'!B4)</f>
        <v>1157</v>
      </c>
      <c r="E154" s="4">
        <f>(E130*'Plan parameters'!B4)</f>
        <v>1234</v>
      </c>
      <c r="F154" s="4">
        <f>(F130*'Plan parameters'!B4)</f>
        <v>1438</v>
      </c>
      <c r="G154" s="4">
        <f>(G130*'Plan parameters'!B4)</f>
        <v>2793</v>
      </c>
      <c r="H154" s="4">
        <f>(H130*'Plan parameters'!B4)</f>
        <v>195</v>
      </c>
      <c r="I154" s="4">
        <f>(I130*'Plan parameters'!B4)</f>
        <v>0</v>
      </c>
    </row>
    <row r="155">
      <c r="A155" s="0" t="inlineStr">
        <is>
          <t xml:space="preserve">Multi-year kicker</t>
        </is>
      </c>
      <c r="B155" s="0" t="inlineStr">
        <is>
          <t xml:space="preserve">Ingrid Müller</t>
        </is>
      </c>
      <c r="C155" s="4">
        <f>(C131*'Plan parameters'!B4)</f>
        <v>0</v>
      </c>
      <c r="D155" s="4">
        <f>(D131*'Plan parameters'!B4)</f>
        <v>0</v>
      </c>
      <c r="E155" s="4">
        <f>(E131*'Plan parameters'!B4)</f>
        <v>0</v>
      </c>
      <c r="F155" s="4">
        <f>(F131*'Plan parameters'!B4)</f>
        <v>0</v>
      </c>
      <c r="G155" s="4">
        <f>(G131*'Plan parameters'!B4)</f>
        <v>752</v>
      </c>
      <c r="H155" s="4">
        <f>(H131*'Plan parameters'!B4)</f>
        <v>673</v>
      </c>
      <c r="I155" s="4">
        <f>(I131*'Plan parameters'!B4)</f>
        <v>0</v>
      </c>
    </row>
    <row r="156">
      <c r="A156" s="0" t="inlineStr">
        <is>
          <t xml:space="preserve">Multi-year kicker</t>
        </is>
      </c>
      <c r="B156" s="0" t="inlineStr">
        <is>
          <t xml:space="preserve">Ingrid Kim</t>
        </is>
      </c>
      <c r="C156" s="4">
        <f>(C132*'Plan parameters'!B4)</f>
        <v>0</v>
      </c>
      <c r="D156" s="4">
        <f>(D132*'Plan parameters'!B4)</f>
        <v>0</v>
      </c>
      <c r="E156" s="4">
        <f>(E132*'Plan parameters'!B4)</f>
        <v>0</v>
      </c>
      <c r="F156" s="4">
        <f>(F132*'Plan parameters'!B4)</f>
        <v>411</v>
      </c>
      <c r="G156" s="4">
        <f>(G132*'Plan parameters'!B4)</f>
        <v>205</v>
      </c>
      <c r="H156" s="4">
        <f>(H132*'Plan parameters'!B4)</f>
        <v>0</v>
      </c>
      <c r="I156" s="4">
        <f>(I132*'Plan parameters'!B4)</f>
        <v>0</v>
      </c>
    </row>
    <row r="157">
      <c r="A157" s="0" t="inlineStr">
        <is>
          <t xml:space="preserve">Multi-year kicker</t>
        </is>
      </c>
      <c r="B157" s="0" t="inlineStr">
        <is>
          <t xml:space="preserve">Priya Nair</t>
        </is>
      </c>
      <c r="C157" s="4">
        <f>(C133*'Plan parameters'!B4)</f>
        <v>0</v>
      </c>
      <c r="D157" s="4">
        <f>(D133*'Plan parameters'!B4)</f>
        <v>105</v>
      </c>
      <c r="E157" s="4">
        <f>(E133*'Plan parameters'!B4)</f>
        <v>0</v>
      </c>
      <c r="F157" s="4">
        <f>(F133*'Plan parameters'!B4)</f>
        <v>64</v>
      </c>
      <c r="G157" s="4">
        <f>(G133*'Plan parameters'!B4)</f>
        <v>0</v>
      </c>
      <c r="H157" s="4">
        <f>(H133*'Plan parameters'!B4)</f>
        <v>132</v>
      </c>
      <c r="I157" s="4">
        <f>(I133*'Plan parameters'!B4)</f>
        <v>0</v>
      </c>
    </row>
    <row r="158">
      <c r="A158" s="0" t="inlineStr">
        <is>
          <t xml:space="preserve">Multi-year kicker</t>
        </is>
      </c>
      <c r="B158" s="0" t="inlineStr">
        <is>
          <t xml:space="preserve">Hugo Lindqvist</t>
        </is>
      </c>
      <c r="C158" s="4">
        <f>(C134*'Plan parameters'!B4)</f>
        <v>0</v>
      </c>
      <c r="D158" s="4">
        <f>(D134*'Plan parameters'!B4)</f>
        <v>1458</v>
      </c>
      <c r="E158" s="4">
        <f>(E134*'Plan parameters'!B4)</f>
        <v>2945</v>
      </c>
      <c r="F158" s="4">
        <f>(F134*'Plan parameters'!B4)</f>
        <v>5433</v>
      </c>
      <c r="G158" s="4">
        <f>(G134*'Plan parameters'!B4)</f>
        <v>2779</v>
      </c>
      <c r="H158" s="4">
        <f>(H134*'Plan parameters'!B4)</f>
        <v>7532</v>
      </c>
      <c r="I158" s="4">
        <f>(I134*'Plan parameters'!B4)</f>
        <v>0</v>
      </c>
    </row>
    <row r="159">
      <c r="A159" s="0" t="inlineStr">
        <is>
          <t xml:space="preserve">Multi-year kicker</t>
        </is>
      </c>
      <c r="B159" s="0" t="inlineStr">
        <is>
          <t xml:space="preserve">Wei Novak</t>
        </is>
      </c>
      <c r="C159" s="4">
        <f>(C135*'Plan parameters'!B4)</f>
        <v>0</v>
      </c>
      <c r="D159" s="4">
        <f>(D135*'Plan parameters'!B4)</f>
        <v>0</v>
      </c>
      <c r="E159" s="4">
        <f>(E135*'Plan parameters'!B4)</f>
        <v>0</v>
      </c>
      <c r="F159" s="4">
        <f>(F135*'Plan parameters'!B4)</f>
        <v>456</v>
      </c>
      <c r="G159" s="4">
        <f>(G135*'Plan parameters'!B4)</f>
        <v>0</v>
      </c>
      <c r="H159" s="4">
        <f>(H135*'Plan parameters'!B4)</f>
        <v>0</v>
      </c>
      <c r="I159" s="4">
        <f>(I135*'Plan parameters'!B4)</f>
        <v>0</v>
      </c>
    </row>
    <row r="160">
      <c r="A160" s="0" t="inlineStr">
        <is>
          <t xml:space="preserve">Multi-year kicker</t>
        </is>
      </c>
      <c r="B160" s="0" t="inlineStr">
        <is>
          <t xml:space="preserve">Nikolai Kim</t>
        </is>
      </c>
      <c r="C160" s="4">
        <f>(C136*'Plan parameters'!B4)</f>
        <v>669</v>
      </c>
      <c r="D160" s="4">
        <f>(D136*'Plan parameters'!B4)</f>
        <v>4236</v>
      </c>
      <c r="E160" s="4">
        <f>(E136*'Plan parameters'!B4)</f>
        <v>0</v>
      </c>
      <c r="F160" s="4">
        <f>(F136*'Plan parameters'!B4)</f>
        <v>0</v>
      </c>
      <c r="G160" s="4">
        <f>(G136*'Plan parameters'!B4)</f>
        <v>529</v>
      </c>
      <c r="H160" s="4">
        <f>(H136*'Plan parameters'!B4)</f>
        <v>125</v>
      </c>
      <c r="I160" s="4">
        <f>(I136*'Plan parameters'!B4)</f>
        <v>0</v>
      </c>
    </row>
    <row r="161">
      <c r="A161" s="0" t="inlineStr">
        <is>
          <t xml:space="preserve">Multi-year kicker</t>
        </is>
      </c>
      <c r="B161" s="0" t="inlineStr">
        <is>
          <t xml:space="preserve">Wei Nair</t>
        </is>
      </c>
      <c r="C161" s="4">
        <f>(C137*'Plan parameters'!B4)</f>
        <v>0</v>
      </c>
      <c r="D161" s="4">
        <f>(D137*'Plan parameters'!B4)</f>
        <v>255</v>
      </c>
      <c r="E161" s="4">
        <f>(E137*'Plan parameters'!B4)</f>
        <v>0</v>
      </c>
      <c r="F161" s="4">
        <f>(F137*'Plan parameters'!B4)</f>
        <v>863</v>
      </c>
      <c r="G161" s="4">
        <f>(G137*'Plan parameters'!B4)</f>
        <v>354</v>
      </c>
      <c r="H161" s="4">
        <f>(H137*'Plan parameters'!B4)</f>
        <v>704</v>
      </c>
      <c r="I161" s="4">
        <f>(I137*'Plan parameters'!B4)</f>
        <v>0</v>
      </c>
    </row>
    <row r="162">
      <c r="A162" s="0" t="inlineStr">
        <is>
          <t xml:space="preserve">Multi-year kicker</t>
        </is>
      </c>
      <c r="B162" s="0" t="inlineStr">
        <is>
          <t xml:space="preserve">Liam Silva</t>
        </is>
      </c>
      <c r="C162" s="4">
        <f>(C138*'Plan parameters'!B4)</f>
        <v>0</v>
      </c>
      <c r="D162" s="4">
        <f>(D138*'Plan parameters'!B4)</f>
        <v>0</v>
      </c>
      <c r="E162" s="4">
        <f>(E138*'Plan parameters'!B4)</f>
        <v>0</v>
      </c>
      <c r="F162" s="4">
        <f>(F138*'Plan parameters'!B4)</f>
        <v>217</v>
      </c>
      <c r="G162" s="4">
        <f>(G138*'Plan parameters'!B4)</f>
        <v>0</v>
      </c>
      <c r="H162" s="4">
        <f>(H138*'Plan parameters'!B4)</f>
        <v>0</v>
      </c>
      <c r="I162" s="4">
        <f>(I138*'Plan parameters'!B4)</f>
        <v>0</v>
      </c>
    </row>
    <row r="163">
      <c r="A163" s="0" t="inlineStr">
        <is>
          <t xml:space="preserve">Multi-year kicker</t>
        </is>
      </c>
      <c r="B163" s="0" t="inlineStr">
        <is>
          <t xml:space="preserve">Samuel Silva</t>
        </is>
      </c>
      <c r="C163" s="4">
        <f>(C139*'Plan parameters'!B4)</f>
        <v>0</v>
      </c>
      <c r="D163" s="4">
        <f>(D139*'Plan parameters'!B4)</f>
        <v>0</v>
      </c>
      <c r="E163" s="4">
        <f>(E139*'Plan parameters'!B4)</f>
        <v>0</v>
      </c>
      <c r="F163" s="4">
        <f>(F139*'Plan parameters'!B4)</f>
        <v>0</v>
      </c>
      <c r="G163" s="4">
        <f>(G139*'Plan parameters'!B4)</f>
        <v>514</v>
      </c>
      <c r="H163" s="4">
        <f>(H139*'Plan parameters'!B4)</f>
        <v>0</v>
      </c>
      <c r="I163" s="4">
        <f>(I139*'Plan parameters'!B4)</f>
        <v>0</v>
      </c>
    </row>
    <row r="164">
      <c r="A164" s="0" t="inlineStr">
        <is>
          <t xml:space="preserve">Multi-year kicker</t>
        </is>
      </c>
      <c r="B164" s="0" t="inlineStr">
        <is>
          <t xml:space="preserve">Yuki Larsen</t>
        </is>
      </c>
      <c r="C164" s="4">
        <f>(C140*'Plan parameters'!B4)</f>
        <v>0</v>
      </c>
      <c r="D164" s="4">
        <f>(D140*'Plan parameters'!B4)</f>
        <v>2305</v>
      </c>
      <c r="E164" s="4">
        <f>(E140*'Plan parameters'!B4)</f>
        <v>0</v>
      </c>
      <c r="F164" s="4">
        <f>(F140*'Plan parameters'!B4)</f>
        <v>0</v>
      </c>
      <c r="G164" s="4">
        <f>(G140*'Plan parameters'!B4)</f>
        <v>0</v>
      </c>
      <c r="H164" s="4">
        <f>(H140*'Plan parameters'!B4)</f>
        <v>1576</v>
      </c>
      <c r="I164" s="4">
        <f>(I140*'Plan parameters'!B4)</f>
        <v>0</v>
      </c>
    </row>
    <row r="165">
      <c r="A165" s="0" t="inlineStr">
        <is>
          <t xml:space="preserve">Multi-year kicker</t>
        </is>
      </c>
      <c r="B165" s="0" t="inlineStr">
        <is>
          <t xml:space="preserve">Nikolai Sato</t>
        </is>
      </c>
      <c r="C165" s="4">
        <f>(C141*'Plan parameters'!B4)</f>
        <v>997</v>
      </c>
      <c r="D165" s="4">
        <f>(D141*'Plan parameters'!B4)</f>
        <v>4177</v>
      </c>
      <c r="E165" s="4">
        <f>(E141*'Plan parameters'!B4)</f>
        <v>643</v>
      </c>
      <c r="F165" s="4">
        <f>(F141*'Plan parameters'!B4)</f>
        <v>898</v>
      </c>
      <c r="G165" s="4">
        <f>(G141*'Plan parameters'!B4)</f>
        <v>0</v>
      </c>
      <c r="H165" s="4">
        <f>(H141*'Plan parameters'!B4)</f>
        <v>1034</v>
      </c>
      <c r="I165" s="4">
        <f>(I141*'Plan parameters'!B4)</f>
        <v>0</v>
      </c>
    </row>
    <row r="166">
      <c r="A166" s="0" t="inlineStr">
        <is>
          <t xml:space="preserve">Multi-year kicker</t>
        </is>
      </c>
      <c r="B166" s="0" t="inlineStr">
        <is>
          <t xml:space="preserve">Elena Silva</t>
        </is>
      </c>
      <c r="C166" s="4">
        <f>(C142*'Plan parameters'!B4)</f>
        <v>915</v>
      </c>
      <c r="D166" s="4">
        <f>(D142*'Plan parameters'!B4)</f>
        <v>385</v>
      </c>
      <c r="E166" s="4">
        <f>(E142*'Plan parameters'!B4)</f>
        <v>736</v>
      </c>
      <c r="F166" s="4">
        <f>(F142*'Plan parameters'!B4)</f>
        <v>0</v>
      </c>
      <c r="G166" s="4">
        <f>(G142*'Plan parameters'!B4)</f>
        <v>0</v>
      </c>
      <c r="H166" s="4">
        <f>(H142*'Plan parameters'!B4)</f>
        <v>625</v>
      </c>
      <c r="I166" s="4">
        <f>(I142*'Plan parameters'!B4)</f>
        <v>0</v>
      </c>
    </row>
    <row r="167">
      <c r="A167" s="0" t="inlineStr">
        <is>
          <t xml:space="preserve">Multi-year kicker</t>
        </is>
      </c>
      <c r="B167" s="0" t="inlineStr">
        <is>
          <t xml:space="preserve">Arjun Müller</t>
        </is>
      </c>
      <c r="C167" s="4">
        <f>(C143*'Plan parameters'!B4)</f>
        <v>0</v>
      </c>
      <c r="D167" s="4">
        <f>(D143*'Plan parameters'!B4)</f>
        <v>0</v>
      </c>
      <c r="E167" s="4">
        <f>(E143*'Plan parameters'!B4)</f>
        <v>1495</v>
      </c>
      <c r="F167" s="4">
        <f>(F143*'Plan parameters'!B4)</f>
        <v>0</v>
      </c>
      <c r="G167" s="4">
        <f>(G143*'Plan parameters'!B4)</f>
        <v>652</v>
      </c>
      <c r="H167" s="4">
        <f>(H143*'Plan parameters'!B4)</f>
        <v>1445</v>
      </c>
      <c r="I167" s="4">
        <f>(I143*'Plan parameters'!B4)</f>
        <v>0</v>
      </c>
    </row>
    <row r="168">
      <c r="A168" s="0" t="inlineStr">
        <is>
          <t xml:space="preserve">Multi-year kicker</t>
        </is>
      </c>
      <c r="B168" s="0" t="inlineStr">
        <is>
          <t xml:space="preserve">Nikolai Park</t>
        </is>
      </c>
      <c r="C168" s="4">
        <f>(C144*'Plan parameters'!B4)</f>
        <v>0</v>
      </c>
      <c r="D168" s="4">
        <f>(D144*'Plan parameters'!B4)</f>
        <v>0</v>
      </c>
      <c r="E168" s="4">
        <f>(E144*'Plan parameters'!B4)</f>
        <v>0</v>
      </c>
      <c r="F168" s="4">
        <f>(F144*'Plan parameters'!B4)</f>
        <v>0</v>
      </c>
      <c r="G168" s="4">
        <f>(G144*'Plan parameters'!B4)</f>
        <v>0</v>
      </c>
      <c r="H168" s="4">
        <f>(H144*'Plan parameters'!B4)</f>
        <v>0</v>
      </c>
      <c r="I168" s="4">
        <f>(I144*'Plan parameters'!B4)</f>
        <v>0</v>
      </c>
    </row>
    <row r="169">
      <c r="A169" s="0" t="inlineStr">
        <is>
          <t xml:space="preserve">Multi-year kicker</t>
        </is>
      </c>
      <c r="B169" s="0" t="inlineStr">
        <is>
          <t xml:space="preserve">Ingrid Dubois</t>
        </is>
      </c>
      <c r="C169" s="4">
        <f>(C145*'Plan parameters'!B4)</f>
        <v>0</v>
      </c>
      <c r="D169" s="4">
        <f>(D145*'Plan parameters'!B4)</f>
        <v>0</v>
      </c>
      <c r="E169" s="4">
        <f>(E145*'Plan parameters'!B4)</f>
        <v>0</v>
      </c>
      <c r="F169" s="4">
        <f>(F145*'Plan parameters'!B4)</f>
        <v>0</v>
      </c>
      <c r="G169" s="4">
        <f>(G145*'Plan parameters'!B4)</f>
        <v>0</v>
      </c>
      <c r="H169" s="4">
        <f>(H145*'Plan parameters'!B4)</f>
        <v>0</v>
      </c>
      <c r="I169" s="4">
        <f>(I145*'Plan parameters'!B4)</f>
        <v>0</v>
      </c>
    </row>
    <row r="170">
      <c r="A170" s="0" t="inlineStr">
        <is>
          <t xml:space="preserve">Security add-on deals (SPIFF)</t>
        </is>
      </c>
      <c r="B170" s="0" t="inlineStr">
        <is>
          <t xml:space="preserve">Noor Ortiz</t>
        </is>
      </c>
      <c r="C170" s="4">
        <f>(COUNTIFS('Opportunities'!$C$2:$C$1775,"=r01",'Opportunities'!$P$2:$P$1775,"=1",'Opportunities'!$J$2:$J$1775,"=1",'Opportunities'!$X$2:$X$1775,"=q2_2025",'Opportunities'!$H$2:$H$1775,"&lt;&gt;")*0)</f>
        <v>0</v>
      </c>
      <c r="D170" s="4">
        <f>(COUNTIFS('Opportunities'!$C$2:$C$1775,"=r01",'Opportunities'!$P$2:$P$1775,"=1",'Opportunities'!$J$2:$J$1775,"=1",'Opportunities'!$X$2:$X$1775,"=q3_2025",'Opportunities'!$H$2:$H$1775,"&lt;&gt;")*0)</f>
        <v>0</v>
      </c>
      <c r="E170" s="4">
        <f>(COUNTIFS('Opportunities'!$C$2:$C$1775,"=r01",'Opportunities'!$P$2:$P$1775,"=1",'Opportunities'!$J$2:$J$1775,"=1",'Opportunities'!$X$2:$X$1775,"=q4_2025",'Opportunities'!$H$2:$H$1775,"&lt;&gt;")*0)</f>
        <v>0</v>
      </c>
      <c r="F170" s="4">
        <f>(COUNTIFS('Opportunities'!$C$2:$C$1775,"=r01",'Opportunities'!$P$2:$P$1775,"=1",'Opportunities'!$J$2:$J$1775,"=1",'Opportunities'!$X$2:$X$1775,"=q1_2026",'Opportunities'!$H$2:$H$1775,"&lt;&gt;")*0)</f>
        <v>0</v>
      </c>
      <c r="G170" s="4">
        <f>(COUNTIFS('Opportunities'!$C$2:$C$1775,"=r01",'Opportunities'!$P$2:$P$1775,"=1",'Opportunities'!$J$2:$J$1775,"=1",'Opportunities'!$X$2:$X$1775,"=q2_2026",'Opportunities'!$H$2:$H$1775,"&lt;&gt;")*0)</f>
        <v>0</v>
      </c>
      <c r="H170" s="4">
        <f>(COUNTIFS('Opportunities'!$C$2:$C$1775,"=r01",'Opportunities'!$P$2:$P$1775,"=1",'Opportunities'!$J$2:$J$1775,"=1",'Opportunities'!$X$2:$X$1775,"=q3_2026",'Opportunities'!$H$2:$H$1775,"&lt;&gt;")*1)</f>
        <v>0</v>
      </c>
      <c r="I170" s="4">
        <f>(COUNTIFS('Opportunities'!$C$2:$C$1775,"=r01",'Opportunities'!$P$2:$P$1775,"=1",'Opportunities'!$J$2:$J$1775,"=1",'Opportunities'!$X$2:$X$1775,"=q4_2026",'Opportunities'!$H$2:$H$1775,"&lt;&gt;")*0)</f>
        <v>0</v>
      </c>
    </row>
    <row r="171">
      <c r="A171" s="0" t="inlineStr">
        <is>
          <t xml:space="preserve">Security add-on deals (SPIFF)</t>
        </is>
      </c>
      <c r="B171" s="0" t="inlineStr">
        <is>
          <t xml:space="preserve">Priya Yilmaz</t>
        </is>
      </c>
      <c r="C171" s="4">
        <f>(COUNTIFS('Opportunities'!$C$2:$C$1775,"=r02",'Opportunities'!$P$2:$P$1775,"=1",'Opportunities'!$J$2:$J$1775,"=1",'Opportunities'!$X$2:$X$1775,"=q2_2025",'Opportunities'!$H$2:$H$1775,"&lt;&gt;")*0)</f>
        <v>0</v>
      </c>
      <c r="D171" s="4">
        <f>(COUNTIFS('Opportunities'!$C$2:$C$1775,"=r02",'Opportunities'!$P$2:$P$1775,"=1",'Opportunities'!$J$2:$J$1775,"=1",'Opportunities'!$X$2:$X$1775,"=q3_2025",'Opportunities'!$H$2:$H$1775,"&lt;&gt;")*0)</f>
        <v>0</v>
      </c>
      <c r="E171" s="4">
        <f>(COUNTIFS('Opportunities'!$C$2:$C$1775,"=r02",'Opportunities'!$P$2:$P$1775,"=1",'Opportunities'!$J$2:$J$1775,"=1",'Opportunities'!$X$2:$X$1775,"=q4_2025",'Opportunities'!$H$2:$H$1775,"&lt;&gt;")*0)</f>
        <v>0</v>
      </c>
      <c r="F171" s="4">
        <f>(COUNTIFS('Opportunities'!$C$2:$C$1775,"=r02",'Opportunities'!$P$2:$P$1775,"=1",'Opportunities'!$J$2:$J$1775,"=1",'Opportunities'!$X$2:$X$1775,"=q1_2026",'Opportunities'!$H$2:$H$1775,"&lt;&gt;")*0)</f>
        <v>0</v>
      </c>
      <c r="G171" s="4">
        <f>(COUNTIFS('Opportunities'!$C$2:$C$1775,"=r02",'Opportunities'!$P$2:$P$1775,"=1",'Opportunities'!$J$2:$J$1775,"=1",'Opportunities'!$X$2:$X$1775,"=q2_2026",'Opportunities'!$H$2:$H$1775,"&lt;&gt;")*0)</f>
        <v>0</v>
      </c>
      <c r="H171" s="4">
        <f>(COUNTIFS('Opportunities'!$C$2:$C$1775,"=r02",'Opportunities'!$P$2:$P$1775,"=1",'Opportunities'!$J$2:$J$1775,"=1",'Opportunities'!$X$2:$X$1775,"=q3_2026",'Opportunities'!$H$2:$H$1775,"&lt;&gt;")*1)</f>
        <v>0</v>
      </c>
      <c r="I171" s="4">
        <f>(COUNTIFS('Opportunities'!$C$2:$C$1775,"=r02",'Opportunities'!$P$2:$P$1775,"=1",'Opportunities'!$J$2:$J$1775,"=1",'Opportunities'!$X$2:$X$1775,"=q4_2026",'Opportunities'!$H$2:$H$1775,"&lt;&gt;")*0)</f>
        <v>0</v>
      </c>
    </row>
    <row r="172">
      <c r="A172" s="0" t="inlineStr">
        <is>
          <t xml:space="preserve">Security add-on deals (SPIFF)</t>
        </is>
      </c>
      <c r="B172" s="0" t="inlineStr">
        <is>
          <t xml:space="preserve">Marcus Schmidt</t>
        </is>
      </c>
      <c r="C172" s="4">
        <f>(COUNTIFS('Opportunities'!$C$2:$C$1775,"=r03",'Opportunities'!$P$2:$P$1775,"=1",'Opportunities'!$J$2:$J$1775,"=1",'Opportunities'!$X$2:$X$1775,"=q2_2025",'Opportunities'!$H$2:$H$1775,"&lt;&gt;")*0)</f>
        <v>0</v>
      </c>
      <c r="D172" s="4">
        <f>(COUNTIFS('Opportunities'!$C$2:$C$1775,"=r03",'Opportunities'!$P$2:$P$1775,"=1",'Opportunities'!$J$2:$J$1775,"=1",'Opportunities'!$X$2:$X$1775,"=q3_2025",'Opportunities'!$H$2:$H$1775,"&lt;&gt;")*0)</f>
        <v>0</v>
      </c>
      <c r="E172" s="4">
        <f>(COUNTIFS('Opportunities'!$C$2:$C$1775,"=r03",'Opportunities'!$P$2:$P$1775,"=1",'Opportunities'!$J$2:$J$1775,"=1",'Opportunities'!$X$2:$X$1775,"=q4_2025",'Opportunities'!$H$2:$H$1775,"&lt;&gt;")*0)</f>
        <v>0</v>
      </c>
      <c r="F172" s="4">
        <f>(COUNTIFS('Opportunities'!$C$2:$C$1775,"=r03",'Opportunities'!$P$2:$P$1775,"=1",'Opportunities'!$J$2:$J$1775,"=1",'Opportunities'!$X$2:$X$1775,"=q1_2026",'Opportunities'!$H$2:$H$1775,"&lt;&gt;")*0)</f>
        <v>0</v>
      </c>
      <c r="G172" s="4">
        <f>(COUNTIFS('Opportunities'!$C$2:$C$1775,"=r03",'Opportunities'!$P$2:$P$1775,"=1",'Opportunities'!$J$2:$J$1775,"=1",'Opportunities'!$X$2:$X$1775,"=q2_2026",'Opportunities'!$H$2:$H$1775,"&lt;&gt;")*0)</f>
        <v>0</v>
      </c>
      <c r="H172" s="4">
        <f>(COUNTIFS('Opportunities'!$C$2:$C$1775,"=r03",'Opportunities'!$P$2:$P$1775,"=1",'Opportunities'!$J$2:$J$1775,"=1",'Opportunities'!$X$2:$X$1775,"=q3_2026",'Opportunities'!$H$2:$H$1775,"&lt;&gt;")*1)</f>
        <v>0</v>
      </c>
      <c r="I172" s="4">
        <f>(COUNTIFS('Opportunities'!$C$2:$C$1775,"=r03",'Opportunities'!$P$2:$P$1775,"=1",'Opportunities'!$J$2:$J$1775,"=1",'Opportunities'!$X$2:$X$1775,"=q4_2026",'Opportunities'!$H$2:$H$1775,"&lt;&gt;")*0)</f>
        <v>0</v>
      </c>
    </row>
    <row r="173">
      <c r="A173" s="0" t="inlineStr">
        <is>
          <t xml:space="preserve">Security add-on deals (SPIFF)</t>
        </is>
      </c>
      <c r="B173" s="0" t="inlineStr">
        <is>
          <t xml:space="preserve">Amara Haddad</t>
        </is>
      </c>
      <c r="C173" s="4">
        <f>(COUNTIFS('Opportunities'!$C$2:$C$1775,"=r04",'Opportunities'!$P$2:$P$1775,"=1",'Opportunities'!$J$2:$J$1775,"=1",'Opportunities'!$X$2:$X$1775,"=q2_2025",'Opportunities'!$H$2:$H$1775,"&lt;&gt;")*0)</f>
        <v>0</v>
      </c>
      <c r="D173" s="4">
        <f>(COUNTIFS('Opportunities'!$C$2:$C$1775,"=r04",'Opportunities'!$P$2:$P$1775,"=1",'Opportunities'!$J$2:$J$1775,"=1",'Opportunities'!$X$2:$X$1775,"=q3_2025",'Opportunities'!$H$2:$H$1775,"&lt;&gt;")*0)</f>
        <v>0</v>
      </c>
      <c r="E173" s="4">
        <f>(COUNTIFS('Opportunities'!$C$2:$C$1775,"=r04",'Opportunities'!$P$2:$P$1775,"=1",'Opportunities'!$J$2:$J$1775,"=1",'Opportunities'!$X$2:$X$1775,"=q4_2025",'Opportunities'!$H$2:$H$1775,"&lt;&gt;")*0)</f>
        <v>0</v>
      </c>
      <c r="F173" s="4">
        <f>(COUNTIFS('Opportunities'!$C$2:$C$1775,"=r04",'Opportunities'!$P$2:$P$1775,"=1",'Opportunities'!$J$2:$J$1775,"=1",'Opportunities'!$X$2:$X$1775,"=q1_2026",'Opportunities'!$H$2:$H$1775,"&lt;&gt;")*0)</f>
        <v>0</v>
      </c>
      <c r="G173" s="4">
        <f>(COUNTIFS('Opportunities'!$C$2:$C$1775,"=r04",'Opportunities'!$P$2:$P$1775,"=1",'Opportunities'!$J$2:$J$1775,"=1",'Opportunities'!$X$2:$X$1775,"=q2_2026",'Opportunities'!$H$2:$H$1775,"&lt;&gt;")*0)</f>
        <v>0</v>
      </c>
      <c r="H173" s="4">
        <f>(COUNTIFS('Opportunities'!$C$2:$C$1775,"=r04",'Opportunities'!$P$2:$P$1775,"=1",'Opportunities'!$J$2:$J$1775,"=1",'Opportunities'!$X$2:$X$1775,"=q3_2026",'Opportunities'!$H$2:$H$1775,"&lt;&gt;")*1)</f>
        <v>0</v>
      </c>
      <c r="I173" s="4">
        <f>(COUNTIFS('Opportunities'!$C$2:$C$1775,"=r04",'Opportunities'!$P$2:$P$1775,"=1",'Opportunities'!$J$2:$J$1775,"=1",'Opportunities'!$X$2:$X$1775,"=q4_2026",'Opportunities'!$H$2:$H$1775,"&lt;&gt;")*0)</f>
        <v>0</v>
      </c>
    </row>
    <row r="174">
      <c r="A174" s="0" t="inlineStr">
        <is>
          <t xml:space="preserve">Security add-on deals (SPIFF)</t>
        </is>
      </c>
      <c r="B174" s="0" t="inlineStr">
        <is>
          <t xml:space="preserve">Fatima Silva</t>
        </is>
      </c>
      <c r="C174" s="4">
        <f>(COUNTIFS('Opportunities'!$C$2:$C$1775,"=r05",'Opportunities'!$P$2:$P$1775,"=1",'Opportunities'!$J$2:$J$1775,"=1",'Opportunities'!$X$2:$X$1775,"=q2_2025",'Opportunities'!$H$2:$H$1775,"&lt;&gt;")*0)</f>
        <v>0</v>
      </c>
      <c r="D174" s="4">
        <f>(COUNTIFS('Opportunities'!$C$2:$C$1775,"=r05",'Opportunities'!$P$2:$P$1775,"=1",'Opportunities'!$J$2:$J$1775,"=1",'Opportunities'!$X$2:$X$1775,"=q3_2025",'Opportunities'!$H$2:$H$1775,"&lt;&gt;")*0)</f>
        <v>0</v>
      </c>
      <c r="E174" s="4">
        <f>(COUNTIFS('Opportunities'!$C$2:$C$1775,"=r05",'Opportunities'!$P$2:$P$1775,"=1",'Opportunities'!$J$2:$J$1775,"=1",'Opportunities'!$X$2:$X$1775,"=q4_2025",'Opportunities'!$H$2:$H$1775,"&lt;&gt;")*0)</f>
        <v>0</v>
      </c>
      <c r="F174" s="4">
        <f>(COUNTIFS('Opportunities'!$C$2:$C$1775,"=r05",'Opportunities'!$P$2:$P$1775,"=1",'Opportunities'!$J$2:$J$1775,"=1",'Opportunities'!$X$2:$X$1775,"=q1_2026",'Opportunities'!$H$2:$H$1775,"&lt;&gt;")*0)</f>
        <v>0</v>
      </c>
      <c r="G174" s="4">
        <f>(COUNTIFS('Opportunities'!$C$2:$C$1775,"=r05",'Opportunities'!$P$2:$P$1775,"=1",'Opportunities'!$J$2:$J$1775,"=1",'Opportunities'!$X$2:$X$1775,"=q2_2026",'Opportunities'!$H$2:$H$1775,"&lt;&gt;")*0)</f>
        <v>0</v>
      </c>
      <c r="H174" s="4">
        <f>(COUNTIFS('Opportunities'!$C$2:$C$1775,"=r05",'Opportunities'!$P$2:$P$1775,"=1",'Opportunities'!$J$2:$J$1775,"=1",'Opportunities'!$X$2:$X$1775,"=q3_2026",'Opportunities'!$H$2:$H$1775,"&lt;&gt;")*1)</f>
        <v>3</v>
      </c>
      <c r="I174" s="4">
        <f>(COUNTIFS('Opportunities'!$C$2:$C$1775,"=r05",'Opportunities'!$P$2:$P$1775,"=1",'Opportunities'!$J$2:$J$1775,"=1",'Opportunities'!$X$2:$X$1775,"=q4_2026",'Opportunities'!$H$2:$H$1775,"&lt;&gt;")*0)</f>
        <v>0</v>
      </c>
    </row>
    <row r="175">
      <c r="A175" s="0" t="inlineStr">
        <is>
          <t xml:space="preserve">Security add-on deals (SPIFF)</t>
        </is>
      </c>
      <c r="B175" s="0" t="inlineStr">
        <is>
          <t xml:space="preserve">Ana Ortiz</t>
        </is>
      </c>
      <c r="C175" s="4">
        <f>(COUNTIFS('Opportunities'!$C$2:$C$1775,"=r06",'Opportunities'!$P$2:$P$1775,"=1",'Opportunities'!$J$2:$J$1775,"=1",'Opportunities'!$X$2:$X$1775,"=q2_2025",'Opportunities'!$H$2:$H$1775,"&lt;&gt;")*0)</f>
        <v>0</v>
      </c>
      <c r="D175" s="4">
        <f>(COUNTIFS('Opportunities'!$C$2:$C$1775,"=r06",'Opportunities'!$P$2:$P$1775,"=1",'Opportunities'!$J$2:$J$1775,"=1",'Opportunities'!$X$2:$X$1775,"=q3_2025",'Opportunities'!$H$2:$H$1775,"&lt;&gt;")*0)</f>
        <v>0</v>
      </c>
      <c r="E175" s="4">
        <f>(COUNTIFS('Opportunities'!$C$2:$C$1775,"=r06",'Opportunities'!$P$2:$P$1775,"=1",'Opportunities'!$J$2:$J$1775,"=1",'Opportunities'!$X$2:$X$1775,"=q4_2025",'Opportunities'!$H$2:$H$1775,"&lt;&gt;")*0)</f>
        <v>0</v>
      </c>
      <c r="F175" s="4">
        <f>(COUNTIFS('Opportunities'!$C$2:$C$1775,"=r06",'Opportunities'!$P$2:$P$1775,"=1",'Opportunities'!$J$2:$J$1775,"=1",'Opportunities'!$X$2:$X$1775,"=q1_2026",'Opportunities'!$H$2:$H$1775,"&lt;&gt;")*0)</f>
        <v>0</v>
      </c>
      <c r="G175" s="4">
        <f>(COUNTIFS('Opportunities'!$C$2:$C$1775,"=r06",'Opportunities'!$P$2:$P$1775,"=1",'Opportunities'!$J$2:$J$1775,"=1",'Opportunities'!$X$2:$X$1775,"=q2_2026",'Opportunities'!$H$2:$H$1775,"&lt;&gt;")*0)</f>
        <v>0</v>
      </c>
      <c r="H175" s="4">
        <f>(COUNTIFS('Opportunities'!$C$2:$C$1775,"=r06",'Opportunities'!$P$2:$P$1775,"=1",'Opportunities'!$J$2:$J$1775,"=1",'Opportunities'!$X$2:$X$1775,"=q3_2026",'Opportunities'!$H$2:$H$1775,"&lt;&gt;")*1)</f>
        <v>2</v>
      </c>
      <c r="I175" s="4">
        <f>(COUNTIFS('Opportunities'!$C$2:$C$1775,"=r06",'Opportunities'!$P$2:$P$1775,"=1",'Opportunities'!$J$2:$J$1775,"=1",'Opportunities'!$X$2:$X$1775,"=q4_2026",'Opportunities'!$H$2:$H$1775,"&lt;&gt;")*0)</f>
        <v>0</v>
      </c>
    </row>
    <row r="176">
      <c r="A176" s="0" t="inlineStr">
        <is>
          <t xml:space="preserve">Security add-on deals (SPIFF)</t>
        </is>
      </c>
      <c r="B176" s="0" t="inlineStr">
        <is>
          <t xml:space="preserve">Tobias Silva</t>
        </is>
      </c>
      <c r="C176" s="4">
        <f>(COUNTIFS('Opportunities'!$C$2:$C$1775,"=r07",'Opportunities'!$P$2:$P$1775,"=1",'Opportunities'!$J$2:$J$1775,"=1",'Opportunities'!$X$2:$X$1775,"=q2_2025",'Opportunities'!$H$2:$H$1775,"&lt;&gt;")*0)</f>
        <v>0</v>
      </c>
      <c r="D176" s="4">
        <f>(COUNTIFS('Opportunities'!$C$2:$C$1775,"=r07",'Opportunities'!$P$2:$P$1775,"=1",'Opportunities'!$J$2:$J$1775,"=1",'Opportunities'!$X$2:$X$1775,"=q3_2025",'Opportunities'!$H$2:$H$1775,"&lt;&gt;")*0)</f>
        <v>0</v>
      </c>
      <c r="E176" s="4">
        <f>(COUNTIFS('Opportunities'!$C$2:$C$1775,"=r07",'Opportunities'!$P$2:$P$1775,"=1",'Opportunities'!$J$2:$J$1775,"=1",'Opportunities'!$X$2:$X$1775,"=q4_2025",'Opportunities'!$H$2:$H$1775,"&lt;&gt;")*0)</f>
        <v>0</v>
      </c>
      <c r="F176" s="4">
        <f>(COUNTIFS('Opportunities'!$C$2:$C$1775,"=r07",'Opportunities'!$P$2:$P$1775,"=1",'Opportunities'!$J$2:$J$1775,"=1",'Opportunities'!$X$2:$X$1775,"=q1_2026",'Opportunities'!$H$2:$H$1775,"&lt;&gt;")*0)</f>
        <v>0</v>
      </c>
      <c r="G176" s="4">
        <f>(COUNTIFS('Opportunities'!$C$2:$C$1775,"=r07",'Opportunities'!$P$2:$P$1775,"=1",'Opportunities'!$J$2:$J$1775,"=1",'Opportunities'!$X$2:$X$1775,"=q2_2026",'Opportunities'!$H$2:$H$1775,"&lt;&gt;")*0)</f>
        <v>0</v>
      </c>
      <c r="H176" s="4">
        <f>(COUNTIFS('Opportunities'!$C$2:$C$1775,"=r07",'Opportunities'!$P$2:$P$1775,"=1",'Opportunities'!$J$2:$J$1775,"=1",'Opportunities'!$X$2:$X$1775,"=q3_2026",'Opportunities'!$H$2:$H$1775,"&lt;&gt;")*1)</f>
        <v>1</v>
      </c>
      <c r="I176" s="4">
        <f>(COUNTIFS('Opportunities'!$C$2:$C$1775,"=r07",'Opportunities'!$P$2:$P$1775,"=1",'Opportunities'!$J$2:$J$1775,"=1",'Opportunities'!$X$2:$X$1775,"=q4_2026",'Opportunities'!$H$2:$H$1775,"&lt;&gt;")*0)</f>
        <v>0</v>
      </c>
    </row>
    <row r="177">
      <c r="A177" s="0" t="inlineStr">
        <is>
          <t xml:space="preserve">Security add-on deals (SPIFF)</t>
        </is>
      </c>
      <c r="B177" s="0" t="inlineStr">
        <is>
          <t xml:space="preserve">Leila Osei</t>
        </is>
      </c>
      <c r="C177" s="4">
        <f>(COUNTIFS('Opportunities'!$C$2:$C$1775,"=r08",'Opportunities'!$P$2:$P$1775,"=1",'Opportunities'!$J$2:$J$1775,"=1",'Opportunities'!$X$2:$X$1775,"=q2_2025",'Opportunities'!$H$2:$H$1775,"&lt;&gt;")*0)</f>
        <v>0</v>
      </c>
      <c r="D177" s="4">
        <f>(COUNTIFS('Opportunities'!$C$2:$C$1775,"=r08",'Opportunities'!$P$2:$P$1775,"=1",'Opportunities'!$J$2:$J$1775,"=1",'Opportunities'!$X$2:$X$1775,"=q3_2025",'Opportunities'!$H$2:$H$1775,"&lt;&gt;")*0)</f>
        <v>0</v>
      </c>
      <c r="E177" s="4">
        <f>(COUNTIFS('Opportunities'!$C$2:$C$1775,"=r08",'Opportunities'!$P$2:$P$1775,"=1",'Opportunities'!$J$2:$J$1775,"=1",'Opportunities'!$X$2:$X$1775,"=q4_2025",'Opportunities'!$H$2:$H$1775,"&lt;&gt;")*0)</f>
        <v>0</v>
      </c>
      <c r="F177" s="4">
        <f>(COUNTIFS('Opportunities'!$C$2:$C$1775,"=r08",'Opportunities'!$P$2:$P$1775,"=1",'Opportunities'!$J$2:$J$1775,"=1",'Opportunities'!$X$2:$X$1775,"=q1_2026",'Opportunities'!$H$2:$H$1775,"&lt;&gt;")*0)</f>
        <v>0</v>
      </c>
      <c r="G177" s="4">
        <f>(COUNTIFS('Opportunities'!$C$2:$C$1775,"=r08",'Opportunities'!$P$2:$P$1775,"=1",'Opportunities'!$J$2:$J$1775,"=1",'Opportunities'!$X$2:$X$1775,"=q2_2026",'Opportunities'!$H$2:$H$1775,"&lt;&gt;")*0)</f>
        <v>0</v>
      </c>
      <c r="H177" s="4">
        <f>(COUNTIFS('Opportunities'!$C$2:$C$1775,"=r08",'Opportunities'!$P$2:$P$1775,"=1",'Opportunities'!$J$2:$J$1775,"=1",'Opportunities'!$X$2:$X$1775,"=q3_2026",'Opportunities'!$H$2:$H$1775,"&lt;&gt;")*1)</f>
        <v>2</v>
      </c>
      <c r="I177" s="4">
        <f>(COUNTIFS('Opportunities'!$C$2:$C$1775,"=r08",'Opportunities'!$P$2:$P$1775,"=1",'Opportunities'!$J$2:$J$1775,"=1",'Opportunities'!$X$2:$X$1775,"=q4_2026",'Opportunities'!$H$2:$H$1775,"&lt;&gt;")*0)</f>
        <v>0</v>
      </c>
    </row>
    <row r="178">
      <c r="A178" s="0" t="inlineStr">
        <is>
          <t xml:space="preserve">Security add-on deals (SPIFF)</t>
        </is>
      </c>
      <c r="B178" s="0" t="inlineStr">
        <is>
          <t xml:space="preserve">Grace Costa</t>
        </is>
      </c>
      <c r="C178" s="4">
        <f>(COUNTIFS('Opportunities'!$C$2:$C$1775,"=r09",'Opportunities'!$P$2:$P$1775,"=1",'Opportunities'!$J$2:$J$1775,"=1",'Opportunities'!$X$2:$X$1775,"=q2_2025",'Opportunities'!$H$2:$H$1775,"&lt;&gt;")*0)</f>
        <v>0</v>
      </c>
      <c r="D178" s="4">
        <f>(COUNTIFS('Opportunities'!$C$2:$C$1775,"=r09",'Opportunities'!$P$2:$P$1775,"=1",'Opportunities'!$J$2:$J$1775,"=1",'Opportunities'!$X$2:$X$1775,"=q3_2025",'Opportunities'!$H$2:$H$1775,"&lt;&gt;")*0)</f>
        <v>0</v>
      </c>
      <c r="E178" s="4">
        <f>(COUNTIFS('Opportunities'!$C$2:$C$1775,"=r09",'Opportunities'!$P$2:$P$1775,"=1",'Opportunities'!$J$2:$J$1775,"=1",'Opportunities'!$X$2:$X$1775,"=q4_2025",'Opportunities'!$H$2:$H$1775,"&lt;&gt;")*0)</f>
        <v>0</v>
      </c>
      <c r="F178" s="4">
        <f>(COUNTIFS('Opportunities'!$C$2:$C$1775,"=r09",'Opportunities'!$P$2:$P$1775,"=1",'Opportunities'!$J$2:$J$1775,"=1",'Opportunities'!$X$2:$X$1775,"=q1_2026",'Opportunities'!$H$2:$H$1775,"&lt;&gt;")*0)</f>
        <v>0</v>
      </c>
      <c r="G178" s="4">
        <f>(COUNTIFS('Opportunities'!$C$2:$C$1775,"=r09",'Opportunities'!$P$2:$P$1775,"=1",'Opportunities'!$J$2:$J$1775,"=1",'Opportunities'!$X$2:$X$1775,"=q2_2026",'Opportunities'!$H$2:$H$1775,"&lt;&gt;")*0)</f>
        <v>0</v>
      </c>
      <c r="H178" s="4">
        <f>(COUNTIFS('Opportunities'!$C$2:$C$1775,"=r09",'Opportunities'!$P$2:$P$1775,"=1",'Opportunities'!$J$2:$J$1775,"=1",'Opportunities'!$X$2:$X$1775,"=q3_2026",'Opportunities'!$H$2:$H$1775,"&lt;&gt;")*1)</f>
        <v>3</v>
      </c>
      <c r="I178" s="4">
        <f>(COUNTIFS('Opportunities'!$C$2:$C$1775,"=r09",'Opportunities'!$P$2:$P$1775,"=1",'Opportunities'!$J$2:$J$1775,"=1",'Opportunities'!$X$2:$X$1775,"=q4_2026",'Opportunities'!$H$2:$H$1775,"&lt;&gt;")*0)</f>
        <v>0</v>
      </c>
    </row>
    <row r="179">
      <c r="A179" s="0" t="inlineStr">
        <is>
          <t xml:space="preserve">Security add-on deals (SPIFF)</t>
        </is>
      </c>
      <c r="B179" s="0" t="inlineStr">
        <is>
          <t xml:space="preserve">Ingrid Müller</t>
        </is>
      </c>
      <c r="C179" s="4">
        <f>(COUNTIFS('Opportunities'!$C$2:$C$1775,"=r10",'Opportunities'!$P$2:$P$1775,"=1",'Opportunities'!$J$2:$J$1775,"=1",'Opportunities'!$X$2:$X$1775,"=q2_2025",'Opportunities'!$H$2:$H$1775,"&lt;&gt;")*0)</f>
        <v>0</v>
      </c>
      <c r="D179" s="4">
        <f>(COUNTIFS('Opportunities'!$C$2:$C$1775,"=r10",'Opportunities'!$P$2:$P$1775,"=1",'Opportunities'!$J$2:$J$1775,"=1",'Opportunities'!$X$2:$X$1775,"=q3_2025",'Opportunities'!$H$2:$H$1775,"&lt;&gt;")*0)</f>
        <v>0</v>
      </c>
      <c r="E179" s="4">
        <f>(COUNTIFS('Opportunities'!$C$2:$C$1775,"=r10",'Opportunities'!$P$2:$P$1775,"=1",'Opportunities'!$J$2:$J$1775,"=1",'Opportunities'!$X$2:$X$1775,"=q4_2025",'Opportunities'!$H$2:$H$1775,"&lt;&gt;")*0)</f>
        <v>0</v>
      </c>
      <c r="F179" s="4">
        <f>(COUNTIFS('Opportunities'!$C$2:$C$1775,"=r10",'Opportunities'!$P$2:$P$1775,"=1",'Opportunities'!$J$2:$J$1775,"=1",'Opportunities'!$X$2:$X$1775,"=q1_2026",'Opportunities'!$H$2:$H$1775,"&lt;&gt;")*0)</f>
        <v>0</v>
      </c>
      <c r="G179" s="4">
        <f>(COUNTIFS('Opportunities'!$C$2:$C$1775,"=r10",'Opportunities'!$P$2:$P$1775,"=1",'Opportunities'!$J$2:$J$1775,"=1",'Opportunities'!$X$2:$X$1775,"=q2_2026",'Opportunities'!$H$2:$H$1775,"&lt;&gt;")*0)</f>
        <v>0</v>
      </c>
      <c r="H179" s="4">
        <f>(COUNTIFS('Opportunities'!$C$2:$C$1775,"=r10",'Opportunities'!$P$2:$P$1775,"=1",'Opportunities'!$J$2:$J$1775,"=1",'Opportunities'!$X$2:$X$1775,"=q3_2026",'Opportunities'!$H$2:$H$1775,"&lt;&gt;")*1)</f>
        <v>1</v>
      </c>
      <c r="I179" s="4">
        <f>(COUNTIFS('Opportunities'!$C$2:$C$1775,"=r10",'Opportunities'!$P$2:$P$1775,"=1",'Opportunities'!$J$2:$J$1775,"=1",'Opportunities'!$X$2:$X$1775,"=q4_2026",'Opportunities'!$H$2:$H$1775,"&lt;&gt;")*0)</f>
        <v>0</v>
      </c>
    </row>
    <row r="180">
      <c r="A180" s="0" t="inlineStr">
        <is>
          <t xml:space="preserve">Security add-on deals (SPIFF)</t>
        </is>
      </c>
      <c r="B180" s="0" t="inlineStr">
        <is>
          <t xml:space="preserve">Ingrid Kim</t>
        </is>
      </c>
      <c r="C180" s="4">
        <f>(COUNTIFS('Opportunities'!$C$2:$C$1775,"=r11",'Opportunities'!$P$2:$P$1775,"=1",'Opportunities'!$J$2:$J$1775,"=1",'Opportunities'!$X$2:$X$1775,"=q2_2025",'Opportunities'!$H$2:$H$1775,"&lt;&gt;")*0)</f>
        <v>0</v>
      </c>
      <c r="D180" s="4">
        <f>(COUNTIFS('Opportunities'!$C$2:$C$1775,"=r11",'Opportunities'!$P$2:$P$1775,"=1",'Opportunities'!$J$2:$J$1775,"=1",'Opportunities'!$X$2:$X$1775,"=q3_2025",'Opportunities'!$H$2:$H$1775,"&lt;&gt;")*0)</f>
        <v>0</v>
      </c>
      <c r="E180" s="4">
        <f>(COUNTIFS('Opportunities'!$C$2:$C$1775,"=r11",'Opportunities'!$P$2:$P$1775,"=1",'Opportunities'!$J$2:$J$1775,"=1",'Opportunities'!$X$2:$X$1775,"=q4_2025",'Opportunities'!$H$2:$H$1775,"&lt;&gt;")*0)</f>
        <v>0</v>
      </c>
      <c r="F180" s="4">
        <f>(COUNTIFS('Opportunities'!$C$2:$C$1775,"=r11",'Opportunities'!$P$2:$P$1775,"=1",'Opportunities'!$J$2:$J$1775,"=1",'Opportunities'!$X$2:$X$1775,"=q1_2026",'Opportunities'!$H$2:$H$1775,"&lt;&gt;")*0)</f>
        <v>0</v>
      </c>
      <c r="G180" s="4">
        <f>(COUNTIFS('Opportunities'!$C$2:$C$1775,"=r11",'Opportunities'!$P$2:$P$1775,"=1",'Opportunities'!$J$2:$J$1775,"=1",'Opportunities'!$X$2:$X$1775,"=q2_2026",'Opportunities'!$H$2:$H$1775,"&lt;&gt;")*0)</f>
        <v>0</v>
      </c>
      <c r="H180" s="4">
        <f>(COUNTIFS('Opportunities'!$C$2:$C$1775,"=r11",'Opportunities'!$P$2:$P$1775,"=1",'Opportunities'!$J$2:$J$1775,"=1",'Opportunities'!$X$2:$X$1775,"=q3_2026",'Opportunities'!$H$2:$H$1775,"&lt;&gt;")*1)</f>
        <v>3</v>
      </c>
      <c r="I180" s="4">
        <f>(COUNTIFS('Opportunities'!$C$2:$C$1775,"=r11",'Opportunities'!$P$2:$P$1775,"=1",'Opportunities'!$J$2:$J$1775,"=1",'Opportunities'!$X$2:$X$1775,"=q4_2026",'Opportunities'!$H$2:$H$1775,"&lt;&gt;")*0)</f>
        <v>0</v>
      </c>
    </row>
    <row r="181">
      <c r="A181" s="0" t="inlineStr">
        <is>
          <t xml:space="preserve">Security add-on deals (SPIFF)</t>
        </is>
      </c>
      <c r="B181" s="0" t="inlineStr">
        <is>
          <t xml:space="preserve">Priya Nair</t>
        </is>
      </c>
      <c r="C181" s="4">
        <f>(COUNTIFS('Opportunities'!$C$2:$C$1775,"=r12",'Opportunities'!$P$2:$P$1775,"=1",'Opportunities'!$J$2:$J$1775,"=1",'Opportunities'!$X$2:$X$1775,"=q2_2025",'Opportunities'!$H$2:$H$1775,"&lt;&gt;")*0)</f>
        <v>0</v>
      </c>
      <c r="D181" s="4">
        <f>(COUNTIFS('Opportunities'!$C$2:$C$1775,"=r12",'Opportunities'!$P$2:$P$1775,"=1",'Opportunities'!$J$2:$J$1775,"=1",'Opportunities'!$X$2:$X$1775,"=q3_2025",'Opportunities'!$H$2:$H$1775,"&lt;&gt;")*0)</f>
        <v>0</v>
      </c>
      <c r="E181" s="4">
        <f>(COUNTIFS('Opportunities'!$C$2:$C$1775,"=r12",'Opportunities'!$P$2:$P$1775,"=1",'Opportunities'!$J$2:$J$1775,"=1",'Opportunities'!$X$2:$X$1775,"=q4_2025",'Opportunities'!$H$2:$H$1775,"&lt;&gt;")*0)</f>
        <v>0</v>
      </c>
      <c r="F181" s="4">
        <f>(COUNTIFS('Opportunities'!$C$2:$C$1775,"=r12",'Opportunities'!$P$2:$P$1775,"=1",'Opportunities'!$J$2:$J$1775,"=1",'Opportunities'!$X$2:$X$1775,"=q1_2026",'Opportunities'!$H$2:$H$1775,"&lt;&gt;")*0)</f>
        <v>0</v>
      </c>
      <c r="G181" s="4">
        <f>(COUNTIFS('Opportunities'!$C$2:$C$1775,"=r12",'Opportunities'!$P$2:$P$1775,"=1",'Opportunities'!$J$2:$J$1775,"=1",'Opportunities'!$X$2:$X$1775,"=q2_2026",'Opportunities'!$H$2:$H$1775,"&lt;&gt;")*0)</f>
        <v>0</v>
      </c>
      <c r="H181" s="4">
        <f>(COUNTIFS('Opportunities'!$C$2:$C$1775,"=r12",'Opportunities'!$P$2:$P$1775,"=1",'Opportunities'!$J$2:$J$1775,"=1",'Opportunities'!$X$2:$X$1775,"=q3_2026",'Opportunities'!$H$2:$H$1775,"&lt;&gt;")*1)</f>
        <v>1</v>
      </c>
      <c r="I181" s="4">
        <f>(COUNTIFS('Opportunities'!$C$2:$C$1775,"=r12",'Opportunities'!$P$2:$P$1775,"=1",'Opportunities'!$J$2:$J$1775,"=1",'Opportunities'!$X$2:$X$1775,"=q4_2026",'Opportunities'!$H$2:$H$1775,"&lt;&gt;")*0)</f>
        <v>0</v>
      </c>
    </row>
    <row r="182">
      <c r="A182" s="0" t="inlineStr">
        <is>
          <t xml:space="preserve">Security add-on deals (SPIFF)</t>
        </is>
      </c>
      <c r="B182" s="0" t="inlineStr">
        <is>
          <t xml:space="preserve">Hugo Lindqvist</t>
        </is>
      </c>
      <c r="C182" s="4">
        <f>(COUNTIFS('Opportunities'!$C$2:$C$1775,"=r13",'Opportunities'!$P$2:$P$1775,"=1",'Opportunities'!$J$2:$J$1775,"=1",'Opportunities'!$X$2:$X$1775,"=q2_2025",'Opportunities'!$H$2:$H$1775,"&lt;&gt;")*0)</f>
        <v>0</v>
      </c>
      <c r="D182" s="4">
        <f>(COUNTIFS('Opportunities'!$C$2:$C$1775,"=r13",'Opportunities'!$P$2:$P$1775,"=1",'Opportunities'!$J$2:$J$1775,"=1",'Opportunities'!$X$2:$X$1775,"=q3_2025",'Opportunities'!$H$2:$H$1775,"&lt;&gt;")*0)</f>
        <v>0</v>
      </c>
      <c r="E182" s="4">
        <f>(COUNTIFS('Opportunities'!$C$2:$C$1775,"=r13",'Opportunities'!$P$2:$P$1775,"=1",'Opportunities'!$J$2:$J$1775,"=1",'Opportunities'!$X$2:$X$1775,"=q4_2025",'Opportunities'!$H$2:$H$1775,"&lt;&gt;")*0)</f>
        <v>0</v>
      </c>
      <c r="F182" s="4">
        <f>(COUNTIFS('Opportunities'!$C$2:$C$1775,"=r13",'Opportunities'!$P$2:$P$1775,"=1",'Opportunities'!$J$2:$J$1775,"=1",'Opportunities'!$X$2:$X$1775,"=q1_2026",'Opportunities'!$H$2:$H$1775,"&lt;&gt;")*0)</f>
        <v>0</v>
      </c>
      <c r="G182" s="4">
        <f>(COUNTIFS('Opportunities'!$C$2:$C$1775,"=r13",'Opportunities'!$P$2:$P$1775,"=1",'Opportunities'!$J$2:$J$1775,"=1",'Opportunities'!$X$2:$X$1775,"=q2_2026",'Opportunities'!$H$2:$H$1775,"&lt;&gt;")*0)</f>
        <v>0</v>
      </c>
      <c r="H182" s="4">
        <f>(COUNTIFS('Opportunities'!$C$2:$C$1775,"=r13",'Opportunities'!$P$2:$P$1775,"=1",'Opportunities'!$J$2:$J$1775,"=1",'Opportunities'!$X$2:$X$1775,"=q3_2026",'Opportunities'!$H$2:$H$1775,"&lt;&gt;")*1)</f>
        <v>2</v>
      </c>
      <c r="I182" s="4">
        <f>(COUNTIFS('Opportunities'!$C$2:$C$1775,"=r13",'Opportunities'!$P$2:$P$1775,"=1",'Opportunities'!$J$2:$J$1775,"=1",'Opportunities'!$X$2:$X$1775,"=q4_2026",'Opportunities'!$H$2:$H$1775,"&lt;&gt;")*0)</f>
        <v>0</v>
      </c>
    </row>
    <row r="183">
      <c r="A183" s="0" t="inlineStr">
        <is>
          <t xml:space="preserve">Security add-on deals (SPIFF)</t>
        </is>
      </c>
      <c r="B183" s="0" t="inlineStr">
        <is>
          <t xml:space="preserve">Wei Novak</t>
        </is>
      </c>
      <c r="C183" s="4">
        <f>(COUNTIFS('Opportunities'!$C$2:$C$1775,"=r14",'Opportunities'!$P$2:$P$1775,"=1",'Opportunities'!$J$2:$J$1775,"=1",'Opportunities'!$X$2:$X$1775,"=q2_2025",'Opportunities'!$H$2:$H$1775,"&lt;&gt;")*0)</f>
        <v>0</v>
      </c>
      <c r="D183" s="4">
        <f>(COUNTIFS('Opportunities'!$C$2:$C$1775,"=r14",'Opportunities'!$P$2:$P$1775,"=1",'Opportunities'!$J$2:$J$1775,"=1",'Opportunities'!$X$2:$X$1775,"=q3_2025",'Opportunities'!$H$2:$H$1775,"&lt;&gt;")*0)</f>
        <v>0</v>
      </c>
      <c r="E183" s="4">
        <f>(COUNTIFS('Opportunities'!$C$2:$C$1775,"=r14",'Opportunities'!$P$2:$P$1775,"=1",'Opportunities'!$J$2:$J$1775,"=1",'Opportunities'!$X$2:$X$1775,"=q4_2025",'Opportunities'!$H$2:$H$1775,"&lt;&gt;")*0)</f>
        <v>0</v>
      </c>
      <c r="F183" s="4">
        <f>(COUNTIFS('Opportunities'!$C$2:$C$1775,"=r14",'Opportunities'!$P$2:$P$1775,"=1",'Opportunities'!$J$2:$J$1775,"=1",'Opportunities'!$X$2:$X$1775,"=q1_2026",'Opportunities'!$H$2:$H$1775,"&lt;&gt;")*0)</f>
        <v>0</v>
      </c>
      <c r="G183" s="4">
        <f>(COUNTIFS('Opportunities'!$C$2:$C$1775,"=r14",'Opportunities'!$P$2:$P$1775,"=1",'Opportunities'!$J$2:$J$1775,"=1",'Opportunities'!$X$2:$X$1775,"=q2_2026",'Opportunities'!$H$2:$H$1775,"&lt;&gt;")*0)</f>
        <v>0</v>
      </c>
      <c r="H183" s="4">
        <f>(COUNTIFS('Opportunities'!$C$2:$C$1775,"=r14",'Opportunities'!$P$2:$P$1775,"=1",'Opportunities'!$J$2:$J$1775,"=1",'Opportunities'!$X$2:$X$1775,"=q3_2026",'Opportunities'!$H$2:$H$1775,"&lt;&gt;")*1)</f>
        <v>1</v>
      </c>
      <c r="I183" s="4">
        <f>(COUNTIFS('Opportunities'!$C$2:$C$1775,"=r14",'Opportunities'!$P$2:$P$1775,"=1",'Opportunities'!$J$2:$J$1775,"=1",'Opportunities'!$X$2:$X$1775,"=q4_2026",'Opportunities'!$H$2:$H$1775,"&lt;&gt;")*0)</f>
        <v>0</v>
      </c>
    </row>
    <row r="184">
      <c r="A184" s="0" t="inlineStr">
        <is>
          <t xml:space="preserve">Security add-on deals (SPIFF)</t>
        </is>
      </c>
      <c r="B184" s="0" t="inlineStr">
        <is>
          <t xml:space="preserve">Nikolai Kim</t>
        </is>
      </c>
      <c r="C184" s="4">
        <f>(COUNTIFS('Opportunities'!$C$2:$C$1775,"=r15",'Opportunities'!$P$2:$P$1775,"=1",'Opportunities'!$J$2:$J$1775,"=1",'Opportunities'!$X$2:$X$1775,"=q2_2025",'Opportunities'!$H$2:$H$1775,"&lt;&gt;")*0)</f>
        <v>0</v>
      </c>
      <c r="D184" s="4">
        <f>(COUNTIFS('Opportunities'!$C$2:$C$1775,"=r15",'Opportunities'!$P$2:$P$1775,"=1",'Opportunities'!$J$2:$J$1775,"=1",'Opportunities'!$X$2:$X$1775,"=q3_2025",'Opportunities'!$H$2:$H$1775,"&lt;&gt;")*0)</f>
        <v>0</v>
      </c>
      <c r="E184" s="4">
        <f>(COUNTIFS('Opportunities'!$C$2:$C$1775,"=r15",'Opportunities'!$P$2:$P$1775,"=1",'Opportunities'!$J$2:$J$1775,"=1",'Opportunities'!$X$2:$X$1775,"=q4_2025",'Opportunities'!$H$2:$H$1775,"&lt;&gt;")*0)</f>
        <v>0</v>
      </c>
      <c r="F184" s="4">
        <f>(COUNTIFS('Opportunities'!$C$2:$C$1775,"=r15",'Opportunities'!$P$2:$P$1775,"=1",'Opportunities'!$J$2:$J$1775,"=1",'Opportunities'!$X$2:$X$1775,"=q1_2026",'Opportunities'!$H$2:$H$1775,"&lt;&gt;")*0)</f>
        <v>0</v>
      </c>
      <c r="G184" s="4">
        <f>(COUNTIFS('Opportunities'!$C$2:$C$1775,"=r15",'Opportunities'!$P$2:$P$1775,"=1",'Opportunities'!$J$2:$J$1775,"=1",'Opportunities'!$X$2:$X$1775,"=q2_2026",'Opportunities'!$H$2:$H$1775,"&lt;&gt;")*0)</f>
        <v>0</v>
      </c>
      <c r="H184" s="4">
        <f>(COUNTIFS('Opportunities'!$C$2:$C$1775,"=r15",'Opportunities'!$P$2:$P$1775,"=1",'Opportunities'!$J$2:$J$1775,"=1",'Opportunities'!$X$2:$X$1775,"=q3_2026",'Opportunities'!$H$2:$H$1775,"&lt;&gt;")*1)</f>
        <v>1</v>
      </c>
      <c r="I184" s="4">
        <f>(COUNTIFS('Opportunities'!$C$2:$C$1775,"=r15",'Opportunities'!$P$2:$P$1775,"=1",'Opportunities'!$J$2:$J$1775,"=1",'Opportunities'!$X$2:$X$1775,"=q4_2026",'Opportunities'!$H$2:$H$1775,"&lt;&gt;")*0)</f>
        <v>0</v>
      </c>
    </row>
    <row r="185">
      <c r="A185" s="0" t="inlineStr">
        <is>
          <t xml:space="preserve">Security add-on deals (SPIFF)</t>
        </is>
      </c>
      <c r="B185" s="0" t="inlineStr">
        <is>
          <t xml:space="preserve">Wei Nair</t>
        </is>
      </c>
      <c r="C185" s="4">
        <f>(COUNTIFS('Opportunities'!$C$2:$C$1775,"=r16",'Opportunities'!$P$2:$P$1775,"=1",'Opportunities'!$J$2:$J$1775,"=1",'Opportunities'!$X$2:$X$1775,"=q2_2025",'Opportunities'!$H$2:$H$1775,"&lt;&gt;")*0)</f>
        <v>0</v>
      </c>
      <c r="D185" s="4">
        <f>(COUNTIFS('Opportunities'!$C$2:$C$1775,"=r16",'Opportunities'!$P$2:$P$1775,"=1",'Opportunities'!$J$2:$J$1775,"=1",'Opportunities'!$X$2:$X$1775,"=q3_2025",'Opportunities'!$H$2:$H$1775,"&lt;&gt;")*0)</f>
        <v>0</v>
      </c>
      <c r="E185" s="4">
        <f>(COUNTIFS('Opportunities'!$C$2:$C$1775,"=r16",'Opportunities'!$P$2:$P$1775,"=1",'Opportunities'!$J$2:$J$1775,"=1",'Opportunities'!$X$2:$X$1775,"=q4_2025",'Opportunities'!$H$2:$H$1775,"&lt;&gt;")*0)</f>
        <v>0</v>
      </c>
      <c r="F185" s="4">
        <f>(COUNTIFS('Opportunities'!$C$2:$C$1775,"=r16",'Opportunities'!$P$2:$P$1775,"=1",'Opportunities'!$J$2:$J$1775,"=1",'Opportunities'!$X$2:$X$1775,"=q1_2026",'Opportunities'!$H$2:$H$1775,"&lt;&gt;")*0)</f>
        <v>0</v>
      </c>
      <c r="G185" s="4">
        <f>(COUNTIFS('Opportunities'!$C$2:$C$1775,"=r16",'Opportunities'!$P$2:$P$1775,"=1",'Opportunities'!$J$2:$J$1775,"=1",'Opportunities'!$X$2:$X$1775,"=q2_2026",'Opportunities'!$H$2:$H$1775,"&lt;&gt;")*0)</f>
        <v>0</v>
      </c>
      <c r="H185" s="4">
        <f>(COUNTIFS('Opportunities'!$C$2:$C$1775,"=r16",'Opportunities'!$P$2:$P$1775,"=1",'Opportunities'!$J$2:$J$1775,"=1",'Opportunities'!$X$2:$X$1775,"=q3_2026",'Opportunities'!$H$2:$H$1775,"&lt;&gt;")*1)</f>
        <v>0</v>
      </c>
      <c r="I185" s="4">
        <f>(COUNTIFS('Opportunities'!$C$2:$C$1775,"=r16",'Opportunities'!$P$2:$P$1775,"=1",'Opportunities'!$J$2:$J$1775,"=1",'Opportunities'!$X$2:$X$1775,"=q4_2026",'Opportunities'!$H$2:$H$1775,"&lt;&gt;")*0)</f>
        <v>0</v>
      </c>
    </row>
    <row r="186">
      <c r="A186" s="0" t="inlineStr">
        <is>
          <t xml:space="preserve">Security add-on deals (SPIFF)</t>
        </is>
      </c>
      <c r="B186" s="0" t="inlineStr">
        <is>
          <t xml:space="preserve">Liam Silva</t>
        </is>
      </c>
      <c r="C186" s="4">
        <f>(COUNTIFS('Opportunities'!$C$2:$C$1775,"=r17",'Opportunities'!$P$2:$P$1775,"=1",'Opportunities'!$J$2:$J$1775,"=1",'Opportunities'!$X$2:$X$1775,"=q2_2025",'Opportunities'!$H$2:$H$1775,"&lt;&gt;")*0)</f>
        <v>0</v>
      </c>
      <c r="D186" s="4">
        <f>(COUNTIFS('Opportunities'!$C$2:$C$1775,"=r17",'Opportunities'!$P$2:$P$1775,"=1",'Opportunities'!$J$2:$J$1775,"=1",'Opportunities'!$X$2:$X$1775,"=q3_2025",'Opportunities'!$H$2:$H$1775,"&lt;&gt;")*0)</f>
        <v>0</v>
      </c>
      <c r="E186" s="4">
        <f>(COUNTIFS('Opportunities'!$C$2:$C$1775,"=r17",'Opportunities'!$P$2:$P$1775,"=1",'Opportunities'!$J$2:$J$1775,"=1",'Opportunities'!$X$2:$X$1775,"=q4_2025",'Opportunities'!$H$2:$H$1775,"&lt;&gt;")*0)</f>
        <v>0</v>
      </c>
      <c r="F186" s="4">
        <f>(COUNTIFS('Opportunities'!$C$2:$C$1775,"=r17",'Opportunities'!$P$2:$P$1775,"=1",'Opportunities'!$J$2:$J$1775,"=1",'Opportunities'!$X$2:$X$1775,"=q1_2026",'Opportunities'!$H$2:$H$1775,"&lt;&gt;")*0)</f>
        <v>0</v>
      </c>
      <c r="G186" s="4">
        <f>(COUNTIFS('Opportunities'!$C$2:$C$1775,"=r17",'Opportunities'!$P$2:$P$1775,"=1",'Opportunities'!$J$2:$J$1775,"=1",'Opportunities'!$X$2:$X$1775,"=q2_2026",'Opportunities'!$H$2:$H$1775,"&lt;&gt;")*0)</f>
        <v>0</v>
      </c>
      <c r="H186" s="4">
        <f>(COUNTIFS('Opportunities'!$C$2:$C$1775,"=r17",'Opportunities'!$P$2:$P$1775,"=1",'Opportunities'!$J$2:$J$1775,"=1",'Opportunities'!$X$2:$X$1775,"=q3_2026",'Opportunities'!$H$2:$H$1775,"&lt;&gt;")*1)</f>
        <v>1</v>
      </c>
      <c r="I186" s="4">
        <f>(COUNTIFS('Opportunities'!$C$2:$C$1775,"=r17",'Opportunities'!$P$2:$P$1775,"=1",'Opportunities'!$J$2:$J$1775,"=1",'Opportunities'!$X$2:$X$1775,"=q4_2026",'Opportunities'!$H$2:$H$1775,"&lt;&gt;")*0)</f>
        <v>0</v>
      </c>
    </row>
    <row r="187">
      <c r="A187" s="0" t="inlineStr">
        <is>
          <t xml:space="preserve">Security add-on deals (SPIFF)</t>
        </is>
      </c>
      <c r="B187" s="0" t="inlineStr">
        <is>
          <t xml:space="preserve">Samuel Silva</t>
        </is>
      </c>
      <c r="C187" s="4">
        <f>(COUNTIFS('Opportunities'!$C$2:$C$1775,"=r18",'Opportunities'!$P$2:$P$1775,"=1",'Opportunities'!$J$2:$J$1775,"=1",'Opportunities'!$X$2:$X$1775,"=q2_2025",'Opportunities'!$H$2:$H$1775,"&lt;&gt;")*0)</f>
        <v>0</v>
      </c>
      <c r="D187" s="4">
        <f>(COUNTIFS('Opportunities'!$C$2:$C$1775,"=r18",'Opportunities'!$P$2:$P$1775,"=1",'Opportunities'!$J$2:$J$1775,"=1",'Opportunities'!$X$2:$X$1775,"=q3_2025",'Opportunities'!$H$2:$H$1775,"&lt;&gt;")*0)</f>
        <v>0</v>
      </c>
      <c r="E187" s="4">
        <f>(COUNTIFS('Opportunities'!$C$2:$C$1775,"=r18",'Opportunities'!$P$2:$P$1775,"=1",'Opportunities'!$J$2:$J$1775,"=1",'Opportunities'!$X$2:$X$1775,"=q4_2025",'Opportunities'!$H$2:$H$1775,"&lt;&gt;")*0)</f>
        <v>0</v>
      </c>
      <c r="F187" s="4">
        <f>(COUNTIFS('Opportunities'!$C$2:$C$1775,"=r18",'Opportunities'!$P$2:$P$1775,"=1",'Opportunities'!$J$2:$J$1775,"=1",'Opportunities'!$X$2:$X$1775,"=q1_2026",'Opportunities'!$H$2:$H$1775,"&lt;&gt;")*0)</f>
        <v>0</v>
      </c>
      <c r="G187" s="4">
        <f>(COUNTIFS('Opportunities'!$C$2:$C$1775,"=r18",'Opportunities'!$P$2:$P$1775,"=1",'Opportunities'!$J$2:$J$1775,"=1",'Opportunities'!$X$2:$X$1775,"=q2_2026",'Opportunities'!$H$2:$H$1775,"&lt;&gt;")*0)</f>
        <v>0</v>
      </c>
      <c r="H187" s="4">
        <f>(COUNTIFS('Opportunities'!$C$2:$C$1775,"=r18",'Opportunities'!$P$2:$P$1775,"=1",'Opportunities'!$J$2:$J$1775,"=1",'Opportunities'!$X$2:$X$1775,"=q3_2026",'Opportunities'!$H$2:$H$1775,"&lt;&gt;")*1)</f>
        <v>2</v>
      </c>
      <c r="I187" s="4">
        <f>(COUNTIFS('Opportunities'!$C$2:$C$1775,"=r18",'Opportunities'!$P$2:$P$1775,"=1",'Opportunities'!$J$2:$J$1775,"=1",'Opportunities'!$X$2:$X$1775,"=q4_2026",'Opportunities'!$H$2:$H$1775,"&lt;&gt;")*0)</f>
        <v>0</v>
      </c>
    </row>
    <row r="188">
      <c r="A188" s="0" t="inlineStr">
        <is>
          <t xml:space="preserve">Security add-on deals (SPIFF)</t>
        </is>
      </c>
      <c r="B188" s="0" t="inlineStr">
        <is>
          <t xml:space="preserve">Yuki Larsen</t>
        </is>
      </c>
      <c r="C188" s="4">
        <f>(COUNTIFS('Opportunities'!$C$2:$C$1775,"=r19",'Opportunities'!$P$2:$P$1775,"=1",'Opportunities'!$J$2:$J$1775,"=1",'Opportunities'!$X$2:$X$1775,"=q2_2025",'Opportunities'!$H$2:$H$1775,"&lt;&gt;")*0)</f>
        <v>0</v>
      </c>
      <c r="D188" s="4">
        <f>(COUNTIFS('Opportunities'!$C$2:$C$1775,"=r19",'Opportunities'!$P$2:$P$1775,"=1",'Opportunities'!$J$2:$J$1775,"=1",'Opportunities'!$X$2:$X$1775,"=q3_2025",'Opportunities'!$H$2:$H$1775,"&lt;&gt;")*0)</f>
        <v>0</v>
      </c>
      <c r="E188" s="4">
        <f>(COUNTIFS('Opportunities'!$C$2:$C$1775,"=r19",'Opportunities'!$P$2:$P$1775,"=1",'Opportunities'!$J$2:$J$1775,"=1",'Opportunities'!$X$2:$X$1775,"=q4_2025",'Opportunities'!$H$2:$H$1775,"&lt;&gt;")*0)</f>
        <v>0</v>
      </c>
      <c r="F188" s="4">
        <f>(COUNTIFS('Opportunities'!$C$2:$C$1775,"=r19",'Opportunities'!$P$2:$P$1775,"=1",'Opportunities'!$J$2:$J$1775,"=1",'Opportunities'!$X$2:$X$1775,"=q1_2026",'Opportunities'!$H$2:$H$1775,"&lt;&gt;")*0)</f>
        <v>0</v>
      </c>
      <c r="G188" s="4">
        <f>(COUNTIFS('Opportunities'!$C$2:$C$1775,"=r19",'Opportunities'!$P$2:$P$1775,"=1",'Opportunities'!$J$2:$J$1775,"=1",'Opportunities'!$X$2:$X$1775,"=q2_2026",'Opportunities'!$H$2:$H$1775,"&lt;&gt;")*0)</f>
        <v>0</v>
      </c>
      <c r="H188" s="4">
        <f>(COUNTIFS('Opportunities'!$C$2:$C$1775,"=r19",'Opportunities'!$P$2:$P$1775,"=1",'Opportunities'!$J$2:$J$1775,"=1",'Opportunities'!$X$2:$X$1775,"=q3_2026",'Opportunities'!$H$2:$H$1775,"&lt;&gt;")*1)</f>
        <v>1</v>
      </c>
      <c r="I188" s="4">
        <f>(COUNTIFS('Opportunities'!$C$2:$C$1775,"=r19",'Opportunities'!$P$2:$P$1775,"=1",'Opportunities'!$J$2:$J$1775,"=1",'Opportunities'!$X$2:$X$1775,"=q4_2026",'Opportunities'!$H$2:$H$1775,"&lt;&gt;")*0)</f>
        <v>0</v>
      </c>
    </row>
    <row r="189">
      <c r="A189" s="0" t="inlineStr">
        <is>
          <t xml:space="preserve">Security add-on deals (SPIFF)</t>
        </is>
      </c>
      <c r="B189" s="0" t="inlineStr">
        <is>
          <t xml:space="preserve">Nikolai Sato</t>
        </is>
      </c>
      <c r="C189" s="4">
        <f>(COUNTIFS('Opportunities'!$C$2:$C$1775,"=r20",'Opportunities'!$P$2:$P$1775,"=1",'Opportunities'!$J$2:$J$1775,"=1",'Opportunities'!$X$2:$X$1775,"=q2_2025",'Opportunities'!$H$2:$H$1775,"&lt;&gt;")*0)</f>
        <v>0</v>
      </c>
      <c r="D189" s="4">
        <f>(COUNTIFS('Opportunities'!$C$2:$C$1775,"=r20",'Opportunities'!$P$2:$P$1775,"=1",'Opportunities'!$J$2:$J$1775,"=1",'Opportunities'!$X$2:$X$1775,"=q3_2025",'Opportunities'!$H$2:$H$1775,"&lt;&gt;")*0)</f>
        <v>0</v>
      </c>
      <c r="E189" s="4">
        <f>(COUNTIFS('Opportunities'!$C$2:$C$1775,"=r20",'Opportunities'!$P$2:$P$1775,"=1",'Opportunities'!$J$2:$J$1775,"=1",'Opportunities'!$X$2:$X$1775,"=q4_2025",'Opportunities'!$H$2:$H$1775,"&lt;&gt;")*0)</f>
        <v>0</v>
      </c>
      <c r="F189" s="4">
        <f>(COUNTIFS('Opportunities'!$C$2:$C$1775,"=r20",'Opportunities'!$P$2:$P$1775,"=1",'Opportunities'!$J$2:$J$1775,"=1",'Opportunities'!$X$2:$X$1775,"=q1_2026",'Opportunities'!$H$2:$H$1775,"&lt;&gt;")*0)</f>
        <v>0</v>
      </c>
      <c r="G189" s="4">
        <f>(COUNTIFS('Opportunities'!$C$2:$C$1775,"=r20",'Opportunities'!$P$2:$P$1775,"=1",'Opportunities'!$J$2:$J$1775,"=1",'Opportunities'!$X$2:$X$1775,"=q2_2026",'Opportunities'!$H$2:$H$1775,"&lt;&gt;")*0)</f>
        <v>0</v>
      </c>
      <c r="H189" s="4">
        <f>(COUNTIFS('Opportunities'!$C$2:$C$1775,"=r20",'Opportunities'!$P$2:$P$1775,"=1",'Opportunities'!$J$2:$J$1775,"=1",'Opportunities'!$X$2:$X$1775,"=q3_2026",'Opportunities'!$H$2:$H$1775,"&lt;&gt;")*1)</f>
        <v>0</v>
      </c>
      <c r="I189" s="4">
        <f>(COUNTIFS('Opportunities'!$C$2:$C$1775,"=r20",'Opportunities'!$P$2:$P$1775,"=1",'Opportunities'!$J$2:$J$1775,"=1",'Opportunities'!$X$2:$X$1775,"=q4_2026",'Opportunities'!$H$2:$H$1775,"&lt;&gt;")*0)</f>
        <v>0</v>
      </c>
    </row>
    <row r="190">
      <c r="A190" s="0" t="inlineStr">
        <is>
          <t xml:space="preserve">Security add-on deals (SPIFF)</t>
        </is>
      </c>
      <c r="B190" s="0" t="inlineStr">
        <is>
          <t xml:space="preserve">Elena Silva</t>
        </is>
      </c>
      <c r="C190" s="4">
        <f>(COUNTIFS('Opportunities'!$C$2:$C$1775,"=r21",'Opportunities'!$P$2:$P$1775,"=1",'Opportunities'!$J$2:$J$1775,"=1",'Opportunities'!$X$2:$X$1775,"=q2_2025",'Opportunities'!$H$2:$H$1775,"&lt;&gt;")*0)</f>
        <v>0</v>
      </c>
      <c r="D190" s="4">
        <f>(COUNTIFS('Opportunities'!$C$2:$C$1775,"=r21",'Opportunities'!$P$2:$P$1775,"=1",'Opportunities'!$J$2:$J$1775,"=1",'Opportunities'!$X$2:$X$1775,"=q3_2025",'Opportunities'!$H$2:$H$1775,"&lt;&gt;")*0)</f>
        <v>0</v>
      </c>
      <c r="E190" s="4">
        <f>(COUNTIFS('Opportunities'!$C$2:$C$1775,"=r21",'Opportunities'!$P$2:$P$1775,"=1",'Opportunities'!$J$2:$J$1775,"=1",'Opportunities'!$X$2:$X$1775,"=q4_2025",'Opportunities'!$H$2:$H$1775,"&lt;&gt;")*0)</f>
        <v>0</v>
      </c>
      <c r="F190" s="4">
        <f>(COUNTIFS('Opportunities'!$C$2:$C$1775,"=r21",'Opportunities'!$P$2:$P$1775,"=1",'Opportunities'!$J$2:$J$1775,"=1",'Opportunities'!$X$2:$X$1775,"=q1_2026",'Opportunities'!$H$2:$H$1775,"&lt;&gt;")*0)</f>
        <v>0</v>
      </c>
      <c r="G190" s="4">
        <f>(COUNTIFS('Opportunities'!$C$2:$C$1775,"=r21",'Opportunities'!$P$2:$P$1775,"=1",'Opportunities'!$J$2:$J$1775,"=1",'Opportunities'!$X$2:$X$1775,"=q2_2026",'Opportunities'!$H$2:$H$1775,"&lt;&gt;")*0)</f>
        <v>0</v>
      </c>
      <c r="H190" s="4">
        <f>(COUNTIFS('Opportunities'!$C$2:$C$1775,"=r21",'Opportunities'!$P$2:$P$1775,"=1",'Opportunities'!$J$2:$J$1775,"=1",'Opportunities'!$X$2:$X$1775,"=q3_2026",'Opportunities'!$H$2:$H$1775,"&lt;&gt;")*1)</f>
        <v>6</v>
      </c>
      <c r="I190" s="4">
        <f>(COUNTIFS('Opportunities'!$C$2:$C$1775,"=r21",'Opportunities'!$P$2:$P$1775,"=1",'Opportunities'!$J$2:$J$1775,"=1",'Opportunities'!$X$2:$X$1775,"=q4_2026",'Opportunities'!$H$2:$H$1775,"&lt;&gt;")*0)</f>
        <v>0</v>
      </c>
    </row>
    <row r="191">
      <c r="A191" s="0" t="inlineStr">
        <is>
          <t xml:space="preserve">Security add-on deals (SPIFF)</t>
        </is>
      </c>
      <c r="B191" s="0" t="inlineStr">
        <is>
          <t xml:space="preserve">Arjun Müller</t>
        </is>
      </c>
      <c r="C191" s="4">
        <f>(COUNTIFS('Opportunities'!$C$2:$C$1775,"=r22",'Opportunities'!$P$2:$P$1775,"=1",'Opportunities'!$J$2:$J$1775,"=1",'Opportunities'!$X$2:$X$1775,"=q2_2025",'Opportunities'!$H$2:$H$1775,"&lt;&gt;")*0)</f>
        <v>0</v>
      </c>
      <c r="D191" s="4">
        <f>(COUNTIFS('Opportunities'!$C$2:$C$1775,"=r22",'Opportunities'!$P$2:$P$1775,"=1",'Opportunities'!$J$2:$J$1775,"=1",'Opportunities'!$X$2:$X$1775,"=q3_2025",'Opportunities'!$H$2:$H$1775,"&lt;&gt;")*0)</f>
        <v>0</v>
      </c>
      <c r="E191" s="4">
        <f>(COUNTIFS('Opportunities'!$C$2:$C$1775,"=r22",'Opportunities'!$P$2:$P$1775,"=1",'Opportunities'!$J$2:$J$1775,"=1",'Opportunities'!$X$2:$X$1775,"=q4_2025",'Opportunities'!$H$2:$H$1775,"&lt;&gt;")*0)</f>
        <v>0</v>
      </c>
      <c r="F191" s="4">
        <f>(COUNTIFS('Opportunities'!$C$2:$C$1775,"=r22",'Opportunities'!$P$2:$P$1775,"=1",'Opportunities'!$J$2:$J$1775,"=1",'Opportunities'!$X$2:$X$1775,"=q1_2026",'Opportunities'!$H$2:$H$1775,"&lt;&gt;")*0)</f>
        <v>0</v>
      </c>
      <c r="G191" s="4">
        <f>(COUNTIFS('Opportunities'!$C$2:$C$1775,"=r22",'Opportunities'!$P$2:$P$1775,"=1",'Opportunities'!$J$2:$J$1775,"=1",'Opportunities'!$X$2:$X$1775,"=q2_2026",'Opportunities'!$H$2:$H$1775,"&lt;&gt;")*0)</f>
        <v>0</v>
      </c>
      <c r="H191" s="4">
        <f>(COUNTIFS('Opportunities'!$C$2:$C$1775,"=r22",'Opportunities'!$P$2:$P$1775,"=1",'Opportunities'!$J$2:$J$1775,"=1",'Opportunities'!$X$2:$X$1775,"=q3_2026",'Opportunities'!$H$2:$H$1775,"&lt;&gt;")*1)</f>
        <v>0</v>
      </c>
      <c r="I191" s="4">
        <f>(COUNTIFS('Opportunities'!$C$2:$C$1775,"=r22",'Opportunities'!$P$2:$P$1775,"=1",'Opportunities'!$J$2:$J$1775,"=1",'Opportunities'!$X$2:$X$1775,"=q4_2026",'Opportunities'!$H$2:$H$1775,"&lt;&gt;")*0)</f>
        <v>0</v>
      </c>
    </row>
    <row r="192">
      <c r="A192" s="0" t="inlineStr">
        <is>
          <t xml:space="preserve">Security add-on deals (SPIFF)</t>
        </is>
      </c>
      <c r="B192" s="0" t="inlineStr">
        <is>
          <t xml:space="preserve">Nikolai Park</t>
        </is>
      </c>
      <c r="C192" s="4">
        <f>(COUNTIFS('Opportunities'!$C$2:$C$1775,"=r23",'Opportunities'!$P$2:$P$1775,"=1",'Opportunities'!$J$2:$J$1775,"=1",'Opportunities'!$X$2:$X$1775,"=q2_2025",'Opportunities'!$H$2:$H$1775,"&lt;&gt;")*0)</f>
        <v>0</v>
      </c>
      <c r="D192" s="4">
        <f>(COUNTIFS('Opportunities'!$C$2:$C$1775,"=r23",'Opportunities'!$P$2:$P$1775,"=1",'Opportunities'!$J$2:$J$1775,"=1",'Opportunities'!$X$2:$X$1775,"=q3_2025",'Opportunities'!$H$2:$H$1775,"&lt;&gt;")*0)</f>
        <v>0</v>
      </c>
      <c r="E192" s="4">
        <f>(COUNTIFS('Opportunities'!$C$2:$C$1775,"=r23",'Opportunities'!$P$2:$P$1775,"=1",'Opportunities'!$J$2:$J$1775,"=1",'Opportunities'!$X$2:$X$1775,"=q4_2025",'Opportunities'!$H$2:$H$1775,"&lt;&gt;")*0)</f>
        <v>0</v>
      </c>
      <c r="F192" s="4">
        <f>(COUNTIFS('Opportunities'!$C$2:$C$1775,"=r23",'Opportunities'!$P$2:$P$1775,"=1",'Opportunities'!$J$2:$J$1775,"=1",'Opportunities'!$X$2:$X$1775,"=q1_2026",'Opportunities'!$H$2:$H$1775,"&lt;&gt;")*0)</f>
        <v>0</v>
      </c>
      <c r="G192" s="4">
        <f>(COUNTIFS('Opportunities'!$C$2:$C$1775,"=r23",'Opportunities'!$P$2:$P$1775,"=1",'Opportunities'!$J$2:$J$1775,"=1",'Opportunities'!$X$2:$X$1775,"=q2_2026",'Opportunities'!$H$2:$H$1775,"&lt;&gt;")*0)</f>
        <v>0</v>
      </c>
      <c r="H192" s="4">
        <f>(COUNTIFS('Opportunities'!$C$2:$C$1775,"=r23",'Opportunities'!$P$2:$P$1775,"=1",'Opportunities'!$J$2:$J$1775,"=1",'Opportunities'!$X$2:$X$1775,"=q3_2026",'Opportunities'!$H$2:$H$1775,"&lt;&gt;")*1)</f>
        <v>1</v>
      </c>
      <c r="I192" s="4">
        <f>(COUNTIFS('Opportunities'!$C$2:$C$1775,"=r23",'Opportunities'!$P$2:$P$1775,"=1",'Opportunities'!$J$2:$J$1775,"=1",'Opportunities'!$X$2:$X$1775,"=q4_2026",'Opportunities'!$H$2:$H$1775,"&lt;&gt;")*0)</f>
        <v>0</v>
      </c>
    </row>
    <row r="193">
      <c r="A193" s="0" t="inlineStr">
        <is>
          <t xml:space="preserve">Security add-on deals (SPIFF)</t>
        </is>
      </c>
      <c r="B193" s="0" t="inlineStr">
        <is>
          <t xml:space="preserve">Ingrid Dubois</t>
        </is>
      </c>
      <c r="C193" s="4">
        <f>(COUNTIFS('Opportunities'!$C$2:$C$1775,"=r24",'Opportunities'!$P$2:$P$1775,"=1",'Opportunities'!$J$2:$J$1775,"=1",'Opportunities'!$X$2:$X$1775,"=q2_2025",'Opportunities'!$H$2:$H$1775,"&lt;&gt;")*0)</f>
        <v>0</v>
      </c>
      <c r="D193" s="4">
        <f>(COUNTIFS('Opportunities'!$C$2:$C$1775,"=r24",'Opportunities'!$P$2:$P$1775,"=1",'Opportunities'!$J$2:$J$1775,"=1",'Opportunities'!$X$2:$X$1775,"=q3_2025",'Opportunities'!$H$2:$H$1775,"&lt;&gt;")*0)</f>
        <v>0</v>
      </c>
      <c r="E193" s="4">
        <f>(COUNTIFS('Opportunities'!$C$2:$C$1775,"=r24",'Opportunities'!$P$2:$P$1775,"=1",'Opportunities'!$J$2:$J$1775,"=1",'Opportunities'!$X$2:$X$1775,"=q4_2025",'Opportunities'!$H$2:$H$1775,"&lt;&gt;")*0)</f>
        <v>0</v>
      </c>
      <c r="F193" s="4">
        <f>(COUNTIFS('Opportunities'!$C$2:$C$1775,"=r24",'Opportunities'!$P$2:$P$1775,"=1",'Opportunities'!$J$2:$J$1775,"=1",'Opportunities'!$X$2:$X$1775,"=q1_2026",'Opportunities'!$H$2:$H$1775,"&lt;&gt;")*0)</f>
        <v>0</v>
      </c>
      <c r="G193" s="4">
        <f>(COUNTIFS('Opportunities'!$C$2:$C$1775,"=r24",'Opportunities'!$P$2:$P$1775,"=1",'Opportunities'!$J$2:$J$1775,"=1",'Opportunities'!$X$2:$X$1775,"=q2_2026",'Opportunities'!$H$2:$H$1775,"&lt;&gt;")*0)</f>
        <v>0</v>
      </c>
      <c r="H193" s="4">
        <f>(COUNTIFS('Opportunities'!$C$2:$C$1775,"=r24",'Opportunities'!$P$2:$P$1775,"=1",'Opportunities'!$J$2:$J$1775,"=1",'Opportunities'!$X$2:$X$1775,"=q3_2026",'Opportunities'!$H$2:$H$1775,"&lt;&gt;")*1)</f>
        <v>1</v>
      </c>
      <c r="I193" s="4">
        <f>(COUNTIFS('Opportunities'!$C$2:$C$1775,"=r24",'Opportunities'!$P$2:$P$1775,"=1",'Opportunities'!$J$2:$J$1775,"=1",'Opportunities'!$X$2:$X$1775,"=q4_2026",'Opportunities'!$H$2:$H$1775,"&lt;&gt;")*0)</f>
        <v>0</v>
      </c>
    </row>
    <row r="194">
      <c r="A194" s="0" t="inlineStr">
        <is>
          <t xml:space="preserve">SPIFF</t>
        </is>
      </c>
      <c r="B194" s="0" t="inlineStr">
        <is>
          <t xml:space="preserve">Noor Ortiz</t>
        </is>
      </c>
      <c r="C194" s="4">
        <f>(C170*'Plan parameters'!B5)</f>
        <v>0</v>
      </c>
      <c r="D194" s="4">
        <f>(D170*'Plan parameters'!B5)</f>
        <v>0</v>
      </c>
      <c r="E194" s="4">
        <f>(E170*'Plan parameters'!B5)</f>
        <v>0</v>
      </c>
      <c r="F194" s="4">
        <f>(F170*'Plan parameters'!B5)</f>
        <v>0</v>
      </c>
      <c r="G194" s="4">
        <f>(G170*'Plan parameters'!B5)</f>
        <v>0</v>
      </c>
      <c r="H194" s="4">
        <f>(H170*'Plan parameters'!B5)</f>
        <v>0</v>
      </c>
      <c r="I194" s="4">
        <f>(I170*'Plan parameters'!B5)</f>
        <v>0</v>
      </c>
    </row>
    <row r="195">
      <c r="A195" s="0" t="inlineStr">
        <is>
          <t xml:space="preserve">SPIFF</t>
        </is>
      </c>
      <c r="B195" s="0" t="inlineStr">
        <is>
          <t xml:space="preserve">Priya Yilmaz</t>
        </is>
      </c>
      <c r="C195" s="4">
        <f>(C171*'Plan parameters'!B5)</f>
        <v>0</v>
      </c>
      <c r="D195" s="4">
        <f>(D171*'Plan parameters'!B5)</f>
        <v>0</v>
      </c>
      <c r="E195" s="4">
        <f>(E171*'Plan parameters'!B5)</f>
        <v>0</v>
      </c>
      <c r="F195" s="4">
        <f>(F171*'Plan parameters'!B5)</f>
        <v>0</v>
      </c>
      <c r="G195" s="4">
        <f>(G171*'Plan parameters'!B5)</f>
        <v>0</v>
      </c>
      <c r="H195" s="4">
        <f>(H171*'Plan parameters'!B5)</f>
        <v>0</v>
      </c>
      <c r="I195" s="4">
        <f>(I171*'Plan parameters'!B5)</f>
        <v>0</v>
      </c>
    </row>
    <row r="196">
      <c r="A196" s="0" t="inlineStr">
        <is>
          <t xml:space="preserve">SPIFF</t>
        </is>
      </c>
      <c r="B196" s="0" t="inlineStr">
        <is>
          <t xml:space="preserve">Marcus Schmidt</t>
        </is>
      </c>
      <c r="C196" s="4">
        <f>(C172*'Plan parameters'!B5)</f>
        <v>0</v>
      </c>
      <c r="D196" s="4">
        <f>(D172*'Plan parameters'!B5)</f>
        <v>0</v>
      </c>
      <c r="E196" s="4">
        <f>(E172*'Plan parameters'!B5)</f>
        <v>0</v>
      </c>
      <c r="F196" s="4">
        <f>(F172*'Plan parameters'!B5)</f>
        <v>0</v>
      </c>
      <c r="G196" s="4">
        <f>(G172*'Plan parameters'!B5)</f>
        <v>0</v>
      </c>
      <c r="H196" s="4">
        <f>(H172*'Plan parameters'!B5)</f>
        <v>0</v>
      </c>
      <c r="I196" s="4">
        <f>(I172*'Plan parameters'!B5)</f>
        <v>0</v>
      </c>
    </row>
    <row r="197">
      <c r="A197" s="0" t="inlineStr">
        <is>
          <t xml:space="preserve">SPIFF</t>
        </is>
      </c>
      <c r="B197" s="0" t="inlineStr">
        <is>
          <t xml:space="preserve">Amara Haddad</t>
        </is>
      </c>
      <c r="C197" s="4">
        <f>(C173*'Plan parameters'!B5)</f>
        <v>0</v>
      </c>
      <c r="D197" s="4">
        <f>(D173*'Plan parameters'!B5)</f>
        <v>0</v>
      </c>
      <c r="E197" s="4">
        <f>(E173*'Plan parameters'!B5)</f>
        <v>0</v>
      </c>
      <c r="F197" s="4">
        <f>(F173*'Plan parameters'!B5)</f>
        <v>0</v>
      </c>
      <c r="G197" s="4">
        <f>(G173*'Plan parameters'!B5)</f>
        <v>0</v>
      </c>
      <c r="H197" s="4">
        <f>(H173*'Plan parameters'!B5)</f>
        <v>0</v>
      </c>
      <c r="I197" s="4">
        <f>(I173*'Plan parameters'!B5)</f>
        <v>0</v>
      </c>
    </row>
    <row r="198">
      <c r="A198" s="0" t="inlineStr">
        <is>
          <t xml:space="preserve">SPIFF</t>
        </is>
      </c>
      <c r="B198" s="0" t="inlineStr">
        <is>
          <t xml:space="preserve">Fatima Silva</t>
        </is>
      </c>
      <c r="C198" s="4">
        <f>(C174*'Plan parameters'!B5)</f>
        <v>0</v>
      </c>
      <c r="D198" s="4">
        <f>(D174*'Plan parameters'!B5)</f>
        <v>0</v>
      </c>
      <c r="E198" s="4">
        <f>(E174*'Plan parameters'!B5)</f>
        <v>0</v>
      </c>
      <c r="F198" s="4">
        <f>(F174*'Plan parameters'!B5)</f>
        <v>0</v>
      </c>
      <c r="G198" s="4">
        <f>(G174*'Plan parameters'!B5)</f>
        <v>0</v>
      </c>
      <c r="H198" s="4">
        <f>(H174*'Plan parameters'!B5)</f>
        <v>6000</v>
      </c>
      <c r="I198" s="4">
        <f>(I174*'Plan parameters'!B5)</f>
        <v>0</v>
      </c>
    </row>
    <row r="199">
      <c r="A199" s="0" t="inlineStr">
        <is>
          <t xml:space="preserve">SPIFF</t>
        </is>
      </c>
      <c r="B199" s="0" t="inlineStr">
        <is>
          <t xml:space="preserve">Ana Ortiz</t>
        </is>
      </c>
      <c r="C199" s="4">
        <f>(C175*'Plan parameters'!B5)</f>
        <v>0</v>
      </c>
      <c r="D199" s="4">
        <f>(D175*'Plan parameters'!B5)</f>
        <v>0</v>
      </c>
      <c r="E199" s="4">
        <f>(E175*'Plan parameters'!B5)</f>
        <v>0</v>
      </c>
      <c r="F199" s="4">
        <f>(F175*'Plan parameters'!B5)</f>
        <v>0</v>
      </c>
      <c r="G199" s="4">
        <f>(G175*'Plan parameters'!B5)</f>
        <v>0</v>
      </c>
      <c r="H199" s="4">
        <f>(H175*'Plan parameters'!B5)</f>
        <v>4000</v>
      </c>
      <c r="I199" s="4">
        <f>(I175*'Plan parameters'!B5)</f>
        <v>0</v>
      </c>
    </row>
    <row r="200">
      <c r="A200" s="0" t="inlineStr">
        <is>
          <t xml:space="preserve">SPIFF</t>
        </is>
      </c>
      <c r="B200" s="0" t="inlineStr">
        <is>
          <t xml:space="preserve">Tobias Silva</t>
        </is>
      </c>
      <c r="C200" s="4">
        <f>(C176*'Plan parameters'!B5)</f>
        <v>0</v>
      </c>
      <c r="D200" s="4">
        <f>(D176*'Plan parameters'!B5)</f>
        <v>0</v>
      </c>
      <c r="E200" s="4">
        <f>(E176*'Plan parameters'!B5)</f>
        <v>0</v>
      </c>
      <c r="F200" s="4">
        <f>(F176*'Plan parameters'!B5)</f>
        <v>0</v>
      </c>
      <c r="G200" s="4">
        <f>(G176*'Plan parameters'!B5)</f>
        <v>0</v>
      </c>
      <c r="H200" s="4">
        <f>(H176*'Plan parameters'!B5)</f>
        <v>2000</v>
      </c>
      <c r="I200" s="4">
        <f>(I176*'Plan parameters'!B5)</f>
        <v>0</v>
      </c>
    </row>
    <row r="201">
      <c r="A201" s="0" t="inlineStr">
        <is>
          <t xml:space="preserve">SPIFF</t>
        </is>
      </c>
      <c r="B201" s="0" t="inlineStr">
        <is>
          <t xml:space="preserve">Leila Osei</t>
        </is>
      </c>
      <c r="C201" s="4">
        <f>(C177*'Plan parameters'!B5)</f>
        <v>0</v>
      </c>
      <c r="D201" s="4">
        <f>(D177*'Plan parameters'!B5)</f>
        <v>0</v>
      </c>
      <c r="E201" s="4">
        <f>(E177*'Plan parameters'!B5)</f>
        <v>0</v>
      </c>
      <c r="F201" s="4">
        <f>(F177*'Plan parameters'!B5)</f>
        <v>0</v>
      </c>
      <c r="G201" s="4">
        <f>(G177*'Plan parameters'!B5)</f>
        <v>0</v>
      </c>
      <c r="H201" s="4">
        <f>(H177*'Plan parameters'!B5)</f>
        <v>4000</v>
      </c>
      <c r="I201" s="4">
        <f>(I177*'Plan parameters'!B5)</f>
        <v>0</v>
      </c>
    </row>
    <row r="202">
      <c r="A202" s="0" t="inlineStr">
        <is>
          <t xml:space="preserve">SPIFF</t>
        </is>
      </c>
      <c r="B202" s="0" t="inlineStr">
        <is>
          <t xml:space="preserve">Grace Costa</t>
        </is>
      </c>
      <c r="C202" s="4">
        <f>(C178*'Plan parameters'!B5)</f>
        <v>0</v>
      </c>
      <c r="D202" s="4">
        <f>(D178*'Plan parameters'!B5)</f>
        <v>0</v>
      </c>
      <c r="E202" s="4">
        <f>(E178*'Plan parameters'!B5)</f>
        <v>0</v>
      </c>
      <c r="F202" s="4">
        <f>(F178*'Plan parameters'!B5)</f>
        <v>0</v>
      </c>
      <c r="G202" s="4">
        <f>(G178*'Plan parameters'!B5)</f>
        <v>0</v>
      </c>
      <c r="H202" s="4">
        <f>(H178*'Plan parameters'!B5)</f>
        <v>6000</v>
      </c>
      <c r="I202" s="4">
        <f>(I178*'Plan parameters'!B5)</f>
        <v>0</v>
      </c>
    </row>
    <row r="203">
      <c r="A203" s="0" t="inlineStr">
        <is>
          <t xml:space="preserve">SPIFF</t>
        </is>
      </c>
      <c r="B203" s="0" t="inlineStr">
        <is>
          <t xml:space="preserve">Ingrid Müller</t>
        </is>
      </c>
      <c r="C203" s="4">
        <f>(C179*'Plan parameters'!B5)</f>
        <v>0</v>
      </c>
      <c r="D203" s="4">
        <f>(D179*'Plan parameters'!B5)</f>
        <v>0</v>
      </c>
      <c r="E203" s="4">
        <f>(E179*'Plan parameters'!B5)</f>
        <v>0</v>
      </c>
      <c r="F203" s="4">
        <f>(F179*'Plan parameters'!B5)</f>
        <v>0</v>
      </c>
      <c r="G203" s="4">
        <f>(G179*'Plan parameters'!B5)</f>
        <v>0</v>
      </c>
      <c r="H203" s="4">
        <f>(H179*'Plan parameters'!B5)</f>
        <v>2000</v>
      </c>
      <c r="I203" s="4">
        <f>(I179*'Plan parameters'!B5)</f>
        <v>0</v>
      </c>
    </row>
    <row r="204">
      <c r="A204" s="0" t="inlineStr">
        <is>
          <t xml:space="preserve">SPIFF</t>
        </is>
      </c>
      <c r="B204" s="0" t="inlineStr">
        <is>
          <t xml:space="preserve">Ingrid Kim</t>
        </is>
      </c>
      <c r="C204" s="4">
        <f>(C180*'Plan parameters'!B5)</f>
        <v>0</v>
      </c>
      <c r="D204" s="4">
        <f>(D180*'Plan parameters'!B5)</f>
        <v>0</v>
      </c>
      <c r="E204" s="4">
        <f>(E180*'Plan parameters'!B5)</f>
        <v>0</v>
      </c>
      <c r="F204" s="4">
        <f>(F180*'Plan parameters'!B5)</f>
        <v>0</v>
      </c>
      <c r="G204" s="4">
        <f>(G180*'Plan parameters'!B5)</f>
        <v>0</v>
      </c>
      <c r="H204" s="4">
        <f>(H180*'Plan parameters'!B5)</f>
        <v>6000</v>
      </c>
      <c r="I204" s="4">
        <f>(I180*'Plan parameters'!B5)</f>
        <v>0</v>
      </c>
    </row>
    <row r="205">
      <c r="A205" s="0" t="inlineStr">
        <is>
          <t xml:space="preserve">SPIFF</t>
        </is>
      </c>
      <c r="B205" s="0" t="inlineStr">
        <is>
          <t xml:space="preserve">Priya Nair</t>
        </is>
      </c>
      <c r="C205" s="4">
        <f>(C181*'Plan parameters'!B5)</f>
        <v>0</v>
      </c>
      <c r="D205" s="4">
        <f>(D181*'Plan parameters'!B5)</f>
        <v>0</v>
      </c>
      <c r="E205" s="4">
        <f>(E181*'Plan parameters'!B5)</f>
        <v>0</v>
      </c>
      <c r="F205" s="4">
        <f>(F181*'Plan parameters'!B5)</f>
        <v>0</v>
      </c>
      <c r="G205" s="4">
        <f>(G181*'Plan parameters'!B5)</f>
        <v>0</v>
      </c>
      <c r="H205" s="4">
        <f>(H181*'Plan parameters'!B5)</f>
        <v>2000</v>
      </c>
      <c r="I205" s="4">
        <f>(I181*'Plan parameters'!B5)</f>
        <v>0</v>
      </c>
    </row>
    <row r="206">
      <c r="A206" s="0" t="inlineStr">
        <is>
          <t xml:space="preserve">SPIFF</t>
        </is>
      </c>
      <c r="B206" s="0" t="inlineStr">
        <is>
          <t xml:space="preserve">Hugo Lindqvist</t>
        </is>
      </c>
      <c r="C206" s="4">
        <f>(C182*'Plan parameters'!B5)</f>
        <v>0</v>
      </c>
      <c r="D206" s="4">
        <f>(D182*'Plan parameters'!B5)</f>
        <v>0</v>
      </c>
      <c r="E206" s="4">
        <f>(E182*'Plan parameters'!B5)</f>
        <v>0</v>
      </c>
      <c r="F206" s="4">
        <f>(F182*'Plan parameters'!B5)</f>
        <v>0</v>
      </c>
      <c r="G206" s="4">
        <f>(G182*'Plan parameters'!B5)</f>
        <v>0</v>
      </c>
      <c r="H206" s="4">
        <f>(H182*'Plan parameters'!B5)</f>
        <v>4000</v>
      </c>
      <c r="I206" s="4">
        <f>(I182*'Plan parameters'!B5)</f>
        <v>0</v>
      </c>
    </row>
    <row r="207">
      <c r="A207" s="0" t="inlineStr">
        <is>
          <t xml:space="preserve">SPIFF</t>
        </is>
      </c>
      <c r="B207" s="0" t="inlineStr">
        <is>
          <t xml:space="preserve">Wei Novak</t>
        </is>
      </c>
      <c r="C207" s="4">
        <f>(C183*'Plan parameters'!B5)</f>
        <v>0</v>
      </c>
      <c r="D207" s="4">
        <f>(D183*'Plan parameters'!B5)</f>
        <v>0</v>
      </c>
      <c r="E207" s="4">
        <f>(E183*'Plan parameters'!B5)</f>
        <v>0</v>
      </c>
      <c r="F207" s="4">
        <f>(F183*'Plan parameters'!B5)</f>
        <v>0</v>
      </c>
      <c r="G207" s="4">
        <f>(G183*'Plan parameters'!B5)</f>
        <v>0</v>
      </c>
      <c r="H207" s="4">
        <f>(H183*'Plan parameters'!B5)</f>
        <v>2000</v>
      </c>
      <c r="I207" s="4">
        <f>(I183*'Plan parameters'!B5)</f>
        <v>0</v>
      </c>
    </row>
    <row r="208">
      <c r="A208" s="0" t="inlineStr">
        <is>
          <t xml:space="preserve">SPIFF</t>
        </is>
      </c>
      <c r="B208" s="0" t="inlineStr">
        <is>
          <t xml:space="preserve">Nikolai Kim</t>
        </is>
      </c>
      <c r="C208" s="4">
        <f>(C184*'Plan parameters'!B5)</f>
        <v>0</v>
      </c>
      <c r="D208" s="4">
        <f>(D184*'Plan parameters'!B5)</f>
        <v>0</v>
      </c>
      <c r="E208" s="4">
        <f>(E184*'Plan parameters'!B5)</f>
        <v>0</v>
      </c>
      <c r="F208" s="4">
        <f>(F184*'Plan parameters'!B5)</f>
        <v>0</v>
      </c>
      <c r="G208" s="4">
        <f>(G184*'Plan parameters'!B5)</f>
        <v>0</v>
      </c>
      <c r="H208" s="4">
        <f>(H184*'Plan parameters'!B5)</f>
        <v>2000</v>
      </c>
      <c r="I208" s="4">
        <f>(I184*'Plan parameters'!B5)</f>
        <v>0</v>
      </c>
    </row>
    <row r="209">
      <c r="A209" s="0" t="inlineStr">
        <is>
          <t xml:space="preserve">SPIFF</t>
        </is>
      </c>
      <c r="B209" s="0" t="inlineStr">
        <is>
          <t xml:space="preserve">Wei Nair</t>
        </is>
      </c>
      <c r="C209" s="4">
        <f>(C185*'Plan parameters'!B5)</f>
        <v>0</v>
      </c>
      <c r="D209" s="4">
        <f>(D185*'Plan parameters'!B5)</f>
        <v>0</v>
      </c>
      <c r="E209" s="4">
        <f>(E185*'Plan parameters'!B5)</f>
        <v>0</v>
      </c>
      <c r="F209" s="4">
        <f>(F185*'Plan parameters'!B5)</f>
        <v>0</v>
      </c>
      <c r="G209" s="4">
        <f>(G185*'Plan parameters'!B5)</f>
        <v>0</v>
      </c>
      <c r="H209" s="4">
        <f>(H185*'Plan parameters'!B5)</f>
        <v>0</v>
      </c>
      <c r="I209" s="4">
        <f>(I185*'Plan parameters'!B5)</f>
        <v>0</v>
      </c>
    </row>
    <row r="210">
      <c r="A210" s="0" t="inlineStr">
        <is>
          <t xml:space="preserve">SPIFF</t>
        </is>
      </c>
      <c r="B210" s="0" t="inlineStr">
        <is>
          <t xml:space="preserve">Liam Silva</t>
        </is>
      </c>
      <c r="C210" s="4">
        <f>(C186*'Plan parameters'!B5)</f>
        <v>0</v>
      </c>
      <c r="D210" s="4">
        <f>(D186*'Plan parameters'!B5)</f>
        <v>0</v>
      </c>
      <c r="E210" s="4">
        <f>(E186*'Plan parameters'!B5)</f>
        <v>0</v>
      </c>
      <c r="F210" s="4">
        <f>(F186*'Plan parameters'!B5)</f>
        <v>0</v>
      </c>
      <c r="G210" s="4">
        <f>(G186*'Plan parameters'!B5)</f>
        <v>0</v>
      </c>
      <c r="H210" s="4">
        <f>(H186*'Plan parameters'!B5)</f>
        <v>2000</v>
      </c>
      <c r="I210" s="4">
        <f>(I186*'Plan parameters'!B5)</f>
        <v>0</v>
      </c>
    </row>
    <row r="211">
      <c r="A211" s="0" t="inlineStr">
        <is>
          <t xml:space="preserve">SPIFF</t>
        </is>
      </c>
      <c r="B211" s="0" t="inlineStr">
        <is>
          <t xml:space="preserve">Samuel Silva</t>
        </is>
      </c>
      <c r="C211" s="4">
        <f>(C187*'Plan parameters'!B5)</f>
        <v>0</v>
      </c>
      <c r="D211" s="4">
        <f>(D187*'Plan parameters'!B5)</f>
        <v>0</v>
      </c>
      <c r="E211" s="4">
        <f>(E187*'Plan parameters'!B5)</f>
        <v>0</v>
      </c>
      <c r="F211" s="4">
        <f>(F187*'Plan parameters'!B5)</f>
        <v>0</v>
      </c>
      <c r="G211" s="4">
        <f>(G187*'Plan parameters'!B5)</f>
        <v>0</v>
      </c>
      <c r="H211" s="4">
        <f>(H187*'Plan parameters'!B5)</f>
        <v>4000</v>
      </c>
      <c r="I211" s="4">
        <f>(I187*'Plan parameters'!B5)</f>
        <v>0</v>
      </c>
    </row>
    <row r="212">
      <c r="A212" s="0" t="inlineStr">
        <is>
          <t xml:space="preserve">SPIFF</t>
        </is>
      </c>
      <c r="B212" s="0" t="inlineStr">
        <is>
          <t xml:space="preserve">Yuki Larsen</t>
        </is>
      </c>
      <c r="C212" s="4">
        <f>(C188*'Plan parameters'!B5)</f>
        <v>0</v>
      </c>
      <c r="D212" s="4">
        <f>(D188*'Plan parameters'!B5)</f>
        <v>0</v>
      </c>
      <c r="E212" s="4">
        <f>(E188*'Plan parameters'!B5)</f>
        <v>0</v>
      </c>
      <c r="F212" s="4">
        <f>(F188*'Plan parameters'!B5)</f>
        <v>0</v>
      </c>
      <c r="G212" s="4">
        <f>(G188*'Plan parameters'!B5)</f>
        <v>0</v>
      </c>
      <c r="H212" s="4">
        <f>(H188*'Plan parameters'!B5)</f>
        <v>2000</v>
      </c>
      <c r="I212" s="4">
        <f>(I188*'Plan parameters'!B5)</f>
        <v>0</v>
      </c>
    </row>
    <row r="213">
      <c r="A213" s="0" t="inlineStr">
        <is>
          <t xml:space="preserve">SPIFF</t>
        </is>
      </c>
      <c r="B213" s="0" t="inlineStr">
        <is>
          <t xml:space="preserve">Nikolai Sato</t>
        </is>
      </c>
      <c r="C213" s="4">
        <f>(C189*'Plan parameters'!B5)</f>
        <v>0</v>
      </c>
      <c r="D213" s="4">
        <f>(D189*'Plan parameters'!B5)</f>
        <v>0</v>
      </c>
      <c r="E213" s="4">
        <f>(E189*'Plan parameters'!B5)</f>
        <v>0</v>
      </c>
      <c r="F213" s="4">
        <f>(F189*'Plan parameters'!B5)</f>
        <v>0</v>
      </c>
      <c r="G213" s="4">
        <f>(G189*'Plan parameters'!B5)</f>
        <v>0</v>
      </c>
      <c r="H213" s="4">
        <f>(H189*'Plan parameters'!B5)</f>
        <v>0</v>
      </c>
      <c r="I213" s="4">
        <f>(I189*'Plan parameters'!B5)</f>
        <v>0</v>
      </c>
    </row>
    <row r="214">
      <c r="A214" s="0" t="inlineStr">
        <is>
          <t xml:space="preserve">SPIFF</t>
        </is>
      </c>
      <c r="B214" s="0" t="inlineStr">
        <is>
          <t xml:space="preserve">Elena Silva</t>
        </is>
      </c>
      <c r="C214" s="4">
        <f>(C190*'Plan parameters'!B5)</f>
        <v>0</v>
      </c>
      <c r="D214" s="4">
        <f>(D190*'Plan parameters'!B5)</f>
        <v>0</v>
      </c>
      <c r="E214" s="4">
        <f>(E190*'Plan parameters'!B5)</f>
        <v>0</v>
      </c>
      <c r="F214" s="4">
        <f>(F190*'Plan parameters'!B5)</f>
        <v>0</v>
      </c>
      <c r="G214" s="4">
        <f>(G190*'Plan parameters'!B5)</f>
        <v>0</v>
      </c>
      <c r="H214" s="4">
        <f>(H190*'Plan parameters'!B5)</f>
        <v>12000</v>
      </c>
      <c r="I214" s="4">
        <f>(I190*'Plan parameters'!B5)</f>
        <v>0</v>
      </c>
    </row>
    <row r="215">
      <c r="A215" s="0" t="inlineStr">
        <is>
          <t xml:space="preserve">SPIFF</t>
        </is>
      </c>
      <c r="B215" s="0" t="inlineStr">
        <is>
          <t xml:space="preserve">Arjun Müller</t>
        </is>
      </c>
      <c r="C215" s="4">
        <f>(C191*'Plan parameters'!B5)</f>
        <v>0</v>
      </c>
      <c r="D215" s="4">
        <f>(D191*'Plan parameters'!B5)</f>
        <v>0</v>
      </c>
      <c r="E215" s="4">
        <f>(E191*'Plan parameters'!B5)</f>
        <v>0</v>
      </c>
      <c r="F215" s="4">
        <f>(F191*'Plan parameters'!B5)</f>
        <v>0</v>
      </c>
      <c r="G215" s="4">
        <f>(G191*'Plan parameters'!B5)</f>
        <v>0</v>
      </c>
      <c r="H215" s="4">
        <f>(H191*'Plan parameters'!B5)</f>
        <v>0</v>
      </c>
      <c r="I215" s="4">
        <f>(I191*'Plan parameters'!B5)</f>
        <v>0</v>
      </c>
    </row>
    <row r="216">
      <c r="A216" s="0" t="inlineStr">
        <is>
          <t xml:space="preserve">SPIFF</t>
        </is>
      </c>
      <c r="B216" s="0" t="inlineStr">
        <is>
          <t xml:space="preserve">Nikolai Park</t>
        </is>
      </c>
      <c r="C216" s="4">
        <f>(C192*'Plan parameters'!B5)</f>
        <v>0</v>
      </c>
      <c r="D216" s="4">
        <f>(D192*'Plan parameters'!B5)</f>
        <v>0</v>
      </c>
      <c r="E216" s="4">
        <f>(E192*'Plan parameters'!B5)</f>
        <v>0</v>
      </c>
      <c r="F216" s="4">
        <f>(F192*'Plan parameters'!B5)</f>
        <v>0</v>
      </c>
      <c r="G216" s="4">
        <f>(G192*'Plan parameters'!B5)</f>
        <v>0</v>
      </c>
      <c r="H216" s="4">
        <f>(H192*'Plan parameters'!B5)</f>
        <v>2000</v>
      </c>
      <c r="I216" s="4">
        <f>(I192*'Plan parameters'!B5)</f>
        <v>0</v>
      </c>
    </row>
    <row r="217">
      <c r="A217" s="0" t="inlineStr">
        <is>
          <t xml:space="preserve">SPIFF</t>
        </is>
      </c>
      <c r="B217" s="0" t="inlineStr">
        <is>
          <t xml:space="preserve">Ingrid Dubois</t>
        </is>
      </c>
      <c r="C217" s="4">
        <f>(C193*'Plan parameters'!B5)</f>
        <v>0</v>
      </c>
      <c r="D217" s="4">
        <f>(D193*'Plan parameters'!B5)</f>
        <v>0</v>
      </c>
      <c r="E217" s="4">
        <f>(E193*'Plan parameters'!B5)</f>
        <v>0</v>
      </c>
      <c r="F217" s="4">
        <f>(F193*'Plan parameters'!B5)</f>
        <v>0</v>
      </c>
      <c r="G217" s="4">
        <f>(G193*'Plan parameters'!B5)</f>
        <v>0</v>
      </c>
      <c r="H217" s="4">
        <f>(H193*'Plan parameters'!B5)</f>
        <v>2000</v>
      </c>
      <c r="I217" s="4">
        <f>(I193*'Plan parameters'!B5)</f>
        <v>0</v>
      </c>
    </row>
    <row r="218">
      <c r="A218" s="0" t="inlineStr">
        <is>
          <t xml:space="preserve">Variable pay before cap</t>
        </is>
      </c>
      <c r="B218" s="0" t="inlineStr">
        <is>
          <t xml:space="preserve">Noor Ortiz</t>
        </is>
      </c>
      <c r="C218" s="8">
        <f>(((C74+C98)+C146)+C194)</f>
        <v>0</v>
      </c>
      <c r="D218" s="8">
        <f>(((D74+D98)+D146)+D194)</f>
        <v>0</v>
      </c>
      <c r="E218" s="8">
        <f>(((E74+E98)+E146)+E194)</f>
        <v>21531.5</v>
      </c>
      <c r="F218" s="8">
        <f>(((F74+F98)+F146)+F194)</f>
        <v>70353.5</v>
      </c>
      <c r="G218" s="8">
        <f>(((G74+G98)+G146)+G194)</f>
        <v>50645.00000000001</v>
      </c>
      <c r="H218" s="8">
        <f>(((H74+H98)+H146)+H194)</f>
        <v>12090.000000000002</v>
      </c>
      <c r="I218" s="8">
        <f>(((I74+I98)+I146)+I194)</f>
        <v>0</v>
      </c>
    </row>
    <row r="219">
      <c r="A219" s="0" t="inlineStr">
        <is>
          <t xml:space="preserve">Variable pay before cap</t>
        </is>
      </c>
      <c r="B219" s="0" t="inlineStr">
        <is>
          <t xml:space="preserve">Priya Yilmaz</t>
        </is>
      </c>
      <c r="C219" s="4">
        <f>(((C75+C99)+C147)+C195)</f>
        <v>0</v>
      </c>
      <c r="D219" s="4">
        <f>(((D75+D99)+D147)+D195)</f>
        <v>0</v>
      </c>
      <c r="E219" s="4">
        <f>(((E75+E99)+E147)+E195)</f>
        <v>0</v>
      </c>
      <c r="F219" s="4">
        <f>(((F75+F99)+F147)+F195)</f>
        <v>0</v>
      </c>
      <c r="G219" s="4">
        <f>(((G75+G99)+G147)+G195)</f>
        <v>0</v>
      </c>
      <c r="H219" s="4">
        <f>(((H75+H99)+H147)+H195)</f>
        <v>0</v>
      </c>
      <c r="I219" s="4">
        <f>(((I75+I99)+I147)+I195)</f>
        <v>0</v>
      </c>
    </row>
    <row r="220">
      <c r="A220" s="0" t="inlineStr">
        <is>
          <t xml:space="preserve">Variable pay before cap</t>
        </is>
      </c>
      <c r="B220" s="0" t="inlineStr">
        <is>
          <t xml:space="preserve">Marcus Schmidt</t>
        </is>
      </c>
      <c r="C220" s="8">
        <f>(((C76+C100)+C148)+C196)</f>
        <v>0</v>
      </c>
      <c r="D220" s="8">
        <f>(((D76+D100)+D148)+D196)</f>
        <v>16540.91</v>
      </c>
      <c r="E220" s="8">
        <f>(((E76+E100)+E148)+E196)</f>
        <v>38919.81999999999</v>
      </c>
      <c r="F220" s="8">
        <f>(((F76+F100)+F148)+F196)</f>
        <v>103959.89000000001</v>
      </c>
      <c r="G220" s="8">
        <f>(((G76+G100)+G148)+G196)</f>
        <v>22190.059999999998</v>
      </c>
      <c r="H220" s="8">
        <f>(((H76+H100)+H148)+H196)</f>
        <v>14870.02</v>
      </c>
      <c r="I220" s="8">
        <f>(((I76+I100)+I148)+I196)</f>
        <v>0</v>
      </c>
    </row>
    <row r="221">
      <c r="A221" s="0" t="inlineStr">
        <is>
          <t xml:space="preserve">Variable pay before cap</t>
        </is>
      </c>
      <c r="B221" s="0" t="inlineStr">
        <is>
          <t xml:space="preserve">Amara Haddad</t>
        </is>
      </c>
      <c r="C221" s="8">
        <f>(((C77+C101)+C149)+C197)</f>
        <v>26860.219999999994</v>
      </c>
      <c r="D221" s="8">
        <f>(((D77+D101)+D149)+D197)</f>
        <v>36739.06</v>
      </c>
      <c r="E221" s="8">
        <f>(((E77+E101)+E149)+E197)</f>
        <v>15944.039999999999</v>
      </c>
      <c r="F221" s="8">
        <f>(((F77+F101)+F149)+F197)</f>
        <v>5395.32</v>
      </c>
      <c r="G221" s="8">
        <f>(((G77+G101)+G149)+G197)</f>
        <v>4224.285</v>
      </c>
      <c r="H221" s="8">
        <f>(((H77+H101)+H149)+H197)</f>
        <v>6196.365000000001</v>
      </c>
      <c r="I221" s="8">
        <f>(((I77+I101)+I149)+I197)</f>
        <v>0</v>
      </c>
    </row>
    <row r="222">
      <c r="A222" s="0" t="inlineStr">
        <is>
          <t xml:space="preserve">Variable pay before cap</t>
        </is>
      </c>
      <c r="B222" s="0" t="inlineStr">
        <is>
          <t xml:space="preserve">Fatima Silva</t>
        </is>
      </c>
      <c r="C222" s="8">
        <f>(((C78+C102)+C150)+C198)</f>
        <v>18218.520000000004</v>
      </c>
      <c r="D222" s="8">
        <f>(((D78+D102)+D150)+D198)</f>
        <v>18525.700000000004</v>
      </c>
      <c r="E222" s="8">
        <f>(((E78+E102)+E150)+E198)</f>
        <v>21683.550000000003</v>
      </c>
      <c r="F222" s="8">
        <f>(((F78+F102)+F150)+F198)</f>
        <v>9331.300000000001</v>
      </c>
      <c r="G222" s="8">
        <f>(((G78+G102)+G150)+G198)</f>
        <v>18568.780000000002</v>
      </c>
      <c r="H222" s="8">
        <f>(((H78+H102)+H150)+H198)</f>
        <v>25229.14</v>
      </c>
      <c r="I222" s="8">
        <f>(((I78+I102)+I150)+I198)</f>
        <v>0</v>
      </c>
    </row>
    <row r="223">
      <c r="A223" s="0" t="inlineStr">
        <is>
          <t xml:space="preserve">Variable pay before cap</t>
        </is>
      </c>
      <c r="B223" s="0" t="inlineStr">
        <is>
          <t xml:space="preserve">Ana Ortiz</t>
        </is>
      </c>
      <c r="C223" s="8">
        <f>(((C79+C103)+C151)+C199)</f>
        <v>3324.5000000000005</v>
      </c>
      <c r="D223" s="8">
        <f>(((D79+D103)+D151)+D199)</f>
        <v>25373.600000000006</v>
      </c>
      <c r="E223" s="8">
        <f>(((E79+E103)+E151)+E199)</f>
        <v>4973.250000000001</v>
      </c>
      <c r="F223" s="8">
        <f>(((F79+F103)+F151)+F199)</f>
        <v>8518.400000000001</v>
      </c>
      <c r="G223" s="8">
        <f>(((G79+G103)+G151)+G199)</f>
        <v>18194.500000000004</v>
      </c>
      <c r="H223" s="8">
        <f>(((H79+H103)+H151)+H199)</f>
        <v>14468.160000000003</v>
      </c>
      <c r="I223" s="8">
        <f>(((I79+I103)+I151)+I199)</f>
        <v>0</v>
      </c>
    </row>
    <row r="224">
      <c r="A224" s="0" t="inlineStr">
        <is>
          <t xml:space="preserve">Variable pay before cap</t>
        </is>
      </c>
      <c r="B224" s="0" t="inlineStr">
        <is>
          <t xml:space="preserve">Tobias Silva</t>
        </is>
      </c>
      <c r="C224" s="8">
        <f>(((C80+C104)+C152)+C200)</f>
        <v>0</v>
      </c>
      <c r="D224" s="8">
        <f>(((D80+D104)+D152)+D200)</f>
        <v>14680.000000000002</v>
      </c>
      <c r="E224" s="8">
        <f>(((E80+E104)+E152)+E200)</f>
        <v>0</v>
      </c>
      <c r="F224" s="8">
        <f>(((F80+F104)+F152)+F200)</f>
        <v>355619.5</v>
      </c>
      <c r="G224" s="8">
        <f>(((G80+G104)+G152)+G200)</f>
        <v>5300</v>
      </c>
      <c r="H224" s="8">
        <f>(((H80+H104)+H152)+H200)</f>
        <v>67575.5</v>
      </c>
      <c r="I224" s="8">
        <f>(((I80+I104)+I152)+I200)</f>
        <v>0</v>
      </c>
    </row>
    <row r="225">
      <c r="A225" s="0" t="inlineStr">
        <is>
          <t xml:space="preserve">Variable pay before cap</t>
        </is>
      </c>
      <c r="B225" s="0" t="inlineStr">
        <is>
          <t xml:space="preserve">Leila Osei</t>
        </is>
      </c>
      <c r="C225" s="8">
        <f>(((C81+C105)+C153)+C201)</f>
        <v>0</v>
      </c>
      <c r="D225" s="8">
        <f>(((D81+D105)+D153)+D201)</f>
        <v>0</v>
      </c>
      <c r="E225" s="8">
        <f>(((E81+E105)+E153)+E201)</f>
        <v>0</v>
      </c>
      <c r="F225" s="8">
        <f>(((F81+F105)+F153)+F201)</f>
        <v>3372.5000000000005</v>
      </c>
      <c r="G225" s="8">
        <f>(((G81+G105)+G153)+G201)</f>
        <v>40217.5</v>
      </c>
      <c r="H225" s="8">
        <f>(((H81+H105)+H153)+H201)</f>
        <v>128265.5</v>
      </c>
      <c r="I225" s="8">
        <f>(((I81+I105)+I153)+I201)</f>
        <v>0</v>
      </c>
    </row>
    <row r="226">
      <c r="A226" s="0" t="inlineStr">
        <is>
          <t xml:space="preserve">Variable pay before cap</t>
        </is>
      </c>
      <c r="B226" s="0" t="inlineStr">
        <is>
          <t xml:space="preserve">Grace Costa</t>
        </is>
      </c>
      <c r="C226" s="8">
        <f>(((C82+C106)+C154)+C202)</f>
        <v>8002.215</v>
      </c>
      <c r="D226" s="8">
        <f>(((D82+D106)+D154)+D202)</f>
        <v>13983.999999999998</v>
      </c>
      <c r="E226" s="8">
        <f>(((E82+E106)+E154)+E202)</f>
        <v>65055.17999999999</v>
      </c>
      <c r="F226" s="8">
        <f>(((F82+F106)+F154)+F202)</f>
        <v>55784.81999999999</v>
      </c>
      <c r="G226" s="8">
        <f>(((G82+G106)+G154)+G202)</f>
        <v>187464.44</v>
      </c>
      <c r="H226" s="8">
        <f>(((H82+H106)+H154)+H202)</f>
        <v>84303.62</v>
      </c>
      <c r="I226" s="8">
        <f>(((I82+I106)+I154)+I202)</f>
        <v>0</v>
      </c>
    </row>
    <row r="227">
      <c r="A227" s="0" t="inlineStr">
        <is>
          <t xml:space="preserve">Variable pay before cap</t>
        </is>
      </c>
      <c r="B227" s="0" t="inlineStr">
        <is>
          <t xml:space="preserve">Ingrid Müller</t>
        </is>
      </c>
      <c r="C227" s="8">
        <f>(((C83+C107)+C155)+C203)</f>
        <v>0</v>
      </c>
      <c r="D227" s="8">
        <f>(((D83+D107)+D155)+D203)</f>
        <v>0</v>
      </c>
      <c r="E227" s="8">
        <f>(((E83+E107)+E155)+E203)</f>
        <v>0</v>
      </c>
      <c r="F227" s="8">
        <f>(((F83+F107)+F155)+F203)</f>
        <v>0</v>
      </c>
      <c r="G227" s="8">
        <f>(((G83+G107)+G155)+G203)</f>
        <v>41041.39</v>
      </c>
      <c r="H227" s="8">
        <f>(((H83+H107)+H155)+H203)</f>
        <v>63593.14</v>
      </c>
      <c r="I227" s="8">
        <f>(((I83+I107)+I155)+I203)</f>
        <v>0</v>
      </c>
    </row>
    <row r="228">
      <c r="A228" s="0" t="inlineStr">
        <is>
          <t xml:space="preserve">Variable pay before cap</t>
        </is>
      </c>
      <c r="B228" s="0" t="inlineStr">
        <is>
          <t xml:space="preserve">Ingrid Kim</t>
        </is>
      </c>
      <c r="C228" s="8">
        <f>(((C84+C108)+C156)+C204)</f>
        <v>12796.980000000001</v>
      </c>
      <c r="D228" s="8">
        <f>(((D84+D108)+D156)+D204)</f>
        <v>13914.780000000002</v>
      </c>
      <c r="E228" s="8">
        <f>(((E84+E108)+E156)+E204)</f>
        <v>22913.86</v>
      </c>
      <c r="F228" s="8">
        <f>(((F84+F108)+F156)+F204)</f>
        <v>17651</v>
      </c>
      <c r="G228" s="8">
        <f>(((G84+G108)+G156)+G204)</f>
        <v>4046.2750000000005</v>
      </c>
      <c r="H228" s="8">
        <f>(((H84+H108)+H156)+H204)</f>
        <v>20522.78</v>
      </c>
      <c r="I228" s="8">
        <f>(((I84+I108)+I156)+I204)</f>
        <v>0</v>
      </c>
    </row>
    <row r="229">
      <c r="A229" s="0" t="inlineStr">
        <is>
          <t xml:space="preserve">Variable pay before cap</t>
        </is>
      </c>
      <c r="B229" s="0" t="inlineStr">
        <is>
          <t xml:space="preserve">Priya Nair</t>
        </is>
      </c>
      <c r="C229" s="8">
        <f>(((C85+C109)+C157)+C205)</f>
        <v>10792.480000000001</v>
      </c>
      <c r="D229" s="8">
        <f>(((D85+D109)+D157)+D205)</f>
        <v>16889.100000000002</v>
      </c>
      <c r="E229" s="8">
        <f>(((E85+E109)+E157)+E205)</f>
        <v>18950.780000000002</v>
      </c>
      <c r="F229" s="8">
        <f>(((F85+F109)+F157)+F205)</f>
        <v>12073.760000000002</v>
      </c>
      <c r="G229" s="8">
        <f>(((G85+G109)+G157)+G205)</f>
        <v>17073.880000000005</v>
      </c>
      <c r="H229" s="8">
        <f>(((H85+H109)+H157)+H205)</f>
        <v>7569.620000000001</v>
      </c>
      <c r="I229" s="8">
        <f>(((I85+I109)+I157)+I205)</f>
        <v>0</v>
      </c>
    </row>
    <row r="230">
      <c r="A230" s="0" t="inlineStr">
        <is>
          <t xml:space="preserve">Variable pay before cap</t>
        </is>
      </c>
      <c r="B230" s="0" t="inlineStr">
        <is>
          <t xml:space="preserve">Hugo Lindqvist</t>
        </is>
      </c>
      <c r="C230" s="8">
        <f>(((C86+C110)+C158)+C206)</f>
        <v>26301.405</v>
      </c>
      <c r="D230" s="8">
        <f>(((D86+D110)+D158)+D206)</f>
        <v>151364.30000000002</v>
      </c>
      <c r="E230" s="8">
        <f>(((E86+E110)+E158)+E206)</f>
        <v>31544.285000000003</v>
      </c>
      <c r="F230" s="8">
        <f>(((F86+F110)+F158)+F206)</f>
        <v>91396.94</v>
      </c>
      <c r="G230" s="8">
        <f>(((G86+G110)+G158)+G206)</f>
        <v>62618.15</v>
      </c>
      <c r="H230" s="8">
        <f>(((H86+H110)+H158)+H206)</f>
        <v>56471.51500000001</v>
      </c>
      <c r="I230" s="8">
        <f>(((I86+I110)+I158)+I206)</f>
        <v>0</v>
      </c>
    </row>
    <row r="231">
      <c r="A231" s="0" t="inlineStr">
        <is>
          <t xml:space="preserve">Variable pay before cap</t>
        </is>
      </c>
      <c r="B231" s="0" t="inlineStr">
        <is>
          <t xml:space="preserve">Wei Novak</t>
        </is>
      </c>
      <c r="C231" s="8">
        <f>(((C87+C111)+C159)+C207)</f>
        <v>0</v>
      </c>
      <c r="D231" s="8">
        <f>(((D87+D111)+D159)+D207)</f>
        <v>0</v>
      </c>
      <c r="E231" s="8">
        <f>(((E87+E111)+E159)+E207)</f>
        <v>0</v>
      </c>
      <c r="F231" s="8">
        <f>(((F87+F111)+F159)+F207)</f>
        <v>2355.8100000000004</v>
      </c>
      <c r="G231" s="8">
        <f>(((G87+G111)+G159)+G207)</f>
        <v>4999.500000000001</v>
      </c>
      <c r="H231" s="8">
        <f>(((H87+H111)+H159)+H207)</f>
        <v>11134.392500000002</v>
      </c>
      <c r="I231" s="8">
        <f>(((I87+I111)+I159)+I207)</f>
        <v>0</v>
      </c>
    </row>
    <row r="232">
      <c r="A232" s="0" t="inlineStr">
        <is>
          <t xml:space="preserve">Variable pay before cap</t>
        </is>
      </c>
      <c r="B232" s="0" t="inlineStr">
        <is>
          <t xml:space="preserve">Nikolai Kim</t>
        </is>
      </c>
      <c r="C232" s="8">
        <f>(((C88+C112)+C160)+C208)</f>
        <v>45183.79</v>
      </c>
      <c r="D232" s="8">
        <f>(((D88+D112)+D160)+D208)</f>
        <v>69877.9</v>
      </c>
      <c r="E232" s="8">
        <f>(((E88+E112)+E160)+E208)</f>
        <v>59298.520000000004</v>
      </c>
      <c r="F232" s="8">
        <f>(((F88+F112)+F160)+F208)</f>
        <v>21460.125</v>
      </c>
      <c r="G232" s="8">
        <f>(((G88+G112)+G160)+G208)</f>
        <v>35777.655</v>
      </c>
      <c r="H232" s="8">
        <f>(((H88+H112)+H160)+H208)</f>
        <v>19748.455</v>
      </c>
      <c r="I232" s="8">
        <f>(((I88+I112)+I160)+I208)</f>
        <v>0</v>
      </c>
    </row>
    <row r="233">
      <c r="A233" s="0" t="inlineStr">
        <is>
          <t xml:space="preserve">Variable pay before cap</t>
        </is>
      </c>
      <c r="B233" s="0" t="inlineStr">
        <is>
          <t xml:space="preserve">Wei Nair</t>
        </is>
      </c>
      <c r="C233" s="8">
        <f>(((C89+C113)+C161)+C209)</f>
        <v>16970.195</v>
      </c>
      <c r="D233" s="8">
        <f>(((D89+D113)+D161)+D209)</f>
        <v>14171.565</v>
      </c>
      <c r="E233" s="8">
        <f>(((E89+E113)+E161)+E209)</f>
        <v>25959.535</v>
      </c>
      <c r="F233" s="8">
        <f>(((F89+F113)+F161)+F209)</f>
        <v>21342.445</v>
      </c>
      <c r="G233" s="8">
        <f>(((G89+G113)+G161)+G209)</f>
        <v>7948.312500000001</v>
      </c>
      <c r="H233" s="8">
        <f>(((H89+H113)+H161)+H209)</f>
        <v>14451.095000000001</v>
      </c>
      <c r="I233" s="8">
        <f>(((I89+I113)+I161)+I209)</f>
        <v>0</v>
      </c>
    </row>
    <row r="234">
      <c r="A234" s="0" t="inlineStr">
        <is>
          <t xml:space="preserve">Variable pay before cap</t>
        </is>
      </c>
      <c r="B234" s="0" t="inlineStr">
        <is>
          <t xml:space="preserve">Liam Silva</t>
        </is>
      </c>
      <c r="C234" s="8">
        <f>(((C90+C114)+C162)+C210)</f>
        <v>525.0000000000001</v>
      </c>
      <c r="D234" s="8">
        <f>(((D90+D114)+D162)+D210)</f>
        <v>17016.5</v>
      </c>
      <c r="E234" s="8">
        <f>(((E90+E114)+E162)+E210)</f>
        <v>23061.000000000004</v>
      </c>
      <c r="F234" s="8">
        <f>(((F90+F114)+F162)+F210)</f>
        <v>26516.000000000004</v>
      </c>
      <c r="G234" s="8">
        <f>(((G90+G114)+G162)+G210)</f>
        <v>7212.000000000001</v>
      </c>
      <c r="H234" s="8">
        <f>(((H90+H114)+H162)+H210)</f>
        <v>21742.5</v>
      </c>
      <c r="I234" s="8">
        <f>(((I90+I114)+I162)+I210)</f>
        <v>0</v>
      </c>
    </row>
    <row r="235">
      <c r="A235" s="0" t="inlineStr">
        <is>
          <t xml:space="preserve">Variable pay before cap</t>
        </is>
      </c>
      <c r="B235" s="0" t="inlineStr">
        <is>
          <t xml:space="preserve">Samuel Silva</t>
        </is>
      </c>
      <c r="C235" s="8">
        <f>(((C91+C115)+C163)+C211)</f>
        <v>5340.000000000001</v>
      </c>
      <c r="D235" s="8">
        <f>(((D91+D115)+D163)+D211)</f>
        <v>39621.49999999999</v>
      </c>
      <c r="E235" s="8">
        <f>(((E91+E115)+E163)+E211)</f>
        <v>18296</v>
      </c>
      <c r="F235" s="8">
        <f>(((F91+F115)+F163)+F211)</f>
        <v>48717.5</v>
      </c>
      <c r="G235" s="8">
        <f>(((G91+G115)+G163)+G211)</f>
        <v>19417.999999999996</v>
      </c>
      <c r="H235" s="8">
        <f>(((H91+H115)+H163)+H211)</f>
        <v>16649.5</v>
      </c>
      <c r="I235" s="8">
        <f>(((I91+I115)+I163)+I211)</f>
        <v>0</v>
      </c>
    </row>
    <row r="236">
      <c r="A236" s="0" t="inlineStr">
        <is>
          <t xml:space="preserve">Variable pay before cap</t>
        </is>
      </c>
      <c r="B236" s="0" t="inlineStr">
        <is>
          <t xml:space="preserve">Yuki Larsen</t>
        </is>
      </c>
      <c r="C236" s="8">
        <f>(((C92+C116)+C164)+C212)</f>
        <v>0</v>
      </c>
      <c r="D236" s="8">
        <f>(((D92+D116)+D164)+D212)</f>
        <v>20075.675</v>
      </c>
      <c r="E236" s="8">
        <f>(((E92+E116)+E164)+E212)</f>
        <v>0</v>
      </c>
      <c r="F236" s="8">
        <f>(((F92+F116)+F164)+F212)</f>
        <v>0</v>
      </c>
      <c r="G236" s="8">
        <f>(((G92+G116)+G164)+G212)</f>
        <v>25068.385000000002</v>
      </c>
      <c r="H236" s="8">
        <f>(((H92+H116)+H164)+H212)</f>
        <v>23781.065000000002</v>
      </c>
      <c r="I236" s="8">
        <f>(((I92+I116)+I164)+I212)</f>
        <v>0</v>
      </c>
    </row>
    <row r="237">
      <c r="A237" s="0" t="inlineStr">
        <is>
          <t xml:space="preserve">Variable pay before cap</t>
        </is>
      </c>
      <c r="B237" s="0" t="inlineStr">
        <is>
          <t xml:space="preserve">Nikolai Sato</t>
        </is>
      </c>
      <c r="C237" s="8">
        <f>(((C93+C117)+C165)+C213)</f>
        <v>13177.8475</v>
      </c>
      <c r="D237" s="8">
        <f>(((D93+D117)+D165)+D213)</f>
        <v>42601.47</v>
      </c>
      <c r="E237" s="8">
        <f>(((E93+E117)+E165)+E213)</f>
        <v>7534.3525</v>
      </c>
      <c r="F237" s="8">
        <f>(((F93+F117)+F165)+F213)</f>
        <v>10522.314999999999</v>
      </c>
      <c r="G237" s="8">
        <f>(((G93+G117)+G165)+G213)</f>
        <v>0</v>
      </c>
      <c r="H237" s="8">
        <f>(((H93+H117)+H165)+H213)</f>
        <v>13666.894999999999</v>
      </c>
      <c r="I237" s="8">
        <f>(((I93+I117)+I165)+I213)</f>
        <v>0</v>
      </c>
    </row>
    <row r="238">
      <c r="A238" s="0" t="inlineStr">
        <is>
          <t xml:space="preserve">Variable pay before cap</t>
        </is>
      </c>
      <c r="B238" s="0" t="inlineStr">
        <is>
          <t xml:space="preserve">Elena Silva</t>
        </is>
      </c>
      <c r="C238" s="8">
        <f>(((C94+C118)+C166)+C214)</f>
        <v>19160.76</v>
      </c>
      <c r="D238" s="8">
        <f>(((D94+D118)+D166)+D214)</f>
        <v>86391.64</v>
      </c>
      <c r="E238" s="8">
        <f>(((E94+E118)+E166)+E214)</f>
        <v>55082.71</v>
      </c>
      <c r="F238" s="8">
        <f>(((F94+F118)+F166)+F214)</f>
        <v>23240.384999999995</v>
      </c>
      <c r="G238" s="8">
        <f>(((G94+G118)+G166)+G214)</f>
        <v>36011.43</v>
      </c>
      <c r="H238" s="8">
        <f>(((H94+H118)+H166)+H214)</f>
        <v>50172.310000000005</v>
      </c>
      <c r="I238" s="8">
        <f>(((I94+I118)+I166)+I214)</f>
        <v>0</v>
      </c>
    </row>
    <row r="239">
      <c r="A239" s="0" t="inlineStr">
        <is>
          <t xml:space="preserve">Variable pay before cap</t>
        </is>
      </c>
      <c r="B239" s="0" t="inlineStr">
        <is>
          <t xml:space="preserve">Arjun Müller</t>
        </is>
      </c>
      <c r="C239" s="8">
        <f>(((C95+C119)+C167)+C215)</f>
        <v>3436.8749999999995</v>
      </c>
      <c r="D239" s="8">
        <f>(((D95+D119)+D167)+D215)</f>
        <v>11846.204999999998</v>
      </c>
      <c r="E239" s="8">
        <f>(((E95+E119)+E167)+E215)</f>
        <v>34926.83499999999</v>
      </c>
      <c r="F239" s="8">
        <f>(((F95+F119)+F167)+F215)</f>
        <v>0</v>
      </c>
      <c r="G239" s="8">
        <f>(((G95+G119)+G167)+G215)</f>
        <v>38388.49</v>
      </c>
      <c r="H239" s="8">
        <f>(((H95+H119)+H167)+H215)</f>
        <v>29978.014999999996</v>
      </c>
      <c r="I239" s="8">
        <f>(((I95+I119)+I167)+I215)</f>
        <v>0</v>
      </c>
    </row>
    <row r="240">
      <c r="A240" s="0" t="inlineStr">
        <is>
          <t xml:space="preserve">Variable pay before cap</t>
        </is>
      </c>
      <c r="B240" s="0" t="inlineStr">
        <is>
          <t xml:space="preserve">Nikolai Park</t>
        </is>
      </c>
      <c r="C240" s="4">
        <f>(((C96+C120)+C168)+C216)</f>
        <v>0</v>
      </c>
      <c r="D240" s="4">
        <f>(((D96+D120)+D168)+D216)</f>
        <v>0</v>
      </c>
      <c r="E240" s="4">
        <f>(((E96+E120)+E168)+E216)</f>
        <v>0</v>
      </c>
      <c r="F240" s="4">
        <f>(((F96+F120)+F168)+F216)</f>
        <v>0</v>
      </c>
      <c r="G240" s="4">
        <f>(((G96+G120)+G168)+G216)</f>
        <v>2290</v>
      </c>
      <c r="H240" s="4">
        <f>(((H96+H120)+H168)+H216)</f>
        <v>8117</v>
      </c>
      <c r="I240" s="4">
        <f>(((I96+I120)+I168)+I216)</f>
        <v>0</v>
      </c>
    </row>
    <row r="241">
      <c r="A241" s="0" t="inlineStr">
        <is>
          <t xml:space="preserve">Variable pay before cap</t>
        </is>
      </c>
      <c r="B241" s="0" t="inlineStr">
        <is>
          <t xml:space="preserve">Ingrid Dubois</t>
        </is>
      </c>
      <c r="C241" s="8">
        <f>(((C97+C121)+C169)+C217)</f>
        <v>0</v>
      </c>
      <c r="D241" s="8">
        <f>(((D97+D121)+D169)+D217)</f>
        <v>39815</v>
      </c>
      <c r="E241" s="8">
        <f>(((E97+E121)+E169)+E217)</f>
        <v>19969</v>
      </c>
      <c r="F241" s="8">
        <f>(((F97+F121)+F169)+F217)</f>
        <v>6152.25</v>
      </c>
      <c r="G241" s="8">
        <f>(((G97+G121)+G169)+G217)</f>
        <v>36816.5</v>
      </c>
      <c r="H241" s="8">
        <f>(((H97+H121)+H169)+H217)</f>
        <v>37520.5</v>
      </c>
      <c r="I241" s="8">
        <f>(((I97+I121)+I169)+I217)</f>
        <v>0</v>
      </c>
    </row>
    <row r="242">
      <c r="A242" s="0" t="inlineStr">
        <is>
          <t xml:space="preserve">On-target variable (quarter)</t>
        </is>
      </c>
      <c r="B242" s="0" t="inlineStr">
        <is>
          <t xml:space="preserve">Noor Ortiz</t>
        </is>
      </c>
      <c r="C242" s="4">
        <f>(150000/4)</f>
        <v>37500</v>
      </c>
      <c r="D242" s="4">
        <f>(150000/4)</f>
        <v>37500</v>
      </c>
      <c r="E242" s="4">
        <f>(150000/4)</f>
        <v>37500</v>
      </c>
      <c r="F242" s="4">
        <f>(150000/4)</f>
        <v>37500</v>
      </c>
      <c r="G242" s="4">
        <f>(150000/4)</f>
        <v>37500</v>
      </c>
      <c r="H242" s="4">
        <f>(150000/4)</f>
        <v>37500</v>
      </c>
      <c r="I242" s="4">
        <f>(150000/4)</f>
        <v>37500</v>
      </c>
    </row>
    <row r="243">
      <c r="A243" s="0" t="inlineStr">
        <is>
          <t xml:space="preserve">On-target variable (quarter)</t>
        </is>
      </c>
      <c r="B243" s="0" t="inlineStr">
        <is>
          <t xml:space="preserve">Priya Yilmaz</t>
        </is>
      </c>
      <c r="C243" s="4">
        <f>(150000/4)</f>
        <v>37500</v>
      </c>
      <c r="D243" s="4">
        <f>(150000/4)</f>
        <v>37500</v>
      </c>
      <c r="E243" s="4">
        <f>(150000/4)</f>
        <v>37500</v>
      </c>
      <c r="F243" s="4">
        <f>(150000/4)</f>
        <v>37500</v>
      </c>
      <c r="G243" s="4">
        <f>(150000/4)</f>
        <v>37500</v>
      </c>
      <c r="H243" s="4">
        <f>(150000/4)</f>
        <v>37500</v>
      </c>
      <c r="I243" s="4">
        <f>(150000/4)</f>
        <v>37500</v>
      </c>
    </row>
    <row r="244">
      <c r="A244" s="0" t="inlineStr">
        <is>
          <t xml:space="preserve">On-target variable (quarter)</t>
        </is>
      </c>
      <c r="B244" s="0" t="inlineStr">
        <is>
          <t xml:space="preserve">Marcus Schmidt</t>
        </is>
      </c>
      <c r="C244" s="4">
        <f>(110000/4)</f>
        <v>27500</v>
      </c>
      <c r="D244" s="4">
        <f>(110000/4)</f>
        <v>27500</v>
      </c>
      <c r="E244" s="4">
        <f>(110000/4)</f>
        <v>27500</v>
      </c>
      <c r="F244" s="4">
        <f>(110000/4)</f>
        <v>27500</v>
      </c>
      <c r="G244" s="4">
        <f>(110000/4)</f>
        <v>27500</v>
      </c>
      <c r="H244" s="4">
        <f>(110000/4)</f>
        <v>27500</v>
      </c>
      <c r="I244" s="4">
        <f>(110000/4)</f>
        <v>27500</v>
      </c>
    </row>
    <row r="245">
      <c r="A245" s="0" t="inlineStr">
        <is>
          <t xml:space="preserve">On-target variable (quarter)</t>
        </is>
      </c>
      <c r="B245" s="0" t="inlineStr">
        <is>
          <t xml:space="preserve">Amara Haddad</t>
        </is>
      </c>
      <c r="C245" s="4">
        <f>(110000/4)</f>
        <v>27500</v>
      </c>
      <c r="D245" s="4">
        <f>(110000/4)</f>
        <v>27500</v>
      </c>
      <c r="E245" s="4">
        <f>(110000/4)</f>
        <v>27500</v>
      </c>
      <c r="F245" s="4">
        <f>(110000/4)</f>
        <v>27500</v>
      </c>
      <c r="G245" s="4">
        <f>(110000/4)</f>
        <v>27500</v>
      </c>
      <c r="H245" s="4">
        <f>(110000/4)</f>
        <v>27500</v>
      </c>
      <c r="I245" s="4">
        <f>(110000/4)</f>
        <v>27500</v>
      </c>
    </row>
    <row r="246">
      <c r="A246" s="0" t="inlineStr">
        <is>
          <t xml:space="preserve">On-target variable (quarter)</t>
        </is>
      </c>
      <c r="B246" s="0" t="inlineStr">
        <is>
          <t xml:space="preserve">Fatima Silva</t>
        </is>
      </c>
      <c r="C246" s="4">
        <f>(80000/4)</f>
        <v>20000</v>
      </c>
      <c r="D246" s="4">
        <f>(80000/4)</f>
        <v>20000</v>
      </c>
      <c r="E246" s="4">
        <f>(80000/4)</f>
        <v>20000</v>
      </c>
      <c r="F246" s="4">
        <f>(80000/4)</f>
        <v>20000</v>
      </c>
      <c r="G246" s="4">
        <f>(80000/4)</f>
        <v>20000</v>
      </c>
      <c r="H246" s="4">
        <f>(80000/4)</f>
        <v>20000</v>
      </c>
      <c r="I246" s="4">
        <f>(80000/4)</f>
        <v>20000</v>
      </c>
    </row>
    <row r="247">
      <c r="A247" s="0" t="inlineStr">
        <is>
          <t xml:space="preserve">On-target variable (quarter)</t>
        </is>
      </c>
      <c r="B247" s="0" t="inlineStr">
        <is>
          <t xml:space="preserve">Ana Ortiz</t>
        </is>
      </c>
      <c r="C247" s="4">
        <f>(80000/4)</f>
        <v>20000</v>
      </c>
      <c r="D247" s="4">
        <f>(80000/4)</f>
        <v>20000</v>
      </c>
      <c r="E247" s="4">
        <f>(80000/4)</f>
        <v>20000</v>
      </c>
      <c r="F247" s="4">
        <f>(80000/4)</f>
        <v>20000</v>
      </c>
      <c r="G247" s="4">
        <f>(80000/4)</f>
        <v>20000</v>
      </c>
      <c r="H247" s="4">
        <f>(80000/4)</f>
        <v>20000</v>
      </c>
      <c r="I247" s="4">
        <f>(80000/4)</f>
        <v>20000</v>
      </c>
    </row>
    <row r="248">
      <c r="A248" s="0" t="inlineStr">
        <is>
          <t xml:space="preserve">On-target variable (quarter)</t>
        </is>
      </c>
      <c r="B248" s="0" t="inlineStr">
        <is>
          <t xml:space="preserve">Tobias Silva</t>
        </is>
      </c>
      <c r="C248" s="4">
        <f>(150000/4)</f>
        <v>37500</v>
      </c>
      <c r="D248" s="4">
        <f>(150000/4)</f>
        <v>37500</v>
      </c>
      <c r="E248" s="4">
        <f>(150000/4)</f>
        <v>37500</v>
      </c>
      <c r="F248" s="4">
        <f>(150000/4)</f>
        <v>37500</v>
      </c>
      <c r="G248" s="4">
        <f>(150000/4)</f>
        <v>37500</v>
      </c>
      <c r="H248" s="4">
        <f>(150000/4)</f>
        <v>37500</v>
      </c>
      <c r="I248" s="4">
        <f>(150000/4)</f>
        <v>37500</v>
      </c>
    </row>
    <row r="249">
      <c r="A249" s="0" t="inlineStr">
        <is>
          <t xml:space="preserve">On-target variable (quarter)</t>
        </is>
      </c>
      <c r="B249" s="0" t="inlineStr">
        <is>
          <t xml:space="preserve">Leila Osei</t>
        </is>
      </c>
      <c r="C249" s="4">
        <f>(150000/4)</f>
        <v>37500</v>
      </c>
      <c r="D249" s="4">
        <f>(150000/4)</f>
        <v>37500</v>
      </c>
      <c r="E249" s="4">
        <f>(150000/4)</f>
        <v>37500</v>
      </c>
      <c r="F249" s="4">
        <f>(150000/4)</f>
        <v>37500</v>
      </c>
      <c r="G249" s="4">
        <f>(150000/4)</f>
        <v>37500</v>
      </c>
      <c r="H249" s="4">
        <f>(150000/4)</f>
        <v>37500</v>
      </c>
      <c r="I249" s="4">
        <f>(150000/4)</f>
        <v>37500</v>
      </c>
    </row>
    <row r="250">
      <c r="A250" s="0" t="inlineStr">
        <is>
          <t xml:space="preserve">On-target variable (quarter)</t>
        </is>
      </c>
      <c r="B250" s="0" t="inlineStr">
        <is>
          <t xml:space="preserve">Grace Costa</t>
        </is>
      </c>
      <c r="C250" s="4">
        <f>(110000/4)</f>
        <v>27500</v>
      </c>
      <c r="D250" s="4">
        <f>(110000/4)</f>
        <v>27500</v>
      </c>
      <c r="E250" s="4">
        <f>(110000/4)</f>
        <v>27500</v>
      </c>
      <c r="F250" s="4">
        <f>(110000/4)</f>
        <v>27500</v>
      </c>
      <c r="G250" s="4">
        <f>(110000/4)</f>
        <v>27500</v>
      </c>
      <c r="H250" s="4">
        <f>(110000/4)</f>
        <v>27500</v>
      </c>
      <c r="I250" s="4">
        <f>(110000/4)</f>
        <v>27500</v>
      </c>
    </row>
    <row r="251">
      <c r="A251" s="0" t="inlineStr">
        <is>
          <t xml:space="preserve">On-target variable (quarter)</t>
        </is>
      </c>
      <c r="B251" s="0" t="inlineStr">
        <is>
          <t xml:space="preserve">Ingrid Müller</t>
        </is>
      </c>
      <c r="C251" s="4">
        <f>(110000/4)</f>
        <v>27500</v>
      </c>
      <c r="D251" s="4">
        <f>(110000/4)</f>
        <v>27500</v>
      </c>
      <c r="E251" s="4">
        <f>(110000/4)</f>
        <v>27500</v>
      </c>
      <c r="F251" s="4">
        <f>(110000/4)</f>
        <v>27500</v>
      </c>
      <c r="G251" s="4">
        <f>(110000/4)</f>
        <v>27500</v>
      </c>
      <c r="H251" s="4">
        <f>(110000/4)</f>
        <v>27500</v>
      </c>
      <c r="I251" s="4">
        <f>(110000/4)</f>
        <v>27500</v>
      </c>
    </row>
    <row r="252">
      <c r="A252" s="0" t="inlineStr">
        <is>
          <t xml:space="preserve">On-target variable (quarter)</t>
        </is>
      </c>
      <c r="B252" s="0" t="inlineStr">
        <is>
          <t xml:space="preserve">Ingrid Kim</t>
        </is>
      </c>
      <c r="C252" s="4">
        <f>(80000/4)</f>
        <v>20000</v>
      </c>
      <c r="D252" s="4">
        <f>(80000/4)</f>
        <v>20000</v>
      </c>
      <c r="E252" s="4">
        <f>(80000/4)</f>
        <v>20000</v>
      </c>
      <c r="F252" s="4">
        <f>(80000/4)</f>
        <v>20000</v>
      </c>
      <c r="G252" s="4">
        <f>(80000/4)</f>
        <v>20000</v>
      </c>
      <c r="H252" s="4">
        <f>(80000/4)</f>
        <v>20000</v>
      </c>
      <c r="I252" s="4">
        <f>(80000/4)</f>
        <v>20000</v>
      </c>
    </row>
    <row r="253">
      <c r="A253" s="0" t="inlineStr">
        <is>
          <t xml:space="preserve">On-target variable (quarter)</t>
        </is>
      </c>
      <c r="B253" s="0" t="inlineStr">
        <is>
          <t xml:space="preserve">Priya Nair</t>
        </is>
      </c>
      <c r="C253" s="4">
        <f>(80000/4)</f>
        <v>20000</v>
      </c>
      <c r="D253" s="4">
        <f>(80000/4)</f>
        <v>20000</v>
      </c>
      <c r="E253" s="4">
        <f>(80000/4)</f>
        <v>20000</v>
      </c>
      <c r="F253" s="4">
        <f>(80000/4)</f>
        <v>20000</v>
      </c>
      <c r="G253" s="4">
        <f>(80000/4)</f>
        <v>20000</v>
      </c>
      <c r="H253" s="4">
        <f>(80000/4)</f>
        <v>20000</v>
      </c>
      <c r="I253" s="4">
        <f>(80000/4)</f>
        <v>20000</v>
      </c>
    </row>
    <row r="254">
      <c r="A254" s="0" t="inlineStr">
        <is>
          <t xml:space="preserve">On-target variable (quarter)</t>
        </is>
      </c>
      <c r="B254" s="0" t="inlineStr">
        <is>
          <t xml:space="preserve">Hugo Lindqvist</t>
        </is>
      </c>
      <c r="C254" s="4">
        <f>(150000/4)</f>
        <v>37500</v>
      </c>
      <c r="D254" s="4">
        <f>(150000/4)</f>
        <v>37500</v>
      </c>
      <c r="E254" s="4">
        <f>(150000/4)</f>
        <v>37500</v>
      </c>
      <c r="F254" s="4">
        <f>(150000/4)</f>
        <v>37500</v>
      </c>
      <c r="G254" s="4">
        <f>(150000/4)</f>
        <v>37500</v>
      </c>
      <c r="H254" s="4">
        <f>(150000/4)</f>
        <v>37500</v>
      </c>
      <c r="I254" s="4">
        <f>(150000/4)</f>
        <v>37500</v>
      </c>
    </row>
    <row r="255">
      <c r="A255" s="0" t="inlineStr">
        <is>
          <t xml:space="preserve">On-target variable (quarter)</t>
        </is>
      </c>
      <c r="B255" s="0" t="inlineStr">
        <is>
          <t xml:space="preserve">Wei Novak</t>
        </is>
      </c>
      <c r="C255" s="4">
        <f>(150000/4)</f>
        <v>37500</v>
      </c>
      <c r="D255" s="4">
        <f>(150000/4)</f>
        <v>37500</v>
      </c>
      <c r="E255" s="4">
        <f>(150000/4)</f>
        <v>37500</v>
      </c>
      <c r="F255" s="4">
        <f>(150000/4)</f>
        <v>37500</v>
      </c>
      <c r="G255" s="4">
        <f>(150000/4)</f>
        <v>37500</v>
      </c>
      <c r="H255" s="4">
        <f>(150000/4)</f>
        <v>37500</v>
      </c>
      <c r="I255" s="4">
        <f>(150000/4)</f>
        <v>37500</v>
      </c>
    </row>
    <row r="256">
      <c r="A256" s="0" t="inlineStr">
        <is>
          <t xml:space="preserve">On-target variable (quarter)</t>
        </is>
      </c>
      <c r="B256" s="0" t="inlineStr">
        <is>
          <t xml:space="preserve">Nikolai Kim</t>
        </is>
      </c>
      <c r="C256" s="4">
        <f>(110000/4)</f>
        <v>27500</v>
      </c>
      <c r="D256" s="4">
        <f>(110000/4)</f>
        <v>27500</v>
      </c>
      <c r="E256" s="4">
        <f>(110000/4)</f>
        <v>27500</v>
      </c>
      <c r="F256" s="4">
        <f>(110000/4)</f>
        <v>27500</v>
      </c>
      <c r="G256" s="4">
        <f>(110000/4)</f>
        <v>27500</v>
      </c>
      <c r="H256" s="4">
        <f>(110000/4)</f>
        <v>27500</v>
      </c>
      <c r="I256" s="4">
        <f>(110000/4)</f>
        <v>27500</v>
      </c>
    </row>
    <row r="257">
      <c r="A257" s="0" t="inlineStr">
        <is>
          <t xml:space="preserve">On-target variable (quarter)</t>
        </is>
      </c>
      <c r="B257" s="0" t="inlineStr">
        <is>
          <t xml:space="preserve">Wei Nair</t>
        </is>
      </c>
      <c r="C257" s="4">
        <f>(110000/4)</f>
        <v>27500</v>
      </c>
      <c r="D257" s="4">
        <f>(110000/4)</f>
        <v>27500</v>
      </c>
      <c r="E257" s="4">
        <f>(110000/4)</f>
        <v>27500</v>
      </c>
      <c r="F257" s="4">
        <f>(110000/4)</f>
        <v>27500</v>
      </c>
      <c r="G257" s="4">
        <f>(110000/4)</f>
        <v>27500</v>
      </c>
      <c r="H257" s="4">
        <f>(110000/4)</f>
        <v>27500</v>
      </c>
      <c r="I257" s="4">
        <f>(110000/4)</f>
        <v>27500</v>
      </c>
    </row>
    <row r="258">
      <c r="A258" s="0" t="inlineStr">
        <is>
          <t xml:space="preserve">On-target variable (quarter)</t>
        </is>
      </c>
      <c r="B258" s="0" t="inlineStr">
        <is>
          <t xml:space="preserve">Liam Silva</t>
        </is>
      </c>
      <c r="C258" s="4">
        <f>(80000/4)</f>
        <v>20000</v>
      </c>
      <c r="D258" s="4">
        <f>(80000/4)</f>
        <v>20000</v>
      </c>
      <c r="E258" s="4">
        <f>(80000/4)</f>
        <v>20000</v>
      </c>
      <c r="F258" s="4">
        <f>(80000/4)</f>
        <v>20000</v>
      </c>
      <c r="G258" s="4">
        <f>(80000/4)</f>
        <v>20000</v>
      </c>
      <c r="H258" s="4">
        <f>(80000/4)</f>
        <v>20000</v>
      </c>
      <c r="I258" s="4">
        <f>(80000/4)</f>
        <v>20000</v>
      </c>
    </row>
    <row r="259">
      <c r="A259" s="0" t="inlineStr">
        <is>
          <t xml:space="preserve">On-target variable (quarter)</t>
        </is>
      </c>
      <c r="B259" s="0" t="inlineStr">
        <is>
          <t xml:space="preserve">Samuel Silva</t>
        </is>
      </c>
      <c r="C259" s="4">
        <f>(80000/4)</f>
        <v>20000</v>
      </c>
      <c r="D259" s="4">
        <f>(80000/4)</f>
        <v>20000</v>
      </c>
      <c r="E259" s="4">
        <f>(80000/4)</f>
        <v>20000</v>
      </c>
      <c r="F259" s="4">
        <f>(80000/4)</f>
        <v>20000</v>
      </c>
      <c r="G259" s="4">
        <f>(80000/4)</f>
        <v>20000</v>
      </c>
      <c r="H259" s="4">
        <f>(80000/4)</f>
        <v>20000</v>
      </c>
      <c r="I259" s="4">
        <f>(80000/4)</f>
        <v>20000</v>
      </c>
    </row>
    <row r="260">
      <c r="A260" s="0" t="inlineStr">
        <is>
          <t xml:space="preserve">On-target variable (quarter)</t>
        </is>
      </c>
      <c r="B260" s="0" t="inlineStr">
        <is>
          <t xml:space="preserve">Yuki Larsen</t>
        </is>
      </c>
      <c r="C260" s="4">
        <f>(150000/4)</f>
        <v>37500</v>
      </c>
      <c r="D260" s="4">
        <f>(150000/4)</f>
        <v>37500</v>
      </c>
      <c r="E260" s="4">
        <f>(150000/4)</f>
        <v>37500</v>
      </c>
      <c r="F260" s="4">
        <f>(150000/4)</f>
        <v>37500</v>
      </c>
      <c r="G260" s="4">
        <f>(150000/4)</f>
        <v>37500</v>
      </c>
      <c r="H260" s="4">
        <f>(150000/4)</f>
        <v>37500</v>
      </c>
      <c r="I260" s="4">
        <f>(150000/4)</f>
        <v>37500</v>
      </c>
    </row>
    <row r="261">
      <c r="A261" s="0" t="inlineStr">
        <is>
          <t xml:space="preserve">On-target variable (quarter)</t>
        </is>
      </c>
      <c r="B261" s="0" t="inlineStr">
        <is>
          <t xml:space="preserve">Nikolai Sato</t>
        </is>
      </c>
      <c r="C261" s="4">
        <f>(150000/4)</f>
        <v>37500</v>
      </c>
      <c r="D261" s="4">
        <f>(150000/4)</f>
        <v>37500</v>
      </c>
      <c r="E261" s="4">
        <f>(150000/4)</f>
        <v>37500</v>
      </c>
      <c r="F261" s="4">
        <f>(150000/4)</f>
        <v>37500</v>
      </c>
      <c r="G261" s="4">
        <f>(150000/4)</f>
        <v>37500</v>
      </c>
      <c r="H261" s="4">
        <f>(150000/4)</f>
        <v>37500</v>
      </c>
      <c r="I261" s="4">
        <f>(150000/4)</f>
        <v>37500</v>
      </c>
    </row>
    <row r="262">
      <c r="A262" s="0" t="inlineStr">
        <is>
          <t xml:space="preserve">On-target variable (quarter)</t>
        </is>
      </c>
      <c r="B262" s="0" t="inlineStr">
        <is>
          <t xml:space="preserve">Elena Silva</t>
        </is>
      </c>
      <c r="C262" s="4">
        <f>(110000/4)</f>
        <v>27500</v>
      </c>
      <c r="D262" s="4">
        <f>(110000/4)</f>
        <v>27500</v>
      </c>
      <c r="E262" s="4">
        <f>(110000/4)</f>
        <v>27500</v>
      </c>
      <c r="F262" s="4">
        <f>(110000/4)</f>
        <v>27500</v>
      </c>
      <c r="G262" s="4">
        <f>(110000/4)</f>
        <v>27500</v>
      </c>
      <c r="H262" s="4">
        <f>(110000/4)</f>
        <v>27500</v>
      </c>
      <c r="I262" s="4">
        <f>(110000/4)</f>
        <v>27500</v>
      </c>
    </row>
    <row r="263">
      <c r="A263" s="0" t="inlineStr">
        <is>
          <t xml:space="preserve">On-target variable (quarter)</t>
        </is>
      </c>
      <c r="B263" s="0" t="inlineStr">
        <is>
          <t xml:space="preserve">Arjun Müller</t>
        </is>
      </c>
      <c r="C263" s="4">
        <f>(110000/4)</f>
        <v>27500</v>
      </c>
      <c r="D263" s="4">
        <f>(110000/4)</f>
        <v>27500</v>
      </c>
      <c r="E263" s="4">
        <f>(110000/4)</f>
        <v>27500</v>
      </c>
      <c r="F263" s="4">
        <f>(110000/4)</f>
        <v>27500</v>
      </c>
      <c r="G263" s="4">
        <f>(110000/4)</f>
        <v>27500</v>
      </c>
      <c r="H263" s="4">
        <f>(110000/4)</f>
        <v>27500</v>
      </c>
      <c r="I263" s="4">
        <f>(110000/4)</f>
        <v>27500</v>
      </c>
    </row>
    <row r="264">
      <c r="A264" s="0" t="inlineStr">
        <is>
          <t xml:space="preserve">On-target variable (quarter)</t>
        </is>
      </c>
      <c r="B264" s="0" t="inlineStr">
        <is>
          <t xml:space="preserve">Nikolai Park</t>
        </is>
      </c>
      <c r="C264" s="4">
        <f>(80000/4)</f>
        <v>20000</v>
      </c>
      <c r="D264" s="4">
        <f>(80000/4)</f>
        <v>20000</v>
      </c>
      <c r="E264" s="4">
        <f>(80000/4)</f>
        <v>20000</v>
      </c>
      <c r="F264" s="4">
        <f>(80000/4)</f>
        <v>20000</v>
      </c>
      <c r="G264" s="4">
        <f>(80000/4)</f>
        <v>20000</v>
      </c>
      <c r="H264" s="4">
        <f>(80000/4)</f>
        <v>20000</v>
      </c>
      <c r="I264" s="4">
        <f>(80000/4)</f>
        <v>20000</v>
      </c>
    </row>
    <row r="265">
      <c r="A265" s="0" t="inlineStr">
        <is>
          <t xml:space="preserve">On-target variable (quarter)</t>
        </is>
      </c>
      <c r="B265" s="0" t="inlineStr">
        <is>
          <t xml:space="preserve">Ingrid Dubois</t>
        </is>
      </c>
      <c r="C265" s="4">
        <f>(80000/4)</f>
        <v>20000</v>
      </c>
      <c r="D265" s="4">
        <f>(80000/4)</f>
        <v>20000</v>
      </c>
      <c r="E265" s="4">
        <f>(80000/4)</f>
        <v>20000</v>
      </c>
      <c r="F265" s="4">
        <f>(80000/4)</f>
        <v>20000</v>
      </c>
      <c r="G265" s="4">
        <f>(80000/4)</f>
        <v>20000</v>
      </c>
      <c r="H265" s="4">
        <f>(80000/4)</f>
        <v>20000</v>
      </c>
      <c r="I265" s="4">
        <f>(80000/4)</f>
        <v>20000</v>
      </c>
    </row>
    <row r="266">
      <c r="A266" s="0" t="inlineStr">
        <is>
          <t xml:space="preserve">Total variable pay (capped)</t>
        </is>
      </c>
      <c r="B266" s="0" t="inlineStr">
        <is>
          <t xml:space="preserve">Noor Ortiz</t>
        </is>
      </c>
      <c r="C266" s="8">
        <f>IF((C218&gt;('Plan parameters'!B6*C242)),('Plan parameters'!B6*C242),C218)</f>
        <v>0</v>
      </c>
      <c r="D266" s="8">
        <f>IF((D218&gt;('Plan parameters'!B6*D242)),('Plan parameters'!B6*D242),D218)</f>
        <v>0</v>
      </c>
      <c r="E266" s="8">
        <f>IF((E218&gt;('Plan parameters'!B6*E242)),('Plan parameters'!B6*E242),E218)</f>
        <v>21531.5</v>
      </c>
      <c r="F266" s="8">
        <f>IF((F218&gt;('Plan parameters'!B6*F242)),('Plan parameters'!B6*F242),F218)</f>
        <v>70353.5</v>
      </c>
      <c r="G266" s="8">
        <f>IF((G218&gt;('Plan parameters'!B6*G242)),('Plan parameters'!B6*G242),G218)</f>
        <v>50645.00000000001</v>
      </c>
      <c r="H266" s="8">
        <f>IF((H218&gt;('Plan parameters'!B6*H242)),('Plan parameters'!B6*H242),H218)</f>
        <v>12090.000000000002</v>
      </c>
      <c r="I266" s="8">
        <f>IF((I218&gt;('Plan parameters'!B6*I242)),('Plan parameters'!B6*I242),I218)</f>
        <v>0</v>
      </c>
    </row>
    <row r="267">
      <c r="A267" s="0" t="inlineStr">
        <is>
          <t xml:space="preserve">Total variable pay (capped)</t>
        </is>
      </c>
      <c r="B267" s="0" t="inlineStr">
        <is>
          <t xml:space="preserve">Priya Yilmaz</t>
        </is>
      </c>
      <c r="C267" s="4">
        <f>IF((C219&gt;('Plan parameters'!B6*C243)),('Plan parameters'!B6*C243),C219)</f>
        <v>0</v>
      </c>
      <c r="D267" s="4">
        <f>IF((D219&gt;('Plan parameters'!B6*D243)),('Plan parameters'!B6*D243),D219)</f>
        <v>0</v>
      </c>
      <c r="E267" s="4">
        <f>IF((E219&gt;('Plan parameters'!B6*E243)),('Plan parameters'!B6*E243),E219)</f>
        <v>0</v>
      </c>
      <c r="F267" s="4">
        <f>IF((F219&gt;('Plan parameters'!B6*F243)),('Plan parameters'!B6*F243),F219)</f>
        <v>0</v>
      </c>
      <c r="G267" s="4">
        <f>IF((G219&gt;('Plan parameters'!B6*G243)),('Plan parameters'!B6*G243),G219)</f>
        <v>0</v>
      </c>
      <c r="H267" s="4">
        <f>IF((H219&gt;('Plan parameters'!B6*H243)),('Plan parameters'!B6*H243),H219)</f>
        <v>0</v>
      </c>
      <c r="I267" s="4">
        <f>IF((I219&gt;('Plan parameters'!B6*I243)),('Plan parameters'!B6*I243),I219)</f>
        <v>0</v>
      </c>
    </row>
    <row r="268">
      <c r="A268" s="0" t="inlineStr">
        <is>
          <t xml:space="preserve">Total variable pay (capped)</t>
        </is>
      </c>
      <c r="B268" s="0" t="inlineStr">
        <is>
          <t xml:space="preserve">Marcus Schmidt</t>
        </is>
      </c>
      <c r="C268" s="8">
        <f>IF((C220&gt;('Plan parameters'!B6*C244)),('Plan parameters'!B6*C244),C220)</f>
        <v>0</v>
      </c>
      <c r="D268" s="8">
        <f>IF((D220&gt;('Plan parameters'!B6*D244)),('Plan parameters'!B6*D244),D220)</f>
        <v>16540.91</v>
      </c>
      <c r="E268" s="8">
        <f>IF((E220&gt;('Plan parameters'!B6*E244)),('Plan parameters'!B6*E244),E220)</f>
        <v>38919.81999999999</v>
      </c>
      <c r="F268" s="8">
        <f>IF((F220&gt;('Plan parameters'!B6*F244)),('Plan parameters'!B6*F244),F220)</f>
        <v>82500</v>
      </c>
      <c r="G268" s="8">
        <f>IF((G220&gt;('Plan parameters'!B6*G244)),('Plan parameters'!B6*G244),G220)</f>
        <v>22190.059999999998</v>
      </c>
      <c r="H268" s="8">
        <f>IF((H220&gt;('Plan parameters'!B6*H244)),('Plan parameters'!B6*H244),H220)</f>
        <v>14870.02</v>
      </c>
      <c r="I268" s="8">
        <f>IF((I220&gt;('Plan parameters'!B6*I244)),('Plan parameters'!B6*I244),I220)</f>
        <v>0</v>
      </c>
    </row>
    <row r="269">
      <c r="A269" s="0" t="inlineStr">
        <is>
          <t xml:space="preserve">Total variable pay (capped)</t>
        </is>
      </c>
      <c r="B269" s="0" t="inlineStr">
        <is>
          <t xml:space="preserve">Amara Haddad</t>
        </is>
      </c>
      <c r="C269" s="8">
        <f>IF((C221&gt;('Plan parameters'!B6*C245)),('Plan parameters'!B6*C245),C221)</f>
        <v>26860.219999999994</v>
      </c>
      <c r="D269" s="8">
        <f>IF((D221&gt;('Plan parameters'!B6*D245)),('Plan parameters'!B6*D245),D221)</f>
        <v>36739.06</v>
      </c>
      <c r="E269" s="8">
        <f>IF((E221&gt;('Plan parameters'!B6*E245)),('Plan parameters'!B6*E245),E221)</f>
        <v>15944.039999999999</v>
      </c>
      <c r="F269" s="8">
        <f>IF((F221&gt;('Plan parameters'!B6*F245)),('Plan parameters'!B6*F245),F221)</f>
        <v>5395.32</v>
      </c>
      <c r="G269" s="8">
        <f>IF((G221&gt;('Plan parameters'!B6*G245)),('Plan parameters'!B6*G245),G221)</f>
        <v>4224.285</v>
      </c>
      <c r="H269" s="8">
        <f>IF((H221&gt;('Plan parameters'!B6*H245)),('Plan parameters'!B6*H245),H221)</f>
        <v>6196.365000000001</v>
      </c>
      <c r="I269" s="8">
        <f>IF((I221&gt;('Plan parameters'!B6*I245)),('Plan parameters'!B6*I245),I221)</f>
        <v>0</v>
      </c>
    </row>
    <row r="270">
      <c r="A270" s="0" t="inlineStr">
        <is>
          <t xml:space="preserve">Total variable pay (capped)</t>
        </is>
      </c>
      <c r="B270" s="0" t="inlineStr">
        <is>
          <t xml:space="preserve">Fatima Silva</t>
        </is>
      </c>
      <c r="C270" s="8">
        <f>IF((C222&gt;('Plan parameters'!B6*C246)),('Plan parameters'!B6*C246),C222)</f>
        <v>18218.520000000004</v>
      </c>
      <c r="D270" s="8">
        <f>IF((D222&gt;('Plan parameters'!B6*D246)),('Plan parameters'!B6*D246),D222)</f>
        <v>18525.700000000004</v>
      </c>
      <c r="E270" s="8">
        <f>IF((E222&gt;('Plan parameters'!B6*E246)),('Plan parameters'!B6*E246),E222)</f>
        <v>21683.550000000003</v>
      </c>
      <c r="F270" s="8">
        <f>IF((F222&gt;('Plan parameters'!B6*F246)),('Plan parameters'!B6*F246),F222)</f>
        <v>9331.300000000001</v>
      </c>
      <c r="G270" s="8">
        <f>IF((G222&gt;('Plan parameters'!B6*G246)),('Plan parameters'!B6*G246),G222)</f>
        <v>18568.780000000002</v>
      </c>
      <c r="H270" s="8">
        <f>IF((H222&gt;('Plan parameters'!B6*H246)),('Plan parameters'!B6*H246),H222)</f>
        <v>25229.14</v>
      </c>
      <c r="I270" s="8">
        <f>IF((I222&gt;('Plan parameters'!B6*I246)),('Plan parameters'!B6*I246),I222)</f>
        <v>0</v>
      </c>
    </row>
    <row r="271">
      <c r="A271" s="0" t="inlineStr">
        <is>
          <t xml:space="preserve">Total variable pay (capped)</t>
        </is>
      </c>
      <c r="B271" s="0" t="inlineStr">
        <is>
          <t xml:space="preserve">Ana Ortiz</t>
        </is>
      </c>
      <c r="C271" s="8">
        <f>IF((C223&gt;('Plan parameters'!B6*C247)),('Plan parameters'!B6*C247),C223)</f>
        <v>3324.5000000000005</v>
      </c>
      <c r="D271" s="8">
        <f>IF((D223&gt;('Plan parameters'!B6*D247)),('Plan parameters'!B6*D247),D223)</f>
        <v>25373.600000000006</v>
      </c>
      <c r="E271" s="8">
        <f>IF((E223&gt;('Plan parameters'!B6*E247)),('Plan parameters'!B6*E247),E223)</f>
        <v>4973.250000000001</v>
      </c>
      <c r="F271" s="8">
        <f>IF((F223&gt;('Plan parameters'!B6*F247)),('Plan parameters'!B6*F247),F223)</f>
        <v>8518.400000000001</v>
      </c>
      <c r="G271" s="8">
        <f>IF((G223&gt;('Plan parameters'!B6*G247)),('Plan parameters'!B6*G247),G223)</f>
        <v>18194.500000000004</v>
      </c>
      <c r="H271" s="8">
        <f>IF((H223&gt;('Plan parameters'!B6*H247)),('Plan parameters'!B6*H247),H223)</f>
        <v>14468.160000000003</v>
      </c>
      <c r="I271" s="8">
        <f>IF((I223&gt;('Plan parameters'!B6*I247)),('Plan parameters'!B6*I247),I223)</f>
        <v>0</v>
      </c>
    </row>
    <row r="272">
      <c r="A272" s="0" t="inlineStr">
        <is>
          <t xml:space="preserve">Total variable pay (capped)</t>
        </is>
      </c>
      <c r="B272" s="0" t="inlineStr">
        <is>
          <t xml:space="preserve">Tobias Silva</t>
        </is>
      </c>
      <c r="C272" s="8">
        <f>IF((C224&gt;('Plan parameters'!B6*C248)),('Plan parameters'!B6*C248),C224)</f>
        <v>0</v>
      </c>
      <c r="D272" s="8">
        <f>IF((D224&gt;('Plan parameters'!B6*D248)),('Plan parameters'!B6*D248),D224)</f>
        <v>14680.000000000002</v>
      </c>
      <c r="E272" s="8">
        <f>IF((E224&gt;('Plan parameters'!B6*E248)),('Plan parameters'!B6*E248),E224)</f>
        <v>0</v>
      </c>
      <c r="F272" s="8">
        <f>IF((F224&gt;('Plan parameters'!B6*F248)),('Plan parameters'!B6*F248),F224)</f>
        <v>112500</v>
      </c>
      <c r="G272" s="8">
        <f>IF((G224&gt;('Plan parameters'!B6*G248)),('Plan parameters'!B6*G248),G224)</f>
        <v>5300</v>
      </c>
      <c r="H272" s="8">
        <f>IF((H224&gt;('Plan parameters'!B6*H248)),('Plan parameters'!B6*H248),H224)</f>
        <v>67575.5</v>
      </c>
      <c r="I272" s="8">
        <f>IF((I224&gt;('Plan parameters'!B6*I248)),('Plan parameters'!B6*I248),I224)</f>
        <v>0</v>
      </c>
    </row>
    <row r="273">
      <c r="A273" s="0" t="inlineStr">
        <is>
          <t xml:space="preserve">Total variable pay (capped)</t>
        </is>
      </c>
      <c r="B273" s="0" t="inlineStr">
        <is>
          <t xml:space="preserve">Leila Osei</t>
        </is>
      </c>
      <c r="C273" s="8">
        <f>IF((C225&gt;('Plan parameters'!B6*C249)),('Plan parameters'!B6*C249),C225)</f>
        <v>0</v>
      </c>
      <c r="D273" s="8">
        <f>IF((D225&gt;('Plan parameters'!B6*D249)),('Plan parameters'!B6*D249),D225)</f>
        <v>0</v>
      </c>
      <c r="E273" s="8">
        <f>IF((E225&gt;('Plan parameters'!B6*E249)),('Plan parameters'!B6*E249),E225)</f>
        <v>0</v>
      </c>
      <c r="F273" s="8">
        <f>IF((F225&gt;('Plan parameters'!B6*F249)),('Plan parameters'!B6*F249),F225)</f>
        <v>3372.5000000000005</v>
      </c>
      <c r="G273" s="8">
        <f>IF((G225&gt;('Plan parameters'!B6*G249)),('Plan parameters'!B6*G249),G225)</f>
        <v>40217.5</v>
      </c>
      <c r="H273" s="8">
        <f>IF((H225&gt;('Plan parameters'!B6*H249)),('Plan parameters'!B6*H249),H225)</f>
        <v>112500</v>
      </c>
      <c r="I273" s="8">
        <f>IF((I225&gt;('Plan parameters'!B6*I249)),('Plan parameters'!B6*I249),I225)</f>
        <v>0</v>
      </c>
    </row>
    <row r="274">
      <c r="A274" s="0" t="inlineStr">
        <is>
          <t xml:space="preserve">Total variable pay (capped)</t>
        </is>
      </c>
      <c r="B274" s="0" t="inlineStr">
        <is>
          <t xml:space="preserve">Grace Costa</t>
        </is>
      </c>
      <c r="C274" s="8">
        <f>IF((C226&gt;('Plan parameters'!B6*C250)),('Plan parameters'!B6*C250),C226)</f>
        <v>8002.215</v>
      </c>
      <c r="D274" s="8">
        <f>IF((D226&gt;('Plan parameters'!B6*D250)),('Plan parameters'!B6*D250),D226)</f>
        <v>13983.999999999998</v>
      </c>
      <c r="E274" s="8">
        <f>IF((E226&gt;('Plan parameters'!B6*E250)),('Plan parameters'!B6*E250),E226)</f>
        <v>65055.17999999999</v>
      </c>
      <c r="F274" s="8">
        <f>IF((F226&gt;('Plan parameters'!B6*F250)),('Plan parameters'!B6*F250),F226)</f>
        <v>55784.81999999999</v>
      </c>
      <c r="G274" s="8">
        <f>IF((G226&gt;('Plan parameters'!B6*G250)),('Plan parameters'!B6*G250),G226)</f>
        <v>82500</v>
      </c>
      <c r="H274" s="8">
        <f>IF((H226&gt;('Plan parameters'!B6*H250)),('Plan parameters'!B6*H250),H226)</f>
        <v>82500</v>
      </c>
      <c r="I274" s="8">
        <f>IF((I226&gt;('Plan parameters'!B6*I250)),('Plan parameters'!B6*I250),I226)</f>
        <v>0</v>
      </c>
    </row>
    <row r="275">
      <c r="A275" s="0" t="inlineStr">
        <is>
          <t xml:space="preserve">Total variable pay (capped)</t>
        </is>
      </c>
      <c r="B275" s="0" t="inlineStr">
        <is>
          <t xml:space="preserve">Ingrid Müller</t>
        </is>
      </c>
      <c r="C275" s="8">
        <f>IF((C227&gt;('Plan parameters'!B6*C251)),('Plan parameters'!B6*C251),C227)</f>
        <v>0</v>
      </c>
      <c r="D275" s="8">
        <f>IF((D227&gt;('Plan parameters'!B6*D251)),('Plan parameters'!B6*D251),D227)</f>
        <v>0</v>
      </c>
      <c r="E275" s="8">
        <f>IF((E227&gt;('Plan parameters'!B6*E251)),('Plan parameters'!B6*E251),E227)</f>
        <v>0</v>
      </c>
      <c r="F275" s="8">
        <f>IF((F227&gt;('Plan parameters'!B6*F251)),('Plan parameters'!B6*F251),F227)</f>
        <v>0</v>
      </c>
      <c r="G275" s="8">
        <f>IF((G227&gt;('Plan parameters'!B6*G251)),('Plan parameters'!B6*G251),G227)</f>
        <v>41041.39</v>
      </c>
      <c r="H275" s="8">
        <f>IF((H227&gt;('Plan parameters'!B6*H251)),('Plan parameters'!B6*H251),H227)</f>
        <v>63593.14</v>
      </c>
      <c r="I275" s="8">
        <f>IF((I227&gt;('Plan parameters'!B6*I251)),('Plan parameters'!B6*I251),I227)</f>
        <v>0</v>
      </c>
    </row>
    <row r="276">
      <c r="A276" s="0" t="inlineStr">
        <is>
          <t xml:space="preserve">Total variable pay (capped)</t>
        </is>
      </c>
      <c r="B276" s="0" t="inlineStr">
        <is>
          <t xml:space="preserve">Ingrid Kim</t>
        </is>
      </c>
      <c r="C276" s="8">
        <f>IF((C228&gt;('Plan parameters'!B6*C252)),('Plan parameters'!B6*C252),C228)</f>
        <v>12796.980000000001</v>
      </c>
      <c r="D276" s="8">
        <f>IF((D228&gt;('Plan parameters'!B6*D252)),('Plan parameters'!B6*D252),D228)</f>
        <v>13914.780000000002</v>
      </c>
      <c r="E276" s="8">
        <f>IF((E228&gt;('Plan parameters'!B6*E252)),('Plan parameters'!B6*E252),E228)</f>
        <v>22913.86</v>
      </c>
      <c r="F276" s="8">
        <f>IF((F228&gt;('Plan parameters'!B6*F252)),('Plan parameters'!B6*F252),F228)</f>
        <v>17651</v>
      </c>
      <c r="G276" s="8">
        <f>IF((G228&gt;('Plan parameters'!B6*G252)),('Plan parameters'!B6*G252),G228)</f>
        <v>4046.2750000000005</v>
      </c>
      <c r="H276" s="8">
        <f>IF((H228&gt;('Plan parameters'!B6*H252)),('Plan parameters'!B6*H252),H228)</f>
        <v>20522.78</v>
      </c>
      <c r="I276" s="8">
        <f>IF((I228&gt;('Plan parameters'!B6*I252)),('Plan parameters'!B6*I252),I228)</f>
        <v>0</v>
      </c>
    </row>
    <row r="277">
      <c r="A277" s="0" t="inlineStr">
        <is>
          <t xml:space="preserve">Total variable pay (capped)</t>
        </is>
      </c>
      <c r="B277" s="0" t="inlineStr">
        <is>
          <t xml:space="preserve">Priya Nair</t>
        </is>
      </c>
      <c r="C277" s="8">
        <f>IF((C229&gt;('Plan parameters'!B6*C253)),('Plan parameters'!B6*C253),C229)</f>
        <v>10792.480000000001</v>
      </c>
      <c r="D277" s="8">
        <f>IF((D229&gt;('Plan parameters'!B6*D253)),('Plan parameters'!B6*D253),D229)</f>
        <v>16889.100000000002</v>
      </c>
      <c r="E277" s="8">
        <f>IF((E229&gt;('Plan parameters'!B6*E253)),('Plan parameters'!B6*E253),E229)</f>
        <v>18950.780000000002</v>
      </c>
      <c r="F277" s="8">
        <f>IF((F229&gt;('Plan parameters'!B6*F253)),('Plan parameters'!B6*F253),F229)</f>
        <v>12073.760000000002</v>
      </c>
      <c r="G277" s="8">
        <f>IF((G229&gt;('Plan parameters'!B6*G253)),('Plan parameters'!B6*G253),G229)</f>
        <v>17073.880000000005</v>
      </c>
      <c r="H277" s="8">
        <f>IF((H229&gt;('Plan parameters'!B6*H253)),('Plan parameters'!B6*H253),H229)</f>
        <v>7569.620000000001</v>
      </c>
      <c r="I277" s="8">
        <f>IF((I229&gt;('Plan parameters'!B6*I253)),('Plan parameters'!B6*I253),I229)</f>
        <v>0</v>
      </c>
    </row>
    <row r="278">
      <c r="A278" s="0" t="inlineStr">
        <is>
          <t xml:space="preserve">Total variable pay (capped)</t>
        </is>
      </c>
      <c r="B278" s="0" t="inlineStr">
        <is>
          <t xml:space="preserve">Hugo Lindqvist</t>
        </is>
      </c>
      <c r="C278" s="8">
        <f>IF((C230&gt;('Plan parameters'!B6*C254)),('Plan parameters'!B6*C254),C230)</f>
        <v>26301.405</v>
      </c>
      <c r="D278" s="8">
        <f>IF((D230&gt;('Plan parameters'!B6*D254)),('Plan parameters'!B6*D254),D230)</f>
        <v>112500</v>
      </c>
      <c r="E278" s="8">
        <f>IF((E230&gt;('Plan parameters'!B6*E254)),('Plan parameters'!B6*E254),E230)</f>
        <v>31544.285000000003</v>
      </c>
      <c r="F278" s="8">
        <f>IF((F230&gt;('Plan parameters'!B6*F254)),('Plan parameters'!B6*F254),F230)</f>
        <v>91396.94</v>
      </c>
      <c r="G278" s="8">
        <f>IF((G230&gt;('Plan parameters'!B6*G254)),('Plan parameters'!B6*G254),G230)</f>
        <v>62618.15</v>
      </c>
      <c r="H278" s="8">
        <f>IF((H230&gt;('Plan parameters'!B6*H254)),('Plan parameters'!B6*H254),H230)</f>
        <v>56471.51500000001</v>
      </c>
      <c r="I278" s="8">
        <f>IF((I230&gt;('Plan parameters'!B6*I254)),('Plan parameters'!B6*I254),I230)</f>
        <v>0</v>
      </c>
    </row>
    <row r="279">
      <c r="A279" s="0" t="inlineStr">
        <is>
          <t xml:space="preserve">Total variable pay (capped)</t>
        </is>
      </c>
      <c r="B279" s="0" t="inlineStr">
        <is>
          <t xml:space="preserve">Wei Novak</t>
        </is>
      </c>
      <c r="C279" s="8">
        <f>IF((C231&gt;('Plan parameters'!B6*C255)),('Plan parameters'!B6*C255),C231)</f>
        <v>0</v>
      </c>
      <c r="D279" s="8">
        <f>IF((D231&gt;('Plan parameters'!B6*D255)),('Plan parameters'!B6*D255),D231)</f>
        <v>0</v>
      </c>
      <c r="E279" s="8">
        <f>IF((E231&gt;('Plan parameters'!B6*E255)),('Plan parameters'!B6*E255),E231)</f>
        <v>0</v>
      </c>
      <c r="F279" s="8">
        <f>IF((F231&gt;('Plan parameters'!B6*F255)),('Plan parameters'!B6*F255),F231)</f>
        <v>2355.8100000000004</v>
      </c>
      <c r="G279" s="8">
        <f>IF((G231&gt;('Plan parameters'!B6*G255)),('Plan parameters'!B6*G255),G231)</f>
        <v>4999.500000000001</v>
      </c>
      <c r="H279" s="8">
        <f>IF((H231&gt;('Plan parameters'!B6*H255)),('Plan parameters'!B6*H255),H231)</f>
        <v>11134.392500000002</v>
      </c>
      <c r="I279" s="8">
        <f>IF((I231&gt;('Plan parameters'!B6*I255)),('Plan parameters'!B6*I255),I231)</f>
        <v>0</v>
      </c>
    </row>
    <row r="280">
      <c r="A280" s="0" t="inlineStr">
        <is>
          <t xml:space="preserve">Total variable pay (capped)</t>
        </is>
      </c>
      <c r="B280" s="0" t="inlineStr">
        <is>
          <t xml:space="preserve">Nikolai Kim</t>
        </is>
      </c>
      <c r="C280" s="8">
        <f>IF((C232&gt;('Plan parameters'!B6*C256)),('Plan parameters'!B6*C256),C232)</f>
        <v>45183.79</v>
      </c>
      <c r="D280" s="8">
        <f>IF((D232&gt;('Plan parameters'!B6*D256)),('Plan parameters'!B6*D256),D232)</f>
        <v>69877.9</v>
      </c>
      <c r="E280" s="8">
        <f>IF((E232&gt;('Plan parameters'!B6*E256)),('Plan parameters'!B6*E256),E232)</f>
        <v>59298.520000000004</v>
      </c>
      <c r="F280" s="8">
        <f>IF((F232&gt;('Plan parameters'!B6*F256)),('Plan parameters'!B6*F256),F232)</f>
        <v>21460.125</v>
      </c>
      <c r="G280" s="8">
        <f>IF((G232&gt;('Plan parameters'!B6*G256)),('Plan parameters'!B6*G256),G232)</f>
        <v>35777.655</v>
      </c>
      <c r="H280" s="8">
        <f>IF((H232&gt;('Plan parameters'!B6*H256)),('Plan parameters'!B6*H256),H232)</f>
        <v>19748.455</v>
      </c>
      <c r="I280" s="8">
        <f>IF((I232&gt;('Plan parameters'!B6*I256)),('Plan parameters'!B6*I256),I232)</f>
        <v>0</v>
      </c>
    </row>
    <row r="281">
      <c r="A281" s="0" t="inlineStr">
        <is>
          <t xml:space="preserve">Total variable pay (capped)</t>
        </is>
      </c>
      <c r="B281" s="0" t="inlineStr">
        <is>
          <t xml:space="preserve">Wei Nair</t>
        </is>
      </c>
      <c r="C281" s="8">
        <f>IF((C233&gt;('Plan parameters'!B6*C257)),('Plan parameters'!B6*C257),C233)</f>
        <v>16970.195</v>
      </c>
      <c r="D281" s="8">
        <f>IF((D233&gt;('Plan parameters'!B6*D257)),('Plan parameters'!B6*D257),D233)</f>
        <v>14171.565</v>
      </c>
      <c r="E281" s="8">
        <f>IF((E233&gt;('Plan parameters'!B6*E257)),('Plan parameters'!B6*E257),E233)</f>
        <v>25959.535</v>
      </c>
      <c r="F281" s="8">
        <f>IF((F233&gt;('Plan parameters'!B6*F257)),('Plan parameters'!B6*F257),F233)</f>
        <v>21342.445</v>
      </c>
      <c r="G281" s="8">
        <f>IF((G233&gt;('Plan parameters'!B6*G257)),('Plan parameters'!B6*G257),G233)</f>
        <v>7948.312500000001</v>
      </c>
      <c r="H281" s="8">
        <f>IF((H233&gt;('Plan parameters'!B6*H257)),('Plan parameters'!B6*H257),H233)</f>
        <v>14451.095000000001</v>
      </c>
      <c r="I281" s="8">
        <f>IF((I233&gt;('Plan parameters'!B6*I257)),('Plan parameters'!B6*I257),I233)</f>
        <v>0</v>
      </c>
    </row>
    <row r="282">
      <c r="A282" s="0" t="inlineStr">
        <is>
          <t xml:space="preserve">Total variable pay (capped)</t>
        </is>
      </c>
      <c r="B282" s="0" t="inlineStr">
        <is>
          <t xml:space="preserve">Liam Silva</t>
        </is>
      </c>
      <c r="C282" s="8">
        <f>IF((C234&gt;('Plan parameters'!B6*C258)),('Plan parameters'!B6*C258),C234)</f>
        <v>525.0000000000001</v>
      </c>
      <c r="D282" s="8">
        <f>IF((D234&gt;('Plan parameters'!B6*D258)),('Plan parameters'!B6*D258),D234)</f>
        <v>17016.5</v>
      </c>
      <c r="E282" s="8">
        <f>IF((E234&gt;('Plan parameters'!B6*E258)),('Plan parameters'!B6*E258),E234)</f>
        <v>23061.000000000004</v>
      </c>
      <c r="F282" s="8">
        <f>IF((F234&gt;('Plan parameters'!B6*F258)),('Plan parameters'!B6*F258),F234)</f>
        <v>26516.000000000004</v>
      </c>
      <c r="G282" s="8">
        <f>IF((G234&gt;('Plan parameters'!B6*G258)),('Plan parameters'!B6*G258),G234)</f>
        <v>7212.000000000001</v>
      </c>
      <c r="H282" s="8">
        <f>IF((H234&gt;('Plan parameters'!B6*H258)),('Plan parameters'!B6*H258),H234)</f>
        <v>21742.5</v>
      </c>
      <c r="I282" s="8">
        <f>IF((I234&gt;('Plan parameters'!B6*I258)),('Plan parameters'!B6*I258),I234)</f>
        <v>0</v>
      </c>
    </row>
    <row r="283">
      <c r="A283" s="0" t="inlineStr">
        <is>
          <t xml:space="preserve">Total variable pay (capped)</t>
        </is>
      </c>
      <c r="B283" s="0" t="inlineStr">
        <is>
          <t xml:space="preserve">Samuel Silva</t>
        </is>
      </c>
      <c r="C283" s="8">
        <f>IF((C235&gt;('Plan parameters'!B6*C259)),('Plan parameters'!B6*C259),C235)</f>
        <v>5340.000000000001</v>
      </c>
      <c r="D283" s="8">
        <f>IF((D235&gt;('Plan parameters'!B6*D259)),('Plan parameters'!B6*D259),D235)</f>
        <v>39621.49999999999</v>
      </c>
      <c r="E283" s="8">
        <f>IF((E235&gt;('Plan parameters'!B6*E259)),('Plan parameters'!B6*E259),E235)</f>
        <v>18296</v>
      </c>
      <c r="F283" s="8">
        <f>IF((F235&gt;('Plan parameters'!B6*F259)),('Plan parameters'!B6*F259),F235)</f>
        <v>48717.5</v>
      </c>
      <c r="G283" s="8">
        <f>IF((G235&gt;('Plan parameters'!B6*G259)),('Plan parameters'!B6*G259),G235)</f>
        <v>19417.999999999996</v>
      </c>
      <c r="H283" s="8">
        <f>IF((H235&gt;('Plan parameters'!B6*H259)),('Plan parameters'!B6*H259),H235)</f>
        <v>16649.5</v>
      </c>
      <c r="I283" s="8">
        <f>IF((I235&gt;('Plan parameters'!B6*I259)),('Plan parameters'!B6*I259),I235)</f>
        <v>0</v>
      </c>
    </row>
    <row r="284">
      <c r="A284" s="0" t="inlineStr">
        <is>
          <t xml:space="preserve">Total variable pay (capped)</t>
        </is>
      </c>
      <c r="B284" s="0" t="inlineStr">
        <is>
          <t xml:space="preserve">Yuki Larsen</t>
        </is>
      </c>
      <c r="C284" s="8">
        <f>IF((C236&gt;('Plan parameters'!B6*C260)),('Plan parameters'!B6*C260),C236)</f>
        <v>0</v>
      </c>
      <c r="D284" s="8">
        <f>IF((D236&gt;('Plan parameters'!B6*D260)),('Plan parameters'!B6*D260),D236)</f>
        <v>20075.675</v>
      </c>
      <c r="E284" s="8">
        <f>IF((E236&gt;('Plan parameters'!B6*E260)),('Plan parameters'!B6*E260),E236)</f>
        <v>0</v>
      </c>
      <c r="F284" s="8">
        <f>IF((F236&gt;('Plan parameters'!B6*F260)),('Plan parameters'!B6*F260),F236)</f>
        <v>0</v>
      </c>
      <c r="G284" s="8">
        <f>IF((G236&gt;('Plan parameters'!B6*G260)),('Plan parameters'!B6*G260),G236)</f>
        <v>25068.385000000002</v>
      </c>
      <c r="H284" s="8">
        <f>IF((H236&gt;('Plan parameters'!B6*H260)),('Plan parameters'!B6*H260),H236)</f>
        <v>23781.065000000002</v>
      </c>
      <c r="I284" s="8">
        <f>IF((I236&gt;('Plan parameters'!B6*I260)),('Plan parameters'!B6*I260),I236)</f>
        <v>0</v>
      </c>
    </row>
    <row r="285">
      <c r="A285" s="0" t="inlineStr">
        <is>
          <t xml:space="preserve">Total variable pay (capped)</t>
        </is>
      </c>
      <c r="B285" s="0" t="inlineStr">
        <is>
          <t xml:space="preserve">Nikolai Sato</t>
        </is>
      </c>
      <c r="C285" s="8">
        <f>IF((C237&gt;('Plan parameters'!B6*C261)),('Plan parameters'!B6*C261),C237)</f>
        <v>13177.8475</v>
      </c>
      <c r="D285" s="8">
        <f>IF((D237&gt;('Plan parameters'!B6*D261)),('Plan parameters'!B6*D261),D237)</f>
        <v>42601.47</v>
      </c>
      <c r="E285" s="8">
        <f>IF((E237&gt;('Plan parameters'!B6*E261)),('Plan parameters'!B6*E261),E237)</f>
        <v>7534.3525</v>
      </c>
      <c r="F285" s="8">
        <f>IF((F237&gt;('Plan parameters'!B6*F261)),('Plan parameters'!B6*F261),F237)</f>
        <v>10522.314999999999</v>
      </c>
      <c r="G285" s="8">
        <f>IF((G237&gt;('Plan parameters'!B6*G261)),('Plan parameters'!B6*G261),G237)</f>
        <v>0</v>
      </c>
      <c r="H285" s="8">
        <f>IF((H237&gt;('Plan parameters'!B6*H261)),('Plan parameters'!B6*H261),H237)</f>
        <v>13666.894999999999</v>
      </c>
      <c r="I285" s="8">
        <f>IF((I237&gt;('Plan parameters'!B6*I261)),('Plan parameters'!B6*I261),I237)</f>
        <v>0</v>
      </c>
    </row>
    <row r="286">
      <c r="A286" s="0" t="inlineStr">
        <is>
          <t xml:space="preserve">Total variable pay (capped)</t>
        </is>
      </c>
      <c r="B286" s="0" t="inlineStr">
        <is>
          <t xml:space="preserve">Elena Silva</t>
        </is>
      </c>
      <c r="C286" s="8">
        <f>IF((C238&gt;('Plan parameters'!B6*C262)),('Plan parameters'!B6*C262),C238)</f>
        <v>19160.76</v>
      </c>
      <c r="D286" s="8">
        <f>IF((D238&gt;('Plan parameters'!B6*D262)),('Plan parameters'!B6*D262),D238)</f>
        <v>82500</v>
      </c>
      <c r="E286" s="8">
        <f>IF((E238&gt;('Plan parameters'!B6*E262)),('Plan parameters'!B6*E262),E238)</f>
        <v>55082.71</v>
      </c>
      <c r="F286" s="8">
        <f>IF((F238&gt;('Plan parameters'!B6*F262)),('Plan parameters'!B6*F262),F238)</f>
        <v>23240.384999999995</v>
      </c>
      <c r="G286" s="8">
        <f>IF((G238&gt;('Plan parameters'!B6*G262)),('Plan parameters'!B6*G262),G238)</f>
        <v>36011.43</v>
      </c>
      <c r="H286" s="8">
        <f>IF((H238&gt;('Plan parameters'!B6*H262)),('Plan parameters'!B6*H262),H238)</f>
        <v>50172.310000000005</v>
      </c>
      <c r="I286" s="8">
        <f>IF((I238&gt;('Plan parameters'!B6*I262)),('Plan parameters'!B6*I262),I238)</f>
        <v>0</v>
      </c>
    </row>
    <row r="287">
      <c r="A287" s="0" t="inlineStr">
        <is>
          <t xml:space="preserve">Total variable pay (capped)</t>
        </is>
      </c>
      <c r="B287" s="0" t="inlineStr">
        <is>
          <t xml:space="preserve">Arjun Müller</t>
        </is>
      </c>
      <c r="C287" s="8">
        <f>IF((C239&gt;('Plan parameters'!B6*C263)),('Plan parameters'!B6*C263),C239)</f>
        <v>3436.8749999999995</v>
      </c>
      <c r="D287" s="8">
        <f>IF((D239&gt;('Plan parameters'!B6*D263)),('Plan parameters'!B6*D263),D239)</f>
        <v>11846.204999999998</v>
      </c>
      <c r="E287" s="8">
        <f>IF((E239&gt;('Plan parameters'!B6*E263)),('Plan parameters'!B6*E263),E239)</f>
        <v>34926.83499999999</v>
      </c>
      <c r="F287" s="8">
        <f>IF((F239&gt;('Plan parameters'!B6*F263)),('Plan parameters'!B6*F263),F239)</f>
        <v>0</v>
      </c>
      <c r="G287" s="8">
        <f>IF((G239&gt;('Plan parameters'!B6*G263)),('Plan parameters'!B6*G263),G239)</f>
        <v>38388.49</v>
      </c>
      <c r="H287" s="8">
        <f>IF((H239&gt;('Plan parameters'!B6*H263)),('Plan parameters'!B6*H263),H239)</f>
        <v>29978.014999999996</v>
      </c>
      <c r="I287" s="8">
        <f>IF((I239&gt;('Plan parameters'!B6*I263)),('Plan parameters'!B6*I263),I239)</f>
        <v>0</v>
      </c>
    </row>
    <row r="288">
      <c r="A288" s="0" t="inlineStr">
        <is>
          <t xml:space="preserve">Total variable pay (capped)</t>
        </is>
      </c>
      <c r="B288" s="0" t="inlineStr">
        <is>
          <t xml:space="preserve">Nikolai Park</t>
        </is>
      </c>
      <c r="C288" s="4">
        <f>IF((C240&gt;('Plan parameters'!B6*C264)),('Plan parameters'!B6*C264),C240)</f>
        <v>0</v>
      </c>
      <c r="D288" s="4">
        <f>IF((D240&gt;('Plan parameters'!B6*D264)),('Plan parameters'!B6*D264),D240)</f>
        <v>0</v>
      </c>
      <c r="E288" s="4">
        <f>IF((E240&gt;('Plan parameters'!B6*E264)),('Plan parameters'!B6*E264),E240)</f>
        <v>0</v>
      </c>
      <c r="F288" s="4">
        <f>IF((F240&gt;('Plan parameters'!B6*F264)),('Plan parameters'!B6*F264),F240)</f>
        <v>0</v>
      </c>
      <c r="G288" s="4">
        <f>IF((G240&gt;('Plan parameters'!B6*G264)),('Plan parameters'!B6*G264),G240)</f>
        <v>2290</v>
      </c>
      <c r="H288" s="4">
        <f>IF((H240&gt;('Plan parameters'!B6*H264)),('Plan parameters'!B6*H264),H240)</f>
        <v>8117</v>
      </c>
      <c r="I288" s="4">
        <f>IF((I240&gt;('Plan parameters'!B6*I264)),('Plan parameters'!B6*I264),I240)</f>
        <v>0</v>
      </c>
    </row>
    <row r="289">
      <c r="A289" s="0" t="inlineStr">
        <is>
          <t xml:space="preserve">Total variable pay (capped)</t>
        </is>
      </c>
      <c r="B289" s="0" t="inlineStr">
        <is>
          <t xml:space="preserve">Ingrid Dubois</t>
        </is>
      </c>
      <c r="C289" s="8">
        <f>IF((C241&gt;('Plan parameters'!B6*C265)),('Plan parameters'!B6*C265),C241)</f>
        <v>0</v>
      </c>
      <c r="D289" s="8">
        <f>IF((D241&gt;('Plan parameters'!B6*D265)),('Plan parameters'!B6*D265),D241)</f>
        <v>39815</v>
      </c>
      <c r="E289" s="8">
        <f>IF((E241&gt;('Plan parameters'!B6*E265)),('Plan parameters'!B6*E265),E241)</f>
        <v>19969</v>
      </c>
      <c r="F289" s="8">
        <f>IF((F241&gt;('Plan parameters'!B6*F265)),('Plan parameters'!B6*F265),F241)</f>
        <v>6152.25</v>
      </c>
      <c r="G289" s="8">
        <f>IF((G241&gt;('Plan parameters'!B6*G265)),('Plan parameters'!B6*G265),G241)</f>
        <v>36816.5</v>
      </c>
      <c r="H289" s="8">
        <f>IF((H241&gt;('Plan parameters'!B6*H265)),('Plan parameters'!B6*H265),H241)</f>
        <v>37520.5</v>
      </c>
      <c r="I289" s="8">
        <f>IF((I241&gt;('Plan parameters'!B6*I265)),('Plan parameters'!B6*I265),I241)</f>
        <v>0</v>
      </c>
    </row>
    <row r="290">
      <c r="A290" s="0" t="inlineStr">
        <is>
          <t xml:space="preserve">Variable vs target</t>
        </is>
      </c>
      <c r="B290" s="0" t="inlineStr">
        <is>
          <t xml:space="preserve">Noor Ortiz</t>
        </is>
      </c>
      <c r="C290" s="12">
        <f>IFERROR((C266/C242),0)</f>
        <v>0</v>
      </c>
      <c r="D290" s="12">
        <f>IFERROR((D266/D242),0)</f>
        <v>0</v>
      </c>
      <c r="E290" s="12">
        <f>IFERROR((E266/E242),0)</f>
        <v>0.5741733333333333</v>
      </c>
      <c r="F290" s="12">
        <f>IFERROR((F266/F242),0)</f>
        <v>1.8760933333333334</v>
      </c>
      <c r="G290" s="12">
        <f>IFERROR((G266/G242),0)</f>
        <v>1.3505333333333336</v>
      </c>
      <c r="H290" s="12">
        <f>IFERROR((H266/H242),0)</f>
        <v>0.3224000000000001</v>
      </c>
      <c r="I290" s="12">
        <f>IFERROR((I266/I242),0)</f>
        <v>0</v>
      </c>
    </row>
    <row r="291">
      <c r="A291" s="0" t="inlineStr">
        <is>
          <t xml:space="preserve">Variable vs target</t>
        </is>
      </c>
      <c r="B291" s="0" t="inlineStr">
        <is>
          <t xml:space="preserve">Priya Yilmaz</t>
        </is>
      </c>
      <c r="C291" s="12">
        <f>IFERROR((C267/C243),0)</f>
        <v>0</v>
      </c>
      <c r="D291" s="12">
        <f>IFERROR((D267/D243),0)</f>
        <v>0</v>
      </c>
      <c r="E291" s="12">
        <f>IFERROR((E267/E243),0)</f>
        <v>0</v>
      </c>
      <c r="F291" s="12">
        <f>IFERROR((F267/F243),0)</f>
        <v>0</v>
      </c>
      <c r="G291" s="12">
        <f>IFERROR((G267/G243),0)</f>
        <v>0</v>
      </c>
      <c r="H291" s="12">
        <f>IFERROR((H267/H243),0)</f>
        <v>0</v>
      </c>
      <c r="I291" s="12">
        <f>IFERROR((I267/I243),0)</f>
        <v>0</v>
      </c>
    </row>
    <row r="292">
      <c r="A292" s="0" t="inlineStr">
        <is>
          <t xml:space="preserve">Variable vs target</t>
        </is>
      </c>
      <c r="B292" s="0" t="inlineStr">
        <is>
          <t xml:space="preserve">Marcus Schmidt</t>
        </is>
      </c>
      <c r="C292" s="12">
        <f>IFERROR((C268/C244),0)</f>
        <v>0</v>
      </c>
      <c r="D292" s="12">
        <f>IFERROR((D268/D244),0)</f>
        <v>0.6014876363636363</v>
      </c>
      <c r="E292" s="12">
        <f>IFERROR((E268/E244),0)</f>
        <v>1.4152661818181815</v>
      </c>
      <c r="F292" s="12">
        <f>IFERROR((F268/F244),0)</f>
        <v>3</v>
      </c>
      <c r="G292" s="12">
        <f>IFERROR((G268/G244),0)</f>
        <v>0.8069112727272726</v>
      </c>
      <c r="H292" s="12">
        <f>IFERROR((H268/H244),0)</f>
        <v>0.540728</v>
      </c>
      <c r="I292" s="12">
        <f>IFERROR((I268/I244),0)</f>
        <v>0</v>
      </c>
    </row>
    <row r="293">
      <c r="A293" s="0" t="inlineStr">
        <is>
          <t xml:space="preserve">Variable vs target</t>
        </is>
      </c>
      <c r="B293" s="0" t="inlineStr">
        <is>
          <t xml:space="preserve">Amara Haddad</t>
        </is>
      </c>
      <c r="C293" s="12">
        <f>IFERROR((C269/C245),0)</f>
        <v>0.9767352727272725</v>
      </c>
      <c r="D293" s="12">
        <f>IFERROR((D269/D245),0)</f>
        <v>1.3359658181818181</v>
      </c>
      <c r="E293" s="12">
        <f>IFERROR((E269/E245),0)</f>
        <v>0.5797832727272727</v>
      </c>
      <c r="F293" s="12">
        <f>IFERROR((F269/F245),0)</f>
        <v>0.19619345454545453</v>
      </c>
      <c r="G293" s="12">
        <f>IFERROR((G269/G245),0)</f>
        <v>0.15361036363636363</v>
      </c>
      <c r="H293" s="12">
        <f>IFERROR((H269/H245),0)</f>
        <v>0.22532236363636365</v>
      </c>
      <c r="I293" s="12">
        <f>IFERROR((I269/I245),0)</f>
        <v>0</v>
      </c>
    </row>
    <row r="294">
      <c r="A294" s="0" t="inlineStr">
        <is>
          <t xml:space="preserve">Variable vs target</t>
        </is>
      </c>
      <c r="B294" s="0" t="inlineStr">
        <is>
          <t xml:space="preserve">Fatima Silva</t>
        </is>
      </c>
      <c r="C294" s="12">
        <f>IFERROR((C270/C246),0)</f>
        <v>0.9109260000000002</v>
      </c>
      <c r="D294" s="12">
        <f>IFERROR((D270/D246),0)</f>
        <v>0.9262850000000002</v>
      </c>
      <c r="E294" s="12">
        <f>IFERROR((E270/E246),0)</f>
        <v>1.0841775000000002</v>
      </c>
      <c r="F294" s="12">
        <f>IFERROR((F270/F246),0)</f>
        <v>0.46656500000000006</v>
      </c>
      <c r="G294" s="12">
        <f>IFERROR((G270/G246),0)</f>
        <v>0.9284390000000001</v>
      </c>
      <c r="H294" s="12">
        <f>IFERROR((H270/H246),0)</f>
        <v>1.261457</v>
      </c>
      <c r="I294" s="12">
        <f>IFERROR((I270/I246),0)</f>
        <v>0</v>
      </c>
    </row>
    <row r="295">
      <c r="A295" s="0" t="inlineStr">
        <is>
          <t xml:space="preserve">Variable vs target</t>
        </is>
      </c>
      <c r="B295" s="0" t="inlineStr">
        <is>
          <t xml:space="preserve">Ana Ortiz</t>
        </is>
      </c>
      <c r="C295" s="12">
        <f>IFERROR((C271/C247),0)</f>
        <v>0.166225</v>
      </c>
      <c r="D295" s="12">
        <f>IFERROR((D271/D247),0)</f>
        <v>1.2686800000000003</v>
      </c>
      <c r="E295" s="12">
        <f>IFERROR((E271/E247),0)</f>
        <v>0.24866250000000004</v>
      </c>
      <c r="F295" s="12">
        <f>IFERROR((F271/F247),0)</f>
        <v>0.4259200000000001</v>
      </c>
      <c r="G295" s="12">
        <f>IFERROR((G271/G247),0)</f>
        <v>0.9097250000000002</v>
      </c>
      <c r="H295" s="12">
        <f>IFERROR((H271/H247),0)</f>
        <v>0.7234080000000002</v>
      </c>
      <c r="I295" s="12">
        <f>IFERROR((I271/I247),0)</f>
        <v>0</v>
      </c>
    </row>
    <row r="296">
      <c r="A296" s="0" t="inlineStr">
        <is>
          <t xml:space="preserve">Variable vs target</t>
        </is>
      </c>
      <c r="B296" s="0" t="inlineStr">
        <is>
          <t xml:space="preserve">Tobias Silva</t>
        </is>
      </c>
      <c r="C296" s="12">
        <f>IFERROR((C272/C248),0)</f>
        <v>0</v>
      </c>
      <c r="D296" s="12">
        <f>IFERROR((D272/D248),0)</f>
        <v>0.39146666666666674</v>
      </c>
      <c r="E296" s="12">
        <f>IFERROR((E272/E248),0)</f>
        <v>0</v>
      </c>
      <c r="F296" s="12">
        <f>IFERROR((F272/F248),0)</f>
        <v>3</v>
      </c>
      <c r="G296" s="12">
        <f>IFERROR((G272/G248),0)</f>
        <v>0.14133333333333334</v>
      </c>
      <c r="H296" s="12">
        <f>IFERROR((H272/H248),0)</f>
        <v>1.8020133333333332</v>
      </c>
      <c r="I296" s="12">
        <f>IFERROR((I272/I248),0)</f>
        <v>0</v>
      </c>
    </row>
    <row r="297">
      <c r="A297" s="0" t="inlineStr">
        <is>
          <t xml:space="preserve">Variable vs target</t>
        </is>
      </c>
      <c r="B297" s="0" t="inlineStr">
        <is>
          <t xml:space="preserve">Leila Osei</t>
        </is>
      </c>
      <c r="C297" s="12">
        <f>IFERROR((C273/C249),0)</f>
        <v>0</v>
      </c>
      <c r="D297" s="12">
        <f>IFERROR((D273/D249),0)</f>
        <v>0</v>
      </c>
      <c r="E297" s="12">
        <f>IFERROR((E273/E249),0)</f>
        <v>0</v>
      </c>
      <c r="F297" s="12">
        <f>IFERROR((F273/F249),0)</f>
        <v>0.08993333333333335</v>
      </c>
      <c r="G297" s="12">
        <f>IFERROR((G273/G249),0)</f>
        <v>1.0724666666666667</v>
      </c>
      <c r="H297" s="12">
        <f>IFERROR((H273/H249),0)</f>
        <v>3</v>
      </c>
      <c r="I297" s="12">
        <f>IFERROR((I273/I249),0)</f>
        <v>0</v>
      </c>
    </row>
    <row r="298">
      <c r="A298" s="0" t="inlineStr">
        <is>
          <t xml:space="preserve">Variable vs target</t>
        </is>
      </c>
      <c r="B298" s="0" t="inlineStr">
        <is>
          <t xml:space="preserve">Grace Costa</t>
        </is>
      </c>
      <c r="C298" s="12">
        <f>IFERROR((C274/C250),0)</f>
        <v>0.2909896363636364</v>
      </c>
      <c r="D298" s="12">
        <f>IFERROR((D274/D250),0)</f>
        <v>0.5085090909090908</v>
      </c>
      <c r="E298" s="12">
        <f>IFERROR((E274/E250),0)</f>
        <v>2.365642909090909</v>
      </c>
      <c r="F298" s="12">
        <f>IFERROR((F274/F250),0)</f>
        <v>2.028538909090909</v>
      </c>
      <c r="G298" s="12">
        <f>IFERROR((G274/G250),0)</f>
        <v>3</v>
      </c>
      <c r="H298" s="12">
        <f>IFERROR((H274/H250),0)</f>
        <v>3</v>
      </c>
      <c r="I298" s="12">
        <f>IFERROR((I274/I250),0)</f>
        <v>0</v>
      </c>
    </row>
    <row r="299">
      <c r="A299" s="0" t="inlineStr">
        <is>
          <t xml:space="preserve">Variable vs target</t>
        </is>
      </c>
      <c r="B299" s="0" t="inlineStr">
        <is>
          <t xml:space="preserve">Ingrid Müller</t>
        </is>
      </c>
      <c r="C299" s="12">
        <f>IFERROR((C275/C251),0)</f>
        <v>0</v>
      </c>
      <c r="D299" s="12">
        <f>IFERROR((D275/D251),0)</f>
        <v>0</v>
      </c>
      <c r="E299" s="12">
        <f>IFERROR((E275/E251),0)</f>
        <v>0</v>
      </c>
      <c r="F299" s="12">
        <f>IFERROR((F275/F251),0)</f>
        <v>0</v>
      </c>
      <c r="G299" s="12">
        <f>IFERROR((G275/G251),0)</f>
        <v>1.4924141818181818</v>
      </c>
      <c r="H299" s="12">
        <f>IFERROR((H275/H251),0)</f>
        <v>2.312477818181818</v>
      </c>
      <c r="I299" s="12">
        <f>IFERROR((I275/I251),0)</f>
        <v>0</v>
      </c>
    </row>
    <row r="300">
      <c r="A300" s="0" t="inlineStr">
        <is>
          <t xml:space="preserve">Variable vs target</t>
        </is>
      </c>
      <c r="B300" s="0" t="inlineStr">
        <is>
          <t xml:space="preserve">Ingrid Kim</t>
        </is>
      </c>
      <c r="C300" s="12">
        <f>IFERROR((C276/C252),0)</f>
        <v>0.6398490000000001</v>
      </c>
      <c r="D300" s="12">
        <f>IFERROR((D276/D252),0)</f>
        <v>0.6957390000000001</v>
      </c>
      <c r="E300" s="12">
        <f>IFERROR((E276/E252),0)</f>
        <v>1.145693</v>
      </c>
      <c r="F300" s="12">
        <f>IFERROR((F276/F252),0)</f>
        <v>0.88255</v>
      </c>
      <c r="G300" s="12">
        <f>IFERROR((G276/G252),0)</f>
        <v>0.20231375000000001</v>
      </c>
      <c r="H300" s="12">
        <f>IFERROR((H276/H252),0)</f>
        <v>1.026139</v>
      </c>
      <c r="I300" s="12">
        <f>IFERROR((I276/I252),0)</f>
        <v>0</v>
      </c>
    </row>
    <row r="301">
      <c r="A301" s="0" t="inlineStr">
        <is>
          <t xml:space="preserve">Variable vs target</t>
        </is>
      </c>
      <c r="B301" s="0" t="inlineStr">
        <is>
          <t xml:space="preserve">Priya Nair</t>
        </is>
      </c>
      <c r="C301" s="12">
        <f>IFERROR((C277/C253),0)</f>
        <v>0.5396240000000001</v>
      </c>
      <c r="D301" s="12">
        <f>IFERROR((D277/D253),0)</f>
        <v>0.8444550000000001</v>
      </c>
      <c r="E301" s="12">
        <f>IFERROR((E277/E253),0)</f>
        <v>0.9475390000000001</v>
      </c>
      <c r="F301" s="12">
        <f>IFERROR((F277/F253),0)</f>
        <v>0.6036880000000001</v>
      </c>
      <c r="G301" s="12">
        <f>IFERROR((G277/G253),0)</f>
        <v>0.8536940000000003</v>
      </c>
      <c r="H301" s="12">
        <f>IFERROR((H277/H253),0)</f>
        <v>0.37848100000000007</v>
      </c>
      <c r="I301" s="12">
        <f>IFERROR((I277/I253),0)</f>
        <v>0</v>
      </c>
    </row>
    <row r="302">
      <c r="A302" s="0" t="inlineStr">
        <is>
          <t xml:space="preserve">Variable vs target</t>
        </is>
      </c>
      <c r="B302" s="0" t="inlineStr">
        <is>
          <t xml:space="preserve">Hugo Lindqvist</t>
        </is>
      </c>
      <c r="C302" s="12">
        <f>IFERROR((C278/C254),0)</f>
        <v>0.7013708</v>
      </c>
      <c r="D302" s="12">
        <f>IFERROR((D278/D254),0)</f>
        <v>3</v>
      </c>
      <c r="E302" s="12">
        <f>IFERROR((E278/E254),0)</f>
        <v>0.8411809333333334</v>
      </c>
      <c r="F302" s="12">
        <f>IFERROR((F278/F254),0)</f>
        <v>2.4372517333333334</v>
      </c>
      <c r="G302" s="12">
        <f>IFERROR((G278/G254),0)</f>
        <v>1.6698173333333333</v>
      </c>
      <c r="H302" s="12">
        <f>IFERROR((H278/H254),0)</f>
        <v>1.5059070666666667</v>
      </c>
      <c r="I302" s="12">
        <f>IFERROR((I278/I254),0)</f>
        <v>0</v>
      </c>
    </row>
    <row r="303">
      <c r="A303" s="0" t="inlineStr">
        <is>
          <t xml:space="preserve">Variable vs target</t>
        </is>
      </c>
      <c r="B303" s="0" t="inlineStr">
        <is>
          <t xml:space="preserve">Wei Novak</t>
        </is>
      </c>
      <c r="C303" s="12">
        <f>IFERROR((C279/C255),0)</f>
        <v>0</v>
      </c>
      <c r="D303" s="12">
        <f>IFERROR((D279/D255),0)</f>
        <v>0</v>
      </c>
      <c r="E303" s="12">
        <f>IFERROR((E279/E255),0)</f>
        <v>0</v>
      </c>
      <c r="F303" s="12">
        <f>IFERROR((F279/F255),0)</f>
        <v>0.0628216</v>
      </c>
      <c r="G303" s="12">
        <f>IFERROR((G279/G255),0)</f>
        <v>0.13332000000000002</v>
      </c>
      <c r="H303" s="12">
        <f>IFERROR((H279/H255),0)</f>
        <v>0.29691713333333336</v>
      </c>
      <c r="I303" s="12">
        <f>IFERROR((I279/I255),0)</f>
        <v>0</v>
      </c>
    </row>
    <row r="304">
      <c r="A304" s="0" t="inlineStr">
        <is>
          <t xml:space="preserve">Variable vs target</t>
        </is>
      </c>
      <c r="B304" s="0" t="inlineStr">
        <is>
          <t xml:space="preserve">Nikolai Kim</t>
        </is>
      </c>
      <c r="C304" s="12">
        <f>IFERROR((C280/C256),0)</f>
        <v>1.6430469090909092</v>
      </c>
      <c r="D304" s="12">
        <f>IFERROR((D280/D256),0)</f>
        <v>2.541014545454545</v>
      </c>
      <c r="E304" s="12">
        <f>IFERROR((E280/E256),0)</f>
        <v>2.1563098181818185</v>
      </c>
      <c r="F304" s="12">
        <f>IFERROR((F280/F256),0)</f>
        <v>0.7803681818181818</v>
      </c>
      <c r="G304" s="12">
        <f>IFERROR((G280/G256),0)</f>
        <v>1.3010056363636364</v>
      </c>
      <c r="H304" s="12">
        <f>IFERROR((H280/H256),0)</f>
        <v>0.7181256363636365</v>
      </c>
      <c r="I304" s="12">
        <f>IFERROR((I280/I256),0)</f>
        <v>0</v>
      </c>
    </row>
    <row r="305">
      <c r="A305" s="0" t="inlineStr">
        <is>
          <t xml:space="preserve">Variable vs target</t>
        </is>
      </c>
      <c r="B305" s="0" t="inlineStr">
        <is>
          <t xml:space="preserve">Wei Nair</t>
        </is>
      </c>
      <c r="C305" s="12">
        <f>IFERROR((C281/C257),0)</f>
        <v>0.617098</v>
      </c>
      <c r="D305" s="12">
        <f>IFERROR((D281/D257),0)</f>
        <v>0.5153296363636364</v>
      </c>
      <c r="E305" s="12">
        <f>IFERROR((E281/E257),0)</f>
        <v>0.9439830909090909</v>
      </c>
      <c r="F305" s="12">
        <f>IFERROR((F281/F257),0)</f>
        <v>0.7760889090909091</v>
      </c>
      <c r="G305" s="12">
        <f>IFERROR((G281/G257),0)</f>
        <v>0.2890295454545455</v>
      </c>
      <c r="H305" s="12">
        <f>IFERROR((H281/H257),0)</f>
        <v>0.5254943636363637</v>
      </c>
      <c r="I305" s="12">
        <f>IFERROR((I281/I257),0)</f>
        <v>0</v>
      </c>
    </row>
    <row r="306">
      <c r="A306" s="0" t="inlineStr">
        <is>
          <t xml:space="preserve">Variable vs target</t>
        </is>
      </c>
      <c r="B306" s="0" t="inlineStr">
        <is>
          <t xml:space="preserve">Liam Silva</t>
        </is>
      </c>
      <c r="C306" s="12">
        <f>IFERROR((C282/C258),0)</f>
        <v>0.026250000000000006</v>
      </c>
      <c r="D306" s="12">
        <f>IFERROR((D282/D258),0)</f>
        <v>0.850825</v>
      </c>
      <c r="E306" s="12">
        <f>IFERROR((E282/E258),0)</f>
        <v>1.1530500000000001</v>
      </c>
      <c r="F306" s="12">
        <f>IFERROR((F282/F258),0)</f>
        <v>1.3258</v>
      </c>
      <c r="G306" s="12">
        <f>IFERROR((G282/G258),0)</f>
        <v>0.36060000000000003</v>
      </c>
      <c r="H306" s="12">
        <f>IFERROR((H282/H258),0)</f>
        <v>1.087125</v>
      </c>
      <c r="I306" s="12">
        <f>IFERROR((I282/I258),0)</f>
        <v>0</v>
      </c>
    </row>
    <row r="307">
      <c r="A307" s="0" t="inlineStr">
        <is>
          <t xml:space="preserve">Variable vs target</t>
        </is>
      </c>
      <c r="B307" s="0" t="inlineStr">
        <is>
          <t xml:space="preserve">Samuel Silva</t>
        </is>
      </c>
      <c r="C307" s="12">
        <f>IFERROR((C283/C259),0)</f>
        <v>0.26700000000000007</v>
      </c>
      <c r="D307" s="12">
        <f>IFERROR((D283/D259),0)</f>
        <v>1.9810749999999997</v>
      </c>
      <c r="E307" s="12">
        <f>IFERROR((E283/E259),0)</f>
        <v>0.9148</v>
      </c>
      <c r="F307" s="12">
        <f>IFERROR((F283/F259),0)</f>
        <v>2.435875</v>
      </c>
      <c r="G307" s="12">
        <f>IFERROR((G283/G259),0)</f>
        <v>0.9708999999999998</v>
      </c>
      <c r="H307" s="12">
        <f>IFERROR((H283/H259),0)</f>
        <v>0.832475</v>
      </c>
      <c r="I307" s="12">
        <f>IFERROR((I283/I259),0)</f>
        <v>0</v>
      </c>
    </row>
    <row r="308">
      <c r="A308" s="0" t="inlineStr">
        <is>
          <t xml:space="preserve">Variable vs target</t>
        </is>
      </c>
      <c r="B308" s="0" t="inlineStr">
        <is>
          <t xml:space="preserve">Yuki Larsen</t>
        </is>
      </c>
      <c r="C308" s="12">
        <f>IFERROR((C284/C260),0)</f>
        <v>0</v>
      </c>
      <c r="D308" s="12">
        <f>IFERROR((D284/D260),0)</f>
        <v>0.5353513333333333</v>
      </c>
      <c r="E308" s="12">
        <f>IFERROR((E284/E260),0)</f>
        <v>0</v>
      </c>
      <c r="F308" s="12">
        <f>IFERROR((F284/F260),0)</f>
        <v>0</v>
      </c>
      <c r="G308" s="12">
        <f>IFERROR((G284/G260),0)</f>
        <v>0.6684902666666667</v>
      </c>
      <c r="H308" s="12">
        <f>IFERROR((H284/H260),0)</f>
        <v>0.6341617333333334</v>
      </c>
      <c r="I308" s="12">
        <f>IFERROR((I284/I260),0)</f>
        <v>0</v>
      </c>
    </row>
    <row r="309">
      <c r="A309" s="0" t="inlineStr">
        <is>
          <t xml:space="preserve">Variable vs target</t>
        </is>
      </c>
      <c r="B309" s="0" t="inlineStr">
        <is>
          <t xml:space="preserve">Nikolai Sato</t>
        </is>
      </c>
      <c r="C309" s="12">
        <f>IFERROR((C285/C261),0)</f>
        <v>0.35140926666666666</v>
      </c>
      <c r="D309" s="12">
        <f>IFERROR((D285/D261),0)</f>
        <v>1.1360392000000001</v>
      </c>
      <c r="E309" s="12">
        <f>IFERROR((E285/E261),0)</f>
        <v>0.20091606666666667</v>
      </c>
      <c r="F309" s="12">
        <f>IFERROR((F285/F261),0)</f>
        <v>0.2805950666666666</v>
      </c>
      <c r="G309" s="12">
        <f>IFERROR((G285/G261),0)</f>
        <v>0</v>
      </c>
      <c r="H309" s="12">
        <f>IFERROR((H285/H261),0)</f>
        <v>0.36445053333333327</v>
      </c>
      <c r="I309" s="12">
        <f>IFERROR((I285/I261),0)</f>
        <v>0</v>
      </c>
    </row>
    <row r="310">
      <c r="A310" s="0" t="inlineStr">
        <is>
          <t xml:space="preserve">Variable vs target</t>
        </is>
      </c>
      <c r="B310" s="0" t="inlineStr">
        <is>
          <t xml:space="preserve">Elena Silva</t>
        </is>
      </c>
      <c r="C310" s="12">
        <f>IFERROR((C286/C262),0)</f>
        <v>0.696754909090909</v>
      </c>
      <c r="D310" s="12">
        <f>IFERROR((D286/D262),0)</f>
        <v>3</v>
      </c>
      <c r="E310" s="12">
        <f>IFERROR((E286/E262),0)</f>
        <v>2.003007636363636</v>
      </c>
      <c r="F310" s="12">
        <f>IFERROR((F286/F262),0)</f>
        <v>0.8451049090909089</v>
      </c>
      <c r="G310" s="12">
        <f>IFERROR((G286/G262),0)</f>
        <v>1.3095065454545454</v>
      </c>
      <c r="H310" s="12">
        <f>IFERROR((H286/H262),0)</f>
        <v>1.8244476363636366</v>
      </c>
      <c r="I310" s="12">
        <f>IFERROR((I286/I262),0)</f>
        <v>0</v>
      </c>
    </row>
    <row r="311">
      <c r="A311" s="0" t="inlineStr">
        <is>
          <t xml:space="preserve">Variable vs target</t>
        </is>
      </c>
      <c r="B311" s="0" t="inlineStr">
        <is>
          <t xml:space="preserve">Arjun Müller</t>
        </is>
      </c>
      <c r="C311" s="12">
        <f>IFERROR((C287/C263),0)</f>
        <v>0.12497727272727271</v>
      </c>
      <c r="D311" s="12">
        <f>IFERROR((D287/D263),0)</f>
        <v>0.4307710909090908</v>
      </c>
      <c r="E311" s="12">
        <f>IFERROR((E287/E263),0)</f>
        <v>1.270066727272727</v>
      </c>
      <c r="F311" s="12">
        <f>IFERROR((F287/F263),0)</f>
        <v>0</v>
      </c>
      <c r="G311" s="12">
        <f>IFERROR((G287/G263),0)</f>
        <v>1.395945090909091</v>
      </c>
      <c r="H311" s="12">
        <f>IFERROR((H287/H263),0)</f>
        <v>1.0901096363636362</v>
      </c>
      <c r="I311" s="12">
        <f>IFERROR((I287/I263),0)</f>
        <v>0</v>
      </c>
    </row>
    <row r="312">
      <c r="A312" s="0" t="inlineStr">
        <is>
          <t xml:space="preserve">Variable vs target</t>
        </is>
      </c>
      <c r="B312" s="0" t="inlineStr">
        <is>
          <t xml:space="preserve">Nikolai Park</t>
        </is>
      </c>
      <c r="C312" s="12">
        <f>IFERROR((C288/C264),0)</f>
        <v>0</v>
      </c>
      <c r="D312" s="12">
        <f>IFERROR((D288/D264),0)</f>
        <v>0</v>
      </c>
      <c r="E312" s="12">
        <f>IFERROR((E288/E264),0)</f>
        <v>0</v>
      </c>
      <c r="F312" s="12">
        <f>IFERROR((F288/F264),0)</f>
        <v>0</v>
      </c>
      <c r="G312" s="12">
        <f>IFERROR((G288/G264),0)</f>
        <v>0.1145</v>
      </c>
      <c r="H312" s="12">
        <f>IFERROR((H288/H264),0)</f>
        <v>0.40585</v>
      </c>
      <c r="I312" s="12">
        <f>IFERROR((I288/I264),0)</f>
        <v>0</v>
      </c>
    </row>
    <row r="313">
      <c r="A313" s="0" t="inlineStr">
        <is>
          <t xml:space="preserve">Variable vs target</t>
        </is>
      </c>
      <c r="B313" s="0" t="inlineStr">
        <is>
          <t xml:space="preserve">Ingrid Dubois</t>
        </is>
      </c>
      <c r="C313" s="12">
        <f>IFERROR((C289/C265),0)</f>
        <v>0</v>
      </c>
      <c r="D313" s="12">
        <f>IFERROR((D289/D265),0)</f>
        <v>1.99075</v>
      </c>
      <c r="E313" s="12">
        <f>IFERROR((E289/E265),0)</f>
        <v>0.99845</v>
      </c>
      <c r="F313" s="12">
        <f>IFERROR((F289/F265),0)</f>
        <v>0.3076125</v>
      </c>
      <c r="G313" s="12">
        <f>IFERROR((G289/G265),0)</f>
        <v>1.840825</v>
      </c>
      <c r="H313" s="12">
        <f>IFERROR((H289/H265),0)</f>
        <v>1.876025</v>
      </c>
      <c r="I313" s="12">
        <f>IFERROR((I289/I265),0)</f>
        <v>0</v>
      </c>
    </row>
    <row r="314">
      <c r="A314" s="0" t="inlineStr">
        <is>
          <t xml:space="preserve">Pay as % of bookings</t>
        </is>
      </c>
      <c r="B314" s="0" t="inlineStr">
        <is>
          <t xml:space="preserve">Noor Ortiz</t>
        </is>
      </c>
      <c r="C314" s="12">
        <f>IFERROR((C266/C26),0)</f>
        <v>0</v>
      </c>
      <c r="D314" s="12">
        <f>IFERROR((D266/D26),0)</f>
        <v>0</v>
      </c>
      <c r="E314" s="12">
        <f>IFERROR((E266/E26),0)</f>
        <v>0.10701540755467197</v>
      </c>
      <c r="F314" s="12">
        <f>IFERROR((F266/F26),0)</f>
        <v>0.13906602095275747</v>
      </c>
      <c r="G314" s="12">
        <f>IFERROR((G266/G26),0)</f>
        <v>0.11597206320128237</v>
      </c>
      <c r="H314" s="12">
        <f>IFERROR((H266/H26),0)</f>
        <v>0.08722943722943724</v>
      </c>
      <c r="I314" s="12">
        <f>IFERROR((I266/I26),0)</f>
        <v>0</v>
      </c>
    </row>
    <row r="315">
      <c r="A315" s="0" t="inlineStr">
        <is>
          <t xml:space="preserve">Pay as % of bookings</t>
        </is>
      </c>
      <c r="B315" s="0" t="inlineStr">
        <is>
          <t xml:space="preserve">Priya Yilmaz</t>
        </is>
      </c>
      <c r="C315" s="12">
        <f>IFERROR((C267/C27),0)</f>
        <v>0</v>
      </c>
      <c r="D315" s="12">
        <f>IFERROR((D267/D27),0)</f>
        <v>0</v>
      </c>
      <c r="E315" s="12">
        <f>IFERROR((E267/E27),0)</f>
        <v>0</v>
      </c>
      <c r="F315" s="12">
        <f>IFERROR((F267/F27),0)</f>
        <v>0</v>
      </c>
      <c r="G315" s="12">
        <f>IFERROR((G267/G27),0)</f>
        <v>0</v>
      </c>
      <c r="H315" s="12">
        <f>IFERROR((H267/H27),0)</f>
        <v>0</v>
      </c>
      <c r="I315" s="12">
        <f>IFERROR((I267/I27),0)</f>
        <v>0</v>
      </c>
    </row>
    <row r="316">
      <c r="A316" s="0" t="inlineStr">
        <is>
          <t xml:space="preserve">Pay as % of bookings</t>
        </is>
      </c>
      <c r="B316" s="0" t="inlineStr">
        <is>
          <t xml:space="preserve">Marcus Schmidt</t>
        </is>
      </c>
      <c r="C316" s="12">
        <f>IFERROR((C268/C28),0)</f>
        <v>0</v>
      </c>
      <c r="D316" s="12">
        <f>IFERROR((D268/D28),0)</f>
        <v>0.18839305239179954</v>
      </c>
      <c r="E316" s="12">
        <f>IFERROR((E268/E28),0)</f>
        <v>0.20419632738719828</v>
      </c>
      <c r="F316" s="12">
        <f>IFERROR((F268/F28),0)</f>
        <v>0.20640480360270202</v>
      </c>
      <c r="G316" s="12">
        <f>IFERROR((G268/G28),0)</f>
        <v>0.12760241518113857</v>
      </c>
      <c r="H316" s="12">
        <f>IFERROR((H268/H28),0)</f>
        <v>0.11456101694915255</v>
      </c>
      <c r="I316" s="12">
        <f>IFERROR((I268/I28),0)</f>
        <v>0</v>
      </c>
    </row>
    <row r="317">
      <c r="A317" s="0" t="inlineStr">
        <is>
          <t xml:space="preserve">Pay as % of bookings</t>
        </is>
      </c>
      <c r="B317" s="0" t="inlineStr">
        <is>
          <t xml:space="preserve">Amara Haddad</t>
        </is>
      </c>
      <c r="C317" s="12">
        <f>IFERROR((C269/C29),0)</f>
        <v>0.12925996150144367</v>
      </c>
      <c r="D317" s="12">
        <f>IFERROR((D269/D29),0)</f>
        <v>0.14043983180428132</v>
      </c>
      <c r="E317" s="12">
        <f>IFERROR((E269/E29),0)</f>
        <v>0.1154528602461984</v>
      </c>
      <c r="F317" s="12">
        <f>IFERROR((F269/F29),0)</f>
        <v>0.10704999999999999</v>
      </c>
      <c r="G317" s="12">
        <f>IFERROR((G269/G29),0)</f>
        <v>0.11205</v>
      </c>
      <c r="H317" s="12">
        <f>IFERROR((H269/H29),0)</f>
        <v>0.11205000000000001</v>
      </c>
      <c r="I317" s="12">
        <f>IFERROR((I269/I29),0)</f>
        <v>0</v>
      </c>
    </row>
    <row r="318">
      <c r="A318" s="0" t="inlineStr">
        <is>
          <t xml:space="preserve">Pay as % of bookings</t>
        </is>
      </c>
      <c r="B318" s="0" t="inlineStr">
        <is>
          <t xml:space="preserve">Fatima Silva</t>
        </is>
      </c>
      <c r="C318" s="12">
        <f>IFERROR((C270/C30),0)</f>
        <v>0.1696324022346369</v>
      </c>
      <c r="D318" s="12">
        <f>IFERROR((D270/D30),0)</f>
        <v>0.1676533936651584</v>
      </c>
      <c r="E318" s="12">
        <f>IFERROR((E270/E30),0)</f>
        <v>0.17846543209876545</v>
      </c>
      <c r="F318" s="12">
        <f>IFERROR((F270/F30),0)</f>
        <v>0.1493008</v>
      </c>
      <c r="G318" s="12">
        <f>IFERROR((G270/G30),0)</f>
        <v>0.16638691756272403</v>
      </c>
      <c r="H318" s="12">
        <f>IFERROR((H270/H30),0)</f>
        <v>0.22092066549912434</v>
      </c>
      <c r="I318" s="12">
        <f>IFERROR((I270/I30),0)</f>
        <v>0</v>
      </c>
    </row>
    <row r="319">
      <c r="A319" s="0" t="inlineStr">
        <is>
          <t xml:space="preserve">Pay as % of bookings</t>
        </is>
      </c>
      <c r="B319" s="0" t="inlineStr">
        <is>
          <t xml:space="preserve">Ana Ortiz</t>
        </is>
      </c>
      <c r="C319" s="12">
        <f>IFERROR((C271/C31),0)</f>
        <v>0.15830952380952384</v>
      </c>
      <c r="D319" s="12">
        <f>IFERROR((D271/D31),0)</f>
        <v>0.26158350515463924</v>
      </c>
      <c r="E319" s="12">
        <f>IFERROR((E271/E31),0)</f>
        <v>0.14209285714285716</v>
      </c>
      <c r="F319" s="12">
        <f>IFERROR((F271/F31),0)</f>
        <v>0.14944561403508774</v>
      </c>
      <c r="G319" s="12">
        <f>IFERROR((G271/G31),0)</f>
        <v>0.16692201834862389</v>
      </c>
      <c r="H319" s="12">
        <f>IFERROR((H271/H31),0)</f>
        <v>0.21059912663755465</v>
      </c>
      <c r="I319" s="12">
        <f>IFERROR((I271/I31),0)</f>
        <v>0</v>
      </c>
    </row>
    <row r="320">
      <c r="A320" s="0" t="inlineStr">
        <is>
          <t xml:space="preserve">Pay as % of bookings</t>
        </is>
      </c>
      <c r="B320" s="0" t="inlineStr">
        <is>
          <t xml:space="preserve">Tobias Silva</t>
        </is>
      </c>
      <c r="C320" s="12">
        <f>IFERROR((C272/C32),0)</f>
        <v>0</v>
      </c>
      <c r="D320" s="12">
        <f>IFERROR((D272/D32),0)</f>
        <v>0.1</v>
      </c>
      <c r="E320" s="12">
        <f>IFERROR((E272/E32),0)</f>
        <v>0</v>
      </c>
      <c r="F320" s="12">
        <f>IFERROR((F272/F32),0)</f>
        <v>0.07965729660836933</v>
      </c>
      <c r="G320" s="12">
        <f>IFERROR((G272/G32),0)</f>
        <v>0.1</v>
      </c>
      <c r="H320" s="12">
        <f>IFERROR((H272/H32),0)</f>
        <v>0.13615857344348176</v>
      </c>
      <c r="I320" s="12">
        <f>IFERROR((I272/I32),0)</f>
        <v>0</v>
      </c>
    </row>
    <row r="321">
      <c r="A321" s="0" t="inlineStr">
        <is>
          <t xml:space="preserve">Pay as % of bookings</t>
        </is>
      </c>
      <c r="B321" s="0" t="inlineStr">
        <is>
          <t xml:space="preserve">Leila Osei</t>
        </is>
      </c>
      <c r="C321" s="12">
        <f>IFERROR((C273/C33),0)</f>
        <v>0</v>
      </c>
      <c r="D321" s="12">
        <f>IFERROR((D273/D33),0)</f>
        <v>0</v>
      </c>
      <c r="E321" s="12">
        <f>IFERROR((E273/E33),0)</f>
        <v>0</v>
      </c>
      <c r="F321" s="12">
        <f>IFERROR((F273/F33),0)</f>
        <v>0.09500000000000001</v>
      </c>
      <c r="G321" s="12">
        <f>IFERROR((G273/G33),0)</f>
        <v>0.1132887323943662</v>
      </c>
      <c r="H321" s="12">
        <f>IFERROR((H273/H33),0)</f>
        <v>0.16117478510028654</v>
      </c>
      <c r="I321" s="12">
        <f>IFERROR((I273/I33),0)</f>
        <v>0</v>
      </c>
    </row>
    <row r="322">
      <c r="A322" s="0" t="inlineStr">
        <is>
          <t xml:space="preserve">Pay as % of bookings</t>
        </is>
      </c>
      <c r="B322" s="0" t="inlineStr">
        <is>
          <t xml:space="preserve">Grace Costa</t>
        </is>
      </c>
      <c r="C322" s="12">
        <f>IFERROR((C274/C34),0)</f>
        <v>0.11068070539419088</v>
      </c>
      <c r="D322" s="12">
        <f>IFERROR((D274/D34),0)</f>
        <v>0.12266666666666665</v>
      </c>
      <c r="E322" s="12">
        <f>IFERROR((E274/E34),0)</f>
        <v>0.18807510841283606</v>
      </c>
      <c r="F322" s="12">
        <f>IFERROR((F274/F34),0)</f>
        <v>0.172388195302843</v>
      </c>
      <c r="G322" s="12">
        <f>IFERROR((G274/G34),0)</f>
        <v>0.12737378415933304</v>
      </c>
      <c r="H322" s="12">
        <f>IFERROR((H274/H34),0)</f>
        <v>0.2156299006795609</v>
      </c>
      <c r="I322" s="12">
        <f>IFERROR((I274/I34),0)</f>
        <v>0</v>
      </c>
    </row>
    <row r="323">
      <c r="A323" s="0" t="inlineStr">
        <is>
          <t xml:space="preserve">Pay as % of bookings</t>
        </is>
      </c>
      <c r="B323" s="0" t="inlineStr">
        <is>
          <t xml:space="preserve">Ingrid Müller</t>
        </is>
      </c>
      <c r="C323" s="12">
        <f>IFERROR((C275/C35),0)</f>
        <v>0</v>
      </c>
      <c r="D323" s="12">
        <f>IFERROR((D275/D35),0)</f>
        <v>0</v>
      </c>
      <c r="E323" s="12">
        <f>IFERROR((E275/E35),0)</f>
        <v>0</v>
      </c>
      <c r="F323" s="12">
        <f>IFERROR((F275/F35),0)</f>
        <v>0</v>
      </c>
      <c r="G323" s="12">
        <f>IFERROR((G275/G35),0)</f>
        <v>0.2797640763462849</v>
      </c>
      <c r="H323" s="12">
        <f>IFERROR((H275/H35),0)</f>
        <v>0.2588243386243386</v>
      </c>
      <c r="I323" s="12">
        <f>IFERROR((I275/I35),0)</f>
        <v>0</v>
      </c>
    </row>
    <row r="324">
      <c r="A324" s="0" t="inlineStr">
        <is>
          <t xml:space="preserve">Pay as % of bookings</t>
        </is>
      </c>
      <c r="B324" s="0" t="inlineStr">
        <is>
          <t xml:space="preserve">Ingrid Kim</t>
        </is>
      </c>
      <c r="C324" s="12">
        <f>IFERROR((C276/C36),0)</f>
        <v>0.15877146401985112</v>
      </c>
      <c r="D324" s="12">
        <f>IFERROR((D276/D36),0)</f>
        <v>0.16067875288683606</v>
      </c>
      <c r="E324" s="12">
        <f>IFERROR((E276/E36),0)</f>
        <v>0.18214515103338633</v>
      </c>
      <c r="F324" s="12">
        <f>IFERROR((F276/F36),0)</f>
        <v>0.16573708920187794</v>
      </c>
      <c r="G324" s="12">
        <f>IFERROR((G276/G36),0)</f>
        <v>0.15268962264150945</v>
      </c>
      <c r="H324" s="12">
        <f>IFERROR((H276/H36),0)</f>
        <v>0.23033423120089785</v>
      </c>
      <c r="I324" s="12">
        <f>IFERROR((I276/I36),0)</f>
        <v>0</v>
      </c>
    </row>
    <row r="325">
      <c r="A325" s="0" t="inlineStr">
        <is>
          <t xml:space="preserve">Pay as % of bookings</t>
        </is>
      </c>
      <c r="B325" s="0" t="inlineStr">
        <is>
          <t xml:space="preserve">Priya Nair</t>
        </is>
      </c>
      <c r="C325" s="12">
        <f>IFERROR((C277/C37),0)</f>
        <v>0.15286798866855525</v>
      </c>
      <c r="D325" s="12">
        <f>IFERROR((D277/D37),0)</f>
        <v>0.16721881188118815</v>
      </c>
      <c r="E325" s="12">
        <f>IFERROR((E277/E37),0)</f>
        <v>0.1698098566308244</v>
      </c>
      <c r="F325" s="12">
        <f>IFERROR((F277/F37),0)</f>
        <v>0.15949484808454428</v>
      </c>
      <c r="G325" s="12">
        <f>IFERROR((G277/G37),0)</f>
        <v>0.16480579150579155</v>
      </c>
      <c r="H325" s="12">
        <f>IFERROR((H277/H37),0)</f>
        <v>0.20348440860215056</v>
      </c>
      <c r="I325" s="12">
        <f>IFERROR((I277/I37),0)</f>
        <v>0</v>
      </c>
    </row>
    <row r="326">
      <c r="A326" s="0" t="inlineStr">
        <is>
          <t xml:space="preserve">Pay as % of bookings</t>
        </is>
      </c>
      <c r="B326" s="0" t="inlineStr">
        <is>
          <t xml:space="preserve">Hugo Lindqvist</t>
        </is>
      </c>
      <c r="C326" s="12">
        <f>IFERROR((C278/C38),0)</f>
        <v>0.10700327502034174</v>
      </c>
      <c r="D326" s="12">
        <f>IFERROR((D278/D38),0)</f>
        <v>0.15358361774744028</v>
      </c>
      <c r="E326" s="12">
        <f>IFERROR((E278/E38),0)</f>
        <v>0.11614243372606776</v>
      </c>
      <c r="F326" s="12">
        <f>IFERROR((F278/F38),0)</f>
        <v>0.16822554757960612</v>
      </c>
      <c r="G326" s="12">
        <f>IFERROR((G278/G38),0)</f>
        <v>0.13702002188183807</v>
      </c>
      <c r="H326" s="12">
        <f>IFERROR((H278/H38),0)</f>
        <v>0.14995091609134362</v>
      </c>
      <c r="I326" s="12">
        <f>IFERROR((I278/I38),0)</f>
        <v>0</v>
      </c>
    </row>
    <row r="327">
      <c r="A327" s="0" t="inlineStr">
        <is>
          <t xml:space="preserve">Pay as % of bookings</t>
        </is>
      </c>
      <c r="B327" s="0" t="inlineStr">
        <is>
          <t xml:space="preserve">Wei Novak</t>
        </is>
      </c>
      <c r="C327" s="12">
        <f>IFERROR((C279/C39),0)</f>
        <v>0</v>
      </c>
      <c r="D327" s="12">
        <f>IFERROR((D279/D39),0)</f>
        <v>0</v>
      </c>
      <c r="E327" s="12">
        <f>IFERROR((E279/E39),0)</f>
        <v>0</v>
      </c>
      <c r="F327" s="12">
        <f>IFERROR((F279/F39),0)</f>
        <v>0.10332500000000001</v>
      </c>
      <c r="G327" s="12">
        <f>IFERROR((G279/G39),0)</f>
        <v>0.08332500000000001</v>
      </c>
      <c r="H327" s="12">
        <f>IFERROR((H279/H39),0)</f>
        <v>0.11985352529601724</v>
      </c>
      <c r="I327" s="12">
        <f>IFERROR((I279/I39),0)</f>
        <v>0</v>
      </c>
    </row>
    <row r="328">
      <c r="A328" s="0" t="inlineStr">
        <is>
          <t xml:space="preserve">Pay as % of bookings</t>
        </is>
      </c>
      <c r="B328" s="0" t="inlineStr">
        <is>
          <t xml:space="preserve">Nikolai Kim</t>
        </is>
      </c>
      <c r="C328" s="12">
        <f>IFERROR((C280/C40),0)</f>
        <v>0.1727209097859327</v>
      </c>
      <c r="D328" s="12">
        <f>IFERROR((D280/D40),0)</f>
        <v>0.22078325434439178</v>
      </c>
      <c r="E328" s="12">
        <f>IFERROR((E280/E40),0)</f>
        <v>0.19461279947489335</v>
      </c>
      <c r="F328" s="12">
        <f>IFERROR((F280/F40),0)</f>
        <v>0.1320623076923077</v>
      </c>
      <c r="G328" s="12">
        <f>IFERROR((G280/G40),0)</f>
        <v>0.1544803756476684</v>
      </c>
      <c r="H328" s="12">
        <f>IFERROR((H280/H40),0)</f>
        <v>0.1447833944281525</v>
      </c>
      <c r="I328" s="12">
        <f>IFERROR((I280/I40),0)</f>
        <v>0</v>
      </c>
    </row>
    <row r="329">
      <c r="A329" s="0" t="inlineStr">
        <is>
          <t xml:space="preserve">Pay as % of bookings</t>
        </is>
      </c>
      <c r="B329" s="0" t="inlineStr">
        <is>
          <t xml:space="preserve">Wei Nair</t>
        </is>
      </c>
      <c r="C329" s="12">
        <f>IFERROR((C281/C41),0)</f>
        <v>0.12994023736600305</v>
      </c>
      <c r="D329" s="12">
        <f>IFERROR((D281/D41),0)</f>
        <v>0.12574591836734694</v>
      </c>
      <c r="E329" s="12">
        <f>IFERROR((E281/E41),0)</f>
        <v>0.13822968583599574</v>
      </c>
      <c r="F329" s="12">
        <f>IFERROR((F281/F41),0)</f>
        <v>0.13940199216198562</v>
      </c>
      <c r="G329" s="12">
        <f>IFERROR((G281/G41),0)</f>
        <v>0.127173</v>
      </c>
      <c r="H329" s="12">
        <f>IFERROR((H281/H41),0)</f>
        <v>0.13430385687732344</v>
      </c>
      <c r="I329" s="12">
        <f>IFERROR((I281/I41),0)</f>
        <v>0</v>
      </c>
    </row>
    <row r="330">
      <c r="A330" s="0" t="inlineStr">
        <is>
          <t xml:space="preserve">Pay as % of bookings</t>
        </is>
      </c>
      <c r="B330" s="0" t="inlineStr">
        <is>
          <t xml:space="preserve">Liam Silva</t>
        </is>
      </c>
      <c r="C330" s="12">
        <f>IFERROR((C282/C42),0)</f>
        <v>0.15000000000000002</v>
      </c>
      <c r="D330" s="12">
        <f>IFERROR((D282/D42),0)</f>
        <v>0.237993006993007</v>
      </c>
      <c r="E330" s="12">
        <f>IFERROR((E282/E42),0)</f>
        <v>0.22675516224188794</v>
      </c>
      <c r="F330" s="12">
        <f>IFERROR((F282/F42),0)</f>
        <v>0.21401129943502828</v>
      </c>
      <c r="G330" s="12">
        <f>IFERROR((G282/G42),0)</f>
        <v>0.1620674157303371</v>
      </c>
      <c r="H330" s="12">
        <f>IFERROR((H282/H42),0)</f>
        <v>0.21109223300970872</v>
      </c>
      <c r="I330" s="12">
        <f>IFERROR((I282/I42),0)</f>
        <v>0</v>
      </c>
    </row>
    <row r="331">
      <c r="A331" s="0" t="inlineStr">
        <is>
          <t xml:space="preserve">Pay as % of bookings</t>
        </is>
      </c>
      <c r="B331" s="0" t="inlineStr">
        <is>
          <t xml:space="preserve">Samuel Silva</t>
        </is>
      </c>
      <c r="C331" s="12">
        <f>IFERROR((C283/C43),0)</f>
        <v>0.15752212389380535</v>
      </c>
      <c r="D331" s="12">
        <f>IFERROR((D283/D43),0)</f>
        <v>0.2571155094094743</v>
      </c>
      <c r="E331" s="12">
        <f>IFERROR((E283/E43),0)</f>
        <v>0.18881320949432404</v>
      </c>
      <c r="F331" s="12">
        <f>IFERROR((F283/F43),0)</f>
        <v>0.28758854781582055</v>
      </c>
      <c r="G331" s="12">
        <f>IFERROR((G283/G43),0)</f>
        <v>0.19398601398601395</v>
      </c>
      <c r="H331" s="12">
        <f>IFERROR((H283/H43),0)</f>
        <v>0.2335133239831697</v>
      </c>
      <c r="I331" s="12">
        <f>IFERROR((I283/I43),0)</f>
        <v>0</v>
      </c>
    </row>
    <row r="332">
      <c r="A332" s="0" t="inlineStr">
        <is>
          <t xml:space="preserve">Pay as % of bookings</t>
        </is>
      </c>
      <c r="B332" s="0" t="inlineStr">
        <is>
          <t xml:space="preserve">Yuki Larsen</t>
        </is>
      </c>
      <c r="C332" s="12">
        <f>IFERROR((C284/C44),0)</f>
        <v>0</v>
      </c>
      <c r="D332" s="12">
        <f>IFERROR((D284/D44),0)</f>
        <v>0.13518973063973064</v>
      </c>
      <c r="E332" s="12">
        <f>IFERROR((E284/E44),0)</f>
        <v>0</v>
      </c>
      <c r="F332" s="12">
        <f>IFERROR((F284/F44),0)</f>
        <v>0</v>
      </c>
      <c r="G332" s="12">
        <f>IFERROR((G284/G44),0)</f>
        <v>0.13305936836518048</v>
      </c>
      <c r="H332" s="12">
        <f>IFERROR((H284/H44),0)</f>
        <v>0.15089508248730965</v>
      </c>
      <c r="I332" s="12">
        <f>IFERROR((I284/I44),0)</f>
        <v>0</v>
      </c>
    </row>
    <row r="333">
      <c r="A333" s="0" t="inlineStr">
        <is>
          <t xml:space="preserve">Pay as % of bookings</t>
        </is>
      </c>
      <c r="B333" s="0" t="inlineStr">
        <is>
          <t xml:space="preserve">Nikolai Sato</t>
        </is>
      </c>
      <c r="C333" s="12">
        <f>IFERROR((C285/C45),0)</f>
        <v>0.132175</v>
      </c>
      <c r="D333" s="12">
        <f>IFERROR((D285/D45),0)</f>
        <v>0.1528578040904198</v>
      </c>
      <c r="E333" s="12">
        <f>IFERROR((E285/E45),0)</f>
        <v>0.117175</v>
      </c>
      <c r="F333" s="12">
        <f>IFERROR((F285/F45),0)</f>
        <v>0.11717499999999999</v>
      </c>
      <c r="G333" s="12">
        <f>IFERROR((G285/G45),0)</f>
        <v>0</v>
      </c>
      <c r="H333" s="12">
        <f>IFERROR((H285/H45),0)</f>
        <v>0.132175</v>
      </c>
      <c r="I333" s="12">
        <f>IFERROR((I285/I45),0)</f>
        <v>0</v>
      </c>
    </row>
    <row r="334">
      <c r="A334" s="0" t="inlineStr">
        <is>
          <t xml:space="preserve">Pay as % of bookings</t>
        </is>
      </c>
      <c r="B334" s="0" t="inlineStr">
        <is>
          <t xml:space="preserve">Elena Silva</t>
        </is>
      </c>
      <c r="C334" s="12">
        <f>IFERROR((C286/C46),0)</f>
        <v>0.17230899280575537</v>
      </c>
      <c r="D334" s="12">
        <f>IFERROR((D286/D46),0)</f>
        <v>0.2883607130373995</v>
      </c>
      <c r="E334" s="12">
        <f>IFERROR((E286/E46),0)</f>
        <v>0.23907426215277777</v>
      </c>
      <c r="F334" s="12">
        <f>IFERROR((F286/F46),0)</f>
        <v>0.16939056122448976</v>
      </c>
      <c r="G334" s="12">
        <f>IFERROR((G286/G46),0)</f>
        <v>0.19582071778140295</v>
      </c>
      <c r="H334" s="12">
        <f>IFERROR((H286/H46),0)</f>
        <v>0.2618596555323591</v>
      </c>
      <c r="I334" s="12">
        <f>IFERROR((I286/I46),0)</f>
        <v>0</v>
      </c>
    </row>
    <row r="335">
      <c r="A335" s="0" t="inlineStr">
        <is>
          <t xml:space="preserve">Pay as % of bookings</t>
        </is>
      </c>
      <c r="B335" s="0" t="inlineStr">
        <is>
          <t xml:space="preserve">Arjun Müller</t>
        </is>
      </c>
      <c r="C335" s="12">
        <f>IFERROR((C287/C47),0)</f>
        <v>0.13747499999999999</v>
      </c>
      <c r="D335" s="12">
        <f>IFERROR((D287/D47),0)</f>
        <v>0.15265728092783504</v>
      </c>
      <c r="E335" s="12">
        <f>IFERROR((E287/E47),0)</f>
        <v>0.19867369169510804</v>
      </c>
      <c r="F335" s="12">
        <f>IFERROR((F287/F47),0)</f>
        <v>0</v>
      </c>
      <c r="G335" s="12">
        <f>IFERROR((G287/G47),0)</f>
        <v>0.19798086642599277</v>
      </c>
      <c r="H335" s="12">
        <f>IFERROR((H287/H47),0)</f>
        <v>0.18482130086313192</v>
      </c>
      <c r="I335" s="12">
        <f>IFERROR((I287/I47),0)</f>
        <v>0</v>
      </c>
    </row>
    <row r="336">
      <c r="A336" s="0" t="inlineStr">
        <is>
          <t xml:space="preserve">Pay as % of bookings</t>
        </is>
      </c>
      <c r="B336" s="0" t="inlineStr">
        <is>
          <t xml:space="preserve">Nikolai Park</t>
        </is>
      </c>
      <c r="C336" s="12">
        <f>IFERROR((C288/C48),0)</f>
        <v>0</v>
      </c>
      <c r="D336" s="12">
        <f>IFERROR((D288/D48),0)</f>
        <v>0</v>
      </c>
      <c r="E336" s="12">
        <f>IFERROR((E288/E48),0)</f>
        <v>0</v>
      </c>
      <c r="F336" s="12">
        <f>IFERROR((F288/F48),0)</f>
        <v>0</v>
      </c>
      <c r="G336" s="12">
        <f>IFERROR((G288/G48),0)</f>
        <v>0.2081818181818182</v>
      </c>
      <c r="H336" s="12">
        <f>IFERROR((H288/H48),0)</f>
        <v>0.29197841726618706</v>
      </c>
      <c r="I336" s="12">
        <f>IFERROR((I288/I48),0)</f>
        <v>0</v>
      </c>
    </row>
    <row r="337">
      <c r="A337" s="0" t="inlineStr">
        <is>
          <t xml:space="preserve">Pay as % of bookings</t>
        </is>
      </c>
      <c r="B337" s="0" t="inlineStr">
        <is>
          <t xml:space="preserve">Ingrid Dubois</t>
        </is>
      </c>
      <c r="C337" s="12">
        <f>IFERROR((C289/C49),0)</f>
        <v>0</v>
      </c>
      <c r="D337" s="12">
        <f>IFERROR((D289/D49),0)</f>
        <v>0.3203137570394208</v>
      </c>
      <c r="E337" s="12">
        <f>IFERROR((E289/E49),0)</f>
        <v>0.23943645083932855</v>
      </c>
      <c r="F337" s="12">
        <f>IFERROR((F289/F49),0)</f>
        <v>0.1991019417475728</v>
      </c>
      <c r="G337" s="12">
        <f>IFERROR((G289/G49),0)</f>
        <v>0.3050248550124275</v>
      </c>
      <c r="H337" s="12">
        <f>IFERROR((H289/H49),0)</f>
        <v>0.31824003392705685</v>
      </c>
      <c r="I337" s="12">
        <f>IFERROR((I289/I49),0)</f>
        <v>0</v>
      </c>
    </row>
    <row r="338">
      <c r="A338" s="0" t="inlineStr">
        <is>
          <t xml:space="preserve">YTD variable pay</t>
        </is>
      </c>
      <c r="B338" s="0" t="inlineStr">
        <is>
          <t xml:space="preserve">Noor Ortiz</t>
        </is>
      </c>
      <c r="C338" s="8">
        <f>IF((2025=2026),SUM(0),C266)</f>
        <v>0</v>
      </c>
      <c r="D338" s="8">
        <f>IF((2025=2026),SUM(0),D266)</f>
        <v>0</v>
      </c>
      <c r="E338" s="8">
        <f>IF((2025=2026),SUM(0),E266)</f>
        <v>21531.5</v>
      </c>
      <c r="F338" s="8">
        <f>IF((2026=2026),SUM(F266),F266)</f>
        <v>70353.5</v>
      </c>
      <c r="G338" s="8">
        <f>IF((2026=2026),SUM(F266:G266),G266)</f>
        <v>120998.5</v>
      </c>
      <c r="H338" s="8">
        <f>IF((2026=2026),SUM(F266:H266),H266)</f>
        <v>133088.5</v>
      </c>
      <c r="I338" s="8">
        <f>IF((2026=2026),SUM(F266:I266),I266)</f>
        <v>133088.5</v>
      </c>
    </row>
    <row r="339">
      <c r="A339" s="0" t="inlineStr">
        <is>
          <t xml:space="preserve">YTD variable pay</t>
        </is>
      </c>
      <c r="B339" s="0" t="inlineStr">
        <is>
          <t xml:space="preserve">Priya Yilmaz</t>
        </is>
      </c>
      <c r="C339" s="4">
        <f>IF((2025=2026),SUM(0),C267)</f>
        <v>0</v>
      </c>
      <c r="D339" s="4">
        <f>IF((2025=2026),SUM(0),D267)</f>
        <v>0</v>
      </c>
      <c r="E339" s="4">
        <f>IF((2025=2026),SUM(0),E267)</f>
        <v>0</v>
      </c>
      <c r="F339" s="4">
        <f>IF((2026=2026),SUM(F267),F267)</f>
        <v>0</v>
      </c>
      <c r="G339" s="4">
        <f>IF((2026=2026),SUM(F267:G267),G267)</f>
        <v>0</v>
      </c>
      <c r="H339" s="4">
        <f>IF((2026=2026),SUM(F267:H267),H267)</f>
        <v>0</v>
      </c>
      <c r="I339" s="4">
        <f>IF((2026=2026),SUM(F267:I267),I267)</f>
        <v>0</v>
      </c>
    </row>
    <row r="340">
      <c r="A340" s="0" t="inlineStr">
        <is>
          <t xml:space="preserve">YTD variable pay</t>
        </is>
      </c>
      <c r="B340" s="0" t="inlineStr">
        <is>
          <t xml:space="preserve">Marcus Schmidt</t>
        </is>
      </c>
      <c r="C340" s="8">
        <f>IF((2025=2026),SUM(0),C268)</f>
        <v>0</v>
      </c>
      <c r="D340" s="8">
        <f>IF((2025=2026),SUM(0),D268)</f>
        <v>16540.91</v>
      </c>
      <c r="E340" s="8">
        <f>IF((2025=2026),SUM(0),E268)</f>
        <v>38919.81999999999</v>
      </c>
      <c r="F340" s="8">
        <f>IF((2026=2026),SUM(F268),F268)</f>
        <v>82500</v>
      </c>
      <c r="G340" s="8">
        <f>IF((2026=2026),SUM(F268:G268),G268)</f>
        <v>104690.06</v>
      </c>
      <c r="H340" s="8">
        <f>IF((2026=2026),SUM(F268:H268),H268)</f>
        <v>119560.08</v>
      </c>
      <c r="I340" s="8">
        <f>IF((2026=2026),SUM(F268:I268),I268)</f>
        <v>119560.08</v>
      </c>
    </row>
    <row r="341">
      <c r="A341" s="0" t="inlineStr">
        <is>
          <t xml:space="preserve">YTD variable pay</t>
        </is>
      </c>
      <c r="B341" s="0" t="inlineStr">
        <is>
          <t xml:space="preserve">Amara Haddad</t>
        </is>
      </c>
      <c r="C341" s="8">
        <f>IF((2025=2026),SUM(0),C269)</f>
        <v>26860.219999999994</v>
      </c>
      <c r="D341" s="8">
        <f>IF((2025=2026),SUM(0),D269)</f>
        <v>36739.06</v>
      </c>
      <c r="E341" s="8">
        <f>IF((2025=2026),SUM(0),E269)</f>
        <v>15944.039999999999</v>
      </c>
      <c r="F341" s="8">
        <f>IF((2026=2026),SUM(F269),F269)</f>
        <v>5395.32</v>
      </c>
      <c r="G341" s="8">
        <f>IF((2026=2026),SUM(F269:G269),G269)</f>
        <v>9619.605</v>
      </c>
      <c r="H341" s="8">
        <f>IF((2026=2026),SUM(F269:H269),H269)</f>
        <v>15815.970000000001</v>
      </c>
      <c r="I341" s="8">
        <f>IF((2026=2026),SUM(F269:I269),I269)</f>
        <v>15815.970000000001</v>
      </c>
    </row>
    <row r="342">
      <c r="A342" s="0" t="inlineStr">
        <is>
          <t xml:space="preserve">YTD variable pay</t>
        </is>
      </c>
      <c r="B342" s="0" t="inlineStr">
        <is>
          <t xml:space="preserve">Fatima Silva</t>
        </is>
      </c>
      <c r="C342" s="8">
        <f>IF((2025=2026),SUM(0),C270)</f>
        <v>18218.520000000004</v>
      </c>
      <c r="D342" s="8">
        <f>IF((2025=2026),SUM(0),D270)</f>
        <v>18525.700000000004</v>
      </c>
      <c r="E342" s="8">
        <f>IF((2025=2026),SUM(0),E270)</f>
        <v>21683.550000000003</v>
      </c>
      <c r="F342" s="8">
        <f>IF((2026=2026),SUM(F270),F270)</f>
        <v>9331.300000000001</v>
      </c>
      <c r="G342" s="8">
        <f>IF((2026=2026),SUM(F270:G270),G270)</f>
        <v>27900.08</v>
      </c>
      <c r="H342" s="8">
        <f>IF((2026=2026),SUM(F270:H270),H270)</f>
        <v>53129.22</v>
      </c>
      <c r="I342" s="8">
        <f>IF((2026=2026),SUM(F270:I270),I270)</f>
        <v>53129.22</v>
      </c>
    </row>
    <row r="343">
      <c r="A343" s="0" t="inlineStr">
        <is>
          <t xml:space="preserve">YTD variable pay</t>
        </is>
      </c>
      <c r="B343" s="0" t="inlineStr">
        <is>
          <t xml:space="preserve">Ana Ortiz</t>
        </is>
      </c>
      <c r="C343" s="8">
        <f>IF((2025=2026),SUM(0),C271)</f>
        <v>3324.5000000000005</v>
      </c>
      <c r="D343" s="8">
        <f>IF((2025=2026),SUM(0),D271)</f>
        <v>25373.600000000006</v>
      </c>
      <c r="E343" s="8">
        <f>IF((2025=2026),SUM(0),E271)</f>
        <v>4973.250000000001</v>
      </c>
      <c r="F343" s="8">
        <f>IF((2026=2026),SUM(F271),F271)</f>
        <v>8518.400000000001</v>
      </c>
      <c r="G343" s="8">
        <f>IF((2026=2026),SUM(F271:G271),G271)</f>
        <v>26712.900000000005</v>
      </c>
      <c r="H343" s="8">
        <f>IF((2026=2026),SUM(F271:H271),H271)</f>
        <v>41181.06000000001</v>
      </c>
      <c r="I343" s="8">
        <f>IF((2026=2026),SUM(F271:I271),I271)</f>
        <v>41181.06000000001</v>
      </c>
    </row>
    <row r="344">
      <c r="A344" s="0" t="inlineStr">
        <is>
          <t xml:space="preserve">YTD variable pay</t>
        </is>
      </c>
      <c r="B344" s="0" t="inlineStr">
        <is>
          <t xml:space="preserve">Tobias Silva</t>
        </is>
      </c>
      <c r="C344" s="8">
        <f>IF((2025=2026),SUM(0),C272)</f>
        <v>0</v>
      </c>
      <c r="D344" s="8">
        <f>IF((2025=2026),SUM(0),D272)</f>
        <v>14680.000000000002</v>
      </c>
      <c r="E344" s="8">
        <f>IF((2025=2026),SUM(0),E272)</f>
        <v>0</v>
      </c>
      <c r="F344" s="8">
        <f>IF((2026=2026),SUM(F272),F272)</f>
        <v>112500</v>
      </c>
      <c r="G344" s="8">
        <f>IF((2026=2026),SUM(F272:G272),G272)</f>
        <v>117800</v>
      </c>
      <c r="H344" s="8">
        <f>IF((2026=2026),SUM(F272:H272),H272)</f>
        <v>185375.5</v>
      </c>
      <c r="I344" s="8">
        <f>IF((2026=2026),SUM(F272:I272),I272)</f>
        <v>185375.5</v>
      </c>
    </row>
    <row r="345">
      <c r="A345" s="0" t="inlineStr">
        <is>
          <t xml:space="preserve">YTD variable pay</t>
        </is>
      </c>
      <c r="B345" s="0" t="inlineStr">
        <is>
          <t xml:space="preserve">Leila Osei</t>
        </is>
      </c>
      <c r="C345" s="8">
        <f>IF((2025=2026),SUM(0),C273)</f>
        <v>0</v>
      </c>
      <c r="D345" s="8">
        <f>IF((2025=2026),SUM(0),D273)</f>
        <v>0</v>
      </c>
      <c r="E345" s="8">
        <f>IF((2025=2026),SUM(0),E273)</f>
        <v>0</v>
      </c>
      <c r="F345" s="8">
        <f>IF((2026=2026),SUM(F273),F273)</f>
        <v>3372.5000000000005</v>
      </c>
      <c r="G345" s="8">
        <f>IF((2026=2026),SUM(F273:G273),G273)</f>
        <v>43590</v>
      </c>
      <c r="H345" s="8">
        <f>IF((2026=2026),SUM(F273:H273),H273)</f>
        <v>156090</v>
      </c>
      <c r="I345" s="8">
        <f>IF((2026=2026),SUM(F273:I273),I273)</f>
        <v>156090</v>
      </c>
    </row>
    <row r="346">
      <c r="A346" s="0" t="inlineStr">
        <is>
          <t xml:space="preserve">YTD variable pay</t>
        </is>
      </c>
      <c r="B346" s="0" t="inlineStr">
        <is>
          <t xml:space="preserve">Grace Costa</t>
        </is>
      </c>
      <c r="C346" s="8">
        <f>IF((2025=2026),SUM(0),C274)</f>
        <v>8002.215</v>
      </c>
      <c r="D346" s="8">
        <f>IF((2025=2026),SUM(0),D274)</f>
        <v>13983.999999999998</v>
      </c>
      <c r="E346" s="8">
        <f>IF((2025=2026),SUM(0),E274)</f>
        <v>65055.17999999999</v>
      </c>
      <c r="F346" s="8">
        <f>IF((2026=2026),SUM(F274),F274)</f>
        <v>55784.81999999999</v>
      </c>
      <c r="G346" s="8">
        <f>IF((2026=2026),SUM(F274:G274),G274)</f>
        <v>138284.82</v>
      </c>
      <c r="H346" s="8">
        <f>IF((2026=2026),SUM(F274:H274),H274)</f>
        <v>220784.82</v>
      </c>
      <c r="I346" s="8">
        <f>IF((2026=2026),SUM(F274:I274),I274)</f>
        <v>220784.82</v>
      </c>
    </row>
    <row r="347">
      <c r="A347" s="0" t="inlineStr">
        <is>
          <t xml:space="preserve">YTD variable pay</t>
        </is>
      </c>
      <c r="B347" s="0" t="inlineStr">
        <is>
          <t xml:space="preserve">Ingrid Müller</t>
        </is>
      </c>
      <c r="C347" s="8">
        <f>IF((2025=2026),SUM(0),C275)</f>
        <v>0</v>
      </c>
      <c r="D347" s="8">
        <f>IF((2025=2026),SUM(0),D275)</f>
        <v>0</v>
      </c>
      <c r="E347" s="8">
        <f>IF((2025=2026),SUM(0),E275)</f>
        <v>0</v>
      </c>
      <c r="F347" s="8">
        <f>IF((2026=2026),SUM(F275),F275)</f>
        <v>0</v>
      </c>
      <c r="G347" s="8">
        <f>IF((2026=2026),SUM(F275:G275),G275)</f>
        <v>41041.39</v>
      </c>
      <c r="H347" s="8">
        <f>IF((2026=2026),SUM(F275:H275),H275)</f>
        <v>104634.53</v>
      </c>
      <c r="I347" s="8">
        <f>IF((2026=2026),SUM(F275:I275),I275)</f>
        <v>104634.53</v>
      </c>
    </row>
    <row r="348">
      <c r="A348" s="0" t="inlineStr">
        <is>
          <t xml:space="preserve">YTD variable pay</t>
        </is>
      </c>
      <c r="B348" s="0" t="inlineStr">
        <is>
          <t xml:space="preserve">Ingrid Kim</t>
        </is>
      </c>
      <c r="C348" s="8">
        <f>IF((2025=2026),SUM(0),C276)</f>
        <v>12796.980000000001</v>
      </c>
      <c r="D348" s="8">
        <f>IF((2025=2026),SUM(0),D276)</f>
        <v>13914.780000000002</v>
      </c>
      <c r="E348" s="8">
        <f>IF((2025=2026),SUM(0),E276)</f>
        <v>22913.86</v>
      </c>
      <c r="F348" s="8">
        <f>IF((2026=2026),SUM(F276),F276)</f>
        <v>17651</v>
      </c>
      <c r="G348" s="8">
        <f>IF((2026=2026),SUM(F276:G276),G276)</f>
        <v>21697.275</v>
      </c>
      <c r="H348" s="8">
        <f>IF((2026=2026),SUM(F276:H276),H276)</f>
        <v>42220.055</v>
      </c>
      <c r="I348" s="8">
        <f>IF((2026=2026),SUM(F276:I276),I276)</f>
        <v>42220.055</v>
      </c>
    </row>
    <row r="349">
      <c r="A349" s="0" t="inlineStr">
        <is>
          <t xml:space="preserve">YTD variable pay</t>
        </is>
      </c>
      <c r="B349" s="0" t="inlineStr">
        <is>
          <t xml:space="preserve">Priya Nair</t>
        </is>
      </c>
      <c r="C349" s="8">
        <f>IF((2025=2026),SUM(0),C277)</f>
        <v>10792.480000000001</v>
      </c>
      <c r="D349" s="8">
        <f>IF((2025=2026),SUM(0),D277)</f>
        <v>16889.100000000002</v>
      </c>
      <c r="E349" s="8">
        <f>IF((2025=2026),SUM(0),E277)</f>
        <v>18950.780000000002</v>
      </c>
      <c r="F349" s="8">
        <f>IF((2026=2026),SUM(F277),F277)</f>
        <v>12073.760000000002</v>
      </c>
      <c r="G349" s="8">
        <f>IF((2026=2026),SUM(F277:G277),G277)</f>
        <v>29147.640000000007</v>
      </c>
      <c r="H349" s="8">
        <f>IF((2026=2026),SUM(F277:H277),H277)</f>
        <v>36717.26000000001</v>
      </c>
      <c r="I349" s="8">
        <f>IF((2026=2026),SUM(F277:I277),I277)</f>
        <v>36717.26000000001</v>
      </c>
    </row>
    <row r="350">
      <c r="A350" s="0" t="inlineStr">
        <is>
          <t xml:space="preserve">YTD variable pay</t>
        </is>
      </c>
      <c r="B350" s="0" t="inlineStr">
        <is>
          <t xml:space="preserve">Hugo Lindqvist</t>
        </is>
      </c>
      <c r="C350" s="8">
        <f>IF((2025=2026),SUM(0),C278)</f>
        <v>26301.405</v>
      </c>
      <c r="D350" s="8">
        <f>IF((2025=2026),SUM(0),D278)</f>
        <v>112500</v>
      </c>
      <c r="E350" s="8">
        <f>IF((2025=2026),SUM(0),E278)</f>
        <v>31544.285000000003</v>
      </c>
      <c r="F350" s="8">
        <f>IF((2026=2026),SUM(F278),F278)</f>
        <v>91396.94</v>
      </c>
      <c r="G350" s="8">
        <f>IF((2026=2026),SUM(F278:G278),G278)</f>
        <v>154015.09</v>
      </c>
      <c r="H350" s="8">
        <f>IF((2026=2026),SUM(F278:H278),H278)</f>
        <v>210486.605</v>
      </c>
      <c r="I350" s="8">
        <f>IF((2026=2026),SUM(F278:I278),I278)</f>
        <v>210486.605</v>
      </c>
    </row>
    <row r="351">
      <c r="A351" s="0" t="inlineStr">
        <is>
          <t xml:space="preserve">YTD variable pay</t>
        </is>
      </c>
      <c r="B351" s="0" t="inlineStr">
        <is>
          <t xml:space="preserve">Wei Novak</t>
        </is>
      </c>
      <c r="C351" s="8">
        <f>IF((2025=2026),SUM(0),C279)</f>
        <v>0</v>
      </c>
      <c r="D351" s="8">
        <f>IF((2025=2026),SUM(0),D279)</f>
        <v>0</v>
      </c>
      <c r="E351" s="8">
        <f>IF((2025=2026),SUM(0),E279)</f>
        <v>0</v>
      </c>
      <c r="F351" s="8">
        <f>IF((2026=2026),SUM(F279),F279)</f>
        <v>2355.8100000000004</v>
      </c>
      <c r="G351" s="8">
        <f>IF((2026=2026),SUM(F279:G279),G279)</f>
        <v>7355.310000000001</v>
      </c>
      <c r="H351" s="8">
        <f>IF((2026=2026),SUM(F279:H279),H279)</f>
        <v>18489.702500000003</v>
      </c>
      <c r="I351" s="8">
        <f>IF((2026=2026),SUM(F279:I279),I279)</f>
        <v>18489.702500000003</v>
      </c>
    </row>
    <row r="352">
      <c r="A352" s="0" t="inlineStr">
        <is>
          <t xml:space="preserve">YTD variable pay</t>
        </is>
      </c>
      <c r="B352" s="0" t="inlineStr">
        <is>
          <t xml:space="preserve">Nikolai Kim</t>
        </is>
      </c>
      <c r="C352" s="8">
        <f>IF((2025=2026),SUM(0),C280)</f>
        <v>45183.79</v>
      </c>
      <c r="D352" s="8">
        <f>IF((2025=2026),SUM(0),D280)</f>
        <v>69877.9</v>
      </c>
      <c r="E352" s="8">
        <f>IF((2025=2026),SUM(0),E280)</f>
        <v>59298.520000000004</v>
      </c>
      <c r="F352" s="8">
        <f>IF((2026=2026),SUM(F280),F280)</f>
        <v>21460.125</v>
      </c>
      <c r="G352" s="8">
        <f>IF((2026=2026),SUM(F280:G280),G280)</f>
        <v>57237.78</v>
      </c>
      <c r="H352" s="8">
        <f>IF((2026=2026),SUM(F280:H280),H280)</f>
        <v>76986.235</v>
      </c>
      <c r="I352" s="8">
        <f>IF((2026=2026),SUM(F280:I280),I280)</f>
        <v>76986.235</v>
      </c>
    </row>
    <row r="353">
      <c r="A353" s="0" t="inlineStr">
        <is>
          <t xml:space="preserve">YTD variable pay</t>
        </is>
      </c>
      <c r="B353" s="0" t="inlineStr">
        <is>
          <t xml:space="preserve">Wei Nair</t>
        </is>
      </c>
      <c r="C353" s="8">
        <f>IF((2025=2026),SUM(0),C281)</f>
        <v>16970.195</v>
      </c>
      <c r="D353" s="8">
        <f>IF((2025=2026),SUM(0),D281)</f>
        <v>14171.565</v>
      </c>
      <c r="E353" s="8">
        <f>IF((2025=2026),SUM(0),E281)</f>
        <v>25959.535</v>
      </c>
      <c r="F353" s="8">
        <f>IF((2026=2026),SUM(F281),F281)</f>
        <v>21342.445</v>
      </c>
      <c r="G353" s="8">
        <f>IF((2026=2026),SUM(F281:G281),G281)</f>
        <v>29290.7575</v>
      </c>
      <c r="H353" s="8">
        <f>IF((2026=2026),SUM(F281:H281),H281)</f>
        <v>43741.8525</v>
      </c>
      <c r="I353" s="8">
        <f>IF((2026=2026),SUM(F281:I281),I281)</f>
        <v>43741.8525</v>
      </c>
    </row>
    <row r="354">
      <c r="A354" s="0" t="inlineStr">
        <is>
          <t xml:space="preserve">YTD variable pay</t>
        </is>
      </c>
      <c r="B354" s="0" t="inlineStr">
        <is>
          <t xml:space="preserve">Liam Silva</t>
        </is>
      </c>
      <c r="C354" s="8">
        <f>IF((2025=2026),SUM(0),C282)</f>
        <v>525.0000000000001</v>
      </c>
      <c r="D354" s="8">
        <f>IF((2025=2026),SUM(0),D282)</f>
        <v>17016.5</v>
      </c>
      <c r="E354" s="8">
        <f>IF((2025=2026),SUM(0),E282)</f>
        <v>23061.000000000004</v>
      </c>
      <c r="F354" s="8">
        <f>IF((2026=2026),SUM(F282),F282)</f>
        <v>26516.000000000004</v>
      </c>
      <c r="G354" s="8">
        <f>IF((2026=2026),SUM(F282:G282),G282)</f>
        <v>33728.00000000001</v>
      </c>
      <c r="H354" s="8">
        <f>IF((2026=2026),SUM(F282:H282),H282)</f>
        <v>55470.50000000001</v>
      </c>
      <c r="I354" s="8">
        <f>IF((2026=2026),SUM(F282:I282),I282)</f>
        <v>55470.50000000001</v>
      </c>
    </row>
    <row r="355">
      <c r="A355" s="0" t="inlineStr">
        <is>
          <t xml:space="preserve">YTD variable pay</t>
        </is>
      </c>
      <c r="B355" s="0" t="inlineStr">
        <is>
          <t xml:space="preserve">Samuel Silva</t>
        </is>
      </c>
      <c r="C355" s="8">
        <f>IF((2025=2026),SUM(0),C283)</f>
        <v>5340.000000000001</v>
      </c>
      <c r="D355" s="8">
        <f>IF((2025=2026),SUM(0),D283)</f>
        <v>39621.49999999999</v>
      </c>
      <c r="E355" s="8">
        <f>IF((2025=2026),SUM(0),E283)</f>
        <v>18296</v>
      </c>
      <c r="F355" s="8">
        <f>IF((2026=2026),SUM(F283),F283)</f>
        <v>48717.5</v>
      </c>
      <c r="G355" s="8">
        <f>IF((2026=2026),SUM(F283:G283),G283)</f>
        <v>68135.5</v>
      </c>
      <c r="H355" s="8">
        <f>IF((2026=2026),SUM(F283:H283),H283)</f>
        <v>84785</v>
      </c>
      <c r="I355" s="8">
        <f>IF((2026=2026),SUM(F283:I283),I283)</f>
        <v>84785</v>
      </c>
    </row>
    <row r="356">
      <c r="A356" s="0" t="inlineStr">
        <is>
          <t xml:space="preserve">YTD variable pay</t>
        </is>
      </c>
      <c r="B356" s="0" t="inlineStr">
        <is>
          <t xml:space="preserve">Yuki Larsen</t>
        </is>
      </c>
      <c r="C356" s="8">
        <f>IF((2025=2026),SUM(0),C284)</f>
        <v>0</v>
      </c>
      <c r="D356" s="8">
        <f>IF((2025=2026),SUM(0),D284)</f>
        <v>20075.675</v>
      </c>
      <c r="E356" s="8">
        <f>IF((2025=2026),SUM(0),E284)</f>
        <v>0</v>
      </c>
      <c r="F356" s="8">
        <f>IF((2026=2026),SUM(F284),F284)</f>
        <v>0</v>
      </c>
      <c r="G356" s="8">
        <f>IF((2026=2026),SUM(F284:G284),G284)</f>
        <v>25068.385000000002</v>
      </c>
      <c r="H356" s="8">
        <f>IF((2026=2026),SUM(F284:H284),H284)</f>
        <v>48849.450000000004</v>
      </c>
      <c r="I356" s="8">
        <f>IF((2026=2026),SUM(F284:I284),I284)</f>
        <v>48849.450000000004</v>
      </c>
    </row>
    <row r="357">
      <c r="A357" s="0" t="inlineStr">
        <is>
          <t xml:space="preserve">YTD variable pay</t>
        </is>
      </c>
      <c r="B357" s="0" t="inlineStr">
        <is>
          <t xml:space="preserve">Nikolai Sato</t>
        </is>
      </c>
      <c r="C357" s="8">
        <f>IF((2025=2026),SUM(0),C285)</f>
        <v>13177.8475</v>
      </c>
      <c r="D357" s="8">
        <f>IF((2025=2026),SUM(0),D285)</f>
        <v>42601.47</v>
      </c>
      <c r="E357" s="8">
        <f>IF((2025=2026),SUM(0),E285)</f>
        <v>7534.3525</v>
      </c>
      <c r="F357" s="8">
        <f>IF((2026=2026),SUM(F285),F285)</f>
        <v>10522.314999999999</v>
      </c>
      <c r="G357" s="8">
        <f>IF((2026=2026),SUM(F285:G285),G285)</f>
        <v>10522.314999999999</v>
      </c>
      <c r="H357" s="8">
        <f>IF((2026=2026),SUM(F285:H285),H285)</f>
        <v>24189.21</v>
      </c>
      <c r="I357" s="8">
        <f>IF((2026=2026),SUM(F285:I285),I285)</f>
        <v>24189.21</v>
      </c>
    </row>
    <row r="358">
      <c r="A358" s="0" t="inlineStr">
        <is>
          <t xml:space="preserve">YTD variable pay</t>
        </is>
      </c>
      <c r="B358" s="0" t="inlineStr">
        <is>
          <t xml:space="preserve">Elena Silva</t>
        </is>
      </c>
      <c r="C358" s="8">
        <f>IF((2025=2026),SUM(0),C286)</f>
        <v>19160.76</v>
      </c>
      <c r="D358" s="8">
        <f>IF((2025=2026),SUM(0),D286)</f>
        <v>82500</v>
      </c>
      <c r="E358" s="8">
        <f>IF((2025=2026),SUM(0),E286)</f>
        <v>55082.71</v>
      </c>
      <c r="F358" s="8">
        <f>IF((2026=2026),SUM(F286),F286)</f>
        <v>23240.384999999995</v>
      </c>
      <c r="G358" s="8">
        <f>IF((2026=2026),SUM(F286:G286),G286)</f>
        <v>59251.814999999995</v>
      </c>
      <c r="H358" s="8">
        <f>IF((2026=2026),SUM(F286:H286),H286)</f>
        <v>109424.125</v>
      </c>
      <c r="I358" s="8">
        <f>IF((2026=2026),SUM(F286:I286),I286)</f>
        <v>109424.125</v>
      </c>
    </row>
    <row r="359">
      <c r="A359" s="0" t="inlineStr">
        <is>
          <t xml:space="preserve">YTD variable pay</t>
        </is>
      </c>
      <c r="B359" s="0" t="inlineStr">
        <is>
          <t xml:space="preserve">Arjun Müller</t>
        </is>
      </c>
      <c r="C359" s="8">
        <f>IF((2025=2026),SUM(0),C287)</f>
        <v>3436.8749999999995</v>
      </c>
      <c r="D359" s="8">
        <f>IF((2025=2026),SUM(0),D287)</f>
        <v>11846.204999999998</v>
      </c>
      <c r="E359" s="8">
        <f>IF((2025=2026),SUM(0),E287)</f>
        <v>34926.83499999999</v>
      </c>
      <c r="F359" s="8">
        <f>IF((2026=2026),SUM(F287),F287)</f>
        <v>0</v>
      </c>
      <c r="G359" s="8">
        <f>IF((2026=2026),SUM(F287:G287),G287)</f>
        <v>38388.49</v>
      </c>
      <c r="H359" s="8">
        <f>IF((2026=2026),SUM(F287:H287),H287)</f>
        <v>68366.50499999999</v>
      </c>
      <c r="I359" s="8">
        <f>IF((2026=2026),SUM(F287:I287),I287)</f>
        <v>68366.50499999999</v>
      </c>
    </row>
    <row r="360">
      <c r="A360" s="0" t="inlineStr">
        <is>
          <t xml:space="preserve">YTD variable pay</t>
        </is>
      </c>
      <c r="B360" s="0" t="inlineStr">
        <is>
          <t xml:space="preserve">Nikolai Park</t>
        </is>
      </c>
      <c r="C360" s="4">
        <f>IF((2025=2026),SUM(0),C288)</f>
        <v>0</v>
      </c>
      <c r="D360" s="4">
        <f>IF((2025=2026),SUM(0),D288)</f>
        <v>0</v>
      </c>
      <c r="E360" s="4">
        <f>IF((2025=2026),SUM(0),E288)</f>
        <v>0</v>
      </c>
      <c r="F360" s="4">
        <f>IF((2026=2026),SUM(F288),F288)</f>
        <v>0</v>
      </c>
      <c r="G360" s="4">
        <f>IF((2026=2026),SUM(F288:G288),G288)</f>
        <v>2290</v>
      </c>
      <c r="H360" s="4">
        <f>IF((2026=2026),SUM(F288:H288),H288)</f>
        <v>10407</v>
      </c>
      <c r="I360" s="4">
        <f>IF((2026=2026),SUM(F288:I288),I288)</f>
        <v>10407</v>
      </c>
    </row>
    <row r="361">
      <c r="A361" s="0" t="inlineStr">
        <is>
          <t xml:space="preserve">YTD variable pay</t>
        </is>
      </c>
      <c r="B361" s="0" t="inlineStr">
        <is>
          <t xml:space="preserve">Ingrid Dubois</t>
        </is>
      </c>
      <c r="C361" s="8">
        <f>IF((2025=2026),SUM(0),C289)</f>
        <v>0</v>
      </c>
      <c r="D361" s="8">
        <f>IF((2025=2026),SUM(0),D289)</f>
        <v>39815</v>
      </c>
      <c r="E361" s="8">
        <f>IF((2025=2026),SUM(0),E289)</f>
        <v>19969</v>
      </c>
      <c r="F361" s="8">
        <f>IF((2026=2026),SUM(F289),F289)</f>
        <v>6152.25</v>
      </c>
      <c r="G361" s="8">
        <f>IF((2026=2026),SUM(F289:G289),G289)</f>
        <v>42968.75</v>
      </c>
      <c r="H361" s="8">
        <f>IF((2026=2026),SUM(F289:H289),H289)</f>
        <v>80489.25</v>
      </c>
      <c r="I361" s="8">
        <f>IF((2026=2026),SUM(F289:I289),I289)</f>
        <v>80489.25</v>
      </c>
    </row>
    <row r="362">
      <c r="A362" s="0" t="inlineStr">
        <is>
          <t xml:space="preserve">YTD attainment</t>
        </is>
      </c>
      <c r="B362" s="0" t="inlineStr">
        <is>
          <t xml:space="preserve">Noor Ortiz</t>
        </is>
      </c>
      <c r="C362" s="12">
        <f>'Rep quarterly'!C482</f>
        <v>0</v>
      </c>
      <c r="D362" s="12">
        <f>'Rep quarterly'!D482</f>
        <v>0</v>
      </c>
      <c r="E362" s="12">
        <f>'Rep quarterly'!E482</f>
        <v>0.5365333333333333</v>
      </c>
      <c r="F362" s="12">
        <f>'Rep quarterly'!F482</f>
        <v>1.3490666666666666</v>
      </c>
      <c r="G362" s="12">
        <f>'Rep quarterly'!G482</f>
        <v>1.2568</v>
      </c>
      <c r="H362" s="12">
        <f>'Rep quarterly'!H482</f>
        <v>0.9610666666666666</v>
      </c>
      <c r="I362" s="12">
        <f>'Rep quarterly'!I482</f>
        <v>0.7208</v>
      </c>
    </row>
    <row r="363">
      <c r="A363" s="0" t="inlineStr">
        <is>
          <t xml:space="preserve">YTD attainment</t>
        </is>
      </c>
      <c r="B363" s="0" t="inlineStr">
        <is>
          <t xml:space="preserve">Priya Yilmaz</t>
        </is>
      </c>
      <c r="C363" s="12">
        <f>'Rep quarterly'!C483</f>
        <v>0</v>
      </c>
      <c r="D363" s="12">
        <f>'Rep quarterly'!D483</f>
        <v>0</v>
      </c>
      <c r="E363" s="12">
        <f>'Rep quarterly'!E483</f>
        <v>0</v>
      </c>
      <c r="F363" s="12">
        <f>'Rep quarterly'!F483</f>
        <v>0</v>
      </c>
      <c r="G363" s="12">
        <f>'Rep quarterly'!G483</f>
        <v>0</v>
      </c>
      <c r="H363" s="12">
        <f>'Rep quarterly'!H483</f>
        <v>0</v>
      </c>
      <c r="I363" s="12">
        <f>'Rep quarterly'!I483</f>
        <v>0</v>
      </c>
    </row>
    <row r="364">
      <c r="A364" s="0" t="inlineStr">
        <is>
          <t xml:space="preserve">YTD attainment</t>
        </is>
      </c>
      <c r="B364" s="0" t="inlineStr">
        <is>
          <t xml:space="preserve">Marcus Schmidt</t>
        </is>
      </c>
      <c r="C364" s="12">
        <f>'Rep quarterly'!C484</f>
        <v>0</v>
      </c>
      <c r="D364" s="12">
        <f>'Rep quarterly'!D484</f>
        <v>1.6566037735849057</v>
      </c>
      <c r="E364" s="12">
        <f>'Rep quarterly'!E484</f>
        <v>1.7981132075471697</v>
      </c>
      <c r="F364" s="12">
        <f>'Rep quarterly'!F484</f>
        <v>2.5138364779874216</v>
      </c>
      <c r="G364" s="12">
        <f>'Rep quarterly'!G484</f>
        <v>1.5460916442048518</v>
      </c>
      <c r="H364" s="12">
        <f>'Rep quarterly'!H484</f>
        <v>1.2065180102915951</v>
      </c>
      <c r="I364" s="12">
        <f>'Rep quarterly'!I484</f>
        <v>0.8847798742138365</v>
      </c>
    </row>
    <row r="365">
      <c r="A365" s="0" t="inlineStr">
        <is>
          <t xml:space="preserve">YTD attainment</t>
        </is>
      </c>
      <c r="B365" s="0" t="inlineStr">
        <is>
          <t xml:space="preserve">Amara Haddad</t>
        </is>
      </c>
      <c r="C365" s="12">
        <f>'Rep quarterly'!C485</f>
        <v>0.980188679245283</v>
      </c>
      <c r="D365" s="12">
        <f>'Rep quarterly'!D485</f>
        <v>1.2339622641509433</v>
      </c>
      <c r="E365" s="12">
        <f>'Rep quarterly'!E485</f>
        <v>0.6514150943396226</v>
      </c>
      <c r="F365" s="12">
        <f>'Rep quarterly'!F485</f>
        <v>0.23773584905660378</v>
      </c>
      <c r="G365" s="12">
        <f>'Rep quarterly'!G485</f>
        <v>0.20778301886792452</v>
      </c>
      <c r="H365" s="12">
        <f>'Rep quarterly'!H485</f>
        <v>0.22547169811320755</v>
      </c>
      <c r="I365" s="12">
        <f>'Rep quarterly'!I485</f>
        <v>0.16910377358490566</v>
      </c>
    </row>
    <row r="366">
      <c r="A366" s="0" t="inlineStr">
        <is>
          <t xml:space="preserve">YTD attainment</t>
        </is>
      </c>
      <c r="B366" s="0" t="inlineStr">
        <is>
          <t xml:space="preserve">Fatima Silva</t>
        </is>
      </c>
      <c r="C366" s="12">
        <f>'Rep quarterly'!C486</f>
        <v>0.9589285714285715</v>
      </c>
      <c r="D366" s="12">
        <f>'Rep quarterly'!D486</f>
        <v>0.9866071428571429</v>
      </c>
      <c r="E366" s="12">
        <f>'Rep quarterly'!E486</f>
        <v>1.0848214285714286</v>
      </c>
      <c r="F366" s="12">
        <f>'Rep quarterly'!F486</f>
        <v>0.5580357142857143</v>
      </c>
      <c r="G366" s="12">
        <f>'Rep quarterly'!G486</f>
        <v>0.7772321428571428</v>
      </c>
      <c r="H366" s="12">
        <f>'Rep quarterly'!H486</f>
        <v>0.8580357142857142</v>
      </c>
      <c r="I366" s="12">
        <f>'Rep quarterly'!I486</f>
        <v>0.6435267857142857</v>
      </c>
    </row>
    <row r="367">
      <c r="A367" s="0" t="inlineStr">
        <is>
          <t xml:space="preserve">YTD attainment</t>
        </is>
      </c>
      <c r="B367" s="0" t="inlineStr">
        <is>
          <t xml:space="preserve">Ana Ortiz</t>
        </is>
      </c>
      <c r="C367" s="12">
        <f>'Rep quarterly'!C487</f>
        <v>0.75</v>
      </c>
      <c r="D367" s="12">
        <f>'Rep quarterly'!D487</f>
        <v>1.7321428571428572</v>
      </c>
      <c r="E367" s="12">
        <f>'Rep quarterly'!E487</f>
        <v>0.4166666666666667</v>
      </c>
      <c r="F367" s="12">
        <f>'Rep quarterly'!F487</f>
        <v>0.5089285714285714</v>
      </c>
      <c r="G367" s="12">
        <f>'Rep quarterly'!G487</f>
        <v>0.7410714285714286</v>
      </c>
      <c r="H367" s="12">
        <f>'Rep quarterly'!H487</f>
        <v>0.6985119047619047</v>
      </c>
      <c r="I367" s="12">
        <f>'Rep quarterly'!I487</f>
        <v>0.5238839285714286</v>
      </c>
    </row>
    <row r="368">
      <c r="A368" s="0" t="inlineStr">
        <is>
          <t xml:space="preserve">YTD attainment</t>
        </is>
      </c>
      <c r="B368" s="0" t="inlineStr">
        <is>
          <t xml:space="preserve">Tobias Silva</t>
        </is>
      </c>
      <c r="C368" s="12">
        <f>'Rep quarterly'!C488</f>
        <v>0</v>
      </c>
      <c r="D368" s="12">
        <f>'Rep quarterly'!D488</f>
        <v>0.3914666666666667</v>
      </c>
      <c r="E368" s="12">
        <f>'Rep quarterly'!E488</f>
        <v>0</v>
      </c>
      <c r="F368" s="12">
        <f>'Rep quarterly'!F488</f>
        <v>3.7661333333333333</v>
      </c>
      <c r="G368" s="12">
        <f>'Rep quarterly'!G488</f>
        <v>1.9537333333333333</v>
      </c>
      <c r="H368" s="12">
        <f>'Rep quarterly'!H488</f>
        <v>1.7436444444444446</v>
      </c>
      <c r="I368" s="12">
        <f>'Rep quarterly'!I488</f>
        <v>1.3077333333333334</v>
      </c>
    </row>
    <row r="369">
      <c r="A369" s="0" t="inlineStr">
        <is>
          <t xml:space="preserve">YTD attainment</t>
        </is>
      </c>
      <c r="B369" s="0" t="inlineStr">
        <is>
          <t xml:space="preserve">Leila Osei</t>
        </is>
      </c>
      <c r="C369" s="12">
        <f>'Rep quarterly'!C489</f>
        <v>0</v>
      </c>
      <c r="D369" s="12">
        <f>'Rep quarterly'!D489</f>
        <v>0</v>
      </c>
      <c r="E369" s="12">
        <f>'Rep quarterly'!E489</f>
        <v>0</v>
      </c>
      <c r="F369" s="12">
        <f>'Rep quarterly'!F489</f>
        <v>0.09466666666666666</v>
      </c>
      <c r="G369" s="12">
        <f>'Rep quarterly'!G489</f>
        <v>0.5206666666666667</v>
      </c>
      <c r="H369" s="12">
        <f>'Rep quarterly'!H489</f>
        <v>0.9675555555555555</v>
      </c>
      <c r="I369" s="12">
        <f>'Rep quarterly'!I489</f>
        <v>0.7256666666666667</v>
      </c>
    </row>
    <row r="370">
      <c r="A370" s="0" t="inlineStr">
        <is>
          <t xml:space="preserve">YTD attainment</t>
        </is>
      </c>
      <c r="B370" s="0" t="inlineStr">
        <is>
          <t xml:space="preserve">Grace Costa</t>
        </is>
      </c>
      <c r="C370" s="12">
        <f>'Rep quarterly'!C490</f>
        <v>0.3410377358490566</v>
      </c>
      <c r="D370" s="12">
        <f>'Rep quarterly'!D490</f>
        <v>0.5377358490566038</v>
      </c>
      <c r="E370" s="12">
        <f>'Rep quarterly'!E490</f>
        <v>1.6316037735849056</v>
      </c>
      <c r="F370" s="12">
        <f>'Rep quarterly'!F490</f>
        <v>1.5264150943396226</v>
      </c>
      <c r="G370" s="12">
        <f>'Rep quarterly'!G490</f>
        <v>2.290801886792453</v>
      </c>
      <c r="H370" s="12">
        <f>'Rep quarterly'!H490</f>
        <v>2.1287735849056606</v>
      </c>
      <c r="I370" s="12">
        <f>'Rep quarterly'!I490</f>
        <v>1.5965801886792452</v>
      </c>
    </row>
    <row r="371">
      <c r="A371" s="0" t="inlineStr">
        <is>
          <t xml:space="preserve">YTD attainment</t>
        </is>
      </c>
      <c r="B371" s="0" t="inlineStr">
        <is>
          <t xml:space="preserve">Ingrid Müller</t>
        </is>
      </c>
      <c r="C371" s="12">
        <f>'Rep quarterly'!C491</f>
        <v>0</v>
      </c>
      <c r="D371" s="12">
        <f>'Rep quarterly'!D491</f>
        <v>0</v>
      </c>
      <c r="E371" s="12">
        <f>'Rep quarterly'!E491</f>
        <v>0</v>
      </c>
      <c r="F371" s="12">
        <f>'Rep quarterly'!F491</f>
        <v>0</v>
      </c>
      <c r="G371" s="12">
        <f>'Rep quarterly'!G491</f>
        <v>2.767924528301887</v>
      </c>
      <c r="H371" s="12">
        <f>'Rep quarterly'!H491</f>
        <v>2.4679245283018867</v>
      </c>
      <c r="I371" s="12">
        <f>'Rep quarterly'!I491</f>
        <v>1.2339622641509433</v>
      </c>
    </row>
    <row r="372">
      <c r="A372" s="0" t="inlineStr">
        <is>
          <t xml:space="preserve">YTD attainment</t>
        </is>
      </c>
      <c r="B372" s="0" t="inlineStr">
        <is>
          <t xml:space="preserve">Ingrid Kim</t>
        </is>
      </c>
      <c r="C372" s="12">
        <f>'Rep quarterly'!C492</f>
        <v>0.7196428571428571</v>
      </c>
      <c r="D372" s="12">
        <f>'Rep quarterly'!D492</f>
        <v>0.7732142857142857</v>
      </c>
      <c r="E372" s="12">
        <f>'Rep quarterly'!E492</f>
        <v>1.1232142857142857</v>
      </c>
      <c r="F372" s="12">
        <f>'Rep quarterly'!F492</f>
        <v>0.9508928571428571</v>
      </c>
      <c r="G372" s="12">
        <f>'Rep quarterly'!G492</f>
        <v>0.59375</v>
      </c>
      <c r="H372" s="12">
        <f>'Rep quarterly'!H492</f>
        <v>0.6610119047619047</v>
      </c>
      <c r="I372" s="12">
        <f>'Rep quarterly'!I492</f>
        <v>0.49575892857142856</v>
      </c>
    </row>
    <row r="373">
      <c r="A373" s="0" t="inlineStr">
        <is>
          <t xml:space="preserve">YTD attainment</t>
        </is>
      </c>
      <c r="B373" s="0" t="inlineStr">
        <is>
          <t xml:space="preserve">Priya Nair</t>
        </is>
      </c>
      <c r="C373" s="12">
        <f>'Rep quarterly'!C493</f>
        <v>0.6303571428571428</v>
      </c>
      <c r="D373" s="12">
        <f>'Rep quarterly'!D493</f>
        <v>0.9017857142857143</v>
      </c>
      <c r="E373" s="12">
        <f>'Rep quarterly'!E493</f>
        <v>0.9964285714285714</v>
      </c>
      <c r="F373" s="12">
        <f>'Rep quarterly'!F493</f>
        <v>0.6758928571428572</v>
      </c>
      <c r="G373" s="12">
        <f>'Rep quarterly'!G493</f>
        <v>0.8004464285714286</v>
      </c>
      <c r="H373" s="12">
        <f>'Rep quarterly'!H493</f>
        <v>0.6443452380952381</v>
      </c>
      <c r="I373" s="12">
        <f>'Rep quarterly'!I493</f>
        <v>0.48325892857142855</v>
      </c>
    </row>
    <row r="374">
      <c r="A374" s="0" t="inlineStr">
        <is>
          <t xml:space="preserve">YTD attainment</t>
        </is>
      </c>
      <c r="B374" s="0" t="inlineStr">
        <is>
          <t xml:space="preserve">Hugo Lindqvist</t>
        </is>
      </c>
      <c r="C374" s="12">
        <f>'Rep quarterly'!C494</f>
        <v>0.7272189349112426</v>
      </c>
      <c r="D374" s="12">
        <f>'Rep quarterly'!D494</f>
        <v>2.1671597633136095</v>
      </c>
      <c r="E374" s="12">
        <f>'Rep quarterly'!E494</f>
        <v>0.8035502958579882</v>
      </c>
      <c r="F374" s="12">
        <f>'Rep quarterly'!F494</f>
        <v>1.607396449704142</v>
      </c>
      <c r="G374" s="12">
        <f>'Rep quarterly'!G494</f>
        <v>1.4797337278106508</v>
      </c>
      <c r="H374" s="12">
        <f>'Rep quarterly'!H494</f>
        <v>1.3578895463510847</v>
      </c>
      <c r="I374" s="12">
        <f>'Rep quarterly'!I494</f>
        <v>1.0184171597633136</v>
      </c>
    </row>
    <row r="375">
      <c r="A375" s="0" t="inlineStr">
        <is>
          <t xml:space="preserve">YTD attainment</t>
        </is>
      </c>
      <c r="B375" s="0" t="inlineStr">
        <is>
          <t xml:space="preserve">Wei Novak</t>
        </is>
      </c>
      <c r="C375" s="12">
        <f>'Rep quarterly'!C495</f>
        <v>0</v>
      </c>
      <c r="D375" s="12">
        <f>'Rep quarterly'!D495</f>
        <v>0</v>
      </c>
      <c r="E375" s="12">
        <f>'Rep quarterly'!E495</f>
        <v>0</v>
      </c>
      <c r="F375" s="12">
        <f>'Rep quarterly'!F495</f>
        <v>0.2714285714285714</v>
      </c>
      <c r="G375" s="12">
        <f>'Rep quarterly'!G495</f>
        <v>0.32727272727272727</v>
      </c>
      <c r="H375" s="12">
        <f>'Rep quarterly'!H495</f>
        <v>0.34723320158102766</v>
      </c>
      <c r="I375" s="12">
        <f>'Rep quarterly'!I495</f>
        <v>0.20817535545023697</v>
      </c>
    </row>
    <row r="376">
      <c r="A376" s="0" t="inlineStr">
        <is>
          <t xml:space="preserve">YTD attainment</t>
        </is>
      </c>
      <c r="B376" s="0" t="inlineStr">
        <is>
          <t xml:space="preserve">Nikolai Kim</t>
        </is>
      </c>
      <c r="C376" s="12">
        <f>'Rep quarterly'!C496</f>
        <v>1.3768421052631579</v>
      </c>
      <c r="D376" s="12">
        <f>'Rep quarterly'!D496</f>
        <v>1.6657894736842105</v>
      </c>
      <c r="E376" s="12">
        <f>'Rep quarterly'!E496</f>
        <v>1.6036842105263158</v>
      </c>
      <c r="F376" s="12">
        <f>'Rep quarterly'!F496</f>
        <v>0.8552631578947368</v>
      </c>
      <c r="G376" s="12">
        <f>'Rep quarterly'!G496</f>
        <v>1.0371052631578948</v>
      </c>
      <c r="H376" s="12">
        <f>'Rep quarterly'!H496</f>
        <v>0.9307017543859649</v>
      </c>
      <c r="I376" s="12">
        <f>'Rep quarterly'!I496</f>
        <v>0.6980263157894737</v>
      </c>
    </row>
    <row r="377">
      <c r="A377" s="0" t="inlineStr">
        <is>
          <t xml:space="preserve">YTD attainment</t>
        </is>
      </c>
      <c r="B377" s="0" t="inlineStr">
        <is>
          <t xml:space="preserve">Wei Nair</t>
        </is>
      </c>
      <c r="C377" s="12">
        <f>'Rep quarterly'!C497</f>
        <v>0.6873684210526316</v>
      </c>
      <c r="D377" s="12">
        <f>'Rep quarterly'!D497</f>
        <v>0.5931578947368421</v>
      </c>
      <c r="E377" s="12">
        <f>'Rep quarterly'!E497</f>
        <v>0.988421052631579</v>
      </c>
      <c r="F377" s="12">
        <f>'Rep quarterly'!F497</f>
        <v>0.8057894736842105</v>
      </c>
      <c r="G377" s="12">
        <f>'Rep quarterly'!G497</f>
        <v>0.5673684210526316</v>
      </c>
      <c r="H377" s="12">
        <f>'Rep quarterly'!H497</f>
        <v>0.5670175438596491</v>
      </c>
      <c r="I377" s="12">
        <f>'Rep quarterly'!I497</f>
        <v>0.42526315789473684</v>
      </c>
    </row>
    <row r="378">
      <c r="A378" s="0" t="inlineStr">
        <is>
          <t xml:space="preserve">YTD attainment</t>
        </is>
      </c>
      <c r="B378" s="0" t="inlineStr">
        <is>
          <t xml:space="preserve">Liam Silva</t>
        </is>
      </c>
      <c r="C378" s="12">
        <f>'Rep quarterly'!C498</f>
        <v>0.14</v>
      </c>
      <c r="D378" s="12">
        <f>'Rep quarterly'!D498</f>
        <v>1.43</v>
      </c>
      <c r="E378" s="12">
        <f>'Rep quarterly'!E498</f>
        <v>1.356</v>
      </c>
      <c r="F378" s="12">
        <f>'Rep quarterly'!F498</f>
        <v>1.239</v>
      </c>
      <c r="G378" s="12">
        <f>'Rep quarterly'!G498</f>
        <v>0.842</v>
      </c>
      <c r="H378" s="12">
        <f>'Rep quarterly'!H498</f>
        <v>0.9046666666666666</v>
      </c>
      <c r="I378" s="12">
        <f>'Rep quarterly'!I498</f>
        <v>0.6785</v>
      </c>
    </row>
    <row r="379">
      <c r="A379" s="0" t="inlineStr">
        <is>
          <t xml:space="preserve">YTD attainment</t>
        </is>
      </c>
      <c r="B379" s="0" t="inlineStr">
        <is>
          <t xml:space="preserve">Samuel Silva</t>
        </is>
      </c>
      <c r="C379" s="12">
        <f>'Rep quarterly'!C499</f>
        <v>0.339</v>
      </c>
      <c r="D379" s="12">
        <f>'Rep quarterly'!D499</f>
        <v>1.541</v>
      </c>
      <c r="E379" s="12">
        <f>'Rep quarterly'!E499</f>
        <v>0.969</v>
      </c>
      <c r="F379" s="12">
        <f>'Rep quarterly'!F499</f>
        <v>1.694</v>
      </c>
      <c r="G379" s="12">
        <f>'Rep quarterly'!G499</f>
        <v>1.3475</v>
      </c>
      <c r="H379" s="12">
        <f>'Rep quarterly'!H499</f>
        <v>1.136</v>
      </c>
      <c r="I379" s="12">
        <f>'Rep quarterly'!I499</f>
        <v>0.852</v>
      </c>
    </row>
    <row r="380">
      <c r="A380" s="0" t="inlineStr">
        <is>
          <t xml:space="preserve">YTD attainment</t>
        </is>
      </c>
      <c r="B380" s="0" t="inlineStr">
        <is>
          <t xml:space="preserve">Yuki Larsen</t>
        </is>
      </c>
      <c r="C380" s="12">
        <f>'Rep quarterly'!C500</f>
        <v>0</v>
      </c>
      <c r="D380" s="12">
        <f>'Rep quarterly'!D500</f>
        <v>0.566793893129771</v>
      </c>
      <c r="E380" s="12">
        <f>'Rep quarterly'!E500</f>
        <v>0</v>
      </c>
      <c r="F380" s="12">
        <f>'Rep quarterly'!F500</f>
        <v>0</v>
      </c>
      <c r="G380" s="12">
        <f>'Rep quarterly'!G500</f>
        <v>0.35954198473282445</v>
      </c>
      <c r="H380" s="12">
        <f>'Rep quarterly'!H500</f>
        <v>0.4402035623409669</v>
      </c>
      <c r="I380" s="12">
        <f>'Rep quarterly'!I500</f>
        <v>0.3301526717557252</v>
      </c>
    </row>
    <row r="381">
      <c r="A381" s="0" t="inlineStr">
        <is>
          <t xml:space="preserve">YTD attainment</t>
        </is>
      </c>
      <c r="B381" s="0" t="inlineStr">
        <is>
          <t xml:space="preserve">Nikolai Sato</t>
        </is>
      </c>
      <c r="C381" s="12">
        <f>'Rep quarterly'!C501</f>
        <v>0.38053435114503814</v>
      </c>
      <c r="D381" s="12">
        <f>'Rep quarterly'!D501</f>
        <v>1.0637404580152672</v>
      </c>
      <c r="E381" s="12">
        <f>'Rep quarterly'!E501</f>
        <v>0.24541984732824426</v>
      </c>
      <c r="F381" s="12">
        <f>'Rep quarterly'!F501</f>
        <v>0.3427480916030534</v>
      </c>
      <c r="G381" s="12">
        <f>'Rep quarterly'!G501</f>
        <v>0.1713740458015267</v>
      </c>
      <c r="H381" s="12">
        <f>'Rep quarterly'!H501</f>
        <v>0.24580152671755726</v>
      </c>
      <c r="I381" s="12">
        <f>'Rep quarterly'!I501</f>
        <v>0.18435114503816794</v>
      </c>
    </row>
    <row r="382">
      <c r="A382" s="0" t="inlineStr">
        <is>
          <t xml:space="preserve">YTD attainment</t>
        </is>
      </c>
      <c r="B382" s="0" t="inlineStr">
        <is>
          <t xml:space="preserve">Elena Silva</t>
        </is>
      </c>
      <c r="C382" s="12">
        <f>'Rep quarterly'!C502</f>
        <v>0.9928571428571429</v>
      </c>
      <c r="D382" s="12">
        <f>'Rep quarterly'!D502</f>
        <v>1.9073333333333333</v>
      </c>
      <c r="E382" s="12">
        <f>'Rep quarterly'!E502</f>
        <v>1.536</v>
      </c>
      <c r="F382" s="12">
        <f>'Rep quarterly'!F502</f>
        <v>0.9146666666666666</v>
      </c>
      <c r="G382" s="12">
        <f>'Rep quarterly'!G502</f>
        <v>1.0703333333333334</v>
      </c>
      <c r="H382" s="12">
        <f>'Rep quarterly'!H502</f>
        <v>1.1393333333333333</v>
      </c>
      <c r="I382" s="12">
        <f>'Rep quarterly'!I502</f>
        <v>0.8545</v>
      </c>
    </row>
    <row r="383">
      <c r="A383" s="0" t="inlineStr">
        <is>
          <t xml:space="preserve">YTD attainment</t>
        </is>
      </c>
      <c r="B383" s="0" t="inlineStr">
        <is>
          <t xml:space="preserve">Arjun Müller</t>
        </is>
      </c>
      <c r="C383" s="12">
        <f>'Rep quarterly'!C503</f>
        <v>0.16666666666666666</v>
      </c>
      <c r="D383" s="12">
        <f>'Rep quarterly'!D503</f>
        <v>0.5173333333333333</v>
      </c>
      <c r="E383" s="12">
        <f>'Rep quarterly'!E503</f>
        <v>1.172</v>
      </c>
      <c r="F383" s="12">
        <f>'Rep quarterly'!F503</f>
        <v>0</v>
      </c>
      <c r="G383" s="12">
        <f>'Rep quarterly'!G503</f>
        <v>0.6463333333333333</v>
      </c>
      <c r="H383" s="12">
        <f>'Rep quarterly'!H503</f>
        <v>0.7913333333333333</v>
      </c>
      <c r="I383" s="12">
        <f>'Rep quarterly'!I503</f>
        <v>0.5935</v>
      </c>
    </row>
    <row r="384">
      <c r="A384" s="0" t="inlineStr">
        <is>
          <t xml:space="preserve">YTD attainment</t>
        </is>
      </c>
      <c r="B384" s="0" t="inlineStr">
        <is>
          <t xml:space="preserve">Nikolai Park</t>
        </is>
      </c>
      <c r="C384" s="12">
        <f>'Rep quarterly'!C504</f>
        <v>0</v>
      </c>
      <c r="D384" s="12">
        <f>'Rep quarterly'!D504</f>
        <v>0</v>
      </c>
      <c r="E384" s="12">
        <f>'Rep quarterly'!E504</f>
        <v>0</v>
      </c>
      <c r="F384" s="12">
        <f>'Rep quarterly'!F504</f>
        <v>0</v>
      </c>
      <c r="G384" s="12">
        <f>'Rep quarterly'!G504</f>
        <v>0.55</v>
      </c>
      <c r="H384" s="12">
        <f>'Rep quarterly'!H504</f>
        <v>0.6466666666666666</v>
      </c>
      <c r="I384" s="12">
        <f>'Rep quarterly'!I504</f>
        <v>0.3233333333333333</v>
      </c>
    </row>
    <row r="385">
      <c r="A385" s="0" t="inlineStr">
        <is>
          <t xml:space="preserve">YTD attainment</t>
        </is>
      </c>
      <c r="B385" s="0" t="inlineStr">
        <is>
          <t xml:space="preserve">Ingrid Dubois</t>
        </is>
      </c>
      <c r="C385" s="12">
        <f>'Rep quarterly'!C505</f>
        <v>0</v>
      </c>
      <c r="D385" s="12">
        <f>'Rep quarterly'!D505</f>
        <v>1.55375</v>
      </c>
      <c r="E385" s="12">
        <f>'Rep quarterly'!E505</f>
        <v>1.0425</v>
      </c>
      <c r="F385" s="12">
        <f>'Rep quarterly'!F505</f>
        <v>0.38625</v>
      </c>
      <c r="G385" s="12">
        <f>'Rep quarterly'!G505</f>
        <v>0.9475</v>
      </c>
      <c r="H385" s="12">
        <f>'Rep quarterly'!H505</f>
        <v>1.1229166666666666</v>
      </c>
      <c r="I385" s="12">
        <f>'Rep quarterly'!I505</f>
        <v>0.8421875</v>
      </c>
    </row>
    <row r="386">
      <c r="A386" s="0" t="inlineStr">
        <is>
          <t xml:space="preserve">President's Club track (1 = yes)</t>
        </is>
      </c>
      <c r="B386" s="0" t="inlineStr">
        <is>
          <t xml:space="preserve">Noor Ortiz</t>
        </is>
      </c>
      <c r="C386" s="4">
        <f>IF((C362&gt;=1),1,0)</f>
        <v>0</v>
      </c>
      <c r="D386" s="4">
        <f>IF((D362&gt;=1),1,0)</f>
        <v>0</v>
      </c>
      <c r="E386" s="4">
        <f>IF((E362&gt;=1),1,0)</f>
        <v>0</v>
      </c>
      <c r="F386" s="4">
        <f>IF((F362&gt;=1),1,0)</f>
        <v>1</v>
      </c>
      <c r="G386" s="4">
        <f>IF((G362&gt;=1),1,0)</f>
        <v>1</v>
      </c>
      <c r="H386" s="4">
        <f>IF((H362&gt;=1),1,0)</f>
        <v>0</v>
      </c>
      <c r="I386" s="4">
        <f>IF((I362&gt;=1),1,0)</f>
        <v>0</v>
      </c>
    </row>
    <row r="387">
      <c r="A387" s="0" t="inlineStr">
        <is>
          <t xml:space="preserve">President's Club track (1 = yes)</t>
        </is>
      </c>
      <c r="B387" s="0" t="inlineStr">
        <is>
          <t xml:space="preserve">Priya Yilmaz</t>
        </is>
      </c>
      <c r="C387" s="4">
        <f>IF((C363&gt;=1),1,0)</f>
        <v>0</v>
      </c>
      <c r="D387" s="4">
        <f>IF((D363&gt;=1),1,0)</f>
        <v>0</v>
      </c>
      <c r="E387" s="4">
        <f>IF((E363&gt;=1),1,0)</f>
        <v>0</v>
      </c>
      <c r="F387" s="4">
        <f>IF((F363&gt;=1),1,0)</f>
        <v>0</v>
      </c>
      <c r="G387" s="4">
        <f>IF((G363&gt;=1),1,0)</f>
        <v>0</v>
      </c>
      <c r="H387" s="4">
        <f>IF((H363&gt;=1),1,0)</f>
        <v>0</v>
      </c>
      <c r="I387" s="4">
        <f>IF((I363&gt;=1),1,0)</f>
        <v>0</v>
      </c>
    </row>
    <row r="388">
      <c r="A388" s="0" t="inlineStr">
        <is>
          <t xml:space="preserve">President's Club track (1 = yes)</t>
        </is>
      </c>
      <c r="B388" s="0" t="inlineStr">
        <is>
          <t xml:space="preserve">Marcus Schmidt</t>
        </is>
      </c>
      <c r="C388" s="4">
        <f>IF((C364&gt;=1),1,0)</f>
        <v>0</v>
      </c>
      <c r="D388" s="4">
        <f>IF((D364&gt;=1),1,0)</f>
        <v>1</v>
      </c>
      <c r="E388" s="4">
        <f>IF((E364&gt;=1),1,0)</f>
        <v>1</v>
      </c>
      <c r="F388" s="4">
        <f>IF((F364&gt;=1),1,0)</f>
        <v>1</v>
      </c>
      <c r="G388" s="4">
        <f>IF((G364&gt;=1),1,0)</f>
        <v>1</v>
      </c>
      <c r="H388" s="4">
        <f>IF((H364&gt;=1),1,0)</f>
        <v>1</v>
      </c>
      <c r="I388" s="4">
        <f>IF((I364&gt;=1),1,0)</f>
        <v>0</v>
      </c>
    </row>
    <row r="389">
      <c r="A389" s="0" t="inlineStr">
        <is>
          <t xml:space="preserve">President's Club track (1 = yes)</t>
        </is>
      </c>
      <c r="B389" s="0" t="inlineStr">
        <is>
          <t xml:space="preserve">Amara Haddad</t>
        </is>
      </c>
      <c r="C389" s="4">
        <f>IF((C365&gt;=1),1,0)</f>
        <v>0</v>
      </c>
      <c r="D389" s="4">
        <f>IF((D365&gt;=1),1,0)</f>
        <v>1</v>
      </c>
      <c r="E389" s="4">
        <f>IF((E365&gt;=1),1,0)</f>
        <v>0</v>
      </c>
      <c r="F389" s="4">
        <f>IF((F365&gt;=1),1,0)</f>
        <v>0</v>
      </c>
      <c r="G389" s="4">
        <f>IF((G365&gt;=1),1,0)</f>
        <v>0</v>
      </c>
      <c r="H389" s="4">
        <f>IF((H365&gt;=1),1,0)</f>
        <v>0</v>
      </c>
      <c r="I389" s="4">
        <f>IF((I365&gt;=1),1,0)</f>
        <v>0</v>
      </c>
    </row>
    <row r="390">
      <c r="A390" s="0" t="inlineStr">
        <is>
          <t xml:space="preserve">President's Club track (1 = yes)</t>
        </is>
      </c>
      <c r="B390" s="0" t="inlineStr">
        <is>
          <t xml:space="preserve">Fatima Silva</t>
        </is>
      </c>
      <c r="C390" s="4">
        <f>IF((C366&gt;=1),1,0)</f>
        <v>0</v>
      </c>
      <c r="D390" s="4">
        <f>IF((D366&gt;=1),1,0)</f>
        <v>0</v>
      </c>
      <c r="E390" s="4">
        <f>IF((E366&gt;=1),1,0)</f>
        <v>1</v>
      </c>
      <c r="F390" s="4">
        <f>IF((F366&gt;=1),1,0)</f>
        <v>0</v>
      </c>
      <c r="G390" s="4">
        <f>IF((G366&gt;=1),1,0)</f>
        <v>0</v>
      </c>
      <c r="H390" s="4">
        <f>IF((H366&gt;=1),1,0)</f>
        <v>0</v>
      </c>
      <c r="I390" s="4">
        <f>IF((I366&gt;=1),1,0)</f>
        <v>0</v>
      </c>
    </row>
    <row r="391">
      <c r="A391" s="0" t="inlineStr">
        <is>
          <t xml:space="preserve">President's Club track (1 = yes)</t>
        </is>
      </c>
      <c r="B391" s="0" t="inlineStr">
        <is>
          <t xml:space="preserve">Ana Ortiz</t>
        </is>
      </c>
      <c r="C391" s="4">
        <f>IF((C367&gt;=1),1,0)</f>
        <v>0</v>
      </c>
      <c r="D391" s="4">
        <f>IF((D367&gt;=1),1,0)</f>
        <v>1</v>
      </c>
      <c r="E391" s="4">
        <f>IF((E367&gt;=1),1,0)</f>
        <v>0</v>
      </c>
      <c r="F391" s="4">
        <f>IF((F367&gt;=1),1,0)</f>
        <v>0</v>
      </c>
      <c r="G391" s="4">
        <f>IF((G367&gt;=1),1,0)</f>
        <v>0</v>
      </c>
      <c r="H391" s="4">
        <f>IF((H367&gt;=1),1,0)</f>
        <v>0</v>
      </c>
      <c r="I391" s="4">
        <f>IF((I367&gt;=1),1,0)</f>
        <v>0</v>
      </c>
    </row>
    <row r="392">
      <c r="A392" s="0" t="inlineStr">
        <is>
          <t xml:space="preserve">President's Club track (1 = yes)</t>
        </is>
      </c>
      <c r="B392" s="0" t="inlineStr">
        <is>
          <t xml:space="preserve">Tobias Silva</t>
        </is>
      </c>
      <c r="C392" s="4">
        <f>IF((C368&gt;=1),1,0)</f>
        <v>0</v>
      </c>
      <c r="D392" s="4">
        <f>IF((D368&gt;=1),1,0)</f>
        <v>0</v>
      </c>
      <c r="E392" s="4">
        <f>IF((E368&gt;=1),1,0)</f>
        <v>0</v>
      </c>
      <c r="F392" s="4">
        <f>IF((F368&gt;=1),1,0)</f>
        <v>1</v>
      </c>
      <c r="G392" s="4">
        <f>IF((G368&gt;=1),1,0)</f>
        <v>1</v>
      </c>
      <c r="H392" s="4">
        <f>IF((H368&gt;=1),1,0)</f>
        <v>1</v>
      </c>
      <c r="I392" s="4">
        <f>IF((I368&gt;=1),1,0)</f>
        <v>1</v>
      </c>
    </row>
    <row r="393">
      <c r="A393" s="0" t="inlineStr">
        <is>
          <t xml:space="preserve">President's Club track (1 = yes)</t>
        </is>
      </c>
      <c r="B393" s="0" t="inlineStr">
        <is>
          <t xml:space="preserve">Leila Osei</t>
        </is>
      </c>
      <c r="C393" s="4">
        <f>IF((C369&gt;=1),1,0)</f>
        <v>0</v>
      </c>
      <c r="D393" s="4">
        <f>IF((D369&gt;=1),1,0)</f>
        <v>0</v>
      </c>
      <c r="E393" s="4">
        <f>IF((E369&gt;=1),1,0)</f>
        <v>0</v>
      </c>
      <c r="F393" s="4">
        <f>IF((F369&gt;=1),1,0)</f>
        <v>0</v>
      </c>
      <c r="G393" s="4">
        <f>IF((G369&gt;=1),1,0)</f>
        <v>0</v>
      </c>
      <c r="H393" s="4">
        <f>IF((H369&gt;=1),1,0)</f>
        <v>0</v>
      </c>
      <c r="I393" s="4">
        <f>IF((I369&gt;=1),1,0)</f>
        <v>0</v>
      </c>
    </row>
    <row r="394">
      <c r="A394" s="0" t="inlineStr">
        <is>
          <t xml:space="preserve">President's Club track (1 = yes)</t>
        </is>
      </c>
      <c r="B394" s="0" t="inlineStr">
        <is>
          <t xml:space="preserve">Grace Costa</t>
        </is>
      </c>
      <c r="C394" s="4">
        <f>IF((C370&gt;=1),1,0)</f>
        <v>0</v>
      </c>
      <c r="D394" s="4">
        <f>IF((D370&gt;=1),1,0)</f>
        <v>0</v>
      </c>
      <c r="E394" s="4">
        <f>IF((E370&gt;=1),1,0)</f>
        <v>1</v>
      </c>
      <c r="F394" s="4">
        <f>IF((F370&gt;=1),1,0)</f>
        <v>1</v>
      </c>
      <c r="G394" s="4">
        <f>IF((G370&gt;=1),1,0)</f>
        <v>1</v>
      </c>
      <c r="H394" s="4">
        <f>IF((H370&gt;=1),1,0)</f>
        <v>1</v>
      </c>
      <c r="I394" s="4">
        <f>IF((I370&gt;=1),1,0)</f>
        <v>1</v>
      </c>
    </row>
    <row r="395">
      <c r="A395" s="0" t="inlineStr">
        <is>
          <t xml:space="preserve">President's Club track (1 = yes)</t>
        </is>
      </c>
      <c r="B395" s="0" t="inlineStr">
        <is>
          <t xml:space="preserve">Ingrid Müller</t>
        </is>
      </c>
      <c r="C395" s="4">
        <f>IF((C371&gt;=1),1,0)</f>
        <v>0</v>
      </c>
      <c r="D395" s="4">
        <f>IF((D371&gt;=1),1,0)</f>
        <v>0</v>
      </c>
      <c r="E395" s="4">
        <f>IF((E371&gt;=1),1,0)</f>
        <v>0</v>
      </c>
      <c r="F395" s="4">
        <f>IF((F371&gt;=1),1,0)</f>
        <v>0</v>
      </c>
      <c r="G395" s="4">
        <f>IF((G371&gt;=1),1,0)</f>
        <v>1</v>
      </c>
      <c r="H395" s="4">
        <f>IF((H371&gt;=1),1,0)</f>
        <v>1</v>
      </c>
      <c r="I395" s="4">
        <f>IF((I371&gt;=1),1,0)</f>
        <v>1</v>
      </c>
    </row>
    <row r="396">
      <c r="A396" s="0" t="inlineStr">
        <is>
          <t xml:space="preserve">President's Club track (1 = yes)</t>
        </is>
      </c>
      <c r="B396" s="0" t="inlineStr">
        <is>
          <t xml:space="preserve">Ingrid Kim</t>
        </is>
      </c>
      <c r="C396" s="4">
        <f>IF((C372&gt;=1),1,0)</f>
        <v>0</v>
      </c>
      <c r="D396" s="4">
        <f>IF((D372&gt;=1),1,0)</f>
        <v>0</v>
      </c>
      <c r="E396" s="4">
        <f>IF((E372&gt;=1),1,0)</f>
        <v>1</v>
      </c>
      <c r="F396" s="4">
        <f>IF((F372&gt;=1),1,0)</f>
        <v>0</v>
      </c>
      <c r="G396" s="4">
        <f>IF((G372&gt;=1),1,0)</f>
        <v>0</v>
      </c>
      <c r="H396" s="4">
        <f>IF((H372&gt;=1),1,0)</f>
        <v>0</v>
      </c>
      <c r="I396" s="4">
        <f>IF((I372&gt;=1),1,0)</f>
        <v>0</v>
      </c>
    </row>
    <row r="397">
      <c r="A397" s="0" t="inlineStr">
        <is>
          <t xml:space="preserve">President's Club track (1 = yes)</t>
        </is>
      </c>
      <c r="B397" s="0" t="inlineStr">
        <is>
          <t xml:space="preserve">Priya Nair</t>
        </is>
      </c>
      <c r="C397" s="4">
        <f>IF((C373&gt;=1),1,0)</f>
        <v>0</v>
      </c>
      <c r="D397" s="4">
        <f>IF((D373&gt;=1),1,0)</f>
        <v>0</v>
      </c>
      <c r="E397" s="4">
        <f>IF((E373&gt;=1),1,0)</f>
        <v>0</v>
      </c>
      <c r="F397" s="4">
        <f>IF((F373&gt;=1),1,0)</f>
        <v>0</v>
      </c>
      <c r="G397" s="4">
        <f>IF((G373&gt;=1),1,0)</f>
        <v>0</v>
      </c>
      <c r="H397" s="4">
        <f>IF((H373&gt;=1),1,0)</f>
        <v>0</v>
      </c>
      <c r="I397" s="4">
        <f>IF((I373&gt;=1),1,0)</f>
        <v>0</v>
      </c>
    </row>
    <row r="398">
      <c r="A398" s="0" t="inlineStr">
        <is>
          <t xml:space="preserve">President's Club track (1 = yes)</t>
        </is>
      </c>
      <c r="B398" s="0" t="inlineStr">
        <is>
          <t xml:space="preserve">Hugo Lindqvist</t>
        </is>
      </c>
      <c r="C398" s="4">
        <f>IF((C374&gt;=1),1,0)</f>
        <v>0</v>
      </c>
      <c r="D398" s="4">
        <f>IF((D374&gt;=1),1,0)</f>
        <v>1</v>
      </c>
      <c r="E398" s="4">
        <f>IF((E374&gt;=1),1,0)</f>
        <v>0</v>
      </c>
      <c r="F398" s="4">
        <f>IF((F374&gt;=1),1,0)</f>
        <v>1</v>
      </c>
      <c r="G398" s="4">
        <f>IF((G374&gt;=1),1,0)</f>
        <v>1</v>
      </c>
      <c r="H398" s="4">
        <f>IF((H374&gt;=1),1,0)</f>
        <v>1</v>
      </c>
      <c r="I398" s="4">
        <f>IF((I374&gt;=1),1,0)</f>
        <v>1</v>
      </c>
    </row>
    <row r="399">
      <c r="A399" s="0" t="inlineStr">
        <is>
          <t xml:space="preserve">President's Club track (1 = yes)</t>
        </is>
      </c>
      <c r="B399" s="0" t="inlineStr">
        <is>
          <t xml:space="preserve">Wei Novak</t>
        </is>
      </c>
      <c r="C399" s="4">
        <f>IF((C375&gt;=1),1,0)</f>
        <v>0</v>
      </c>
      <c r="D399" s="4">
        <f>IF((D375&gt;=1),1,0)</f>
        <v>0</v>
      </c>
      <c r="E399" s="4">
        <f>IF((E375&gt;=1),1,0)</f>
        <v>0</v>
      </c>
      <c r="F399" s="4">
        <f>IF((F375&gt;=1),1,0)</f>
        <v>0</v>
      </c>
      <c r="G399" s="4">
        <f>IF((G375&gt;=1),1,0)</f>
        <v>0</v>
      </c>
      <c r="H399" s="4">
        <f>IF((H375&gt;=1),1,0)</f>
        <v>0</v>
      </c>
      <c r="I399" s="4">
        <f>IF((I375&gt;=1),1,0)</f>
        <v>0</v>
      </c>
    </row>
    <row r="400">
      <c r="A400" s="0" t="inlineStr">
        <is>
          <t xml:space="preserve">President's Club track (1 = yes)</t>
        </is>
      </c>
      <c r="B400" s="0" t="inlineStr">
        <is>
          <t xml:space="preserve">Nikolai Kim</t>
        </is>
      </c>
      <c r="C400" s="4">
        <f>IF((C376&gt;=1),1,0)</f>
        <v>1</v>
      </c>
      <c r="D400" s="4">
        <f>IF((D376&gt;=1),1,0)</f>
        <v>1</v>
      </c>
      <c r="E400" s="4">
        <f>IF((E376&gt;=1),1,0)</f>
        <v>1</v>
      </c>
      <c r="F400" s="4">
        <f>IF((F376&gt;=1),1,0)</f>
        <v>0</v>
      </c>
      <c r="G400" s="4">
        <f>IF((G376&gt;=1),1,0)</f>
        <v>1</v>
      </c>
      <c r="H400" s="4">
        <f>IF((H376&gt;=1),1,0)</f>
        <v>0</v>
      </c>
      <c r="I400" s="4">
        <f>IF((I376&gt;=1),1,0)</f>
        <v>0</v>
      </c>
    </row>
    <row r="401">
      <c r="A401" s="0" t="inlineStr">
        <is>
          <t xml:space="preserve">President's Club track (1 = yes)</t>
        </is>
      </c>
      <c r="B401" s="0" t="inlineStr">
        <is>
          <t xml:space="preserve">Wei Nair</t>
        </is>
      </c>
      <c r="C401" s="4">
        <f>IF((C377&gt;=1),1,0)</f>
        <v>0</v>
      </c>
      <c r="D401" s="4">
        <f>IF((D377&gt;=1),1,0)</f>
        <v>0</v>
      </c>
      <c r="E401" s="4">
        <f>IF((E377&gt;=1),1,0)</f>
        <v>0</v>
      </c>
      <c r="F401" s="4">
        <f>IF((F377&gt;=1),1,0)</f>
        <v>0</v>
      </c>
      <c r="G401" s="4">
        <f>IF((G377&gt;=1),1,0)</f>
        <v>0</v>
      </c>
      <c r="H401" s="4">
        <f>IF((H377&gt;=1),1,0)</f>
        <v>0</v>
      </c>
      <c r="I401" s="4">
        <f>IF((I377&gt;=1),1,0)</f>
        <v>0</v>
      </c>
    </row>
    <row r="402">
      <c r="A402" s="0" t="inlineStr">
        <is>
          <t xml:space="preserve">President's Club track (1 = yes)</t>
        </is>
      </c>
      <c r="B402" s="0" t="inlineStr">
        <is>
          <t xml:space="preserve">Liam Silva</t>
        </is>
      </c>
      <c r="C402" s="4">
        <f>IF((C378&gt;=1),1,0)</f>
        <v>0</v>
      </c>
      <c r="D402" s="4">
        <f>IF((D378&gt;=1),1,0)</f>
        <v>1</v>
      </c>
      <c r="E402" s="4">
        <f>IF((E378&gt;=1),1,0)</f>
        <v>1</v>
      </c>
      <c r="F402" s="4">
        <f>IF((F378&gt;=1),1,0)</f>
        <v>1</v>
      </c>
      <c r="G402" s="4">
        <f>IF((G378&gt;=1),1,0)</f>
        <v>0</v>
      </c>
      <c r="H402" s="4">
        <f>IF((H378&gt;=1),1,0)</f>
        <v>0</v>
      </c>
      <c r="I402" s="4">
        <f>IF((I378&gt;=1),1,0)</f>
        <v>0</v>
      </c>
    </row>
    <row r="403">
      <c r="A403" s="0" t="inlineStr">
        <is>
          <t xml:space="preserve">President's Club track (1 = yes)</t>
        </is>
      </c>
      <c r="B403" s="0" t="inlineStr">
        <is>
          <t xml:space="preserve">Samuel Silva</t>
        </is>
      </c>
      <c r="C403" s="4">
        <f>IF((C379&gt;=1),1,0)</f>
        <v>0</v>
      </c>
      <c r="D403" s="4">
        <f>IF((D379&gt;=1),1,0)</f>
        <v>1</v>
      </c>
      <c r="E403" s="4">
        <f>IF((E379&gt;=1),1,0)</f>
        <v>0</v>
      </c>
      <c r="F403" s="4">
        <f>IF((F379&gt;=1),1,0)</f>
        <v>1</v>
      </c>
      <c r="G403" s="4">
        <f>IF((G379&gt;=1),1,0)</f>
        <v>1</v>
      </c>
      <c r="H403" s="4">
        <f>IF((H379&gt;=1),1,0)</f>
        <v>1</v>
      </c>
      <c r="I403" s="4">
        <f>IF((I379&gt;=1),1,0)</f>
        <v>0</v>
      </c>
    </row>
    <row r="404">
      <c r="A404" s="0" t="inlineStr">
        <is>
          <t xml:space="preserve">President's Club track (1 = yes)</t>
        </is>
      </c>
      <c r="B404" s="0" t="inlineStr">
        <is>
          <t xml:space="preserve">Yuki Larsen</t>
        </is>
      </c>
      <c r="C404" s="4">
        <f>IF((C380&gt;=1),1,0)</f>
        <v>0</v>
      </c>
      <c r="D404" s="4">
        <f>IF((D380&gt;=1),1,0)</f>
        <v>0</v>
      </c>
      <c r="E404" s="4">
        <f>IF((E380&gt;=1),1,0)</f>
        <v>0</v>
      </c>
      <c r="F404" s="4">
        <f>IF((F380&gt;=1),1,0)</f>
        <v>0</v>
      </c>
      <c r="G404" s="4">
        <f>IF((G380&gt;=1),1,0)</f>
        <v>0</v>
      </c>
      <c r="H404" s="4">
        <f>IF((H380&gt;=1),1,0)</f>
        <v>0</v>
      </c>
      <c r="I404" s="4">
        <f>IF((I380&gt;=1),1,0)</f>
        <v>0</v>
      </c>
    </row>
    <row r="405">
      <c r="A405" s="0" t="inlineStr">
        <is>
          <t xml:space="preserve">President's Club track (1 = yes)</t>
        </is>
      </c>
      <c r="B405" s="0" t="inlineStr">
        <is>
          <t xml:space="preserve">Nikolai Sato</t>
        </is>
      </c>
      <c r="C405" s="4">
        <f>IF((C381&gt;=1),1,0)</f>
        <v>0</v>
      </c>
      <c r="D405" s="4">
        <f>IF((D381&gt;=1),1,0)</f>
        <v>1</v>
      </c>
      <c r="E405" s="4">
        <f>IF((E381&gt;=1),1,0)</f>
        <v>0</v>
      </c>
      <c r="F405" s="4">
        <f>IF((F381&gt;=1),1,0)</f>
        <v>0</v>
      </c>
      <c r="G405" s="4">
        <f>IF((G381&gt;=1),1,0)</f>
        <v>0</v>
      </c>
      <c r="H405" s="4">
        <f>IF((H381&gt;=1),1,0)</f>
        <v>0</v>
      </c>
      <c r="I405" s="4">
        <f>IF((I381&gt;=1),1,0)</f>
        <v>0</v>
      </c>
    </row>
    <row r="406">
      <c r="A406" s="0" t="inlineStr">
        <is>
          <t xml:space="preserve">President's Club track (1 = yes)</t>
        </is>
      </c>
      <c r="B406" s="0" t="inlineStr">
        <is>
          <t xml:space="preserve">Elena Silva</t>
        </is>
      </c>
      <c r="C406" s="4">
        <f>IF((C382&gt;=1),1,0)</f>
        <v>0</v>
      </c>
      <c r="D406" s="4">
        <f>IF((D382&gt;=1),1,0)</f>
        <v>1</v>
      </c>
      <c r="E406" s="4">
        <f>IF((E382&gt;=1),1,0)</f>
        <v>1</v>
      </c>
      <c r="F406" s="4">
        <f>IF((F382&gt;=1),1,0)</f>
        <v>0</v>
      </c>
      <c r="G406" s="4">
        <f>IF((G382&gt;=1),1,0)</f>
        <v>1</v>
      </c>
      <c r="H406" s="4">
        <f>IF((H382&gt;=1),1,0)</f>
        <v>1</v>
      </c>
      <c r="I406" s="4">
        <f>IF((I382&gt;=1),1,0)</f>
        <v>0</v>
      </c>
    </row>
    <row r="407">
      <c r="A407" s="0" t="inlineStr">
        <is>
          <t xml:space="preserve">President's Club track (1 = yes)</t>
        </is>
      </c>
      <c r="B407" s="0" t="inlineStr">
        <is>
          <t xml:space="preserve">Arjun Müller</t>
        </is>
      </c>
      <c r="C407" s="4">
        <f>IF((C383&gt;=1),1,0)</f>
        <v>0</v>
      </c>
      <c r="D407" s="4">
        <f>IF((D383&gt;=1),1,0)</f>
        <v>0</v>
      </c>
      <c r="E407" s="4">
        <f>IF((E383&gt;=1),1,0)</f>
        <v>1</v>
      </c>
      <c r="F407" s="4">
        <f>IF((F383&gt;=1),1,0)</f>
        <v>0</v>
      </c>
      <c r="G407" s="4">
        <f>IF((G383&gt;=1),1,0)</f>
        <v>0</v>
      </c>
      <c r="H407" s="4">
        <f>IF((H383&gt;=1),1,0)</f>
        <v>0</v>
      </c>
      <c r="I407" s="4">
        <f>IF((I383&gt;=1),1,0)</f>
        <v>0</v>
      </c>
    </row>
    <row r="408">
      <c r="A408" s="0" t="inlineStr">
        <is>
          <t xml:space="preserve">President's Club track (1 = yes)</t>
        </is>
      </c>
      <c r="B408" s="0" t="inlineStr">
        <is>
          <t xml:space="preserve">Nikolai Park</t>
        </is>
      </c>
      <c r="C408" s="4">
        <f>IF((C384&gt;=1),1,0)</f>
        <v>0</v>
      </c>
      <c r="D408" s="4">
        <f>IF((D384&gt;=1),1,0)</f>
        <v>0</v>
      </c>
      <c r="E408" s="4">
        <f>IF((E384&gt;=1),1,0)</f>
        <v>0</v>
      </c>
      <c r="F408" s="4">
        <f>IF((F384&gt;=1),1,0)</f>
        <v>0</v>
      </c>
      <c r="G408" s="4">
        <f>IF((G384&gt;=1),1,0)</f>
        <v>0</v>
      </c>
      <c r="H408" s="4">
        <f>IF((H384&gt;=1),1,0)</f>
        <v>0</v>
      </c>
      <c r="I408" s="4">
        <f>IF((I384&gt;=1),1,0)</f>
        <v>0</v>
      </c>
    </row>
    <row r="409">
      <c r="A409" s="0" t="inlineStr">
        <is>
          <t xml:space="preserve">President's Club track (1 = yes)</t>
        </is>
      </c>
      <c r="B409" s="0" t="inlineStr">
        <is>
          <t xml:space="preserve">Ingrid Dubois</t>
        </is>
      </c>
      <c r="C409" s="4">
        <f>IF((C385&gt;=1),1,0)</f>
        <v>0</v>
      </c>
      <c r="D409" s="4">
        <f>IF((D385&gt;=1),1,0)</f>
        <v>1</v>
      </c>
      <c r="E409" s="4">
        <f>IF((E385&gt;=1),1,0)</f>
        <v>1</v>
      </c>
      <c r="F409" s="4">
        <f>IF((F385&gt;=1),1,0)</f>
        <v>0</v>
      </c>
      <c r="G409" s="4">
        <f>IF((G385&gt;=1),1,0)</f>
        <v>0</v>
      </c>
      <c r="H409" s="4">
        <f>IF((H385&gt;=1),1,0)</f>
        <v>1</v>
      </c>
      <c r="I409" s="4">
        <f>IF((I385&gt;=1),1,0)</f>
        <v>0</v>
      </c>
    </row>
  </sheetData>
</worksheet>
</file>

<file path=xl/worksheets/sheet17.xml><?xml version="1.0" encoding="utf-8"?>
<worksheet xmlns="http://schemas.openxmlformats.org/spreadsheetml/2006/main" xmlns:r="http://schemas.openxmlformats.org/officeDocument/2006/relationships">
  <sheetViews>
    <sheetView workbookViewId="0">
      <pane xSplit="3" ySplit="1" topLeftCell="D2" activePane="bottomRight" state="frozen"/>
    </sheetView>
  </sheetViews>
  <cols>
    <col min="1" max="1" width="18" customWidth="1"/>
    <col min="2" max="2" width="18" customWidth="1"/>
    <col min="3" max="3" width="3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</cols>
  <sheetData>
    <row r="1">
      <c r="A1" s="1" t="inlineStr">
        <is>
          <t xml:space="preserve">line</t>
        </is>
      </c>
      <c r="B1" s="1" t="inlineStr">
        <is>
          <t xml:space="preserve">region</t>
        </is>
      </c>
      <c r="C1" s="1" t="inlineStr">
        <is>
          <t xml:space="preserve">segment</t>
        </is>
      </c>
      <c r="D1" s="1" t="inlineStr">
        <is>
          <t xml:space="preserve">Q2 2025</t>
        </is>
      </c>
      <c r="E1" s="1" t="inlineStr">
        <is>
          <t xml:space="preserve">Q3 2025</t>
        </is>
      </c>
      <c r="F1" s="1" t="inlineStr">
        <is>
          <t xml:space="preserve">Q4 2025</t>
        </is>
      </c>
      <c r="G1" s="1" t="inlineStr">
        <is>
          <t xml:space="preserve">Q1 2026</t>
        </is>
      </c>
      <c r="H1" s="1" t="inlineStr">
        <is>
          <t xml:space="preserve">Q2 2026</t>
        </is>
      </c>
      <c r="I1" s="1" t="inlineStr">
        <is>
          <t xml:space="preserve">Q3 2026</t>
        </is>
      </c>
      <c r="J1" s="1" t="inlineStr">
        <is>
          <t xml:space="preserve">Q4 2026</t>
        </is>
      </c>
    </row>
    <row r="2">
      <c r="A2" s="0" t="inlineStr">
        <is>
          <t xml:space="preserve">Reps</t>
        </is>
      </c>
      <c r="B2" s="0" t="inlineStr">
        <is>
          <t xml:space="preserve">AMER East</t>
        </is>
      </c>
      <c r="C2" s="0" t="inlineStr">
        <is>
          <t xml:space="preserve">Enterprise</t>
        </is>
      </c>
      <c r="D2" s="4">
        <f>COUNTIFS('Account executives'!$B$2:$B$25,"amer_east",'Account executives'!$C$2:$C$25,"enterprise",'Account executives'!$H$2:$H$25,"&lt;&gt;")</f>
        <v>2</v>
      </c>
      <c r="E2" s="4">
        <f>COUNTIFS('Account executives'!$B$2:$B$25,"amer_east",'Account executives'!$C$2:$C$25,"enterprise",'Account executives'!$H$2:$H$25,"&lt;&gt;")</f>
        <v>2</v>
      </c>
      <c r="F2" s="4">
        <f>COUNTIFS('Account executives'!$B$2:$B$25,"amer_east",'Account executives'!$C$2:$C$25,"enterprise",'Account executives'!$H$2:$H$25,"&lt;&gt;")</f>
        <v>2</v>
      </c>
      <c r="G2" s="4">
        <f>COUNTIFS('Account executives'!$B$2:$B$25,"amer_east",'Account executives'!$C$2:$C$25,"enterprise",'Account executives'!$H$2:$H$25,"&lt;&gt;")</f>
        <v>2</v>
      </c>
      <c r="H2" s="4">
        <f>COUNTIFS('Account executives'!$B$2:$B$25,"amer_east",'Account executives'!$C$2:$C$25,"enterprise",'Account executives'!$H$2:$H$25,"&lt;&gt;")</f>
        <v>2</v>
      </c>
      <c r="I2" s="4">
        <f>COUNTIFS('Account executives'!$B$2:$B$25,"amer_east",'Account executives'!$C$2:$C$25,"enterprise",'Account executives'!$H$2:$H$25,"&lt;&gt;")</f>
        <v>2</v>
      </c>
      <c r="J2" s="4">
        <f>COUNTIFS('Account executives'!$B$2:$B$25,"amer_east",'Account executives'!$C$2:$C$25,"enterprise",'Account executives'!$H$2:$H$25,"&lt;&gt;")</f>
        <v>2</v>
      </c>
    </row>
    <row r="3">
      <c r="A3" s="0" t="inlineStr">
        <is>
          <t xml:space="preserve">Reps</t>
        </is>
      </c>
      <c r="B3" s="0" t="inlineStr">
        <is>
          <t xml:space="preserve">AMER East</t>
        </is>
      </c>
      <c r="C3" s="0" t="inlineStr">
        <is>
          <t xml:space="preserve">Mid-Market</t>
        </is>
      </c>
      <c r="D3" s="4">
        <f>COUNTIFS('Account executives'!$B$2:$B$25,"amer_east",'Account executives'!$C$2:$C$25,"mid_market",'Account executives'!$H$2:$H$25,"&lt;&gt;")</f>
        <v>2</v>
      </c>
      <c r="E3" s="4">
        <f>COUNTIFS('Account executives'!$B$2:$B$25,"amer_east",'Account executives'!$C$2:$C$25,"mid_market",'Account executives'!$H$2:$H$25,"&lt;&gt;")</f>
        <v>2</v>
      </c>
      <c r="F3" s="4">
        <f>COUNTIFS('Account executives'!$B$2:$B$25,"amer_east",'Account executives'!$C$2:$C$25,"mid_market",'Account executives'!$H$2:$H$25,"&lt;&gt;")</f>
        <v>2</v>
      </c>
      <c r="G3" s="4">
        <f>COUNTIFS('Account executives'!$B$2:$B$25,"amer_east",'Account executives'!$C$2:$C$25,"mid_market",'Account executives'!$H$2:$H$25,"&lt;&gt;")</f>
        <v>2</v>
      </c>
      <c r="H3" s="4">
        <f>COUNTIFS('Account executives'!$B$2:$B$25,"amer_east",'Account executives'!$C$2:$C$25,"mid_market",'Account executives'!$H$2:$H$25,"&lt;&gt;")</f>
        <v>2</v>
      </c>
      <c r="I3" s="4">
        <f>COUNTIFS('Account executives'!$B$2:$B$25,"amer_east",'Account executives'!$C$2:$C$25,"mid_market",'Account executives'!$H$2:$H$25,"&lt;&gt;")</f>
        <v>2</v>
      </c>
      <c r="J3" s="4">
        <f>COUNTIFS('Account executives'!$B$2:$B$25,"amer_east",'Account executives'!$C$2:$C$25,"mid_market",'Account executives'!$H$2:$H$25,"&lt;&gt;")</f>
        <v>2</v>
      </c>
    </row>
    <row r="4">
      <c r="A4" s="0" t="inlineStr">
        <is>
          <t xml:space="preserve">Reps</t>
        </is>
      </c>
      <c r="B4" s="0" t="inlineStr">
        <is>
          <t xml:space="preserve">AMER East</t>
        </is>
      </c>
      <c r="C4" s="0" t="inlineStr">
        <is>
          <t xml:space="preserve">SMB</t>
        </is>
      </c>
      <c r="D4" s="4">
        <f>COUNTIFS('Account executives'!$B$2:$B$25,"amer_east",'Account executives'!$C$2:$C$25,"smb",'Account executives'!$H$2:$H$25,"&lt;&gt;")</f>
        <v>2</v>
      </c>
      <c r="E4" s="4">
        <f>COUNTIFS('Account executives'!$B$2:$B$25,"amer_east",'Account executives'!$C$2:$C$25,"smb",'Account executives'!$H$2:$H$25,"&lt;&gt;")</f>
        <v>2</v>
      </c>
      <c r="F4" s="4">
        <f>COUNTIFS('Account executives'!$B$2:$B$25,"amer_east",'Account executives'!$C$2:$C$25,"smb",'Account executives'!$H$2:$H$25,"&lt;&gt;")</f>
        <v>2</v>
      </c>
      <c r="G4" s="4">
        <f>COUNTIFS('Account executives'!$B$2:$B$25,"amer_east",'Account executives'!$C$2:$C$25,"smb",'Account executives'!$H$2:$H$25,"&lt;&gt;")</f>
        <v>2</v>
      </c>
      <c r="H4" s="4">
        <f>COUNTIFS('Account executives'!$B$2:$B$25,"amer_east",'Account executives'!$C$2:$C$25,"smb",'Account executives'!$H$2:$H$25,"&lt;&gt;")</f>
        <v>2</v>
      </c>
      <c r="I4" s="4">
        <f>COUNTIFS('Account executives'!$B$2:$B$25,"amer_east",'Account executives'!$C$2:$C$25,"smb",'Account executives'!$H$2:$H$25,"&lt;&gt;")</f>
        <v>2</v>
      </c>
      <c r="J4" s="4">
        <f>COUNTIFS('Account executives'!$B$2:$B$25,"amer_east",'Account executives'!$C$2:$C$25,"smb",'Account executives'!$H$2:$H$25,"&lt;&gt;")</f>
        <v>2</v>
      </c>
    </row>
    <row r="5">
      <c r="A5" s="0" t="inlineStr">
        <is>
          <t xml:space="preserve">Reps</t>
        </is>
      </c>
      <c r="B5" s="0" t="inlineStr">
        <is>
          <t xml:space="preserve">AMER West</t>
        </is>
      </c>
      <c r="C5" s="0" t="inlineStr">
        <is>
          <t xml:space="preserve">Enterprise</t>
        </is>
      </c>
      <c r="D5" s="4">
        <f>COUNTIFS('Account executives'!$B$2:$B$25,"amer_west",'Account executives'!$C$2:$C$25,"enterprise",'Account executives'!$H$2:$H$25,"&lt;&gt;")</f>
        <v>2</v>
      </c>
      <c r="E5" s="4">
        <f>COUNTIFS('Account executives'!$B$2:$B$25,"amer_west",'Account executives'!$C$2:$C$25,"enterprise",'Account executives'!$H$2:$H$25,"&lt;&gt;")</f>
        <v>2</v>
      </c>
      <c r="F5" s="4">
        <f>COUNTIFS('Account executives'!$B$2:$B$25,"amer_west",'Account executives'!$C$2:$C$25,"enterprise",'Account executives'!$H$2:$H$25,"&lt;&gt;")</f>
        <v>2</v>
      </c>
      <c r="G5" s="4">
        <f>COUNTIFS('Account executives'!$B$2:$B$25,"amer_west",'Account executives'!$C$2:$C$25,"enterprise",'Account executives'!$H$2:$H$25,"&lt;&gt;")</f>
        <v>2</v>
      </c>
      <c r="H5" s="4">
        <f>COUNTIFS('Account executives'!$B$2:$B$25,"amer_west",'Account executives'!$C$2:$C$25,"enterprise",'Account executives'!$H$2:$H$25,"&lt;&gt;")</f>
        <v>2</v>
      </c>
      <c r="I5" s="4">
        <f>COUNTIFS('Account executives'!$B$2:$B$25,"amer_west",'Account executives'!$C$2:$C$25,"enterprise",'Account executives'!$H$2:$H$25,"&lt;&gt;")</f>
        <v>2</v>
      </c>
      <c r="J5" s="4">
        <f>COUNTIFS('Account executives'!$B$2:$B$25,"amer_west",'Account executives'!$C$2:$C$25,"enterprise",'Account executives'!$H$2:$H$25,"&lt;&gt;")</f>
        <v>2</v>
      </c>
    </row>
    <row r="6">
      <c r="A6" s="0" t="inlineStr">
        <is>
          <t xml:space="preserve">Reps</t>
        </is>
      </c>
      <c r="B6" s="0" t="inlineStr">
        <is>
          <t xml:space="preserve">AMER West</t>
        </is>
      </c>
      <c r="C6" s="0" t="inlineStr">
        <is>
          <t xml:space="preserve">Mid-Market</t>
        </is>
      </c>
      <c r="D6" s="4">
        <f>COUNTIFS('Account executives'!$B$2:$B$25,"amer_west",'Account executives'!$C$2:$C$25,"mid_market",'Account executives'!$H$2:$H$25,"&lt;&gt;")</f>
        <v>2</v>
      </c>
      <c r="E6" s="4">
        <f>COUNTIFS('Account executives'!$B$2:$B$25,"amer_west",'Account executives'!$C$2:$C$25,"mid_market",'Account executives'!$H$2:$H$25,"&lt;&gt;")</f>
        <v>2</v>
      </c>
      <c r="F6" s="4">
        <f>COUNTIFS('Account executives'!$B$2:$B$25,"amer_west",'Account executives'!$C$2:$C$25,"mid_market",'Account executives'!$H$2:$H$25,"&lt;&gt;")</f>
        <v>2</v>
      </c>
      <c r="G6" s="4">
        <f>COUNTIFS('Account executives'!$B$2:$B$25,"amer_west",'Account executives'!$C$2:$C$25,"mid_market",'Account executives'!$H$2:$H$25,"&lt;&gt;")</f>
        <v>2</v>
      </c>
      <c r="H6" s="4">
        <f>COUNTIFS('Account executives'!$B$2:$B$25,"amer_west",'Account executives'!$C$2:$C$25,"mid_market",'Account executives'!$H$2:$H$25,"&lt;&gt;")</f>
        <v>2</v>
      </c>
      <c r="I6" s="4">
        <f>COUNTIFS('Account executives'!$B$2:$B$25,"amer_west",'Account executives'!$C$2:$C$25,"mid_market",'Account executives'!$H$2:$H$25,"&lt;&gt;")</f>
        <v>2</v>
      </c>
      <c r="J6" s="4">
        <f>COUNTIFS('Account executives'!$B$2:$B$25,"amer_west",'Account executives'!$C$2:$C$25,"mid_market",'Account executives'!$H$2:$H$25,"&lt;&gt;")</f>
        <v>2</v>
      </c>
    </row>
    <row r="7">
      <c r="A7" s="0" t="inlineStr">
        <is>
          <t xml:space="preserve">Reps</t>
        </is>
      </c>
      <c r="B7" s="0" t="inlineStr">
        <is>
          <t xml:space="preserve">AMER West</t>
        </is>
      </c>
      <c r="C7" s="0" t="inlineStr">
        <is>
          <t xml:space="preserve">SMB</t>
        </is>
      </c>
      <c r="D7" s="4">
        <f>COUNTIFS('Account executives'!$B$2:$B$25,"amer_west",'Account executives'!$C$2:$C$25,"smb",'Account executives'!$H$2:$H$25,"&lt;&gt;")</f>
        <v>2</v>
      </c>
      <c r="E7" s="4">
        <f>COUNTIFS('Account executives'!$B$2:$B$25,"amer_west",'Account executives'!$C$2:$C$25,"smb",'Account executives'!$H$2:$H$25,"&lt;&gt;")</f>
        <v>2</v>
      </c>
      <c r="F7" s="4">
        <f>COUNTIFS('Account executives'!$B$2:$B$25,"amer_west",'Account executives'!$C$2:$C$25,"smb",'Account executives'!$H$2:$H$25,"&lt;&gt;")</f>
        <v>2</v>
      </c>
      <c r="G7" s="4">
        <f>COUNTIFS('Account executives'!$B$2:$B$25,"amer_west",'Account executives'!$C$2:$C$25,"smb",'Account executives'!$H$2:$H$25,"&lt;&gt;")</f>
        <v>2</v>
      </c>
      <c r="H7" s="4">
        <f>COUNTIFS('Account executives'!$B$2:$B$25,"amer_west",'Account executives'!$C$2:$C$25,"smb",'Account executives'!$H$2:$H$25,"&lt;&gt;")</f>
        <v>2</v>
      </c>
      <c r="I7" s="4">
        <f>COUNTIFS('Account executives'!$B$2:$B$25,"amer_west",'Account executives'!$C$2:$C$25,"smb",'Account executives'!$H$2:$H$25,"&lt;&gt;")</f>
        <v>2</v>
      </c>
      <c r="J7" s="4">
        <f>COUNTIFS('Account executives'!$B$2:$B$25,"amer_west",'Account executives'!$C$2:$C$25,"smb",'Account executives'!$H$2:$H$25,"&lt;&gt;")</f>
        <v>2</v>
      </c>
    </row>
    <row r="8">
      <c r="A8" s="0" t="inlineStr">
        <is>
          <t xml:space="preserve">Reps</t>
        </is>
      </c>
      <c r="B8" s="0" t="inlineStr">
        <is>
          <t xml:space="preserve">EMEA</t>
        </is>
      </c>
      <c r="C8" s="0" t="inlineStr">
        <is>
          <t xml:space="preserve">Enterprise</t>
        </is>
      </c>
      <c r="D8" s="4">
        <f>COUNTIFS('Account executives'!$B$2:$B$25,"emea",'Account executives'!$C$2:$C$25,"enterprise",'Account executives'!$H$2:$H$25,"&lt;&gt;")</f>
        <v>2</v>
      </c>
      <c r="E8" s="4">
        <f>COUNTIFS('Account executives'!$B$2:$B$25,"emea",'Account executives'!$C$2:$C$25,"enterprise",'Account executives'!$H$2:$H$25,"&lt;&gt;")</f>
        <v>2</v>
      </c>
      <c r="F8" s="4">
        <f>COUNTIFS('Account executives'!$B$2:$B$25,"emea",'Account executives'!$C$2:$C$25,"enterprise",'Account executives'!$H$2:$H$25,"&lt;&gt;")</f>
        <v>2</v>
      </c>
      <c r="G8" s="4">
        <f>COUNTIFS('Account executives'!$B$2:$B$25,"emea",'Account executives'!$C$2:$C$25,"enterprise",'Account executives'!$H$2:$H$25,"&lt;&gt;")</f>
        <v>2</v>
      </c>
      <c r="H8" s="4">
        <f>COUNTIFS('Account executives'!$B$2:$B$25,"emea",'Account executives'!$C$2:$C$25,"enterprise",'Account executives'!$H$2:$H$25,"&lt;&gt;")</f>
        <v>2</v>
      </c>
      <c r="I8" s="4">
        <f>COUNTIFS('Account executives'!$B$2:$B$25,"emea",'Account executives'!$C$2:$C$25,"enterprise",'Account executives'!$H$2:$H$25,"&lt;&gt;")</f>
        <v>2</v>
      </c>
      <c r="J8" s="4">
        <f>COUNTIFS('Account executives'!$B$2:$B$25,"emea",'Account executives'!$C$2:$C$25,"enterprise",'Account executives'!$H$2:$H$25,"&lt;&gt;")</f>
        <v>2</v>
      </c>
    </row>
    <row r="9">
      <c r="A9" s="0" t="inlineStr">
        <is>
          <t xml:space="preserve">Reps</t>
        </is>
      </c>
      <c r="B9" s="0" t="inlineStr">
        <is>
          <t xml:space="preserve">EMEA</t>
        </is>
      </c>
      <c r="C9" s="0" t="inlineStr">
        <is>
          <t xml:space="preserve">Mid-Market</t>
        </is>
      </c>
      <c r="D9" s="4">
        <f>COUNTIFS('Account executives'!$B$2:$B$25,"emea",'Account executives'!$C$2:$C$25,"mid_market",'Account executives'!$H$2:$H$25,"&lt;&gt;")</f>
        <v>2</v>
      </c>
      <c r="E9" s="4">
        <f>COUNTIFS('Account executives'!$B$2:$B$25,"emea",'Account executives'!$C$2:$C$25,"mid_market",'Account executives'!$H$2:$H$25,"&lt;&gt;")</f>
        <v>2</v>
      </c>
      <c r="F9" s="4">
        <f>COUNTIFS('Account executives'!$B$2:$B$25,"emea",'Account executives'!$C$2:$C$25,"mid_market",'Account executives'!$H$2:$H$25,"&lt;&gt;")</f>
        <v>2</v>
      </c>
      <c r="G9" s="4">
        <f>COUNTIFS('Account executives'!$B$2:$B$25,"emea",'Account executives'!$C$2:$C$25,"mid_market",'Account executives'!$H$2:$H$25,"&lt;&gt;")</f>
        <v>2</v>
      </c>
      <c r="H9" s="4">
        <f>COUNTIFS('Account executives'!$B$2:$B$25,"emea",'Account executives'!$C$2:$C$25,"mid_market",'Account executives'!$H$2:$H$25,"&lt;&gt;")</f>
        <v>2</v>
      </c>
      <c r="I9" s="4">
        <f>COUNTIFS('Account executives'!$B$2:$B$25,"emea",'Account executives'!$C$2:$C$25,"mid_market",'Account executives'!$H$2:$H$25,"&lt;&gt;")</f>
        <v>2</v>
      </c>
      <c r="J9" s="4">
        <f>COUNTIFS('Account executives'!$B$2:$B$25,"emea",'Account executives'!$C$2:$C$25,"mid_market",'Account executives'!$H$2:$H$25,"&lt;&gt;")</f>
        <v>2</v>
      </c>
    </row>
    <row r="10">
      <c r="A10" s="0" t="inlineStr">
        <is>
          <t xml:space="preserve">Reps</t>
        </is>
      </c>
      <c r="B10" s="0" t="inlineStr">
        <is>
          <t xml:space="preserve">EMEA</t>
        </is>
      </c>
      <c r="C10" s="0" t="inlineStr">
        <is>
          <t xml:space="preserve">SMB</t>
        </is>
      </c>
      <c r="D10" s="4">
        <f>COUNTIFS('Account executives'!$B$2:$B$25,"emea",'Account executives'!$C$2:$C$25,"smb",'Account executives'!$H$2:$H$25,"&lt;&gt;")</f>
        <v>2</v>
      </c>
      <c r="E10" s="4">
        <f>COUNTIFS('Account executives'!$B$2:$B$25,"emea",'Account executives'!$C$2:$C$25,"smb",'Account executives'!$H$2:$H$25,"&lt;&gt;")</f>
        <v>2</v>
      </c>
      <c r="F10" s="4">
        <f>COUNTIFS('Account executives'!$B$2:$B$25,"emea",'Account executives'!$C$2:$C$25,"smb",'Account executives'!$H$2:$H$25,"&lt;&gt;")</f>
        <v>2</v>
      </c>
      <c r="G10" s="4">
        <f>COUNTIFS('Account executives'!$B$2:$B$25,"emea",'Account executives'!$C$2:$C$25,"smb",'Account executives'!$H$2:$H$25,"&lt;&gt;")</f>
        <v>2</v>
      </c>
      <c r="H10" s="4">
        <f>COUNTIFS('Account executives'!$B$2:$B$25,"emea",'Account executives'!$C$2:$C$25,"smb",'Account executives'!$H$2:$H$25,"&lt;&gt;")</f>
        <v>2</v>
      </c>
      <c r="I10" s="4">
        <f>COUNTIFS('Account executives'!$B$2:$B$25,"emea",'Account executives'!$C$2:$C$25,"smb",'Account executives'!$H$2:$H$25,"&lt;&gt;")</f>
        <v>2</v>
      </c>
      <c r="J10" s="4">
        <f>COUNTIFS('Account executives'!$B$2:$B$25,"emea",'Account executives'!$C$2:$C$25,"smb",'Account executives'!$H$2:$H$25,"&lt;&gt;")</f>
        <v>2</v>
      </c>
    </row>
    <row r="11">
      <c r="A11" s="0" t="inlineStr">
        <is>
          <t xml:space="preserve">Reps</t>
        </is>
      </c>
      <c r="B11" s="0" t="inlineStr">
        <is>
          <t xml:space="preserve">APAC</t>
        </is>
      </c>
      <c r="C11" s="0" t="inlineStr">
        <is>
          <t xml:space="preserve">Enterprise</t>
        </is>
      </c>
      <c r="D11" s="4">
        <f>COUNTIFS('Account executives'!$B$2:$B$25,"apac",'Account executives'!$C$2:$C$25,"enterprise",'Account executives'!$H$2:$H$25,"&lt;&gt;")</f>
        <v>2</v>
      </c>
      <c r="E11" s="4">
        <f>COUNTIFS('Account executives'!$B$2:$B$25,"apac",'Account executives'!$C$2:$C$25,"enterprise",'Account executives'!$H$2:$H$25,"&lt;&gt;")</f>
        <v>2</v>
      </c>
      <c r="F11" s="4">
        <f>COUNTIFS('Account executives'!$B$2:$B$25,"apac",'Account executives'!$C$2:$C$25,"enterprise",'Account executives'!$H$2:$H$25,"&lt;&gt;")</f>
        <v>2</v>
      </c>
      <c r="G11" s="4">
        <f>COUNTIFS('Account executives'!$B$2:$B$25,"apac",'Account executives'!$C$2:$C$25,"enterprise",'Account executives'!$H$2:$H$25,"&lt;&gt;")</f>
        <v>2</v>
      </c>
      <c r="H11" s="4">
        <f>COUNTIFS('Account executives'!$B$2:$B$25,"apac",'Account executives'!$C$2:$C$25,"enterprise",'Account executives'!$H$2:$H$25,"&lt;&gt;")</f>
        <v>2</v>
      </c>
      <c r="I11" s="4">
        <f>COUNTIFS('Account executives'!$B$2:$B$25,"apac",'Account executives'!$C$2:$C$25,"enterprise",'Account executives'!$H$2:$H$25,"&lt;&gt;")</f>
        <v>2</v>
      </c>
      <c r="J11" s="4">
        <f>COUNTIFS('Account executives'!$B$2:$B$25,"apac",'Account executives'!$C$2:$C$25,"enterprise",'Account executives'!$H$2:$H$25,"&lt;&gt;")</f>
        <v>2</v>
      </c>
    </row>
    <row r="12">
      <c r="A12" s="0" t="inlineStr">
        <is>
          <t xml:space="preserve">Reps</t>
        </is>
      </c>
      <c r="B12" s="0" t="inlineStr">
        <is>
          <t xml:space="preserve">APAC</t>
        </is>
      </c>
      <c r="C12" s="0" t="inlineStr">
        <is>
          <t xml:space="preserve">Mid-Market</t>
        </is>
      </c>
      <c r="D12" s="4">
        <f>COUNTIFS('Account executives'!$B$2:$B$25,"apac",'Account executives'!$C$2:$C$25,"mid_market",'Account executives'!$H$2:$H$25,"&lt;&gt;")</f>
        <v>2</v>
      </c>
      <c r="E12" s="4">
        <f>COUNTIFS('Account executives'!$B$2:$B$25,"apac",'Account executives'!$C$2:$C$25,"mid_market",'Account executives'!$H$2:$H$25,"&lt;&gt;")</f>
        <v>2</v>
      </c>
      <c r="F12" s="4">
        <f>COUNTIFS('Account executives'!$B$2:$B$25,"apac",'Account executives'!$C$2:$C$25,"mid_market",'Account executives'!$H$2:$H$25,"&lt;&gt;")</f>
        <v>2</v>
      </c>
      <c r="G12" s="4">
        <f>COUNTIFS('Account executives'!$B$2:$B$25,"apac",'Account executives'!$C$2:$C$25,"mid_market",'Account executives'!$H$2:$H$25,"&lt;&gt;")</f>
        <v>2</v>
      </c>
      <c r="H12" s="4">
        <f>COUNTIFS('Account executives'!$B$2:$B$25,"apac",'Account executives'!$C$2:$C$25,"mid_market",'Account executives'!$H$2:$H$25,"&lt;&gt;")</f>
        <v>2</v>
      </c>
      <c r="I12" s="4">
        <f>COUNTIFS('Account executives'!$B$2:$B$25,"apac",'Account executives'!$C$2:$C$25,"mid_market",'Account executives'!$H$2:$H$25,"&lt;&gt;")</f>
        <v>2</v>
      </c>
      <c r="J12" s="4">
        <f>COUNTIFS('Account executives'!$B$2:$B$25,"apac",'Account executives'!$C$2:$C$25,"mid_market",'Account executives'!$H$2:$H$25,"&lt;&gt;")</f>
        <v>2</v>
      </c>
    </row>
    <row r="13">
      <c r="A13" s="0" t="inlineStr">
        <is>
          <t xml:space="preserve">Reps</t>
        </is>
      </c>
      <c r="B13" s="0" t="inlineStr">
        <is>
          <t xml:space="preserve">APAC</t>
        </is>
      </c>
      <c r="C13" s="0" t="inlineStr">
        <is>
          <t xml:space="preserve">SMB</t>
        </is>
      </c>
      <c r="D13" s="4">
        <f>COUNTIFS('Account executives'!$B$2:$B$25,"apac",'Account executives'!$C$2:$C$25,"smb",'Account executives'!$H$2:$H$25,"&lt;&gt;")</f>
        <v>2</v>
      </c>
      <c r="E13" s="4">
        <f>COUNTIFS('Account executives'!$B$2:$B$25,"apac",'Account executives'!$C$2:$C$25,"smb",'Account executives'!$H$2:$H$25,"&lt;&gt;")</f>
        <v>2</v>
      </c>
      <c r="F13" s="4">
        <f>COUNTIFS('Account executives'!$B$2:$B$25,"apac",'Account executives'!$C$2:$C$25,"smb",'Account executives'!$H$2:$H$25,"&lt;&gt;")</f>
        <v>2</v>
      </c>
      <c r="G13" s="4">
        <f>COUNTIFS('Account executives'!$B$2:$B$25,"apac",'Account executives'!$C$2:$C$25,"smb",'Account executives'!$H$2:$H$25,"&lt;&gt;")</f>
        <v>2</v>
      </c>
      <c r="H13" s="4">
        <f>COUNTIFS('Account executives'!$B$2:$B$25,"apac",'Account executives'!$C$2:$C$25,"smb",'Account executives'!$H$2:$H$25,"&lt;&gt;")</f>
        <v>2</v>
      </c>
      <c r="I13" s="4">
        <f>COUNTIFS('Account executives'!$B$2:$B$25,"apac",'Account executives'!$C$2:$C$25,"smb",'Account executives'!$H$2:$H$25,"&lt;&gt;")</f>
        <v>2</v>
      </c>
      <c r="J13" s="4">
        <f>COUNTIFS('Account executives'!$B$2:$B$25,"apac",'Account executives'!$C$2:$C$25,"smb",'Account executives'!$H$2:$H$25,"&lt;&gt;")</f>
        <v>2</v>
      </c>
    </row>
    <row r="14">
      <c r="A14" s="0" t="inlineStr">
        <is>
          <t xml:space="preserve">Quota</t>
        </is>
      </c>
      <c r="B14" s="0" t="inlineStr">
        <is>
          <t xml:space="preserve">AMER East</t>
        </is>
      </c>
      <c r="C14" s="0" t="inlineStr">
        <is>
          <t xml:space="preserve">Enterprise</t>
        </is>
      </c>
      <c r="D14" s="4">
        <f>SUM('Rep quarterly'!C2:C3)</f>
        <v>375000</v>
      </c>
      <c r="E14" s="4">
        <f>SUM('Rep quarterly'!D2:D3)</f>
        <v>375000</v>
      </c>
      <c r="F14" s="4">
        <f>SUM('Rep quarterly'!E2:E3)</f>
        <v>375000</v>
      </c>
      <c r="G14" s="4">
        <f>SUM('Rep quarterly'!F2:F3)</f>
        <v>375000</v>
      </c>
      <c r="H14" s="4">
        <f>SUM('Rep quarterly'!G2:G3)</f>
        <v>375000</v>
      </c>
      <c r="I14" s="4">
        <f>SUM('Rep quarterly'!H2:H3)</f>
        <v>469000</v>
      </c>
      <c r="J14" s="4">
        <f>SUM('Rep quarterly'!I2:I3)</f>
        <v>563000</v>
      </c>
    </row>
    <row r="15">
      <c r="A15" s="0" t="inlineStr">
        <is>
          <t xml:space="preserve">Quota</t>
        </is>
      </c>
      <c r="B15" s="0" t="inlineStr">
        <is>
          <t xml:space="preserve">AMER East</t>
        </is>
      </c>
      <c r="C15" s="0" t="inlineStr">
        <is>
          <t xml:space="preserve">Mid-Market</t>
        </is>
      </c>
      <c r="D15" s="4">
        <f>SUM('Rep quarterly'!C4:C5)</f>
        <v>212000</v>
      </c>
      <c r="E15" s="4">
        <f>SUM('Rep quarterly'!D4:D5)</f>
        <v>265000</v>
      </c>
      <c r="F15" s="4">
        <f>SUM('Rep quarterly'!E4:E5)</f>
        <v>318000</v>
      </c>
      <c r="G15" s="4">
        <f>SUM('Rep quarterly'!F4:F5)</f>
        <v>371000</v>
      </c>
      <c r="H15" s="4">
        <f>SUM('Rep quarterly'!G4:G5)</f>
        <v>424000</v>
      </c>
      <c r="I15" s="4">
        <f>SUM('Rep quarterly'!H4:H5)</f>
        <v>424000</v>
      </c>
      <c r="J15" s="4">
        <f>SUM('Rep quarterly'!I4:I5)</f>
        <v>424000</v>
      </c>
    </row>
    <row r="16">
      <c r="A16" s="0" t="inlineStr">
        <is>
          <t xml:space="preserve">Quota</t>
        </is>
      </c>
      <c r="B16" s="0" t="inlineStr">
        <is>
          <t xml:space="preserve">AMER East</t>
        </is>
      </c>
      <c r="C16" s="0" t="inlineStr">
        <is>
          <t xml:space="preserve">SMB</t>
        </is>
      </c>
      <c r="D16" s="4">
        <f>SUM('Rep quarterly'!C6:C7)</f>
        <v>140000</v>
      </c>
      <c r="E16" s="4">
        <f>SUM('Rep quarterly'!D6:D7)</f>
        <v>168000</v>
      </c>
      <c r="F16" s="4">
        <f>SUM('Rep quarterly'!E6:E7)</f>
        <v>196000</v>
      </c>
      <c r="G16" s="4">
        <f>SUM('Rep quarterly'!F6:F7)</f>
        <v>224000</v>
      </c>
      <c r="H16" s="4">
        <f>SUM('Rep quarterly'!G6:G7)</f>
        <v>224000</v>
      </c>
      <c r="I16" s="4">
        <f>SUM('Rep quarterly'!H6:H7)</f>
        <v>224000</v>
      </c>
      <c r="J16" s="4">
        <f>SUM('Rep quarterly'!I6:I7)</f>
        <v>224000</v>
      </c>
    </row>
    <row r="17">
      <c r="A17" s="0" t="inlineStr">
        <is>
          <t xml:space="preserve">Quota</t>
        </is>
      </c>
      <c r="B17" s="0" t="inlineStr">
        <is>
          <t xml:space="preserve">AMER West</t>
        </is>
      </c>
      <c r="C17" s="0" t="inlineStr">
        <is>
          <t xml:space="preserve">Enterprise</t>
        </is>
      </c>
      <c r="D17" s="4">
        <f>SUM('Rep quarterly'!C8:C9)</f>
        <v>750000</v>
      </c>
      <c r="E17" s="4">
        <f>SUM('Rep quarterly'!D8:D9)</f>
        <v>750000</v>
      </c>
      <c r="F17" s="4">
        <f>SUM('Rep quarterly'!E8:E9)</f>
        <v>750000</v>
      </c>
      <c r="G17" s="4">
        <f>SUM('Rep quarterly'!F8:F9)</f>
        <v>750000</v>
      </c>
      <c r="H17" s="4">
        <f>SUM('Rep quarterly'!G8:G9)</f>
        <v>750000</v>
      </c>
      <c r="I17" s="4">
        <f>SUM('Rep quarterly'!H8:H9)</f>
        <v>750000</v>
      </c>
      <c r="J17" s="4">
        <f>SUM('Rep quarterly'!I8:I9)</f>
        <v>750000</v>
      </c>
    </row>
    <row r="18">
      <c r="A18" s="0" t="inlineStr">
        <is>
          <t xml:space="preserve">Quota</t>
        </is>
      </c>
      <c r="B18" s="0" t="inlineStr">
        <is>
          <t xml:space="preserve">AMER West</t>
        </is>
      </c>
      <c r="C18" s="0" t="inlineStr">
        <is>
          <t xml:space="preserve">Mid-Market</t>
        </is>
      </c>
      <c r="D18" s="4">
        <f>SUM('Rep quarterly'!C10:C11)</f>
        <v>212000</v>
      </c>
      <c r="E18" s="4">
        <f>SUM('Rep quarterly'!D10:D11)</f>
        <v>212000</v>
      </c>
      <c r="F18" s="4">
        <f>SUM('Rep quarterly'!E10:E11)</f>
        <v>212000</v>
      </c>
      <c r="G18" s="4">
        <f>SUM('Rep quarterly'!F10:F11)</f>
        <v>212000</v>
      </c>
      <c r="H18" s="4">
        <f>SUM('Rep quarterly'!G10:G11)</f>
        <v>265000</v>
      </c>
      <c r="I18" s="4">
        <f>SUM('Rep quarterly'!H10:H11)</f>
        <v>318000</v>
      </c>
      <c r="J18" s="4">
        <f>SUM('Rep quarterly'!I10:I11)</f>
        <v>371000</v>
      </c>
    </row>
    <row r="19">
      <c r="A19" s="0" t="inlineStr">
        <is>
          <t xml:space="preserve">Quota</t>
        </is>
      </c>
      <c r="B19" s="0" t="inlineStr">
        <is>
          <t xml:space="preserve">AMER West</t>
        </is>
      </c>
      <c r="C19" s="0" t="inlineStr">
        <is>
          <t xml:space="preserve">SMB</t>
        </is>
      </c>
      <c r="D19" s="4">
        <f>SUM('Rep quarterly'!C12:C13)</f>
        <v>224000</v>
      </c>
      <c r="E19" s="4">
        <f>SUM('Rep quarterly'!D12:D13)</f>
        <v>224000</v>
      </c>
      <c r="F19" s="4">
        <f>SUM('Rep quarterly'!E12:E13)</f>
        <v>224000</v>
      </c>
      <c r="G19" s="4">
        <f>SUM('Rep quarterly'!F12:F13)</f>
        <v>224000</v>
      </c>
      <c r="H19" s="4">
        <f>SUM('Rep quarterly'!G12:G13)</f>
        <v>224000</v>
      </c>
      <c r="I19" s="4">
        <f>SUM('Rep quarterly'!H12:H13)</f>
        <v>224000</v>
      </c>
      <c r="J19" s="4">
        <f>SUM('Rep quarterly'!I12:I13)</f>
        <v>224000</v>
      </c>
    </row>
    <row r="20">
      <c r="A20" s="0" t="inlineStr">
        <is>
          <t xml:space="preserve">Quota</t>
        </is>
      </c>
      <c r="B20" s="0" t="inlineStr">
        <is>
          <t xml:space="preserve">EMEA</t>
        </is>
      </c>
      <c r="C20" s="0" t="inlineStr">
        <is>
          <t xml:space="preserve">Enterprise</t>
        </is>
      </c>
      <c r="D20" s="4">
        <f>SUM('Rep quarterly'!C14:C15)</f>
        <v>338000</v>
      </c>
      <c r="E20" s="4">
        <f>SUM('Rep quarterly'!D14:D15)</f>
        <v>338000</v>
      </c>
      <c r="F20" s="4">
        <f>SUM('Rep quarterly'!E14:E15)</f>
        <v>338000</v>
      </c>
      <c r="G20" s="4">
        <f>SUM('Rep quarterly'!F14:F15)</f>
        <v>422000</v>
      </c>
      <c r="H20" s="4">
        <f>SUM('Rep quarterly'!G14:G15)</f>
        <v>507000</v>
      </c>
      <c r="I20" s="4">
        <f>SUM('Rep quarterly'!H14:H15)</f>
        <v>591000</v>
      </c>
      <c r="J20" s="4">
        <f>SUM('Rep quarterly'!I14:I15)</f>
        <v>676000</v>
      </c>
    </row>
    <row r="21">
      <c r="A21" s="0" t="inlineStr">
        <is>
          <t xml:space="preserve">Quota</t>
        </is>
      </c>
      <c r="B21" s="0" t="inlineStr">
        <is>
          <t xml:space="preserve">EMEA</t>
        </is>
      </c>
      <c r="C21" s="0" t="inlineStr">
        <is>
          <t xml:space="preserve">Mid-Market</t>
        </is>
      </c>
      <c r="D21" s="4">
        <f>SUM('Rep quarterly'!C16:C17)</f>
        <v>380000</v>
      </c>
      <c r="E21" s="4">
        <f>SUM('Rep quarterly'!D16:D17)</f>
        <v>380000</v>
      </c>
      <c r="F21" s="4">
        <f>SUM('Rep quarterly'!E16:E17)</f>
        <v>380000</v>
      </c>
      <c r="G21" s="4">
        <f>SUM('Rep quarterly'!F16:F17)</f>
        <v>380000</v>
      </c>
      <c r="H21" s="4">
        <f>SUM('Rep quarterly'!G16:G17)</f>
        <v>380000</v>
      </c>
      <c r="I21" s="4">
        <f>SUM('Rep quarterly'!H16:H17)</f>
        <v>380000</v>
      </c>
      <c r="J21" s="4">
        <f>SUM('Rep quarterly'!I16:I17)</f>
        <v>380000</v>
      </c>
    </row>
    <row r="22">
      <c r="A22" s="0" t="inlineStr">
        <is>
          <t xml:space="preserve">Quota</t>
        </is>
      </c>
      <c r="B22" s="0" t="inlineStr">
        <is>
          <t xml:space="preserve">EMEA</t>
        </is>
      </c>
      <c r="C22" s="0" t="inlineStr">
        <is>
          <t xml:space="preserve">SMB</t>
        </is>
      </c>
      <c r="D22" s="4">
        <f>SUM('Rep quarterly'!C18:C19)</f>
        <v>125000</v>
      </c>
      <c r="E22" s="4">
        <f>SUM('Rep quarterly'!D18:D19)</f>
        <v>150000</v>
      </c>
      <c r="F22" s="4">
        <f>SUM('Rep quarterly'!E18:E19)</f>
        <v>175000</v>
      </c>
      <c r="G22" s="4">
        <f>SUM('Rep quarterly'!F18:F19)</f>
        <v>200000</v>
      </c>
      <c r="H22" s="4">
        <f>SUM('Rep quarterly'!G18:G19)</f>
        <v>200000</v>
      </c>
      <c r="I22" s="4">
        <f>SUM('Rep quarterly'!H18:H19)</f>
        <v>200000</v>
      </c>
      <c r="J22" s="4">
        <f>SUM('Rep quarterly'!I18:I19)</f>
        <v>200000</v>
      </c>
    </row>
    <row r="23">
      <c r="A23" s="0" t="inlineStr">
        <is>
          <t xml:space="preserve">Quota</t>
        </is>
      </c>
      <c r="B23" s="0" t="inlineStr">
        <is>
          <t xml:space="preserve">APAC</t>
        </is>
      </c>
      <c r="C23" s="0" t="inlineStr">
        <is>
          <t xml:space="preserve">Enterprise</t>
        </is>
      </c>
      <c r="D23" s="4">
        <f>SUM('Rep quarterly'!C20:C21)</f>
        <v>524000</v>
      </c>
      <c r="E23" s="4">
        <f>SUM('Rep quarterly'!D20:D21)</f>
        <v>524000</v>
      </c>
      <c r="F23" s="4">
        <f>SUM('Rep quarterly'!E20:E21)</f>
        <v>524000</v>
      </c>
      <c r="G23" s="4">
        <f>SUM('Rep quarterly'!F20:F21)</f>
        <v>524000</v>
      </c>
      <c r="H23" s="4">
        <f>SUM('Rep quarterly'!G20:G21)</f>
        <v>524000</v>
      </c>
      <c r="I23" s="4">
        <f>SUM('Rep quarterly'!H20:H21)</f>
        <v>524000</v>
      </c>
      <c r="J23" s="4">
        <f>SUM('Rep quarterly'!I20:I21)</f>
        <v>524000</v>
      </c>
    </row>
    <row r="24">
      <c r="A24" s="0" t="inlineStr">
        <is>
          <t xml:space="preserve">Quota</t>
        </is>
      </c>
      <c r="B24" s="0" t="inlineStr">
        <is>
          <t xml:space="preserve">APAC</t>
        </is>
      </c>
      <c r="C24" s="0" t="inlineStr">
        <is>
          <t xml:space="preserve">Mid-Market</t>
        </is>
      </c>
      <c r="D24" s="4">
        <f>SUM('Rep quarterly'!C22:C23)</f>
        <v>262000</v>
      </c>
      <c r="E24" s="4">
        <f>SUM('Rep quarterly'!D22:D23)</f>
        <v>300000</v>
      </c>
      <c r="F24" s="4">
        <f>SUM('Rep quarterly'!E22:E23)</f>
        <v>300000</v>
      </c>
      <c r="G24" s="4">
        <f>SUM('Rep quarterly'!F22:F23)</f>
        <v>300000</v>
      </c>
      <c r="H24" s="4">
        <f>SUM('Rep quarterly'!G22:G23)</f>
        <v>300000</v>
      </c>
      <c r="I24" s="4">
        <f>SUM('Rep quarterly'!H22:H23)</f>
        <v>300000</v>
      </c>
      <c r="J24" s="4">
        <f>SUM('Rep quarterly'!I22:I23)</f>
        <v>300000</v>
      </c>
    </row>
    <row r="25">
      <c r="A25" s="0" t="inlineStr">
        <is>
          <t xml:space="preserve">Quota</t>
        </is>
      </c>
      <c r="B25" s="0" t="inlineStr">
        <is>
          <t xml:space="preserve">APAC</t>
        </is>
      </c>
      <c r="C25" s="0" t="inlineStr">
        <is>
          <t xml:space="preserve">SMB</t>
        </is>
      </c>
      <c r="D25" s="4">
        <f>SUM('Rep quarterly'!C24:C25)</f>
        <v>80000</v>
      </c>
      <c r="E25" s="4">
        <f>SUM('Rep quarterly'!D24:D25)</f>
        <v>80000</v>
      </c>
      <c r="F25" s="4">
        <f>SUM('Rep quarterly'!E24:E25)</f>
        <v>80000</v>
      </c>
      <c r="G25" s="4">
        <f>SUM('Rep quarterly'!F24:F25)</f>
        <v>80000</v>
      </c>
      <c r="H25" s="4">
        <f>SUM('Rep quarterly'!G24:G25)</f>
        <v>100000</v>
      </c>
      <c r="I25" s="4">
        <f>SUM('Rep quarterly'!H24:H25)</f>
        <v>120000</v>
      </c>
      <c r="J25" s="4">
        <f>SUM('Rep quarterly'!I24:I25)</f>
        <v>140000</v>
      </c>
    </row>
    <row r="26">
      <c r="A26" s="0" t="inlineStr">
        <is>
          <t xml:space="preserve">Bookings</t>
        </is>
      </c>
      <c r="B26" s="0" t="inlineStr">
        <is>
          <t xml:space="preserve">AMER East</t>
        </is>
      </c>
      <c r="C26" s="0" t="inlineStr">
        <is>
          <t xml:space="preserve">Enterprise</t>
        </is>
      </c>
      <c r="D26" s="4">
        <f>SUM('Rep quarterly'!C26:C27)</f>
        <v>0</v>
      </c>
      <c r="E26" s="4">
        <f>SUM('Rep quarterly'!D26:D27)</f>
        <v>0</v>
      </c>
      <c r="F26" s="4">
        <f>SUM('Rep quarterly'!E26:E27)</f>
        <v>201200</v>
      </c>
      <c r="G26" s="4">
        <f>SUM('Rep quarterly'!F26:F27)</f>
        <v>505900</v>
      </c>
      <c r="H26" s="4">
        <f>SUM('Rep quarterly'!G26:G27)</f>
        <v>436700</v>
      </c>
      <c r="I26" s="4">
        <f>SUM('Rep quarterly'!H26:H27)</f>
        <v>138600</v>
      </c>
      <c r="J26" s="4">
        <f>SUM('Rep quarterly'!I26:I27)</f>
        <v>0</v>
      </c>
    </row>
    <row r="27">
      <c r="A27" s="0" t="inlineStr">
        <is>
          <t xml:space="preserve">Bookings</t>
        </is>
      </c>
      <c r="B27" s="0" t="inlineStr">
        <is>
          <t xml:space="preserve">AMER East</t>
        </is>
      </c>
      <c r="C27" s="0" t="inlineStr">
        <is>
          <t xml:space="preserve">Mid-Market</t>
        </is>
      </c>
      <c r="D27" s="4">
        <f>SUM('Rep quarterly'!C28:C29)</f>
        <v>207800</v>
      </c>
      <c r="E27" s="4">
        <f>SUM('Rep quarterly'!D28:D29)</f>
        <v>349400</v>
      </c>
      <c r="F27" s="4">
        <f>SUM('Rep quarterly'!E28:E29)</f>
        <v>328700</v>
      </c>
      <c r="G27" s="4">
        <f>SUM('Rep quarterly'!F28:F29)</f>
        <v>450100</v>
      </c>
      <c r="H27" s="4">
        <f>SUM('Rep quarterly'!G28:G29)</f>
        <v>211600</v>
      </c>
      <c r="I27" s="4">
        <f>SUM('Rep quarterly'!H28:H29)</f>
        <v>185100</v>
      </c>
      <c r="J27" s="4">
        <f>SUM('Rep quarterly'!I28:I29)</f>
        <v>0</v>
      </c>
    </row>
    <row r="28">
      <c r="A28" s="0" t="inlineStr">
        <is>
          <t xml:space="preserve">Bookings</t>
        </is>
      </c>
      <c r="B28" s="0" t="inlineStr">
        <is>
          <t xml:space="preserve">AMER East</t>
        </is>
      </c>
      <c r="C28" s="0" t="inlineStr">
        <is>
          <t xml:space="preserve">SMB</t>
        </is>
      </c>
      <c r="D28" s="4">
        <f>SUM('Rep quarterly'!C30:C31)</f>
        <v>128400</v>
      </c>
      <c r="E28" s="4">
        <f>SUM('Rep quarterly'!D30:D31)</f>
        <v>207500</v>
      </c>
      <c r="F28" s="4">
        <f>SUM('Rep quarterly'!E30:E31)</f>
        <v>156500</v>
      </c>
      <c r="G28" s="4">
        <f>SUM('Rep quarterly'!F30:F31)</f>
        <v>119500</v>
      </c>
      <c r="H28" s="4">
        <f>SUM('Rep quarterly'!G30:G31)</f>
        <v>220600</v>
      </c>
      <c r="I28" s="4">
        <f>SUM('Rep quarterly'!H30:H31)</f>
        <v>182900</v>
      </c>
      <c r="J28" s="4">
        <f>SUM('Rep quarterly'!I30:I31)</f>
        <v>0</v>
      </c>
    </row>
    <row r="29">
      <c r="A29" s="0" t="inlineStr">
        <is>
          <t xml:space="preserve">Bookings</t>
        </is>
      </c>
      <c r="B29" s="0" t="inlineStr">
        <is>
          <t xml:space="preserve">AMER West</t>
        </is>
      </c>
      <c r="C29" s="0" t="inlineStr">
        <is>
          <t xml:space="preserve">Enterprise</t>
        </is>
      </c>
      <c r="D29" s="4">
        <f>SUM('Rep quarterly'!C32:C33)</f>
        <v>0</v>
      </c>
      <c r="E29" s="4">
        <f>SUM('Rep quarterly'!D32:D33)</f>
        <v>146800</v>
      </c>
      <c r="F29" s="4">
        <f>SUM('Rep quarterly'!E32:E33)</f>
        <v>0</v>
      </c>
      <c r="G29" s="4">
        <f>SUM('Rep quarterly'!F32:F33)</f>
        <v>1447800</v>
      </c>
      <c r="H29" s="4">
        <f>SUM('Rep quarterly'!G32:G33)</f>
        <v>408000</v>
      </c>
      <c r="I29" s="4">
        <f>SUM('Rep quarterly'!H32:H33)</f>
        <v>1194300</v>
      </c>
      <c r="J29" s="4">
        <f>SUM('Rep quarterly'!I32:I33)</f>
        <v>0</v>
      </c>
    </row>
    <row r="30">
      <c r="A30" s="0" t="inlineStr">
        <is>
          <t xml:space="preserve">Bookings</t>
        </is>
      </c>
      <c r="B30" s="0" t="inlineStr">
        <is>
          <t xml:space="preserve">AMER West</t>
        </is>
      </c>
      <c r="C30" s="0" t="inlineStr">
        <is>
          <t xml:space="preserve">Mid-Market</t>
        </is>
      </c>
      <c r="D30" s="4">
        <f>SUM('Rep quarterly'!C34:C35)</f>
        <v>72300</v>
      </c>
      <c r="E30" s="4">
        <f>SUM('Rep quarterly'!D34:D35)</f>
        <v>114000</v>
      </c>
      <c r="F30" s="4">
        <f>SUM('Rep quarterly'!E34:E35)</f>
        <v>345900</v>
      </c>
      <c r="G30" s="4">
        <f>SUM('Rep quarterly'!F34:F35)</f>
        <v>323600</v>
      </c>
      <c r="H30" s="4">
        <f>SUM('Rep quarterly'!G34:G35)</f>
        <v>794400</v>
      </c>
      <c r="I30" s="4">
        <f>SUM('Rep quarterly'!H34:H35)</f>
        <v>628300</v>
      </c>
      <c r="J30" s="4">
        <f>SUM('Rep quarterly'!I34:I35)</f>
        <v>0</v>
      </c>
    </row>
    <row r="31">
      <c r="A31" s="0" t="inlineStr">
        <is>
          <t xml:space="preserve">Bookings</t>
        </is>
      </c>
      <c r="B31" s="0" t="inlineStr">
        <is>
          <t xml:space="preserve">AMER West</t>
        </is>
      </c>
      <c r="C31" s="0" t="inlineStr">
        <is>
          <t xml:space="preserve">SMB</t>
        </is>
      </c>
      <c r="D31" s="4">
        <f>SUM('Rep quarterly'!C36:C37)</f>
        <v>151200</v>
      </c>
      <c r="E31" s="4">
        <f>SUM('Rep quarterly'!D36:D37)</f>
        <v>187600</v>
      </c>
      <c r="F31" s="4">
        <f>SUM('Rep quarterly'!E36:E37)</f>
        <v>237400</v>
      </c>
      <c r="G31" s="4">
        <f>SUM('Rep quarterly'!F36:F37)</f>
        <v>182200</v>
      </c>
      <c r="H31" s="4">
        <f>SUM('Rep quarterly'!G36:G37)</f>
        <v>130100</v>
      </c>
      <c r="I31" s="4">
        <f>SUM('Rep quarterly'!H36:H37)</f>
        <v>126300</v>
      </c>
      <c r="J31" s="4">
        <f>SUM('Rep quarterly'!I36:I37)</f>
        <v>0</v>
      </c>
    </row>
    <row r="32">
      <c r="A32" s="0" t="inlineStr">
        <is>
          <t xml:space="preserve">Bookings</t>
        </is>
      </c>
      <c r="B32" s="0" t="inlineStr">
        <is>
          <t xml:space="preserve">EMEA</t>
        </is>
      </c>
      <c r="C32" s="0" t="inlineStr">
        <is>
          <t xml:space="preserve">Enterprise</t>
        </is>
      </c>
      <c r="D32" s="4">
        <f>SUM('Rep quarterly'!C38:C39)</f>
        <v>245800</v>
      </c>
      <c r="E32" s="4">
        <f>SUM('Rep quarterly'!D38:D39)</f>
        <v>732500</v>
      </c>
      <c r="F32" s="4">
        <f>SUM('Rep quarterly'!E38:E39)</f>
        <v>271600</v>
      </c>
      <c r="G32" s="4">
        <f>SUM('Rep quarterly'!F38:F39)</f>
        <v>566100</v>
      </c>
      <c r="H32" s="4">
        <f>SUM('Rep quarterly'!G38:G39)</f>
        <v>517000</v>
      </c>
      <c r="I32" s="4">
        <f>SUM('Rep quarterly'!H38:H39)</f>
        <v>469500</v>
      </c>
      <c r="J32" s="4">
        <f>SUM('Rep quarterly'!I38:I39)</f>
        <v>0</v>
      </c>
    </row>
    <row r="33">
      <c r="A33" s="0" t="inlineStr">
        <is>
          <t xml:space="preserve">Bookings</t>
        </is>
      </c>
      <c r="B33" s="0" t="inlineStr">
        <is>
          <t xml:space="preserve">EMEA</t>
        </is>
      </c>
      <c r="C33" s="0" t="inlineStr">
        <is>
          <t xml:space="preserve">Mid-Market</t>
        </is>
      </c>
      <c r="D33" s="4">
        <f>SUM('Rep quarterly'!C40:C41)</f>
        <v>392200</v>
      </c>
      <c r="E33" s="4">
        <f>SUM('Rep quarterly'!D40:D41)</f>
        <v>429200</v>
      </c>
      <c r="F33" s="4">
        <f>SUM('Rep quarterly'!E40:E41)</f>
        <v>492500</v>
      </c>
      <c r="G33" s="4">
        <f>SUM('Rep quarterly'!F40:F41)</f>
        <v>315600</v>
      </c>
      <c r="H33" s="4">
        <f>SUM('Rep quarterly'!G40:G41)</f>
        <v>294100</v>
      </c>
      <c r="I33" s="4">
        <f>SUM('Rep quarterly'!H40:H41)</f>
        <v>244000</v>
      </c>
      <c r="J33" s="4">
        <f>SUM('Rep quarterly'!I40:I41)</f>
        <v>0</v>
      </c>
    </row>
    <row r="34">
      <c r="A34" s="0" t="inlineStr">
        <is>
          <t xml:space="preserve">Bookings</t>
        </is>
      </c>
      <c r="B34" s="0" t="inlineStr">
        <is>
          <t xml:space="preserve">EMEA</t>
        </is>
      </c>
      <c r="C34" s="0" t="inlineStr">
        <is>
          <t xml:space="preserve">SMB</t>
        </is>
      </c>
      <c r="D34" s="4">
        <f>SUM('Rep quarterly'!C42:C43)</f>
        <v>37400</v>
      </c>
      <c r="E34" s="4">
        <f>SUM('Rep quarterly'!D42:D43)</f>
        <v>225600</v>
      </c>
      <c r="F34" s="4">
        <f>SUM('Rep quarterly'!E42:E43)</f>
        <v>198600</v>
      </c>
      <c r="G34" s="4">
        <f>SUM('Rep quarterly'!F42:F43)</f>
        <v>293300</v>
      </c>
      <c r="H34" s="4">
        <f>SUM('Rep quarterly'!G42:G43)</f>
        <v>144600</v>
      </c>
      <c r="I34" s="4">
        <f>SUM('Rep quarterly'!H42:H43)</f>
        <v>174300</v>
      </c>
      <c r="J34" s="4">
        <f>SUM('Rep quarterly'!I42:I43)</f>
        <v>0</v>
      </c>
    </row>
    <row r="35">
      <c r="A35" s="0" t="inlineStr">
        <is>
          <t xml:space="preserve">Bookings</t>
        </is>
      </c>
      <c r="B35" s="0" t="inlineStr">
        <is>
          <t xml:space="preserve">APAC</t>
        </is>
      </c>
      <c r="C35" s="0" t="inlineStr">
        <is>
          <t xml:space="preserve">Enterprise</t>
        </is>
      </c>
      <c r="D35" s="4">
        <f>SUM('Rep quarterly'!C44:C45)</f>
        <v>99700</v>
      </c>
      <c r="E35" s="4">
        <f>SUM('Rep quarterly'!D44:D45)</f>
        <v>427200</v>
      </c>
      <c r="F35" s="4">
        <f>SUM('Rep quarterly'!E44:E45)</f>
        <v>64300</v>
      </c>
      <c r="G35" s="4">
        <f>SUM('Rep quarterly'!F44:F45)</f>
        <v>89800</v>
      </c>
      <c r="H35" s="4">
        <f>SUM('Rep quarterly'!G44:G45)</f>
        <v>188400</v>
      </c>
      <c r="I35" s="4">
        <f>SUM('Rep quarterly'!H44:H45)</f>
        <v>261000</v>
      </c>
      <c r="J35" s="4">
        <f>SUM('Rep quarterly'!I44:I45)</f>
        <v>0</v>
      </c>
    </row>
    <row r="36">
      <c r="A36" s="0" t="inlineStr">
        <is>
          <t xml:space="preserve">Bookings</t>
        </is>
      </c>
      <c r="B36" s="0" t="inlineStr">
        <is>
          <t xml:space="preserve">APAC</t>
        </is>
      </c>
      <c r="C36" s="0" t="inlineStr">
        <is>
          <t xml:space="preserve">Mid-Market</t>
        </is>
      </c>
      <c r="D36" s="4">
        <f>SUM('Rep quarterly'!C46:C47)</f>
        <v>136200</v>
      </c>
      <c r="E36" s="4">
        <f>SUM('Rep quarterly'!D46:D47)</f>
        <v>363700</v>
      </c>
      <c r="F36" s="4">
        <f>SUM('Rep quarterly'!E46:E47)</f>
        <v>406200</v>
      </c>
      <c r="G36" s="4">
        <f>SUM('Rep quarterly'!F46:F47)</f>
        <v>137200</v>
      </c>
      <c r="H36" s="4">
        <f>SUM('Rep quarterly'!G46:G47)</f>
        <v>377800</v>
      </c>
      <c r="I36" s="4">
        <f>SUM('Rep quarterly'!H46:H47)</f>
        <v>353800</v>
      </c>
      <c r="J36" s="4">
        <f>SUM('Rep quarterly'!I46:I47)</f>
        <v>0</v>
      </c>
    </row>
    <row r="37">
      <c r="A37" s="0" t="inlineStr">
        <is>
          <t xml:space="preserve">Bookings</t>
        </is>
      </c>
      <c r="B37" s="0" t="inlineStr">
        <is>
          <t xml:space="preserve">APAC</t>
        </is>
      </c>
      <c r="C37" s="0" t="inlineStr">
        <is>
          <t xml:space="preserve">SMB</t>
        </is>
      </c>
      <c r="D37" s="4">
        <f>SUM('Rep quarterly'!C48:C49)</f>
        <v>0</v>
      </c>
      <c r="E37" s="4">
        <f>SUM('Rep quarterly'!D48:D49)</f>
        <v>124300</v>
      </c>
      <c r="F37" s="4">
        <f>SUM('Rep quarterly'!E48:E49)</f>
        <v>83400</v>
      </c>
      <c r="G37" s="4">
        <f>SUM('Rep quarterly'!F48:F49)</f>
        <v>30900</v>
      </c>
      <c r="H37" s="4">
        <f>SUM('Rep quarterly'!G48:G49)</f>
        <v>131700</v>
      </c>
      <c r="I37" s="4">
        <f>SUM('Rep quarterly'!H48:H49)</f>
        <v>145700</v>
      </c>
      <c r="J37" s="4">
        <f>SUM('Rep quarterly'!I48:I49)</f>
        <v>0</v>
      </c>
    </row>
    <row r="38">
      <c r="A38" s="0" t="inlineStr">
        <is>
          <t xml:space="preserve">Attainment</t>
        </is>
      </c>
      <c r="B38" s="0" t="inlineStr">
        <is>
          <t xml:space="preserve">AMER East</t>
        </is>
      </c>
      <c r="C38" s="0" t="inlineStr">
        <is>
          <t xml:space="preserve">Enterprise</t>
        </is>
      </c>
      <c r="D38" s="12">
        <f>IF((0=1),"",IFERROR((D26/D14),0))</f>
        <v>0</v>
      </c>
      <c r="E38" s="12">
        <f>IF((0=1),"",IFERROR((E26/E14),0))</f>
        <v>0</v>
      </c>
      <c r="F38" s="12">
        <f>IF((0=1),"",IFERROR((F26/F14),0))</f>
        <v>0.5365333333333333</v>
      </c>
      <c r="G38" s="12">
        <f>IF((0=1),"",IFERROR((G26/G14),0))</f>
        <v>1.3490666666666666</v>
      </c>
      <c r="H38" s="12">
        <f>IF((0=1),"",IFERROR((H26/H14),0))</f>
        <v>1.1645333333333334</v>
      </c>
      <c r="I38" s="12">
        <f>IF((0=1),"",IFERROR((I26/I14),0))</f>
        <v>0.2955223880597015</v>
      </c>
      <c r="J38" s="12">
        <f>IF((1=1),"",IFERROR((J26/J14),0))</f>
      </c>
    </row>
    <row r="39">
      <c r="A39" s="0" t="inlineStr">
        <is>
          <t xml:space="preserve">Attainment</t>
        </is>
      </c>
      <c r="B39" s="0" t="inlineStr">
        <is>
          <t xml:space="preserve">AMER East</t>
        </is>
      </c>
      <c r="C39" s="0" t="inlineStr">
        <is>
          <t xml:space="preserve">Mid-Market</t>
        </is>
      </c>
      <c r="D39" s="12">
        <f>IF((0=1),"",IFERROR((D27/D15),0))</f>
        <v>0.980188679245283</v>
      </c>
      <c r="E39" s="12">
        <f>IF((0=1),"",IFERROR((E27/E15),0))</f>
        <v>1.318490566037736</v>
      </c>
      <c r="F39" s="12">
        <f>IF((0=1),"",IFERROR((F27/F15),0))</f>
        <v>1.0336477987421384</v>
      </c>
      <c r="G39" s="12">
        <f>IF((0=1),"",IFERROR((G27/G15),0))</f>
        <v>1.2132075471698114</v>
      </c>
      <c r="H39" s="12">
        <f>IF((0=1),"",IFERROR((H27/H15),0))</f>
        <v>0.4990566037735849</v>
      </c>
      <c r="I39" s="12">
        <f>IF((0=1),"",IFERROR((I27/I15),0))</f>
        <v>0.4365566037735849</v>
      </c>
      <c r="J39" s="12">
        <f>IF((1=1),"",IFERROR((J27/J15),0))</f>
      </c>
    </row>
    <row r="40">
      <c r="A40" s="0" t="inlineStr">
        <is>
          <t xml:space="preserve">Attainment</t>
        </is>
      </c>
      <c r="B40" s="0" t="inlineStr">
        <is>
          <t xml:space="preserve">AMER East</t>
        </is>
      </c>
      <c r="C40" s="0" t="inlineStr">
        <is>
          <t xml:space="preserve">SMB</t>
        </is>
      </c>
      <c r="D40" s="12">
        <f>IF((0=1),"",IFERROR((D28/D16),0))</f>
        <v>0.9171428571428571</v>
      </c>
      <c r="E40" s="12">
        <f>IF((0=1),"",IFERROR((E28/E16),0))</f>
        <v>1.2351190476190477</v>
      </c>
      <c r="F40" s="12">
        <f>IF((0=1),"",IFERROR((F28/F16),0))</f>
        <v>0.798469387755102</v>
      </c>
      <c r="G40" s="12">
        <f>IF((0=1),"",IFERROR((G28/G16),0))</f>
        <v>0.5334821428571429</v>
      </c>
      <c r="H40" s="12">
        <f>IF((0=1),"",IFERROR((H28/H16),0))</f>
        <v>0.9848214285714286</v>
      </c>
      <c r="I40" s="12">
        <f>IF((0=1),"",IFERROR((I28/I16),0))</f>
        <v>0.8165178571428572</v>
      </c>
      <c r="J40" s="12">
        <f>IF((1=1),"",IFERROR((J28/J16),0))</f>
      </c>
    </row>
    <row r="41">
      <c r="A41" s="0" t="inlineStr">
        <is>
          <t xml:space="preserve">Attainment</t>
        </is>
      </c>
      <c r="B41" s="0" t="inlineStr">
        <is>
          <t xml:space="preserve">AMER West</t>
        </is>
      </c>
      <c r="C41" s="0" t="inlineStr">
        <is>
          <t xml:space="preserve">Enterprise</t>
        </is>
      </c>
      <c r="D41" s="12">
        <f>IF((0=1),"",IFERROR((D29/D17),0))</f>
        <v>0</v>
      </c>
      <c r="E41" s="12">
        <f>IF((0=1),"",IFERROR((E29/E17),0))</f>
        <v>0.19573333333333334</v>
      </c>
      <c r="F41" s="12">
        <f>IF((0=1),"",IFERROR((F29/F17),0))</f>
        <v>0</v>
      </c>
      <c r="G41" s="12">
        <f>IF((0=1),"",IFERROR((G29/G17),0))</f>
        <v>1.9304</v>
      </c>
      <c r="H41" s="12">
        <f>IF((0=1),"",IFERROR((H29/H17),0))</f>
        <v>0.544</v>
      </c>
      <c r="I41" s="12">
        <f>IF((0=1),"",IFERROR((I29/I17),0))</f>
        <v>1.5924</v>
      </c>
      <c r="J41" s="12">
        <f>IF((1=1),"",IFERROR((J29/J17),0))</f>
      </c>
    </row>
    <row r="42">
      <c r="A42" s="0" t="inlineStr">
        <is>
          <t xml:space="preserve">Attainment</t>
        </is>
      </c>
      <c r="B42" s="0" t="inlineStr">
        <is>
          <t xml:space="preserve">AMER West</t>
        </is>
      </c>
      <c r="C42" s="0" t="inlineStr">
        <is>
          <t xml:space="preserve">Mid-Market</t>
        </is>
      </c>
      <c r="D42" s="12">
        <f>IF((0=1),"",IFERROR((D30/D18),0))</f>
        <v>0.3410377358490566</v>
      </c>
      <c r="E42" s="12">
        <f>IF((0=1),"",IFERROR((E30/E18),0))</f>
        <v>0.5377358490566038</v>
      </c>
      <c r="F42" s="12">
        <f>IF((0=1),"",IFERROR((F30/F18),0))</f>
        <v>1.6316037735849056</v>
      </c>
      <c r="G42" s="12">
        <f>IF((0=1),"",IFERROR((G30/G18),0))</f>
        <v>1.5264150943396226</v>
      </c>
      <c r="H42" s="12">
        <f>IF((0=1),"",IFERROR((H30/H18),0))</f>
        <v>2.9977358490566037</v>
      </c>
      <c r="I42" s="12">
        <f>IF((0=1),"",IFERROR((I30/I18),0))</f>
        <v>1.9757861635220126</v>
      </c>
      <c r="J42" s="12">
        <f>IF((1=1),"",IFERROR((J30/J18),0))</f>
      </c>
    </row>
    <row r="43">
      <c r="A43" s="0" t="inlineStr">
        <is>
          <t xml:space="preserve">Attainment</t>
        </is>
      </c>
      <c r="B43" s="0" t="inlineStr">
        <is>
          <t xml:space="preserve">AMER West</t>
        </is>
      </c>
      <c r="C43" s="0" t="inlineStr">
        <is>
          <t xml:space="preserve">SMB</t>
        </is>
      </c>
      <c r="D43" s="12">
        <f>IF((0=1),"",IFERROR((D31/D19),0))</f>
        <v>0.675</v>
      </c>
      <c r="E43" s="12">
        <f>IF((0=1),"",IFERROR((E31/E19),0))</f>
        <v>0.8375</v>
      </c>
      <c r="F43" s="12">
        <f>IF((0=1),"",IFERROR((F31/F19),0))</f>
        <v>1.0598214285714285</v>
      </c>
      <c r="G43" s="12">
        <f>IF((0=1),"",IFERROR((G31/G19),0))</f>
        <v>0.8133928571428571</v>
      </c>
      <c r="H43" s="12">
        <f>IF((0=1),"",IFERROR((H31/H19),0))</f>
        <v>0.5808035714285714</v>
      </c>
      <c r="I43" s="12">
        <f>IF((0=1),"",IFERROR((I31/I19),0))</f>
        <v>0.5638392857142858</v>
      </c>
      <c r="J43" s="12">
        <f>IF((1=1),"",IFERROR((J31/J19),0))</f>
      </c>
    </row>
    <row r="44">
      <c r="A44" s="0" t="inlineStr">
        <is>
          <t xml:space="preserve">Attainment</t>
        </is>
      </c>
      <c r="B44" s="0" t="inlineStr">
        <is>
          <t xml:space="preserve">EMEA</t>
        </is>
      </c>
      <c r="C44" s="0" t="inlineStr">
        <is>
          <t xml:space="preserve">Enterprise</t>
        </is>
      </c>
      <c r="D44" s="12">
        <f>IF((0=1),"",IFERROR((D32/D20),0))</f>
        <v>0.7272189349112426</v>
      </c>
      <c r="E44" s="12">
        <f>IF((0=1),"",IFERROR((E32/E20),0))</f>
        <v>2.1671597633136095</v>
      </c>
      <c r="F44" s="12">
        <f>IF((0=1),"",IFERROR((F32/F20),0))</f>
        <v>0.8035502958579882</v>
      </c>
      <c r="G44" s="12">
        <f>IF((0=1),"",IFERROR((G32/G20),0))</f>
        <v>1.341469194312796</v>
      </c>
      <c r="H44" s="12">
        <f>IF((0=1),"",IFERROR((H32/H20),0))</f>
        <v>1.0197238658777121</v>
      </c>
      <c r="I44" s="12">
        <f>IF((0=1),"",IFERROR((I32/I20),0))</f>
        <v>0.7944162436548223</v>
      </c>
      <c r="J44" s="12">
        <f>IF((1=1),"",IFERROR((J32/J20),0))</f>
      </c>
    </row>
    <row r="45">
      <c r="A45" s="0" t="inlineStr">
        <is>
          <t xml:space="preserve">Attainment</t>
        </is>
      </c>
      <c r="B45" s="0" t="inlineStr">
        <is>
          <t xml:space="preserve">EMEA</t>
        </is>
      </c>
      <c r="C45" s="0" t="inlineStr">
        <is>
          <t xml:space="preserve">Mid-Market</t>
        </is>
      </c>
      <c r="D45" s="12">
        <f>IF((0=1),"",IFERROR((D33/D21),0))</f>
        <v>1.0321052631578946</v>
      </c>
      <c r="E45" s="12">
        <f>IF((0=1),"",IFERROR((E33/E21),0))</f>
        <v>1.1294736842105264</v>
      </c>
      <c r="F45" s="12">
        <f>IF((0=1),"",IFERROR((F33/F21),0))</f>
        <v>1.2960526315789473</v>
      </c>
      <c r="G45" s="12">
        <f>IF((0=1),"",IFERROR((G33/G21),0))</f>
        <v>0.8305263157894737</v>
      </c>
      <c r="H45" s="12">
        <f>IF((0=1),"",IFERROR((H33/H21),0))</f>
        <v>0.7739473684210526</v>
      </c>
      <c r="I45" s="12">
        <f>IF((0=1),"",IFERROR((I33/I21),0))</f>
        <v>0.6421052631578947</v>
      </c>
      <c r="J45" s="12">
        <f>IF((1=1),"",IFERROR((J33/J21),0))</f>
      </c>
    </row>
    <row r="46">
      <c r="A46" s="0" t="inlineStr">
        <is>
          <t xml:space="preserve">Attainment</t>
        </is>
      </c>
      <c r="B46" s="0" t="inlineStr">
        <is>
          <t xml:space="preserve">EMEA</t>
        </is>
      </c>
      <c r="C46" s="0" t="inlineStr">
        <is>
          <t xml:space="preserve">SMB</t>
        </is>
      </c>
      <c r="D46" s="12">
        <f>IF((0=1),"",IFERROR((D34/D22),0))</f>
        <v>0.2992</v>
      </c>
      <c r="E46" s="12">
        <f>IF((0=1),"",IFERROR((E34/E22),0))</f>
        <v>1.504</v>
      </c>
      <c r="F46" s="12">
        <f>IF((0=1),"",IFERROR((F34/F22),0))</f>
        <v>1.1348571428571428</v>
      </c>
      <c r="G46" s="12">
        <f>IF((0=1),"",IFERROR((G34/G22),0))</f>
        <v>1.4665</v>
      </c>
      <c r="H46" s="12">
        <f>IF((0=1),"",IFERROR((H34/H22),0))</f>
        <v>0.723</v>
      </c>
      <c r="I46" s="12">
        <f>IF((0=1),"",IFERROR((I34/I22),0))</f>
        <v>0.8715</v>
      </c>
      <c r="J46" s="12">
        <f>IF((1=1),"",IFERROR((J34/J22),0))</f>
      </c>
    </row>
    <row r="47">
      <c r="A47" s="0" t="inlineStr">
        <is>
          <t xml:space="preserve">Attainment</t>
        </is>
      </c>
      <c r="B47" s="0" t="inlineStr">
        <is>
          <t xml:space="preserve">APAC</t>
        </is>
      </c>
      <c r="C47" s="0" t="inlineStr">
        <is>
          <t xml:space="preserve">Enterprise</t>
        </is>
      </c>
      <c r="D47" s="12">
        <f>IF((0=1),"",IFERROR((D35/D23),0))</f>
        <v>0.19026717557251907</v>
      </c>
      <c r="E47" s="12">
        <f>IF((0=1),"",IFERROR((E35/E23),0))</f>
        <v>0.815267175572519</v>
      </c>
      <c r="F47" s="12">
        <f>IF((0=1),"",IFERROR((F35/F23),0))</f>
        <v>0.12270992366412213</v>
      </c>
      <c r="G47" s="12">
        <f>IF((0=1),"",IFERROR((G35/G23),0))</f>
        <v>0.1713740458015267</v>
      </c>
      <c r="H47" s="12">
        <f>IF((0=1),"",IFERROR((H35/H23),0))</f>
        <v>0.35954198473282445</v>
      </c>
      <c r="I47" s="12">
        <f>IF((0=1),"",IFERROR((I35/I23),0))</f>
        <v>0.49809160305343514</v>
      </c>
      <c r="J47" s="12">
        <f>IF((1=1),"",IFERROR((J35/J23),0))</f>
      </c>
    </row>
    <row r="48">
      <c r="A48" s="0" t="inlineStr">
        <is>
          <t xml:space="preserve">Attainment</t>
        </is>
      </c>
      <c r="B48" s="0" t="inlineStr">
        <is>
          <t xml:space="preserve">APAC</t>
        </is>
      </c>
      <c r="C48" s="0" t="inlineStr">
        <is>
          <t xml:space="preserve">Mid-Market</t>
        </is>
      </c>
      <c r="D48" s="12">
        <f>IF((0=1),"",IFERROR((D36/D24),0))</f>
        <v>0.5198473282442748</v>
      </c>
      <c r="E48" s="12">
        <f>IF((0=1),"",IFERROR((E36/E24),0))</f>
        <v>1.2123333333333333</v>
      </c>
      <c r="F48" s="12">
        <f>IF((0=1),"",IFERROR((F36/F24),0))</f>
        <v>1.354</v>
      </c>
      <c r="G48" s="12">
        <f>IF((0=1),"",IFERROR((G36/G24),0))</f>
        <v>0.4573333333333333</v>
      </c>
      <c r="H48" s="12">
        <f>IF((0=1),"",IFERROR((H36/H24),0))</f>
        <v>1.2593333333333334</v>
      </c>
      <c r="I48" s="12">
        <f>IF((0=1),"",IFERROR((I36/I24),0))</f>
        <v>1.1793333333333333</v>
      </c>
      <c r="J48" s="12">
        <f>IF((1=1),"",IFERROR((J36/J24),0))</f>
      </c>
    </row>
    <row r="49">
      <c r="A49" s="0" t="inlineStr">
        <is>
          <t xml:space="preserve">Attainment</t>
        </is>
      </c>
      <c r="B49" s="0" t="inlineStr">
        <is>
          <t xml:space="preserve">APAC</t>
        </is>
      </c>
      <c r="C49" s="0" t="inlineStr">
        <is>
          <t xml:space="preserve">SMB</t>
        </is>
      </c>
      <c r="D49" s="12">
        <f>IF((0=1),"",IFERROR((D37/D25),0))</f>
        <v>0</v>
      </c>
      <c r="E49" s="12">
        <f>IF((0=1),"",IFERROR((E37/E25),0))</f>
        <v>1.55375</v>
      </c>
      <c r="F49" s="12">
        <f>IF((0=1),"",IFERROR((F37/F25),0))</f>
        <v>1.0425</v>
      </c>
      <c r="G49" s="12">
        <f>IF((0=1),"",IFERROR((G37/G25),0))</f>
        <v>0.38625</v>
      </c>
      <c r="H49" s="12">
        <f>IF((0=1),"",IFERROR((H37/H25),0))</f>
        <v>1.317</v>
      </c>
      <c r="I49" s="12">
        <f>IF((0=1),"",IFERROR((I37/I25),0))</f>
        <v>1.2141666666666666</v>
      </c>
      <c r="J49" s="12">
        <f>IF((1=1),"",IFERROR((J37/J25),0))</f>
      </c>
    </row>
    <row r="50">
      <c r="A50" s="0" t="inlineStr">
        <is>
          <t xml:space="preserve">Bookings per rep</t>
        </is>
      </c>
      <c r="B50" s="0" t="inlineStr">
        <is>
          <t xml:space="preserve">AMER East</t>
        </is>
      </c>
      <c r="C50" s="0" t="inlineStr">
        <is>
          <t xml:space="preserve">Enterprise</t>
        </is>
      </c>
      <c r="D50" s="4">
        <f>IFERROR((D26/D2),0)</f>
        <v>0</v>
      </c>
      <c r="E50" s="4">
        <f>IFERROR((E26/E2),0)</f>
        <v>0</v>
      </c>
      <c r="F50" s="4">
        <f>IFERROR((F26/F2),0)</f>
        <v>100600</v>
      </c>
      <c r="G50" s="4">
        <f>IFERROR((G26/G2),0)</f>
        <v>252950</v>
      </c>
      <c r="H50" s="4">
        <f>IFERROR((H26/H2),0)</f>
        <v>218350</v>
      </c>
      <c r="I50" s="4">
        <f>IFERROR((I26/I2),0)</f>
        <v>69300</v>
      </c>
      <c r="J50" s="4">
        <f>IFERROR((J26/J2),0)</f>
        <v>0</v>
      </c>
    </row>
    <row r="51">
      <c r="A51" s="0" t="inlineStr">
        <is>
          <t xml:space="preserve">Bookings per rep</t>
        </is>
      </c>
      <c r="B51" s="0" t="inlineStr">
        <is>
          <t xml:space="preserve">AMER East</t>
        </is>
      </c>
      <c r="C51" s="0" t="inlineStr">
        <is>
          <t xml:space="preserve">Mid-Market</t>
        </is>
      </c>
      <c r="D51" s="4">
        <f>IFERROR((D27/D3),0)</f>
        <v>103900</v>
      </c>
      <c r="E51" s="4">
        <f>IFERROR((E27/E3),0)</f>
        <v>174700</v>
      </c>
      <c r="F51" s="4">
        <f>IFERROR((F27/F3),0)</f>
        <v>164350</v>
      </c>
      <c r="G51" s="4">
        <f>IFERROR((G27/G3),0)</f>
        <v>225050</v>
      </c>
      <c r="H51" s="4">
        <f>IFERROR((H27/H3),0)</f>
        <v>105800</v>
      </c>
      <c r="I51" s="4">
        <f>IFERROR((I27/I3),0)</f>
        <v>92550</v>
      </c>
      <c r="J51" s="4">
        <f>IFERROR((J27/J3),0)</f>
        <v>0</v>
      </c>
    </row>
    <row r="52">
      <c r="A52" s="0" t="inlineStr">
        <is>
          <t xml:space="preserve">Bookings per rep</t>
        </is>
      </c>
      <c r="B52" s="0" t="inlineStr">
        <is>
          <t xml:space="preserve">AMER East</t>
        </is>
      </c>
      <c r="C52" s="0" t="inlineStr">
        <is>
          <t xml:space="preserve">SMB</t>
        </is>
      </c>
      <c r="D52" s="4">
        <f>IFERROR((D28/D4),0)</f>
        <v>64200</v>
      </c>
      <c r="E52" s="4">
        <f>IFERROR((E28/E4),0)</f>
        <v>103750</v>
      </c>
      <c r="F52" s="4">
        <f>IFERROR((F28/F4),0)</f>
        <v>78250</v>
      </c>
      <c r="G52" s="4">
        <f>IFERROR((G28/G4),0)</f>
        <v>59750</v>
      </c>
      <c r="H52" s="4">
        <f>IFERROR((H28/H4),0)</f>
        <v>110300</v>
      </c>
      <c r="I52" s="4">
        <f>IFERROR((I28/I4),0)</f>
        <v>91450</v>
      </c>
      <c r="J52" s="4">
        <f>IFERROR((J28/J4),0)</f>
        <v>0</v>
      </c>
    </row>
    <row r="53">
      <c r="A53" s="0" t="inlineStr">
        <is>
          <t xml:space="preserve">Bookings per rep</t>
        </is>
      </c>
      <c r="B53" s="0" t="inlineStr">
        <is>
          <t xml:space="preserve">AMER West</t>
        </is>
      </c>
      <c r="C53" s="0" t="inlineStr">
        <is>
          <t xml:space="preserve">Enterprise</t>
        </is>
      </c>
      <c r="D53" s="4">
        <f>IFERROR((D29/D5),0)</f>
        <v>0</v>
      </c>
      <c r="E53" s="4">
        <f>IFERROR((E29/E5),0)</f>
        <v>73400</v>
      </c>
      <c r="F53" s="4">
        <f>IFERROR((F29/F5),0)</f>
        <v>0</v>
      </c>
      <c r="G53" s="4">
        <f>IFERROR((G29/G5),0)</f>
        <v>723900</v>
      </c>
      <c r="H53" s="4">
        <f>IFERROR((H29/H5),0)</f>
        <v>204000</v>
      </c>
      <c r="I53" s="4">
        <f>IFERROR((I29/I5),0)</f>
        <v>597150</v>
      </c>
      <c r="J53" s="4">
        <f>IFERROR((J29/J5),0)</f>
        <v>0</v>
      </c>
    </row>
    <row r="54">
      <c r="A54" s="0" t="inlineStr">
        <is>
          <t xml:space="preserve">Bookings per rep</t>
        </is>
      </c>
      <c r="B54" s="0" t="inlineStr">
        <is>
          <t xml:space="preserve">AMER West</t>
        </is>
      </c>
      <c r="C54" s="0" t="inlineStr">
        <is>
          <t xml:space="preserve">Mid-Market</t>
        </is>
      </c>
      <c r="D54" s="4">
        <f>IFERROR((D30/D6),0)</f>
        <v>36150</v>
      </c>
      <c r="E54" s="4">
        <f>IFERROR((E30/E6),0)</f>
        <v>57000</v>
      </c>
      <c r="F54" s="4">
        <f>IFERROR((F30/F6),0)</f>
        <v>172950</v>
      </c>
      <c r="G54" s="4">
        <f>IFERROR((G30/G6),0)</f>
        <v>161800</v>
      </c>
      <c r="H54" s="4">
        <f>IFERROR((H30/H6),0)</f>
        <v>397200</v>
      </c>
      <c r="I54" s="4">
        <f>IFERROR((I30/I6),0)</f>
        <v>314150</v>
      </c>
      <c r="J54" s="4">
        <f>IFERROR((J30/J6),0)</f>
        <v>0</v>
      </c>
    </row>
    <row r="55">
      <c r="A55" s="0" t="inlineStr">
        <is>
          <t xml:space="preserve">Bookings per rep</t>
        </is>
      </c>
      <c r="B55" s="0" t="inlineStr">
        <is>
          <t xml:space="preserve">AMER West</t>
        </is>
      </c>
      <c r="C55" s="0" t="inlineStr">
        <is>
          <t xml:space="preserve">SMB</t>
        </is>
      </c>
      <c r="D55" s="4">
        <f>IFERROR((D31/D7),0)</f>
        <v>75600</v>
      </c>
      <c r="E55" s="4">
        <f>IFERROR((E31/E7),0)</f>
        <v>93800</v>
      </c>
      <c r="F55" s="4">
        <f>IFERROR((F31/F7),0)</f>
        <v>118700</v>
      </c>
      <c r="G55" s="4">
        <f>IFERROR((G31/G7),0)</f>
        <v>91100</v>
      </c>
      <c r="H55" s="4">
        <f>IFERROR((H31/H7),0)</f>
        <v>65050</v>
      </c>
      <c r="I55" s="4">
        <f>IFERROR((I31/I7),0)</f>
        <v>63150</v>
      </c>
      <c r="J55" s="4">
        <f>IFERROR((J31/J7),0)</f>
        <v>0</v>
      </c>
    </row>
    <row r="56">
      <c r="A56" s="0" t="inlineStr">
        <is>
          <t xml:space="preserve">Bookings per rep</t>
        </is>
      </c>
      <c r="B56" s="0" t="inlineStr">
        <is>
          <t xml:space="preserve">EMEA</t>
        </is>
      </c>
      <c r="C56" s="0" t="inlineStr">
        <is>
          <t xml:space="preserve">Enterprise</t>
        </is>
      </c>
      <c r="D56" s="4">
        <f>IFERROR((D32/D8),0)</f>
        <v>122900</v>
      </c>
      <c r="E56" s="4">
        <f>IFERROR((E32/E8),0)</f>
        <v>366250</v>
      </c>
      <c r="F56" s="4">
        <f>IFERROR((F32/F8),0)</f>
        <v>135800</v>
      </c>
      <c r="G56" s="4">
        <f>IFERROR((G32/G8),0)</f>
        <v>283050</v>
      </c>
      <c r="H56" s="4">
        <f>IFERROR((H32/H8),0)</f>
        <v>258500</v>
      </c>
      <c r="I56" s="4">
        <f>IFERROR((I32/I8),0)</f>
        <v>234750</v>
      </c>
      <c r="J56" s="4">
        <f>IFERROR((J32/J8),0)</f>
        <v>0</v>
      </c>
    </row>
    <row r="57">
      <c r="A57" s="0" t="inlineStr">
        <is>
          <t xml:space="preserve">Bookings per rep</t>
        </is>
      </c>
      <c r="B57" s="0" t="inlineStr">
        <is>
          <t xml:space="preserve">EMEA</t>
        </is>
      </c>
      <c r="C57" s="0" t="inlineStr">
        <is>
          <t xml:space="preserve">Mid-Market</t>
        </is>
      </c>
      <c r="D57" s="4">
        <f>IFERROR((D33/D9),0)</f>
        <v>196100</v>
      </c>
      <c r="E57" s="4">
        <f>IFERROR((E33/E9),0)</f>
        <v>214600</v>
      </c>
      <c r="F57" s="4">
        <f>IFERROR((F33/F9),0)</f>
        <v>246250</v>
      </c>
      <c r="G57" s="4">
        <f>IFERROR((G33/G9),0)</f>
        <v>157800</v>
      </c>
      <c r="H57" s="4">
        <f>IFERROR((H33/H9),0)</f>
        <v>147050</v>
      </c>
      <c r="I57" s="4">
        <f>IFERROR((I33/I9),0)</f>
        <v>122000</v>
      </c>
      <c r="J57" s="4">
        <f>IFERROR((J33/J9),0)</f>
        <v>0</v>
      </c>
    </row>
    <row r="58">
      <c r="A58" s="0" t="inlineStr">
        <is>
          <t xml:space="preserve">Bookings per rep</t>
        </is>
      </c>
      <c r="B58" s="0" t="inlineStr">
        <is>
          <t xml:space="preserve">EMEA</t>
        </is>
      </c>
      <c r="C58" s="0" t="inlineStr">
        <is>
          <t xml:space="preserve">SMB</t>
        </is>
      </c>
      <c r="D58" s="4">
        <f>IFERROR((D34/D10),0)</f>
        <v>18700</v>
      </c>
      <c r="E58" s="4">
        <f>IFERROR((E34/E10),0)</f>
        <v>112800</v>
      </c>
      <c r="F58" s="4">
        <f>IFERROR((F34/F10),0)</f>
        <v>99300</v>
      </c>
      <c r="G58" s="4">
        <f>IFERROR((G34/G10),0)</f>
        <v>146650</v>
      </c>
      <c r="H58" s="4">
        <f>IFERROR((H34/H10),0)</f>
        <v>72300</v>
      </c>
      <c r="I58" s="4">
        <f>IFERROR((I34/I10),0)</f>
        <v>87150</v>
      </c>
      <c r="J58" s="4">
        <f>IFERROR((J34/J10),0)</f>
        <v>0</v>
      </c>
    </row>
    <row r="59">
      <c r="A59" s="0" t="inlineStr">
        <is>
          <t xml:space="preserve">Bookings per rep</t>
        </is>
      </c>
      <c r="B59" s="0" t="inlineStr">
        <is>
          <t xml:space="preserve">APAC</t>
        </is>
      </c>
      <c r="C59" s="0" t="inlineStr">
        <is>
          <t xml:space="preserve">Enterprise</t>
        </is>
      </c>
      <c r="D59" s="4">
        <f>IFERROR((D35/D11),0)</f>
        <v>49850</v>
      </c>
      <c r="E59" s="4">
        <f>IFERROR((E35/E11),0)</f>
        <v>213600</v>
      </c>
      <c r="F59" s="4">
        <f>IFERROR((F35/F11),0)</f>
        <v>32150</v>
      </c>
      <c r="G59" s="4">
        <f>IFERROR((G35/G11),0)</f>
        <v>44900</v>
      </c>
      <c r="H59" s="4">
        <f>IFERROR((H35/H11),0)</f>
        <v>94200</v>
      </c>
      <c r="I59" s="4">
        <f>IFERROR((I35/I11),0)</f>
        <v>130500</v>
      </c>
      <c r="J59" s="4">
        <f>IFERROR((J35/J11),0)</f>
        <v>0</v>
      </c>
    </row>
    <row r="60">
      <c r="A60" s="0" t="inlineStr">
        <is>
          <t xml:space="preserve">Bookings per rep</t>
        </is>
      </c>
      <c r="B60" s="0" t="inlineStr">
        <is>
          <t xml:space="preserve">APAC</t>
        </is>
      </c>
      <c r="C60" s="0" t="inlineStr">
        <is>
          <t xml:space="preserve">Mid-Market</t>
        </is>
      </c>
      <c r="D60" s="4">
        <f>IFERROR((D36/D12),0)</f>
        <v>68100</v>
      </c>
      <c r="E60" s="4">
        <f>IFERROR((E36/E12),0)</f>
        <v>181850</v>
      </c>
      <c r="F60" s="4">
        <f>IFERROR((F36/F12),0)</f>
        <v>203100</v>
      </c>
      <c r="G60" s="4">
        <f>IFERROR((G36/G12),0)</f>
        <v>68600</v>
      </c>
      <c r="H60" s="4">
        <f>IFERROR((H36/H12),0)</f>
        <v>188900</v>
      </c>
      <c r="I60" s="4">
        <f>IFERROR((I36/I12),0)</f>
        <v>176900</v>
      </c>
      <c r="J60" s="4">
        <f>IFERROR((J36/J12),0)</f>
        <v>0</v>
      </c>
    </row>
    <row r="61">
      <c r="A61" s="0" t="inlineStr">
        <is>
          <t xml:space="preserve">Bookings per rep</t>
        </is>
      </c>
      <c r="B61" s="0" t="inlineStr">
        <is>
          <t xml:space="preserve">APAC</t>
        </is>
      </c>
      <c r="C61" s="0" t="inlineStr">
        <is>
          <t xml:space="preserve">SMB</t>
        </is>
      </c>
      <c r="D61" s="4">
        <f>IFERROR((D37/D13),0)</f>
        <v>0</v>
      </c>
      <c r="E61" s="4">
        <f>IFERROR((E37/E13),0)</f>
        <v>62150</v>
      </c>
      <c r="F61" s="4">
        <f>IFERROR((F37/F13),0)</f>
        <v>41700</v>
      </c>
      <c r="G61" s="4">
        <f>IFERROR((G37/G13),0)</f>
        <v>15450</v>
      </c>
      <c r="H61" s="4">
        <f>IFERROR((H37/H13),0)</f>
        <v>65850</v>
      </c>
      <c r="I61" s="4">
        <f>IFERROR((I37/I13),0)</f>
        <v>72850</v>
      </c>
      <c r="J61" s="4">
        <f>IFERROR((J37/J13),0)</f>
        <v>0</v>
      </c>
    </row>
    <row r="62">
      <c r="A62" s="0" t="inlineStr">
        <is>
          <t xml:space="preserve">Deals won</t>
        </is>
      </c>
      <c r="B62" s="0" t="inlineStr">
        <is>
          <t xml:space="preserve">AMER East</t>
        </is>
      </c>
      <c r="C62" s="0" t="inlineStr">
        <is>
          <t xml:space="preserve">Enterprise</t>
        </is>
      </c>
      <c r="D62" s="4">
        <f>SUM('Rep quarterly'!C98:C99)</f>
        <v>0</v>
      </c>
      <c r="E62" s="4">
        <f>SUM('Rep quarterly'!D98:D99)</f>
        <v>0</v>
      </c>
      <c r="F62" s="4">
        <f>SUM('Rep quarterly'!E98:E99)</f>
        <v>2</v>
      </c>
      <c r="G62" s="4">
        <f>SUM('Rep quarterly'!F98:F99)</f>
        <v>2</v>
      </c>
      <c r="H62" s="4">
        <f>SUM('Rep quarterly'!G98:G99)</f>
        <v>4</v>
      </c>
      <c r="I62" s="4">
        <f>SUM('Rep quarterly'!H98:H99)</f>
        <v>3</v>
      </c>
      <c r="J62" s="4">
        <f>SUM('Rep quarterly'!I98:I99)</f>
        <v>0</v>
      </c>
    </row>
    <row r="63">
      <c r="A63" s="0" t="inlineStr">
        <is>
          <t xml:space="preserve">Deals won</t>
        </is>
      </c>
      <c r="B63" s="0" t="inlineStr">
        <is>
          <t xml:space="preserve">AMER East</t>
        </is>
      </c>
      <c r="C63" s="0" t="inlineStr">
        <is>
          <t xml:space="preserve">Mid-Market</t>
        </is>
      </c>
      <c r="D63" s="4">
        <f>SUM('Rep quarterly'!C100:C101)</f>
        <v>4</v>
      </c>
      <c r="E63" s="4">
        <f>SUM('Rep quarterly'!D100:D101)</f>
        <v>7</v>
      </c>
      <c r="F63" s="4">
        <f>SUM('Rep quarterly'!E100:E101)</f>
        <v>10</v>
      </c>
      <c r="G63" s="4">
        <f>SUM('Rep quarterly'!F100:F101)</f>
        <v>11</v>
      </c>
      <c r="H63" s="4">
        <f>SUM('Rep quarterly'!G100:G101)</f>
        <v>6</v>
      </c>
      <c r="I63" s="4">
        <f>SUM('Rep quarterly'!H100:H101)</f>
        <v>6</v>
      </c>
      <c r="J63" s="4">
        <f>SUM('Rep quarterly'!I100:I101)</f>
        <v>0</v>
      </c>
    </row>
    <row r="64">
      <c r="A64" s="0" t="inlineStr">
        <is>
          <t xml:space="preserve">Deals won</t>
        </is>
      </c>
      <c r="B64" s="0" t="inlineStr">
        <is>
          <t xml:space="preserve">AMER East</t>
        </is>
      </c>
      <c r="C64" s="0" t="inlineStr">
        <is>
          <t xml:space="preserve">SMB</t>
        </is>
      </c>
      <c r="D64" s="4">
        <f>SUM('Rep quarterly'!C102:C103)</f>
        <v>11</v>
      </c>
      <c r="E64" s="4">
        <f>SUM('Rep quarterly'!D102:D103)</f>
        <v>21</v>
      </c>
      <c r="F64" s="4">
        <f>SUM('Rep quarterly'!E102:E103)</f>
        <v>13</v>
      </c>
      <c r="G64" s="4">
        <f>SUM('Rep quarterly'!F102:F103)</f>
        <v>11</v>
      </c>
      <c r="H64" s="4">
        <f>SUM('Rep quarterly'!G102:G103)</f>
        <v>19</v>
      </c>
      <c r="I64" s="4">
        <f>SUM('Rep quarterly'!H102:H103)</f>
        <v>17</v>
      </c>
      <c r="J64" s="4">
        <f>SUM('Rep quarterly'!I102:I103)</f>
        <v>0</v>
      </c>
    </row>
    <row r="65">
      <c r="A65" s="0" t="inlineStr">
        <is>
          <t xml:space="preserve">Deals won</t>
        </is>
      </c>
      <c r="B65" s="0" t="inlineStr">
        <is>
          <t xml:space="preserve">AMER West</t>
        </is>
      </c>
      <c r="C65" s="0" t="inlineStr">
        <is>
          <t xml:space="preserve">Enterprise</t>
        </is>
      </c>
      <c r="D65" s="4">
        <f>SUM('Rep quarterly'!C104:C105)</f>
        <v>0</v>
      </c>
      <c r="E65" s="4">
        <f>SUM('Rep quarterly'!D104:D105)</f>
        <v>1</v>
      </c>
      <c r="F65" s="4">
        <f>SUM('Rep quarterly'!E104:E105)</f>
        <v>0</v>
      </c>
      <c r="G65" s="4">
        <f>SUM('Rep quarterly'!F104:F105)</f>
        <v>4</v>
      </c>
      <c r="H65" s="4">
        <f>SUM('Rep quarterly'!G104:G105)</f>
        <v>4</v>
      </c>
      <c r="I65" s="4">
        <f>SUM('Rep quarterly'!H104:H105)</f>
        <v>6</v>
      </c>
      <c r="J65" s="4">
        <f>SUM('Rep quarterly'!I104:I105)</f>
        <v>0</v>
      </c>
    </row>
    <row r="66">
      <c r="A66" s="0" t="inlineStr">
        <is>
          <t xml:space="preserve">Deals won</t>
        </is>
      </c>
      <c r="B66" s="0" t="inlineStr">
        <is>
          <t xml:space="preserve">AMER West</t>
        </is>
      </c>
      <c r="C66" s="0" t="inlineStr">
        <is>
          <t xml:space="preserve">Mid-Market</t>
        </is>
      </c>
      <c r="D66" s="4">
        <f>SUM('Rep quarterly'!C106:C107)</f>
        <v>3</v>
      </c>
      <c r="E66" s="4">
        <f>SUM('Rep quarterly'!D106:D107)</f>
        <v>4</v>
      </c>
      <c r="F66" s="4">
        <f>SUM('Rep quarterly'!E106:E107)</f>
        <v>8</v>
      </c>
      <c r="G66" s="4">
        <f>SUM('Rep quarterly'!F106:F107)</f>
        <v>9</v>
      </c>
      <c r="H66" s="4">
        <f>SUM('Rep quarterly'!G106:G107)</f>
        <v>16</v>
      </c>
      <c r="I66" s="4">
        <f>SUM('Rep quarterly'!H106:H107)</f>
        <v>15</v>
      </c>
      <c r="J66" s="4">
        <f>SUM('Rep quarterly'!I106:I107)</f>
        <v>0</v>
      </c>
    </row>
    <row r="67">
      <c r="A67" s="0" t="inlineStr">
        <is>
          <t xml:space="preserve">Deals won</t>
        </is>
      </c>
      <c r="B67" s="0" t="inlineStr">
        <is>
          <t xml:space="preserve">AMER West</t>
        </is>
      </c>
      <c r="C67" s="0" t="inlineStr">
        <is>
          <t xml:space="preserve">SMB</t>
        </is>
      </c>
      <c r="D67" s="4">
        <f>SUM('Rep quarterly'!C108:C109)</f>
        <v>14</v>
      </c>
      <c r="E67" s="4">
        <f>SUM('Rep quarterly'!D108:D109)</f>
        <v>15</v>
      </c>
      <c r="F67" s="4">
        <f>SUM('Rep quarterly'!E108:E109)</f>
        <v>14</v>
      </c>
      <c r="G67" s="4">
        <f>SUM('Rep quarterly'!F108:F109)</f>
        <v>15</v>
      </c>
      <c r="H67" s="4">
        <f>SUM('Rep quarterly'!G108:G109)</f>
        <v>12</v>
      </c>
      <c r="I67" s="4">
        <f>SUM('Rep quarterly'!H108:H109)</f>
        <v>8</v>
      </c>
      <c r="J67" s="4">
        <f>SUM('Rep quarterly'!I108:I109)</f>
        <v>0</v>
      </c>
    </row>
    <row r="68">
      <c r="A68" s="0" t="inlineStr">
        <is>
          <t xml:space="preserve">Deals won</t>
        </is>
      </c>
      <c r="B68" s="0" t="inlineStr">
        <is>
          <t xml:space="preserve">EMEA</t>
        </is>
      </c>
      <c r="C68" s="0" t="inlineStr">
        <is>
          <t xml:space="preserve">Enterprise</t>
        </is>
      </c>
      <c r="D68" s="4">
        <f>SUM('Rep quarterly'!C110:C111)</f>
        <v>1</v>
      </c>
      <c r="E68" s="4">
        <f>SUM('Rep quarterly'!D110:D111)</f>
        <v>6</v>
      </c>
      <c r="F68" s="4">
        <f>SUM('Rep quarterly'!E110:E111)</f>
        <v>3</v>
      </c>
      <c r="G68" s="4">
        <f>SUM('Rep quarterly'!F110:F111)</f>
        <v>3</v>
      </c>
      <c r="H68" s="4">
        <f>SUM('Rep quarterly'!G110:G111)</f>
        <v>6</v>
      </c>
      <c r="I68" s="4">
        <f>SUM('Rep quarterly'!H110:H111)</f>
        <v>3</v>
      </c>
      <c r="J68" s="4">
        <f>SUM('Rep quarterly'!I110:I111)</f>
        <v>0</v>
      </c>
    </row>
    <row r="69">
      <c r="A69" s="0" t="inlineStr">
        <is>
          <t xml:space="preserve">Deals won</t>
        </is>
      </c>
      <c r="B69" s="0" t="inlineStr">
        <is>
          <t xml:space="preserve">EMEA</t>
        </is>
      </c>
      <c r="C69" s="0" t="inlineStr">
        <is>
          <t xml:space="preserve">Mid-Market</t>
        </is>
      </c>
      <c r="D69" s="4">
        <f>SUM('Rep quarterly'!C112:C113)</f>
        <v>9</v>
      </c>
      <c r="E69" s="4">
        <f>SUM('Rep quarterly'!D112:D113)</f>
        <v>11</v>
      </c>
      <c r="F69" s="4">
        <f>SUM('Rep quarterly'!E112:E113)</f>
        <v>11</v>
      </c>
      <c r="G69" s="4">
        <f>SUM('Rep quarterly'!F112:F113)</f>
        <v>8</v>
      </c>
      <c r="H69" s="4">
        <f>SUM('Rep quarterly'!G112:G113)</f>
        <v>10</v>
      </c>
      <c r="I69" s="4">
        <f>SUM('Rep quarterly'!H112:H113)</f>
        <v>6</v>
      </c>
      <c r="J69" s="4">
        <f>SUM('Rep quarterly'!I112:I113)</f>
        <v>0</v>
      </c>
    </row>
    <row r="70">
      <c r="A70" s="0" t="inlineStr">
        <is>
          <t xml:space="preserve">Deals won</t>
        </is>
      </c>
      <c r="B70" s="0" t="inlineStr">
        <is>
          <t xml:space="preserve">EMEA</t>
        </is>
      </c>
      <c r="C70" s="0" t="inlineStr">
        <is>
          <t xml:space="preserve">SMB</t>
        </is>
      </c>
      <c r="D70" s="4">
        <f>SUM('Rep quarterly'!C114:C115)</f>
        <v>4</v>
      </c>
      <c r="E70" s="4">
        <f>SUM('Rep quarterly'!D114:D115)</f>
        <v>15</v>
      </c>
      <c r="F70" s="4">
        <f>SUM('Rep quarterly'!E114:E115)</f>
        <v>16</v>
      </c>
      <c r="G70" s="4">
        <f>SUM('Rep quarterly'!F114:F115)</f>
        <v>23</v>
      </c>
      <c r="H70" s="4">
        <f>SUM('Rep quarterly'!G114:G115)</f>
        <v>10</v>
      </c>
      <c r="I70" s="4">
        <f>SUM('Rep quarterly'!H114:H115)</f>
        <v>14</v>
      </c>
      <c r="J70" s="4">
        <f>SUM('Rep quarterly'!I114:I115)</f>
        <v>0</v>
      </c>
    </row>
    <row r="71">
      <c r="A71" s="0" t="inlineStr">
        <is>
          <t xml:space="preserve">Deals won</t>
        </is>
      </c>
      <c r="B71" s="0" t="inlineStr">
        <is>
          <t xml:space="preserve">APAC</t>
        </is>
      </c>
      <c r="C71" s="0" t="inlineStr">
        <is>
          <t xml:space="preserve">Enterprise</t>
        </is>
      </c>
      <c r="D71" s="4">
        <f>SUM('Rep quarterly'!C116:C117)</f>
        <v>1</v>
      </c>
      <c r="E71" s="4">
        <f>SUM('Rep quarterly'!D116:D117)</f>
        <v>4</v>
      </c>
      <c r="F71" s="4">
        <f>SUM('Rep quarterly'!E116:E117)</f>
        <v>1</v>
      </c>
      <c r="G71" s="4">
        <f>SUM('Rep quarterly'!F116:F117)</f>
        <v>1</v>
      </c>
      <c r="H71" s="4">
        <f>SUM('Rep quarterly'!G116:G117)</f>
        <v>1</v>
      </c>
      <c r="I71" s="4">
        <f>SUM('Rep quarterly'!H116:H117)</f>
        <v>2</v>
      </c>
      <c r="J71" s="4">
        <f>SUM('Rep quarterly'!I116:I117)</f>
        <v>0</v>
      </c>
    </row>
    <row r="72">
      <c r="A72" s="0" t="inlineStr">
        <is>
          <t xml:space="preserve">Deals won</t>
        </is>
      </c>
      <c r="B72" s="0" t="inlineStr">
        <is>
          <t xml:space="preserve">APAC</t>
        </is>
      </c>
      <c r="C72" s="0" t="inlineStr">
        <is>
          <t xml:space="preserve">Mid-Market</t>
        </is>
      </c>
      <c r="D72" s="4">
        <f>SUM('Rep quarterly'!C118:C119)</f>
        <v>4</v>
      </c>
      <c r="E72" s="4">
        <f>SUM('Rep quarterly'!D118:D119)</f>
        <v>9</v>
      </c>
      <c r="F72" s="4">
        <f>SUM('Rep quarterly'!E118:E119)</f>
        <v>10</v>
      </c>
      <c r="G72" s="4">
        <f>SUM('Rep quarterly'!F118:F119)</f>
        <v>2</v>
      </c>
      <c r="H72" s="4">
        <f>SUM('Rep quarterly'!G118:G119)</f>
        <v>12</v>
      </c>
      <c r="I72" s="4">
        <f>SUM('Rep quarterly'!H118:H119)</f>
        <v>11</v>
      </c>
      <c r="J72" s="4">
        <f>SUM('Rep quarterly'!I118:I119)</f>
        <v>0</v>
      </c>
    </row>
    <row r="73">
      <c r="A73" s="0" t="inlineStr">
        <is>
          <t xml:space="preserve">Deals won</t>
        </is>
      </c>
      <c r="B73" s="0" t="inlineStr">
        <is>
          <t xml:space="preserve">APAC</t>
        </is>
      </c>
      <c r="C73" s="0" t="inlineStr">
        <is>
          <t xml:space="preserve">SMB</t>
        </is>
      </c>
      <c r="D73" s="4">
        <f>SUM('Rep quarterly'!C120:C121)</f>
        <v>0</v>
      </c>
      <c r="E73" s="4">
        <f>SUM('Rep quarterly'!D120:D121)</f>
        <v>9</v>
      </c>
      <c r="F73" s="4">
        <f>SUM('Rep quarterly'!E120:E121)</f>
        <v>6</v>
      </c>
      <c r="G73" s="4">
        <f>SUM('Rep quarterly'!F120:F121)</f>
        <v>3</v>
      </c>
      <c r="H73" s="4">
        <f>SUM('Rep quarterly'!G120:G121)</f>
        <v>9</v>
      </c>
      <c r="I73" s="4">
        <f>SUM('Rep quarterly'!H120:H121)</f>
        <v>9</v>
      </c>
      <c r="J73" s="4">
        <f>SUM('Rep quarterly'!I120:I121)</f>
        <v>0</v>
      </c>
    </row>
    <row r="74">
      <c r="A74" s="0" t="inlineStr">
        <is>
          <t xml:space="preserve">Deals lost</t>
        </is>
      </c>
      <c r="B74" s="0" t="inlineStr">
        <is>
          <t xml:space="preserve">AMER East</t>
        </is>
      </c>
      <c r="C74" s="0" t="inlineStr">
        <is>
          <t xml:space="preserve">Enterprise</t>
        </is>
      </c>
      <c r="D74" s="4">
        <f>SUM('Rep quarterly'!C122:C123)</f>
        <v>0</v>
      </c>
      <c r="E74" s="4">
        <f>SUM('Rep quarterly'!D122:D123)</f>
        <v>9</v>
      </c>
      <c r="F74" s="4">
        <f>SUM('Rep quarterly'!E122:E123)</f>
        <v>9</v>
      </c>
      <c r="G74" s="4">
        <f>SUM('Rep quarterly'!F122:F123)</f>
        <v>9</v>
      </c>
      <c r="H74" s="4">
        <f>SUM('Rep quarterly'!G122:G123)</f>
        <v>11</v>
      </c>
      <c r="I74" s="4">
        <f>SUM('Rep quarterly'!H122:H123)</f>
        <v>9</v>
      </c>
      <c r="J74" s="4">
        <f>SUM('Rep quarterly'!I122:I123)</f>
        <v>0</v>
      </c>
    </row>
    <row r="75">
      <c r="A75" s="0" t="inlineStr">
        <is>
          <t xml:space="preserve">Deals lost</t>
        </is>
      </c>
      <c r="B75" s="0" t="inlineStr">
        <is>
          <t xml:space="preserve">AMER East</t>
        </is>
      </c>
      <c r="C75" s="0" t="inlineStr">
        <is>
          <t xml:space="preserve">Mid-Market</t>
        </is>
      </c>
      <c r="D75" s="4">
        <f>SUM('Rep quarterly'!C124:C125)</f>
        <v>15</v>
      </c>
      <c r="E75" s="4">
        <f>SUM('Rep quarterly'!D124:D125)</f>
        <v>25</v>
      </c>
      <c r="F75" s="4">
        <f>SUM('Rep quarterly'!E124:E125)</f>
        <v>11</v>
      </c>
      <c r="G75" s="4">
        <f>SUM('Rep quarterly'!F124:F125)</f>
        <v>23</v>
      </c>
      <c r="H75" s="4">
        <f>SUM('Rep quarterly'!G124:G125)</f>
        <v>24</v>
      </c>
      <c r="I75" s="4">
        <f>SUM('Rep quarterly'!H124:H125)</f>
        <v>17</v>
      </c>
      <c r="J75" s="4">
        <f>SUM('Rep quarterly'!I124:I125)</f>
        <v>0</v>
      </c>
    </row>
    <row r="76">
      <c r="A76" s="0" t="inlineStr">
        <is>
          <t xml:space="preserve">Deals lost</t>
        </is>
      </c>
      <c r="B76" s="0" t="inlineStr">
        <is>
          <t xml:space="preserve">AMER East</t>
        </is>
      </c>
      <c r="C76" s="0" t="inlineStr">
        <is>
          <t xml:space="preserve">SMB</t>
        </is>
      </c>
      <c r="D76" s="4">
        <f>SUM('Rep quarterly'!C126:C127)</f>
        <v>25</v>
      </c>
      <c r="E76" s="4">
        <f>SUM('Rep quarterly'!D126:D127)</f>
        <v>36</v>
      </c>
      <c r="F76" s="4">
        <f>SUM('Rep quarterly'!E126:E127)</f>
        <v>16</v>
      </c>
      <c r="G76" s="4">
        <f>SUM('Rep quarterly'!F126:F127)</f>
        <v>18</v>
      </c>
      <c r="H76" s="4">
        <f>SUM('Rep quarterly'!G126:G127)</f>
        <v>40</v>
      </c>
      <c r="I76" s="4">
        <f>SUM('Rep quarterly'!H126:H127)</f>
        <v>28</v>
      </c>
      <c r="J76" s="4">
        <f>SUM('Rep quarterly'!I126:I127)</f>
        <v>0</v>
      </c>
    </row>
    <row r="77">
      <c r="A77" s="0" t="inlineStr">
        <is>
          <t xml:space="preserve">Deals lost</t>
        </is>
      </c>
      <c r="B77" s="0" t="inlineStr">
        <is>
          <t xml:space="preserve">AMER West</t>
        </is>
      </c>
      <c r="C77" s="0" t="inlineStr">
        <is>
          <t xml:space="preserve">Enterprise</t>
        </is>
      </c>
      <c r="D77" s="4">
        <f>SUM('Rep quarterly'!C128:C129)</f>
        <v>0</v>
      </c>
      <c r="E77" s="4">
        <f>SUM('Rep quarterly'!D128:D129)</f>
        <v>4</v>
      </c>
      <c r="F77" s="4">
        <f>SUM('Rep quarterly'!E128:E129)</f>
        <v>4</v>
      </c>
      <c r="G77" s="4">
        <f>SUM('Rep quarterly'!F128:F129)</f>
        <v>9</v>
      </c>
      <c r="H77" s="4">
        <f>SUM('Rep quarterly'!G128:G129)</f>
        <v>9</v>
      </c>
      <c r="I77" s="4">
        <f>SUM('Rep quarterly'!H128:H129)</f>
        <v>4</v>
      </c>
      <c r="J77" s="4">
        <f>SUM('Rep quarterly'!I128:I129)</f>
        <v>0</v>
      </c>
    </row>
    <row r="78">
      <c r="A78" s="0" t="inlineStr">
        <is>
          <t xml:space="preserve">Deals lost</t>
        </is>
      </c>
      <c r="B78" s="0" t="inlineStr">
        <is>
          <t xml:space="preserve">AMER West</t>
        </is>
      </c>
      <c r="C78" s="0" t="inlineStr">
        <is>
          <t xml:space="preserve">Mid-Market</t>
        </is>
      </c>
      <c r="D78" s="4">
        <f>SUM('Rep quarterly'!C130:C131)</f>
        <v>5</v>
      </c>
      <c r="E78" s="4">
        <f>SUM('Rep quarterly'!D130:D131)</f>
        <v>24</v>
      </c>
      <c r="F78" s="4">
        <f>SUM('Rep quarterly'!E130:E131)</f>
        <v>18</v>
      </c>
      <c r="G78" s="4">
        <f>SUM('Rep quarterly'!F130:F131)</f>
        <v>27</v>
      </c>
      <c r="H78" s="4">
        <f>SUM('Rep quarterly'!G130:G131)</f>
        <v>16</v>
      </c>
      <c r="I78" s="4">
        <f>SUM('Rep quarterly'!H130:H131)</f>
        <v>17</v>
      </c>
      <c r="J78" s="4">
        <f>SUM('Rep quarterly'!I130:I131)</f>
        <v>0</v>
      </c>
    </row>
    <row r="79">
      <c r="A79" s="0" t="inlineStr">
        <is>
          <t xml:space="preserve">Deals lost</t>
        </is>
      </c>
      <c r="B79" s="0" t="inlineStr">
        <is>
          <t xml:space="preserve">AMER West</t>
        </is>
      </c>
      <c r="C79" s="0" t="inlineStr">
        <is>
          <t xml:space="preserve">SMB</t>
        </is>
      </c>
      <c r="D79" s="4">
        <f>SUM('Rep quarterly'!C132:C133)</f>
        <v>23</v>
      </c>
      <c r="E79" s="4">
        <f>SUM('Rep quarterly'!D132:D133)</f>
        <v>25</v>
      </c>
      <c r="F79" s="4">
        <f>SUM('Rep quarterly'!E132:E133)</f>
        <v>24</v>
      </c>
      <c r="G79" s="4">
        <f>SUM('Rep quarterly'!F132:F133)</f>
        <v>21</v>
      </c>
      <c r="H79" s="4">
        <f>SUM('Rep quarterly'!G132:G133)</f>
        <v>19</v>
      </c>
      <c r="I79" s="4">
        <f>SUM('Rep quarterly'!H132:H133)</f>
        <v>21</v>
      </c>
      <c r="J79" s="4">
        <f>SUM('Rep quarterly'!I132:I133)</f>
        <v>0</v>
      </c>
    </row>
    <row r="80">
      <c r="A80" s="0" t="inlineStr">
        <is>
          <t xml:space="preserve">Deals lost</t>
        </is>
      </c>
      <c r="B80" s="0" t="inlineStr">
        <is>
          <t xml:space="preserve">EMEA</t>
        </is>
      </c>
      <c r="C80" s="0" t="inlineStr">
        <is>
          <t xml:space="preserve">Enterprise</t>
        </is>
      </c>
      <c r="D80" s="4">
        <f>SUM('Rep quarterly'!C134:C135)</f>
        <v>0</v>
      </c>
      <c r="E80" s="4">
        <f>SUM('Rep quarterly'!D134:D135)</f>
        <v>11</v>
      </c>
      <c r="F80" s="4">
        <f>SUM('Rep quarterly'!E134:E135)</f>
        <v>10</v>
      </c>
      <c r="G80" s="4">
        <f>SUM('Rep quarterly'!F134:F135)</f>
        <v>5</v>
      </c>
      <c r="H80" s="4">
        <f>SUM('Rep quarterly'!G134:G135)</f>
        <v>8</v>
      </c>
      <c r="I80" s="4">
        <f>SUM('Rep quarterly'!H134:H135)</f>
        <v>9</v>
      </c>
      <c r="J80" s="4">
        <f>SUM('Rep quarterly'!I134:I135)</f>
        <v>0</v>
      </c>
    </row>
    <row r="81">
      <c r="A81" s="0" t="inlineStr">
        <is>
          <t xml:space="preserve">Deals lost</t>
        </is>
      </c>
      <c r="B81" s="0" t="inlineStr">
        <is>
          <t xml:space="preserve">EMEA</t>
        </is>
      </c>
      <c r="C81" s="0" t="inlineStr">
        <is>
          <t xml:space="preserve">Mid-Market</t>
        </is>
      </c>
      <c r="D81" s="4">
        <f>SUM('Rep quarterly'!C136:C137)</f>
        <v>7</v>
      </c>
      <c r="E81" s="4">
        <f>SUM('Rep quarterly'!D136:D137)</f>
        <v>21</v>
      </c>
      <c r="F81" s="4">
        <f>SUM('Rep quarterly'!E136:E137)</f>
        <v>13</v>
      </c>
      <c r="G81" s="4">
        <f>SUM('Rep quarterly'!F136:F137)</f>
        <v>12</v>
      </c>
      <c r="H81" s="4">
        <f>SUM('Rep quarterly'!G136:G137)</f>
        <v>19</v>
      </c>
      <c r="I81" s="4">
        <f>SUM('Rep quarterly'!H136:H137)</f>
        <v>14</v>
      </c>
      <c r="J81" s="4">
        <f>SUM('Rep quarterly'!I136:I137)</f>
        <v>0</v>
      </c>
    </row>
    <row r="82">
      <c r="A82" s="0" t="inlineStr">
        <is>
          <t xml:space="preserve">Deals lost</t>
        </is>
      </c>
      <c r="B82" s="0" t="inlineStr">
        <is>
          <t xml:space="preserve">EMEA</t>
        </is>
      </c>
      <c r="C82" s="0" t="inlineStr">
        <is>
          <t xml:space="preserve">SMB</t>
        </is>
      </c>
      <c r="D82" s="4">
        <f>SUM('Rep quarterly'!C138:C139)</f>
        <v>19</v>
      </c>
      <c r="E82" s="4">
        <f>SUM('Rep quarterly'!D138:D139)</f>
        <v>20</v>
      </c>
      <c r="F82" s="4">
        <f>SUM('Rep quarterly'!E138:E139)</f>
        <v>20</v>
      </c>
      <c r="G82" s="4">
        <f>SUM('Rep quarterly'!F138:F139)</f>
        <v>22</v>
      </c>
      <c r="H82" s="4">
        <f>SUM('Rep quarterly'!G138:G139)</f>
        <v>25</v>
      </c>
      <c r="I82" s="4">
        <f>SUM('Rep quarterly'!H138:H139)</f>
        <v>17</v>
      </c>
      <c r="J82" s="4">
        <f>SUM('Rep quarterly'!I138:I139)</f>
        <v>0</v>
      </c>
    </row>
    <row r="83">
      <c r="A83" s="0" t="inlineStr">
        <is>
          <t xml:space="preserve">Deals lost</t>
        </is>
      </c>
      <c r="B83" s="0" t="inlineStr">
        <is>
          <t xml:space="preserve">APAC</t>
        </is>
      </c>
      <c r="C83" s="0" t="inlineStr">
        <is>
          <t xml:space="preserve">Enterprise</t>
        </is>
      </c>
      <c r="D83" s="4">
        <f>SUM('Rep quarterly'!C140:C141)</f>
        <v>0</v>
      </c>
      <c r="E83" s="4">
        <f>SUM('Rep quarterly'!D140:D141)</f>
        <v>6</v>
      </c>
      <c r="F83" s="4">
        <f>SUM('Rep quarterly'!E140:E141)</f>
        <v>2</v>
      </c>
      <c r="G83" s="4">
        <f>SUM('Rep quarterly'!F140:F141)</f>
        <v>3</v>
      </c>
      <c r="H83" s="4">
        <f>SUM('Rep quarterly'!G140:G141)</f>
        <v>3</v>
      </c>
      <c r="I83" s="4">
        <f>SUM('Rep quarterly'!H140:H141)</f>
        <v>8</v>
      </c>
      <c r="J83" s="4">
        <f>SUM('Rep quarterly'!I140:I141)</f>
        <v>0</v>
      </c>
    </row>
    <row r="84">
      <c r="A84" s="0" t="inlineStr">
        <is>
          <t xml:space="preserve">Deals lost</t>
        </is>
      </c>
      <c r="B84" s="0" t="inlineStr">
        <is>
          <t xml:space="preserve">APAC</t>
        </is>
      </c>
      <c r="C84" s="0" t="inlineStr">
        <is>
          <t xml:space="preserve">Mid-Market</t>
        </is>
      </c>
      <c r="D84" s="4">
        <f>SUM('Rep quarterly'!C142:C143)</f>
        <v>5</v>
      </c>
      <c r="E84" s="4">
        <f>SUM('Rep quarterly'!D142:D143)</f>
        <v>14</v>
      </c>
      <c r="F84" s="4">
        <f>SUM('Rep quarterly'!E142:E143)</f>
        <v>18</v>
      </c>
      <c r="G84" s="4">
        <f>SUM('Rep quarterly'!F142:F143)</f>
        <v>6</v>
      </c>
      <c r="H84" s="4">
        <f>SUM('Rep quarterly'!G142:G143)</f>
        <v>18</v>
      </c>
      <c r="I84" s="4">
        <f>SUM('Rep quarterly'!H142:H143)</f>
        <v>12</v>
      </c>
      <c r="J84" s="4">
        <f>SUM('Rep quarterly'!I142:I143)</f>
        <v>0</v>
      </c>
    </row>
    <row r="85">
      <c r="A85" s="0" t="inlineStr">
        <is>
          <t xml:space="preserve">Deals lost</t>
        </is>
      </c>
      <c r="B85" s="0" t="inlineStr">
        <is>
          <t xml:space="preserve">APAC</t>
        </is>
      </c>
      <c r="C85" s="0" t="inlineStr">
        <is>
          <t xml:space="preserve">SMB</t>
        </is>
      </c>
      <c r="D85" s="4">
        <f>SUM('Rep quarterly'!C144:C145)</f>
        <v>8</v>
      </c>
      <c r="E85" s="4">
        <f>SUM('Rep quarterly'!D144:D145)</f>
        <v>9</v>
      </c>
      <c r="F85" s="4">
        <f>SUM('Rep quarterly'!E144:E145)</f>
        <v>14</v>
      </c>
      <c r="G85" s="4">
        <f>SUM('Rep quarterly'!F144:F145)</f>
        <v>11</v>
      </c>
      <c r="H85" s="4">
        <f>SUM('Rep quarterly'!G144:G145)</f>
        <v>16</v>
      </c>
      <c r="I85" s="4">
        <f>SUM('Rep quarterly'!H144:H145)</f>
        <v>8</v>
      </c>
      <c r="J85" s="4">
        <f>SUM('Rep quarterly'!I144:I145)</f>
        <v>0</v>
      </c>
    </row>
    <row r="86">
      <c r="A86" s="0" t="inlineStr">
        <is>
          <t xml:space="preserve">Win rate</t>
        </is>
      </c>
      <c r="B86" s="0" t="inlineStr">
        <is>
          <t xml:space="preserve">AMER East</t>
        </is>
      </c>
      <c r="C86" s="0" t="inlineStr">
        <is>
          <t xml:space="preserve">Enterprise</t>
        </is>
      </c>
      <c r="D86" s="12">
        <f>IF((0=1),"",IFERROR((D62/(D62+D74)),0))</f>
        <v>0</v>
      </c>
      <c r="E86" s="12">
        <f>IF((0=1),"",IFERROR((E62/(E62+E74)),0))</f>
        <v>0</v>
      </c>
      <c r="F86" s="12">
        <f>IF((0=1),"",IFERROR((F62/(F62+F74)),0))</f>
        <v>0.18181818181818182</v>
      </c>
      <c r="G86" s="12">
        <f>IF((0=1),"",IFERROR((G62/(G62+G74)),0))</f>
        <v>0.18181818181818182</v>
      </c>
      <c r="H86" s="12">
        <f>IF((0=1),"",IFERROR((H62/(H62+H74)),0))</f>
        <v>0.26666666666666666</v>
      </c>
      <c r="I86" s="12">
        <f>IF((0=1),"",IFERROR((I62/(I62+I74)),0))</f>
        <v>0.25</v>
      </c>
      <c r="J86" s="12">
        <f>IF((1=1),"",IFERROR((J62/(J62+J74)),0))</f>
      </c>
    </row>
    <row r="87">
      <c r="A87" s="0" t="inlineStr">
        <is>
          <t xml:space="preserve">Win rate</t>
        </is>
      </c>
      <c r="B87" s="0" t="inlineStr">
        <is>
          <t xml:space="preserve">AMER East</t>
        </is>
      </c>
      <c r="C87" s="0" t="inlineStr">
        <is>
          <t xml:space="preserve">Mid-Market</t>
        </is>
      </c>
      <c r="D87" s="12">
        <f>IF((0=1),"",IFERROR((D63/(D63+D75)),0))</f>
        <v>0.21052631578947367</v>
      </c>
      <c r="E87" s="12">
        <f>IF((0=1),"",IFERROR((E63/(E63+E75)),0))</f>
        <v>0.21875</v>
      </c>
      <c r="F87" s="12">
        <f>IF((0=1),"",IFERROR((F63/(F63+F75)),0))</f>
        <v>0.47619047619047616</v>
      </c>
      <c r="G87" s="12">
        <f>IF((0=1),"",IFERROR((G63/(G63+G75)),0))</f>
        <v>0.3235294117647059</v>
      </c>
      <c r="H87" s="12">
        <f>IF((0=1),"",IFERROR((H63/(H63+H75)),0))</f>
        <v>0.2</v>
      </c>
      <c r="I87" s="12">
        <f>IF((0=1),"",IFERROR((I63/(I63+I75)),0))</f>
        <v>0.2608695652173913</v>
      </c>
      <c r="J87" s="12">
        <f>IF((1=1),"",IFERROR((J63/(J63+J75)),0))</f>
      </c>
    </row>
    <row r="88">
      <c r="A88" s="0" t="inlineStr">
        <is>
          <t xml:space="preserve">Win rate</t>
        </is>
      </c>
      <c r="B88" s="0" t="inlineStr">
        <is>
          <t xml:space="preserve">AMER East</t>
        </is>
      </c>
      <c r="C88" s="0" t="inlineStr">
        <is>
          <t xml:space="preserve">SMB</t>
        </is>
      </c>
      <c r="D88" s="12">
        <f>IF((0=1),"",IFERROR((D64/(D64+D76)),0))</f>
        <v>0.3055555555555556</v>
      </c>
      <c r="E88" s="12">
        <f>IF((0=1),"",IFERROR((E64/(E64+E76)),0))</f>
        <v>0.3684210526315789</v>
      </c>
      <c r="F88" s="12">
        <f>IF((0=1),"",IFERROR((F64/(F64+F76)),0))</f>
        <v>0.4482758620689655</v>
      </c>
      <c r="G88" s="12">
        <f>IF((0=1),"",IFERROR((G64/(G64+G76)),0))</f>
        <v>0.3793103448275862</v>
      </c>
      <c r="H88" s="12">
        <f>IF((0=1),"",IFERROR((H64/(H64+H76)),0))</f>
        <v>0.3220338983050847</v>
      </c>
      <c r="I88" s="12">
        <f>IF((0=1),"",IFERROR((I64/(I64+I76)),0))</f>
        <v>0.37777777777777777</v>
      </c>
      <c r="J88" s="12">
        <f>IF((1=1),"",IFERROR((J64/(J64+J76)),0))</f>
      </c>
    </row>
    <row r="89">
      <c r="A89" s="0" t="inlineStr">
        <is>
          <t xml:space="preserve">Win rate</t>
        </is>
      </c>
      <c r="B89" s="0" t="inlineStr">
        <is>
          <t xml:space="preserve">AMER West</t>
        </is>
      </c>
      <c r="C89" s="0" t="inlineStr">
        <is>
          <t xml:space="preserve">Enterprise</t>
        </is>
      </c>
      <c r="D89" s="12">
        <f>IF((0=1),"",IFERROR((D65/(D65+D77)),0))</f>
        <v>0</v>
      </c>
      <c r="E89" s="12">
        <f>IF((0=1),"",IFERROR((E65/(E65+E77)),0))</f>
        <v>0.2</v>
      </c>
      <c r="F89" s="12">
        <f>IF((0=1),"",IFERROR((F65/(F65+F77)),0))</f>
        <v>0</v>
      </c>
      <c r="G89" s="12">
        <f>IF((0=1),"",IFERROR((G65/(G65+G77)),0))</f>
        <v>0.3076923076923077</v>
      </c>
      <c r="H89" s="12">
        <f>IF((0=1),"",IFERROR((H65/(H65+H77)),0))</f>
        <v>0.3076923076923077</v>
      </c>
      <c r="I89" s="12">
        <f>IF((0=1),"",IFERROR((I65/(I65+I77)),0))</f>
        <v>0.6</v>
      </c>
      <c r="J89" s="12">
        <f>IF((1=1),"",IFERROR((J65/(J65+J77)),0))</f>
      </c>
    </row>
    <row r="90">
      <c r="A90" s="0" t="inlineStr">
        <is>
          <t xml:space="preserve">Win rate</t>
        </is>
      </c>
      <c r="B90" s="0" t="inlineStr">
        <is>
          <t xml:space="preserve">AMER West</t>
        </is>
      </c>
      <c r="C90" s="0" t="inlineStr">
        <is>
          <t xml:space="preserve">Mid-Market</t>
        </is>
      </c>
      <c r="D90" s="12">
        <f>IF((0=1),"",IFERROR((D66/(D66+D78)),0))</f>
        <v>0.375</v>
      </c>
      <c r="E90" s="12">
        <f>IF((0=1),"",IFERROR((E66/(E66+E78)),0))</f>
        <v>0.14285714285714285</v>
      </c>
      <c r="F90" s="12">
        <f>IF((0=1),"",IFERROR((F66/(F66+F78)),0))</f>
        <v>0.3076923076923077</v>
      </c>
      <c r="G90" s="12">
        <f>IF((0=1),"",IFERROR((G66/(G66+G78)),0))</f>
        <v>0.25</v>
      </c>
      <c r="H90" s="12">
        <f>IF((0=1),"",IFERROR((H66/(H66+H78)),0))</f>
        <v>0.5</v>
      </c>
      <c r="I90" s="12">
        <f>IF((0=1),"",IFERROR((I66/(I66+I78)),0))</f>
        <v>0.46875</v>
      </c>
      <c r="J90" s="12">
        <f>IF((1=1),"",IFERROR((J66/(J66+J78)),0))</f>
      </c>
    </row>
    <row r="91">
      <c r="A91" s="0" t="inlineStr">
        <is>
          <t xml:space="preserve">Win rate</t>
        </is>
      </c>
      <c r="B91" s="0" t="inlineStr">
        <is>
          <t xml:space="preserve">AMER West</t>
        </is>
      </c>
      <c r="C91" s="0" t="inlineStr">
        <is>
          <t xml:space="preserve">SMB</t>
        </is>
      </c>
      <c r="D91" s="12">
        <f>IF((0=1),"",IFERROR((D67/(D67+D79)),0))</f>
        <v>0.3783783783783784</v>
      </c>
      <c r="E91" s="12">
        <f>IF((0=1),"",IFERROR((E67/(E67+E79)),0))</f>
        <v>0.375</v>
      </c>
      <c r="F91" s="12">
        <f>IF((0=1),"",IFERROR((F67/(F67+F79)),0))</f>
        <v>0.3684210526315789</v>
      </c>
      <c r="G91" s="12">
        <f>IF((0=1),"",IFERROR((G67/(G67+G79)),0))</f>
        <v>0.4166666666666667</v>
      </c>
      <c r="H91" s="12">
        <f>IF((0=1),"",IFERROR((H67/(H67+H79)),0))</f>
        <v>0.3870967741935484</v>
      </c>
      <c r="I91" s="12">
        <f>IF((0=1),"",IFERROR((I67/(I67+I79)),0))</f>
        <v>0.27586206896551724</v>
      </c>
      <c r="J91" s="12">
        <f>IF((1=1),"",IFERROR((J67/(J67+J79)),0))</f>
      </c>
    </row>
    <row r="92">
      <c r="A92" s="0" t="inlineStr">
        <is>
          <t xml:space="preserve">Win rate</t>
        </is>
      </c>
      <c r="B92" s="0" t="inlineStr">
        <is>
          <t xml:space="preserve">EMEA</t>
        </is>
      </c>
      <c r="C92" s="0" t="inlineStr">
        <is>
          <t xml:space="preserve">Enterprise</t>
        </is>
      </c>
      <c r="D92" s="12">
        <f>IF((0=1),"",IFERROR((D68/(D68+D80)),0))</f>
        <v>1</v>
      </c>
      <c r="E92" s="12">
        <f>IF((0=1),"",IFERROR((E68/(E68+E80)),0))</f>
        <v>0.35294117647058826</v>
      </c>
      <c r="F92" s="12">
        <f>IF((0=1),"",IFERROR((F68/(F68+F80)),0))</f>
        <v>0.23076923076923078</v>
      </c>
      <c r="G92" s="12">
        <f>IF((0=1),"",IFERROR((G68/(G68+G80)),0))</f>
        <v>0.375</v>
      </c>
      <c r="H92" s="12">
        <f>IF((0=1),"",IFERROR((H68/(H68+H80)),0))</f>
        <v>0.42857142857142855</v>
      </c>
      <c r="I92" s="12">
        <f>IF((0=1),"",IFERROR((I68/(I68+I80)),0))</f>
        <v>0.25</v>
      </c>
      <c r="J92" s="12">
        <f>IF((1=1),"",IFERROR((J68/(J68+J80)),0))</f>
      </c>
    </row>
    <row r="93">
      <c r="A93" s="0" t="inlineStr">
        <is>
          <t xml:space="preserve">Win rate</t>
        </is>
      </c>
      <c r="B93" s="0" t="inlineStr">
        <is>
          <t xml:space="preserve">EMEA</t>
        </is>
      </c>
      <c r="C93" s="0" t="inlineStr">
        <is>
          <t xml:space="preserve">Mid-Market</t>
        </is>
      </c>
      <c r="D93" s="12">
        <f>IF((0=1),"",IFERROR((D69/(D69+D81)),0))</f>
        <v>0.5625</v>
      </c>
      <c r="E93" s="12">
        <f>IF((0=1),"",IFERROR((E69/(E69+E81)),0))</f>
        <v>0.34375</v>
      </c>
      <c r="F93" s="12">
        <f>IF((0=1),"",IFERROR((F69/(F69+F81)),0))</f>
        <v>0.4583333333333333</v>
      </c>
      <c r="G93" s="12">
        <f>IF((0=1),"",IFERROR((G69/(G69+G81)),0))</f>
        <v>0.4</v>
      </c>
      <c r="H93" s="12">
        <f>IF((0=1),"",IFERROR((H69/(H69+H81)),0))</f>
        <v>0.3448275862068966</v>
      </c>
      <c r="I93" s="12">
        <f>IF((0=1),"",IFERROR((I69/(I69+I81)),0))</f>
        <v>0.3</v>
      </c>
      <c r="J93" s="12">
        <f>IF((1=1),"",IFERROR((J69/(J69+J81)),0))</f>
      </c>
    </row>
    <row r="94">
      <c r="A94" s="0" t="inlineStr">
        <is>
          <t xml:space="preserve">Win rate</t>
        </is>
      </c>
      <c r="B94" s="0" t="inlineStr">
        <is>
          <t xml:space="preserve">EMEA</t>
        </is>
      </c>
      <c r="C94" s="0" t="inlineStr">
        <is>
          <t xml:space="preserve">SMB</t>
        </is>
      </c>
      <c r="D94" s="12">
        <f>IF((0=1),"",IFERROR((D70/(D70+D82)),0))</f>
        <v>0.17391304347826086</v>
      </c>
      <c r="E94" s="12">
        <f>IF((0=1),"",IFERROR((E70/(E70+E82)),0))</f>
        <v>0.42857142857142855</v>
      </c>
      <c r="F94" s="12">
        <f>IF((0=1),"",IFERROR((F70/(F70+F82)),0))</f>
        <v>0.4444444444444444</v>
      </c>
      <c r="G94" s="12">
        <f>IF((0=1),"",IFERROR((G70/(G70+G82)),0))</f>
        <v>0.5111111111111111</v>
      </c>
      <c r="H94" s="12">
        <f>IF((0=1),"",IFERROR((H70/(H70+H82)),0))</f>
        <v>0.2857142857142857</v>
      </c>
      <c r="I94" s="12">
        <f>IF((0=1),"",IFERROR((I70/(I70+I82)),0))</f>
        <v>0.45161290322580644</v>
      </c>
      <c r="J94" s="12">
        <f>IF((1=1),"",IFERROR((J70/(J70+J82)),0))</f>
      </c>
    </row>
    <row r="95">
      <c r="A95" s="0" t="inlineStr">
        <is>
          <t xml:space="preserve">Win rate</t>
        </is>
      </c>
      <c r="B95" s="0" t="inlineStr">
        <is>
          <t xml:space="preserve">APAC</t>
        </is>
      </c>
      <c r="C95" s="0" t="inlineStr">
        <is>
          <t xml:space="preserve">Enterprise</t>
        </is>
      </c>
      <c r="D95" s="12">
        <f>IF((0=1),"",IFERROR((D71/(D71+D83)),0))</f>
        <v>1</v>
      </c>
      <c r="E95" s="12">
        <f>IF((0=1),"",IFERROR((E71/(E71+E83)),0))</f>
        <v>0.4</v>
      </c>
      <c r="F95" s="12">
        <f>IF((0=1),"",IFERROR((F71/(F71+F83)),0))</f>
        <v>0.3333333333333333</v>
      </c>
      <c r="G95" s="12">
        <f>IF((0=1),"",IFERROR((G71/(G71+G83)),0))</f>
        <v>0.25</v>
      </c>
      <c r="H95" s="12">
        <f>IF((0=1),"",IFERROR((H71/(H71+H83)),0))</f>
        <v>0.25</v>
      </c>
      <c r="I95" s="12">
        <f>IF((0=1),"",IFERROR((I71/(I71+I83)),0))</f>
        <v>0.2</v>
      </c>
      <c r="J95" s="12">
        <f>IF((1=1),"",IFERROR((J71/(J71+J83)),0))</f>
      </c>
    </row>
    <row r="96">
      <c r="A96" s="0" t="inlineStr">
        <is>
          <t xml:space="preserve">Win rate</t>
        </is>
      </c>
      <c r="B96" s="0" t="inlineStr">
        <is>
          <t xml:space="preserve">APAC</t>
        </is>
      </c>
      <c r="C96" s="0" t="inlineStr">
        <is>
          <t xml:space="preserve">Mid-Market</t>
        </is>
      </c>
      <c r="D96" s="12">
        <f>IF((0=1),"",IFERROR((D72/(D72+D84)),0))</f>
        <v>0.4444444444444444</v>
      </c>
      <c r="E96" s="12">
        <f>IF((0=1),"",IFERROR((E72/(E72+E84)),0))</f>
        <v>0.391304347826087</v>
      </c>
      <c r="F96" s="12">
        <f>IF((0=1),"",IFERROR((F72/(F72+F84)),0))</f>
        <v>0.35714285714285715</v>
      </c>
      <c r="G96" s="12">
        <f>IF((0=1),"",IFERROR((G72/(G72+G84)),0))</f>
        <v>0.25</v>
      </c>
      <c r="H96" s="12">
        <f>IF((0=1),"",IFERROR((H72/(H72+H84)),0))</f>
        <v>0.4</v>
      </c>
      <c r="I96" s="12">
        <f>IF((0=1),"",IFERROR((I72/(I72+I84)),0))</f>
        <v>0.4782608695652174</v>
      </c>
      <c r="J96" s="12">
        <f>IF((1=1),"",IFERROR((J72/(J72+J84)),0))</f>
      </c>
    </row>
    <row r="97">
      <c r="A97" s="0" t="inlineStr">
        <is>
          <t xml:space="preserve">Win rate</t>
        </is>
      </c>
      <c r="B97" s="0" t="inlineStr">
        <is>
          <t xml:space="preserve">APAC</t>
        </is>
      </c>
      <c r="C97" s="0" t="inlineStr">
        <is>
          <t xml:space="preserve">SMB</t>
        </is>
      </c>
      <c r="D97" s="12">
        <f>IF((0=1),"",IFERROR((D73/(D73+D85)),0))</f>
        <v>0</v>
      </c>
      <c r="E97" s="12">
        <f>IF((0=1),"",IFERROR((E73/(E73+E85)),0))</f>
        <v>0.5</v>
      </c>
      <c r="F97" s="12">
        <f>IF((0=1),"",IFERROR((F73/(F73+F85)),0))</f>
        <v>0.3</v>
      </c>
      <c r="G97" s="12">
        <f>IF((0=1),"",IFERROR((G73/(G73+G85)),0))</f>
        <v>0.21428571428571427</v>
      </c>
      <c r="H97" s="12">
        <f>IF((0=1),"",IFERROR((H73/(H73+H85)),0))</f>
        <v>0.36</v>
      </c>
      <c r="I97" s="12">
        <f>IF((0=1),"",IFERROR((I73/(I73+I85)),0))</f>
        <v>0.5294117647058824</v>
      </c>
      <c r="J97" s="12">
        <f>IF((1=1),"",IFERROR((J73/(J73+J85)),0))</f>
      </c>
    </row>
    <row r="98">
      <c r="A98" s="0" t="inlineStr">
        <is>
          <t xml:space="preserve">Average deal</t>
        </is>
      </c>
      <c r="B98" s="0" t="inlineStr">
        <is>
          <t xml:space="preserve">AMER East</t>
        </is>
      </c>
      <c r="C98" s="0" t="inlineStr">
        <is>
          <t xml:space="preserve">Enterprise</t>
        </is>
      </c>
      <c r="D98" s="4">
        <f>IF((0=1),"",IFERROR((D26/D62),0))</f>
        <v>0</v>
      </c>
      <c r="E98" s="4">
        <f>IF((0=1),"",IFERROR((E26/E62),0))</f>
        <v>0</v>
      </c>
      <c r="F98" s="4">
        <f>IF((0=1),"",IFERROR((F26/F62),0))</f>
        <v>100600</v>
      </c>
      <c r="G98" s="4">
        <f>IF((0=1),"",IFERROR((G26/G62),0))</f>
        <v>252950</v>
      </c>
      <c r="H98" s="4">
        <f>IF((0=1),"",IFERROR((H26/H62),0))</f>
        <v>109175</v>
      </c>
      <c r="I98" s="4">
        <f>IF((0=1),"",IFERROR((I26/I62),0))</f>
        <v>46200</v>
      </c>
      <c r="J98" s="4">
        <f>IF((1=1),"",IFERROR((J26/J62),0))</f>
      </c>
    </row>
    <row r="99">
      <c r="A99" s="0" t="inlineStr">
        <is>
          <t xml:space="preserve">Average deal</t>
        </is>
      </c>
      <c r="B99" s="0" t="inlineStr">
        <is>
          <t xml:space="preserve">AMER East</t>
        </is>
      </c>
      <c r="C99" s="0" t="inlineStr">
        <is>
          <t xml:space="preserve">Mid-Market</t>
        </is>
      </c>
      <c r="D99" s="8">
        <f>IF((0=1),"",IFERROR((D27/D63),0))</f>
        <v>51950</v>
      </c>
      <c r="E99" s="8">
        <f>IF((0=1),"",IFERROR((E27/E63),0))</f>
        <v>49914.28571428572</v>
      </c>
      <c r="F99" s="8">
        <f>IF((0=1),"",IFERROR((F27/F63),0))</f>
        <v>32870</v>
      </c>
      <c r="G99" s="8">
        <f>IF((0=1),"",IFERROR((G27/G63),0))</f>
        <v>40918.181818181816</v>
      </c>
      <c r="H99" s="8">
        <f>IF((0=1),"",IFERROR((H27/H63),0))</f>
        <v>35266.666666666664</v>
      </c>
      <c r="I99" s="8">
        <f>IF((0=1),"",IFERROR((I27/I63),0))</f>
        <v>30850</v>
      </c>
      <c r="J99" s="8">
        <f>IF((1=1),"",IFERROR((J27/J63),0))</f>
      </c>
    </row>
    <row r="100">
      <c r="A100" s="0" t="inlineStr">
        <is>
          <t xml:space="preserve">Average deal</t>
        </is>
      </c>
      <c r="B100" s="0" t="inlineStr">
        <is>
          <t xml:space="preserve">AMER East</t>
        </is>
      </c>
      <c r="C100" s="0" t="inlineStr">
        <is>
          <t xml:space="preserve">SMB</t>
        </is>
      </c>
      <c r="D100" s="8">
        <f>IF((0=1),"",IFERROR((D28/D64),0))</f>
        <v>11672.727272727272</v>
      </c>
      <c r="E100" s="8">
        <f>IF((0=1),"",IFERROR((E28/E64),0))</f>
        <v>9880.952380952382</v>
      </c>
      <c r="F100" s="8">
        <f>IF((0=1),"",IFERROR((F28/F64),0))</f>
        <v>12038.461538461539</v>
      </c>
      <c r="G100" s="8">
        <f>IF((0=1),"",IFERROR((G28/G64),0))</f>
        <v>10863.636363636364</v>
      </c>
      <c r="H100" s="8">
        <f>IF((0=1),"",IFERROR((H28/H64),0))</f>
        <v>11610.526315789473</v>
      </c>
      <c r="I100" s="8">
        <f>IF((0=1),"",IFERROR((I28/I64),0))</f>
        <v>10758.823529411764</v>
      </c>
      <c r="J100" s="8">
        <f>IF((1=1),"",IFERROR((J28/J64),0))</f>
      </c>
    </row>
    <row r="101">
      <c r="A101" s="0" t="inlineStr">
        <is>
          <t xml:space="preserve">Average deal</t>
        </is>
      </c>
      <c r="B101" s="0" t="inlineStr">
        <is>
          <t xml:space="preserve">AMER West</t>
        </is>
      </c>
      <c r="C101" s="0" t="inlineStr">
        <is>
          <t xml:space="preserve">Enterprise</t>
        </is>
      </c>
      <c r="D101" s="4">
        <f>IF((0=1),"",IFERROR((D29/D65),0))</f>
        <v>0</v>
      </c>
      <c r="E101" s="4">
        <f>IF((0=1),"",IFERROR((E29/E65),0))</f>
        <v>146800</v>
      </c>
      <c r="F101" s="4">
        <f>IF((0=1),"",IFERROR((F29/F65),0))</f>
        <v>0</v>
      </c>
      <c r="G101" s="4">
        <f>IF((0=1),"",IFERROR((G29/G65),0))</f>
        <v>361950</v>
      </c>
      <c r="H101" s="4">
        <f>IF((0=1),"",IFERROR((H29/H65),0))</f>
        <v>102000</v>
      </c>
      <c r="I101" s="4">
        <f>IF((0=1),"",IFERROR((I29/I65),0))</f>
        <v>199050</v>
      </c>
      <c r="J101" s="4">
        <f>IF((1=1),"",IFERROR((J29/J65),0))</f>
      </c>
    </row>
    <row r="102">
      <c r="A102" s="0" t="inlineStr">
        <is>
          <t xml:space="preserve">Average deal</t>
        </is>
      </c>
      <c r="B102" s="0" t="inlineStr">
        <is>
          <t xml:space="preserve">AMER West</t>
        </is>
      </c>
      <c r="C102" s="0" t="inlineStr">
        <is>
          <t xml:space="preserve">Mid-Market</t>
        </is>
      </c>
      <c r="D102" s="8">
        <f>IF((0=1),"",IFERROR((D30/D66),0))</f>
        <v>24100</v>
      </c>
      <c r="E102" s="8">
        <f>IF((0=1),"",IFERROR((E30/E66),0))</f>
        <v>28500</v>
      </c>
      <c r="F102" s="8">
        <f>IF((0=1),"",IFERROR((F30/F66),0))</f>
        <v>43237.5</v>
      </c>
      <c r="G102" s="8">
        <f>IF((0=1),"",IFERROR((G30/G66),0))</f>
        <v>35955.555555555555</v>
      </c>
      <c r="H102" s="8">
        <f>IF((0=1),"",IFERROR((H30/H66),0))</f>
        <v>49650</v>
      </c>
      <c r="I102" s="8">
        <f>IF((0=1),"",IFERROR((I30/I66),0))</f>
        <v>41886.666666666664</v>
      </c>
      <c r="J102" s="8">
        <f>IF((1=1),"",IFERROR((J30/J66),0))</f>
      </c>
    </row>
    <row r="103">
      <c r="A103" s="0" t="inlineStr">
        <is>
          <t xml:space="preserve">Average deal</t>
        </is>
      </c>
      <c r="B103" s="0" t="inlineStr">
        <is>
          <t xml:space="preserve">AMER West</t>
        </is>
      </c>
      <c r="C103" s="0" t="inlineStr">
        <is>
          <t xml:space="preserve">SMB</t>
        </is>
      </c>
      <c r="D103" s="8">
        <f>IF((0=1),"",IFERROR((D31/D67),0))</f>
        <v>10800</v>
      </c>
      <c r="E103" s="8">
        <f>IF((0=1),"",IFERROR((E31/E67),0))</f>
        <v>12506.666666666666</v>
      </c>
      <c r="F103" s="8">
        <f>IF((0=1),"",IFERROR((F31/F67),0))</f>
        <v>16957.14285714286</v>
      </c>
      <c r="G103" s="8">
        <f>IF((0=1),"",IFERROR((G31/G67),0))</f>
        <v>12146.666666666666</v>
      </c>
      <c r="H103" s="8">
        <f>IF((0=1),"",IFERROR((H31/H67),0))</f>
        <v>10841.666666666666</v>
      </c>
      <c r="I103" s="8">
        <f>IF((0=1),"",IFERROR((I31/I67),0))</f>
        <v>15787.5</v>
      </c>
      <c r="J103" s="8">
        <f>IF((1=1),"",IFERROR((J31/J67),0))</f>
      </c>
    </row>
    <row r="104">
      <c r="A104" s="0" t="inlineStr">
        <is>
          <t xml:space="preserve">Average deal</t>
        </is>
      </c>
      <c r="B104" s="0" t="inlineStr">
        <is>
          <t xml:space="preserve">EMEA</t>
        </is>
      </c>
      <c r="C104" s="0" t="inlineStr">
        <is>
          <t xml:space="preserve">Enterprise</t>
        </is>
      </c>
      <c r="D104" s="8">
        <f>IF((0=1),"",IFERROR((D32/D68),0))</f>
        <v>245800</v>
      </c>
      <c r="E104" s="8">
        <f>IF((0=1),"",IFERROR((E32/E68),0))</f>
        <v>122083.33333333333</v>
      </c>
      <c r="F104" s="8">
        <f>IF((0=1),"",IFERROR((F32/F68),0))</f>
        <v>90533.33333333333</v>
      </c>
      <c r="G104" s="8">
        <f>IF((0=1),"",IFERROR((G32/G68),0))</f>
        <v>188700</v>
      </c>
      <c r="H104" s="8">
        <f>IF((0=1),"",IFERROR((H32/H68),0))</f>
        <v>86166.66666666667</v>
      </c>
      <c r="I104" s="8">
        <f>IF((0=1),"",IFERROR((I32/I68),0))</f>
        <v>156500</v>
      </c>
      <c r="J104" s="8">
        <f>IF((1=1),"",IFERROR((J32/J68),0))</f>
      </c>
    </row>
    <row r="105">
      <c r="A105" s="0" t="inlineStr">
        <is>
          <t xml:space="preserve">Average deal</t>
        </is>
      </c>
      <c r="B105" s="0" t="inlineStr">
        <is>
          <t xml:space="preserve">EMEA</t>
        </is>
      </c>
      <c r="C105" s="0" t="inlineStr">
        <is>
          <t xml:space="preserve">Mid-Market</t>
        </is>
      </c>
      <c r="D105" s="8">
        <f>IF((0=1),"",IFERROR((D33/D69),0))</f>
        <v>43577.77777777778</v>
      </c>
      <c r="E105" s="8">
        <f>IF((0=1),"",IFERROR((E33/E69),0))</f>
        <v>39018.181818181816</v>
      </c>
      <c r="F105" s="8">
        <f>IF((0=1),"",IFERROR((F33/F69),0))</f>
        <v>44772.72727272727</v>
      </c>
      <c r="G105" s="8">
        <f>IF((0=1),"",IFERROR((G33/G69),0))</f>
        <v>39450</v>
      </c>
      <c r="H105" s="8">
        <f>IF((0=1),"",IFERROR((H33/H69),0))</f>
        <v>29410</v>
      </c>
      <c r="I105" s="8">
        <f>IF((0=1),"",IFERROR((I33/I69),0))</f>
        <v>40666.666666666664</v>
      </c>
      <c r="J105" s="8">
        <f>IF((1=1),"",IFERROR((J33/J69),0))</f>
      </c>
    </row>
    <row r="106">
      <c r="A106" s="0" t="inlineStr">
        <is>
          <t xml:space="preserve">Average deal</t>
        </is>
      </c>
      <c r="B106" s="0" t="inlineStr">
        <is>
          <t xml:space="preserve">EMEA</t>
        </is>
      </c>
      <c r="C106" s="0" t="inlineStr">
        <is>
          <t xml:space="preserve">SMB</t>
        </is>
      </c>
      <c r="D106" s="8">
        <f>IF((0=1),"",IFERROR((D34/D70),0))</f>
        <v>9350</v>
      </c>
      <c r="E106" s="8">
        <f>IF((0=1),"",IFERROR((E34/E70),0))</f>
        <v>15040</v>
      </c>
      <c r="F106" s="8">
        <f>IF((0=1),"",IFERROR((F34/F70),0))</f>
        <v>12412.5</v>
      </c>
      <c r="G106" s="8">
        <f>IF((0=1),"",IFERROR((G34/G70),0))</f>
        <v>12752.173913043478</v>
      </c>
      <c r="H106" s="8">
        <f>IF((0=1),"",IFERROR((H34/H70),0))</f>
        <v>14460</v>
      </c>
      <c r="I106" s="8">
        <f>IF((0=1),"",IFERROR((I34/I70),0))</f>
        <v>12450</v>
      </c>
      <c r="J106" s="8">
        <f>IF((1=1),"",IFERROR((J34/J70),0))</f>
      </c>
    </row>
    <row r="107">
      <c r="A107" s="0" t="inlineStr">
        <is>
          <t xml:space="preserve">Average deal</t>
        </is>
      </c>
      <c r="B107" s="0" t="inlineStr">
        <is>
          <t xml:space="preserve">APAC</t>
        </is>
      </c>
      <c r="C107" s="0" t="inlineStr">
        <is>
          <t xml:space="preserve">Enterprise</t>
        </is>
      </c>
      <c r="D107" s="4">
        <f>IF((0=1),"",IFERROR((D35/D71),0))</f>
        <v>99700</v>
      </c>
      <c r="E107" s="4">
        <f>IF((0=1),"",IFERROR((E35/E71),0))</f>
        <v>106800</v>
      </c>
      <c r="F107" s="4">
        <f>IF((0=1),"",IFERROR((F35/F71),0))</f>
        <v>64300</v>
      </c>
      <c r="G107" s="4">
        <f>IF((0=1),"",IFERROR((G35/G71),0))</f>
        <v>89800</v>
      </c>
      <c r="H107" s="4">
        <f>IF((0=1),"",IFERROR((H35/H71),0))</f>
        <v>188400</v>
      </c>
      <c r="I107" s="4">
        <f>IF((0=1),"",IFERROR((I35/I71),0))</f>
        <v>130500</v>
      </c>
      <c r="J107" s="4">
        <f>IF((1=1),"",IFERROR((J35/J71),0))</f>
      </c>
    </row>
    <row r="108">
      <c r="A108" s="0" t="inlineStr">
        <is>
          <t xml:space="preserve">Average deal</t>
        </is>
      </c>
      <c r="B108" s="0" t="inlineStr">
        <is>
          <t xml:space="preserve">APAC</t>
        </is>
      </c>
      <c r="C108" s="0" t="inlineStr">
        <is>
          <t xml:space="preserve">Mid-Market</t>
        </is>
      </c>
      <c r="D108" s="8">
        <f>IF((0=1),"",IFERROR((D36/D72),0))</f>
        <v>34050</v>
      </c>
      <c r="E108" s="8">
        <f>IF((0=1),"",IFERROR((E36/E72),0))</f>
        <v>40411.11111111111</v>
      </c>
      <c r="F108" s="8">
        <f>IF((0=1),"",IFERROR((F36/F72),0))</f>
        <v>40620</v>
      </c>
      <c r="G108" s="8">
        <f>IF((0=1),"",IFERROR((G36/G72),0))</f>
        <v>68600</v>
      </c>
      <c r="H108" s="8">
        <f>IF((0=1),"",IFERROR((H36/H72),0))</f>
        <v>31483.333333333332</v>
      </c>
      <c r="I108" s="8">
        <f>IF((0=1),"",IFERROR((I36/I72),0))</f>
        <v>32163.636363636364</v>
      </c>
      <c r="J108" s="8">
        <f>IF((1=1),"",IFERROR((J36/J72),0))</f>
      </c>
    </row>
    <row r="109">
      <c r="A109" s="0" t="inlineStr">
        <is>
          <t xml:space="preserve">Average deal</t>
        </is>
      </c>
      <c r="B109" s="0" t="inlineStr">
        <is>
          <t xml:space="preserve">APAC</t>
        </is>
      </c>
      <c r="C109" s="0" t="inlineStr">
        <is>
          <t xml:space="preserve">SMB</t>
        </is>
      </c>
      <c r="D109" s="8">
        <f>IF((0=1),"",IFERROR((D37/D73),0))</f>
        <v>0</v>
      </c>
      <c r="E109" s="8">
        <f>IF((0=1),"",IFERROR((E37/E73),0))</f>
        <v>13811.111111111111</v>
      </c>
      <c r="F109" s="8">
        <f>IF((0=1),"",IFERROR((F37/F73),0))</f>
        <v>13900</v>
      </c>
      <c r="G109" s="8">
        <f>IF((0=1),"",IFERROR((G37/G73),0))</f>
        <v>10300</v>
      </c>
      <c r="H109" s="8">
        <f>IF((0=1),"",IFERROR((H37/H73),0))</f>
        <v>14633.333333333334</v>
      </c>
      <c r="I109" s="8">
        <f>IF((0=1),"",IFERROR((I37/I73),0))</f>
        <v>16188.888888888889</v>
      </c>
      <c r="J109" s="8">
        <f>IF((1=1),"",IFERROR((J37/J73),0))</f>
      </c>
    </row>
    <row r="110">
      <c r="A110" s="0" t="inlineStr">
        <is>
          <t xml:space="preserve">New-logo bookings</t>
        </is>
      </c>
      <c r="B110" s="0" t="inlineStr">
        <is>
          <t xml:space="preserve">AMER East</t>
        </is>
      </c>
      <c r="C110" s="0" t="inlineStr">
        <is>
          <t xml:space="preserve">Enterprise</t>
        </is>
      </c>
      <c r="D110" s="4">
        <f>SUM('Rep quarterly'!C218:C219)</f>
        <v>0</v>
      </c>
      <c r="E110" s="4">
        <f>SUM('Rep quarterly'!D218:D219)</f>
        <v>0</v>
      </c>
      <c r="F110" s="4">
        <f>SUM('Rep quarterly'!E218:E219)</f>
        <v>201200</v>
      </c>
      <c r="G110" s="4">
        <f>SUM('Rep quarterly'!F218:F219)</f>
        <v>505900</v>
      </c>
      <c r="H110" s="4">
        <f>SUM('Rep quarterly'!G218:G219)</f>
        <v>209500</v>
      </c>
      <c r="I110" s="4">
        <f>SUM('Rep quarterly'!H218:H219)</f>
        <v>61800</v>
      </c>
      <c r="J110" s="4">
        <f>SUM('Rep quarterly'!I218:I219)</f>
        <v>0</v>
      </c>
    </row>
    <row r="111">
      <c r="A111" s="0" t="inlineStr">
        <is>
          <t xml:space="preserve">New-logo bookings</t>
        </is>
      </c>
      <c r="B111" s="0" t="inlineStr">
        <is>
          <t xml:space="preserve">AMER East</t>
        </is>
      </c>
      <c r="C111" s="0" t="inlineStr">
        <is>
          <t xml:space="preserve">Mid-Market</t>
        </is>
      </c>
      <c r="D111" s="4">
        <f>SUM('Rep quarterly'!C220:C221)</f>
        <v>196800</v>
      </c>
      <c r="E111" s="4">
        <f>SUM('Rep quarterly'!D220:D221)</f>
        <v>273200</v>
      </c>
      <c r="F111" s="4">
        <f>SUM('Rep quarterly'!E220:E221)</f>
        <v>268600</v>
      </c>
      <c r="G111" s="4">
        <f>SUM('Rep quarterly'!F220:F221)</f>
        <v>237100</v>
      </c>
      <c r="H111" s="4">
        <f>SUM('Rep quarterly'!G220:G221)</f>
        <v>188000</v>
      </c>
      <c r="I111" s="4">
        <f>SUM('Rep quarterly'!H220:H221)</f>
        <v>155500</v>
      </c>
      <c r="J111" s="4">
        <f>SUM('Rep quarterly'!I220:I221)</f>
        <v>0</v>
      </c>
    </row>
    <row r="112">
      <c r="A112" s="0" t="inlineStr">
        <is>
          <t xml:space="preserve">New-logo bookings</t>
        </is>
      </c>
      <c r="B112" s="0" t="inlineStr">
        <is>
          <t xml:space="preserve">AMER East</t>
        </is>
      </c>
      <c r="C112" s="0" t="inlineStr">
        <is>
          <t xml:space="preserve">SMB</t>
        </is>
      </c>
      <c r="D112" s="4">
        <f>SUM('Rep quarterly'!C222:C223)</f>
        <v>99800</v>
      </c>
      <c r="E112" s="4">
        <f>SUM('Rep quarterly'!D222:D223)</f>
        <v>153600</v>
      </c>
      <c r="F112" s="4">
        <f>SUM('Rep quarterly'!E222:E223)</f>
        <v>128900</v>
      </c>
      <c r="G112" s="4">
        <f>SUM('Rep quarterly'!F222:F223)</f>
        <v>95400</v>
      </c>
      <c r="H112" s="4">
        <f>SUM('Rep quarterly'!G222:G223)</f>
        <v>133600</v>
      </c>
      <c r="I112" s="4">
        <f>SUM('Rep quarterly'!H222:H223)</f>
        <v>130700</v>
      </c>
      <c r="J112" s="4">
        <f>SUM('Rep quarterly'!I222:I223)</f>
        <v>0</v>
      </c>
    </row>
    <row r="113">
      <c r="A113" s="0" t="inlineStr">
        <is>
          <t xml:space="preserve">New-logo bookings</t>
        </is>
      </c>
      <c r="B113" s="0" t="inlineStr">
        <is>
          <t xml:space="preserve">AMER West</t>
        </is>
      </c>
      <c r="C113" s="0" t="inlineStr">
        <is>
          <t xml:space="preserve">Enterprise</t>
        </is>
      </c>
      <c r="D113" s="4">
        <f>SUM('Rep quarterly'!C224:C225)</f>
        <v>0</v>
      </c>
      <c r="E113" s="4">
        <f>SUM('Rep quarterly'!D224:D225)</f>
        <v>146800</v>
      </c>
      <c r="F113" s="4">
        <f>SUM('Rep quarterly'!E224:E225)</f>
        <v>0</v>
      </c>
      <c r="G113" s="4">
        <f>SUM('Rep quarterly'!F224:F225)</f>
        <v>1412300</v>
      </c>
      <c r="H113" s="4">
        <f>SUM('Rep quarterly'!G224:G225)</f>
        <v>303000</v>
      </c>
      <c r="I113" s="4">
        <f>SUM('Rep quarterly'!H224:H225)</f>
        <v>1067600</v>
      </c>
      <c r="J113" s="4">
        <f>SUM('Rep quarterly'!I224:I225)</f>
        <v>0</v>
      </c>
    </row>
    <row r="114">
      <c r="A114" s="0" t="inlineStr">
        <is>
          <t xml:space="preserve">New-logo bookings</t>
        </is>
      </c>
      <c r="B114" s="0" t="inlineStr">
        <is>
          <t xml:space="preserve">AMER West</t>
        </is>
      </c>
      <c r="C114" s="0" t="inlineStr">
        <is>
          <t xml:space="preserve">Mid-Market</t>
        </is>
      </c>
      <c r="D114" s="4">
        <f>SUM('Rep quarterly'!C226:C227)</f>
        <v>52500</v>
      </c>
      <c r="E114" s="4">
        <f>SUM('Rep quarterly'!D226:D227)</f>
        <v>100300</v>
      </c>
      <c r="F114" s="4">
        <f>SUM('Rep quarterly'!E226:E227)</f>
        <v>332200</v>
      </c>
      <c r="G114" s="4">
        <f>SUM('Rep quarterly'!F226:F227)</f>
        <v>277700</v>
      </c>
      <c r="H114" s="4">
        <f>SUM('Rep quarterly'!G226:G227)</f>
        <v>725000</v>
      </c>
      <c r="I114" s="4">
        <f>SUM('Rep quarterly'!H226:H227)</f>
        <v>552200</v>
      </c>
      <c r="J114" s="4">
        <f>SUM('Rep quarterly'!I226:I227)</f>
        <v>0</v>
      </c>
    </row>
    <row r="115">
      <c r="A115" s="0" t="inlineStr">
        <is>
          <t xml:space="preserve">New-logo bookings</t>
        </is>
      </c>
      <c r="B115" s="0" t="inlineStr">
        <is>
          <t xml:space="preserve">AMER West</t>
        </is>
      </c>
      <c r="C115" s="0" t="inlineStr">
        <is>
          <t xml:space="preserve">SMB</t>
        </is>
      </c>
      <c r="D115" s="4">
        <f>SUM('Rep quarterly'!C228:C229)</f>
        <v>112300</v>
      </c>
      <c r="E115" s="4">
        <f>SUM('Rep quarterly'!D228:D229)</f>
        <v>154800</v>
      </c>
      <c r="F115" s="4">
        <f>SUM('Rep quarterly'!E228:E229)</f>
        <v>227100</v>
      </c>
      <c r="G115" s="4">
        <f>SUM('Rep quarterly'!F228:F229)</f>
        <v>122200</v>
      </c>
      <c r="H115" s="4">
        <f>SUM('Rep quarterly'!G228:G229)</f>
        <v>96700</v>
      </c>
      <c r="I115" s="4">
        <f>SUM('Rep quarterly'!H228:H229)</f>
        <v>109800</v>
      </c>
      <c r="J115" s="4">
        <f>SUM('Rep quarterly'!I228:I229)</f>
        <v>0</v>
      </c>
    </row>
    <row r="116">
      <c r="A116" s="0" t="inlineStr">
        <is>
          <t xml:space="preserve">New-logo bookings</t>
        </is>
      </c>
      <c r="B116" s="0" t="inlineStr">
        <is>
          <t xml:space="preserve">EMEA</t>
        </is>
      </c>
      <c r="C116" s="0" t="inlineStr">
        <is>
          <t xml:space="preserve">Enterprise</t>
        </is>
      </c>
      <c r="D116" s="4">
        <f>SUM('Rep quarterly'!C230:C231)</f>
        <v>245800</v>
      </c>
      <c r="E116" s="4">
        <f>SUM('Rep quarterly'!D230:D231)</f>
        <v>602100</v>
      </c>
      <c r="F116" s="4">
        <f>SUM('Rep quarterly'!E230:E231)</f>
        <v>207900</v>
      </c>
      <c r="G116" s="4">
        <f>SUM('Rep quarterly'!F230:F231)</f>
        <v>543300</v>
      </c>
      <c r="H116" s="4">
        <f>SUM('Rep quarterly'!G230:G231)</f>
        <v>348900</v>
      </c>
      <c r="I116" s="4">
        <f>SUM('Rep quarterly'!H230:H231)</f>
        <v>469500</v>
      </c>
      <c r="J116" s="4">
        <f>SUM('Rep quarterly'!I230:I231)</f>
        <v>0</v>
      </c>
    </row>
    <row r="117">
      <c r="A117" s="0" t="inlineStr">
        <is>
          <t xml:space="preserve">New-logo bookings</t>
        </is>
      </c>
      <c r="B117" s="0" t="inlineStr">
        <is>
          <t xml:space="preserve">EMEA</t>
        </is>
      </c>
      <c r="C117" s="0" t="inlineStr">
        <is>
          <t xml:space="preserve">Mid-Market</t>
        </is>
      </c>
      <c r="D117" s="4">
        <f>SUM('Rep quarterly'!C232:C233)</f>
        <v>312200</v>
      </c>
      <c r="E117" s="4">
        <f>SUM('Rep quarterly'!D232:D233)</f>
        <v>326700</v>
      </c>
      <c r="F117" s="4">
        <f>SUM('Rep quarterly'!E232:E233)</f>
        <v>323700</v>
      </c>
      <c r="G117" s="4">
        <f>SUM('Rep quarterly'!F232:F233)</f>
        <v>209700</v>
      </c>
      <c r="H117" s="4">
        <f>SUM('Rep quarterly'!G232:G233)</f>
        <v>198300</v>
      </c>
      <c r="I117" s="4">
        <f>SUM('Rep quarterly'!H232:H233)</f>
        <v>195800</v>
      </c>
      <c r="J117" s="4">
        <f>SUM('Rep quarterly'!I232:I233)</f>
        <v>0</v>
      </c>
    </row>
    <row r="118">
      <c r="A118" s="0" t="inlineStr">
        <is>
          <t xml:space="preserve">New-logo bookings</t>
        </is>
      </c>
      <c r="B118" s="0" t="inlineStr">
        <is>
          <t xml:space="preserve">EMEA</t>
        </is>
      </c>
      <c r="C118" s="0" t="inlineStr">
        <is>
          <t xml:space="preserve">SMB</t>
        </is>
      </c>
      <c r="D118" s="4">
        <f>SUM('Rep quarterly'!C234:C235)</f>
        <v>17000</v>
      </c>
      <c r="E118" s="4">
        <f>SUM('Rep quarterly'!D234:D235)</f>
        <v>205200</v>
      </c>
      <c r="F118" s="4">
        <f>SUM('Rep quarterly'!E234:E235)</f>
        <v>169800</v>
      </c>
      <c r="G118" s="4">
        <f>SUM('Rep quarterly'!F234:F235)</f>
        <v>247100</v>
      </c>
      <c r="H118" s="4">
        <f>SUM('Rep quarterly'!G234:G235)</f>
        <v>127400</v>
      </c>
      <c r="I118" s="4">
        <f>SUM('Rep quarterly'!H234:H235)</f>
        <v>148800</v>
      </c>
      <c r="J118" s="4">
        <f>SUM('Rep quarterly'!I234:I235)</f>
        <v>0</v>
      </c>
    </row>
    <row r="119">
      <c r="A119" s="0" t="inlineStr">
        <is>
          <t xml:space="preserve">New-logo bookings</t>
        </is>
      </c>
      <c r="B119" s="0" t="inlineStr">
        <is>
          <t xml:space="preserve">APAC</t>
        </is>
      </c>
      <c r="C119" s="0" t="inlineStr">
        <is>
          <t xml:space="preserve">Enterprise</t>
        </is>
      </c>
      <c r="D119" s="4">
        <f>SUM('Rep quarterly'!C236:C237)</f>
        <v>99700</v>
      </c>
      <c r="E119" s="4">
        <f>SUM('Rep quarterly'!D236:D237)</f>
        <v>221000</v>
      </c>
      <c r="F119" s="4">
        <f>SUM('Rep quarterly'!E236:E237)</f>
        <v>0</v>
      </c>
      <c r="G119" s="4">
        <f>SUM('Rep quarterly'!F236:F237)</f>
        <v>0</v>
      </c>
      <c r="H119" s="4">
        <f>SUM('Rep quarterly'!G236:G237)</f>
        <v>188400</v>
      </c>
      <c r="I119" s="4">
        <f>SUM('Rep quarterly'!H236:H237)</f>
        <v>261000</v>
      </c>
      <c r="J119" s="4">
        <f>SUM('Rep quarterly'!I236:I237)</f>
        <v>0</v>
      </c>
    </row>
    <row r="120">
      <c r="A120" s="0" t="inlineStr">
        <is>
          <t xml:space="preserve">New-logo bookings</t>
        </is>
      </c>
      <c r="B120" s="0" t="inlineStr">
        <is>
          <t xml:space="preserve">APAC</t>
        </is>
      </c>
      <c r="C120" s="0" t="inlineStr">
        <is>
          <t xml:space="preserve">Mid-Market</t>
        </is>
      </c>
      <c r="D120" s="4">
        <f>SUM('Rep quarterly'!C238:C239)</f>
        <v>28600</v>
      </c>
      <c r="E120" s="4">
        <f>SUM('Rep quarterly'!D238:D239)</f>
        <v>356700</v>
      </c>
      <c r="F120" s="4">
        <f>SUM('Rep quarterly'!E238:E239)</f>
        <v>369400</v>
      </c>
      <c r="G120" s="4">
        <f>SUM('Rep quarterly'!F238:F239)</f>
        <v>101900</v>
      </c>
      <c r="H120" s="4">
        <f>SUM('Rep quarterly'!G238:G239)</f>
        <v>243600</v>
      </c>
      <c r="I120" s="4">
        <f>SUM('Rep quarterly'!H238:H239)</f>
        <v>186400</v>
      </c>
      <c r="J120" s="4">
        <f>SUM('Rep quarterly'!I238:I239)</f>
        <v>0</v>
      </c>
    </row>
    <row r="121">
      <c r="A121" s="0" t="inlineStr">
        <is>
          <t xml:space="preserve">New-logo bookings</t>
        </is>
      </c>
      <c r="B121" s="0" t="inlineStr">
        <is>
          <t xml:space="preserve">APAC</t>
        </is>
      </c>
      <c r="C121" s="0" t="inlineStr">
        <is>
          <t xml:space="preserve">SMB</t>
        </is>
      </c>
      <c r="D121" s="4">
        <f>SUM('Rep quarterly'!C240:C241)</f>
        <v>0</v>
      </c>
      <c r="E121" s="4">
        <f>SUM('Rep quarterly'!D240:D241)</f>
        <v>106000</v>
      </c>
      <c r="F121" s="4">
        <f>SUM('Rep quarterly'!E240:E241)</f>
        <v>79600</v>
      </c>
      <c r="G121" s="4">
        <f>SUM('Rep quarterly'!F240:F241)</f>
        <v>23900</v>
      </c>
      <c r="H121" s="4">
        <f>SUM('Rep quarterly'!G240:G241)</f>
        <v>97100</v>
      </c>
      <c r="I121" s="4">
        <f>SUM('Rep quarterly'!H240:H241)</f>
        <v>132500</v>
      </c>
      <c r="J121" s="4">
        <f>SUM('Rep quarterly'!I240:I241)</f>
        <v>0</v>
      </c>
    </row>
    <row r="122">
      <c r="A122" s="0" t="inlineStr">
        <is>
          <t xml:space="preserve">Pipeline created</t>
        </is>
      </c>
      <c r="B122" s="0" t="inlineStr">
        <is>
          <t xml:space="preserve">AMER East</t>
        </is>
      </c>
      <c r="C122" s="0" t="inlineStr">
        <is>
          <t xml:space="preserve">Enterprise</t>
        </is>
      </c>
      <c r="D122" s="4">
        <f>SUM('Rep quarterly'!C266:C267)</f>
        <v>2076900</v>
      </c>
      <c r="E122" s="4">
        <f>SUM('Rep quarterly'!D266:D267)</f>
        <v>2195600</v>
      </c>
      <c r="F122" s="4">
        <f>SUM('Rep quarterly'!E266:E267)</f>
        <v>1621800</v>
      </c>
      <c r="G122" s="4">
        <f>SUM('Rep quarterly'!F266:F267)</f>
        <v>2576900</v>
      </c>
      <c r="H122" s="4">
        <f>SUM('Rep quarterly'!G266:G267)</f>
        <v>2484900</v>
      </c>
      <c r="I122" s="4">
        <f>SUM('Rep quarterly'!H266:H267)</f>
        <v>2349200</v>
      </c>
      <c r="J122" s="4">
        <f>SUM('Rep quarterly'!I266:I267)</f>
        <v>0</v>
      </c>
    </row>
    <row r="123">
      <c r="A123" s="0" t="inlineStr">
        <is>
          <t xml:space="preserve">Pipeline created</t>
        </is>
      </c>
      <c r="B123" s="0" t="inlineStr">
        <is>
          <t xml:space="preserve">AMER East</t>
        </is>
      </c>
      <c r="C123" s="0" t="inlineStr">
        <is>
          <t xml:space="preserve">Mid-Market</t>
        </is>
      </c>
      <c r="D123" s="4">
        <f>SUM('Rep quarterly'!C268:C269)</f>
        <v>1896000</v>
      </c>
      <c r="E123" s="4">
        <f>SUM('Rep quarterly'!D268:D269)</f>
        <v>1042200</v>
      </c>
      <c r="F123" s="4">
        <f>SUM('Rep quarterly'!E268:E269)</f>
        <v>1022000</v>
      </c>
      <c r="G123" s="4">
        <f>SUM('Rep quarterly'!F268:F269)</f>
        <v>1426400</v>
      </c>
      <c r="H123" s="4">
        <f>SUM('Rep quarterly'!G268:G269)</f>
        <v>1853700</v>
      </c>
      <c r="I123" s="4">
        <f>SUM('Rep quarterly'!H268:H269)</f>
        <v>1305400</v>
      </c>
      <c r="J123" s="4">
        <f>SUM('Rep quarterly'!I268:I269)</f>
        <v>0</v>
      </c>
    </row>
    <row r="124">
      <c r="A124" s="0" t="inlineStr">
        <is>
          <t xml:space="preserve">Pipeline created</t>
        </is>
      </c>
      <c r="B124" s="0" t="inlineStr">
        <is>
          <t xml:space="preserve">AMER East</t>
        </is>
      </c>
      <c r="C124" s="0" t="inlineStr">
        <is>
          <t xml:space="preserve">SMB</t>
        </is>
      </c>
      <c r="D124" s="4">
        <f>SUM('Rep quarterly'!C270:C271)</f>
        <v>756900</v>
      </c>
      <c r="E124" s="4">
        <f>SUM('Rep quarterly'!D270:D271)</f>
        <v>431200</v>
      </c>
      <c r="F124" s="4">
        <f>SUM('Rep quarterly'!E270:E271)</f>
        <v>489100</v>
      </c>
      <c r="G124" s="4">
        <f>SUM('Rep quarterly'!F270:F271)</f>
        <v>472200</v>
      </c>
      <c r="H124" s="4">
        <f>SUM('Rep quarterly'!G270:G271)</f>
        <v>763100</v>
      </c>
      <c r="I124" s="4">
        <f>SUM('Rep quarterly'!H270:H271)</f>
        <v>651800</v>
      </c>
      <c r="J124" s="4">
        <f>SUM('Rep quarterly'!I270:I271)</f>
        <v>0</v>
      </c>
    </row>
    <row r="125">
      <c r="A125" s="0" t="inlineStr">
        <is>
          <t xml:space="preserve">Pipeline created</t>
        </is>
      </c>
      <c r="B125" s="0" t="inlineStr">
        <is>
          <t xml:space="preserve">AMER West</t>
        </is>
      </c>
      <c r="C125" s="0" t="inlineStr">
        <is>
          <t xml:space="preserve">Enterprise</t>
        </is>
      </c>
      <c r="D125" s="4">
        <f>SUM('Rep quarterly'!C272:C273)</f>
        <v>1677300</v>
      </c>
      <c r="E125" s="4">
        <f>SUM('Rep quarterly'!D272:D273)</f>
        <v>660000</v>
      </c>
      <c r="F125" s="4">
        <f>SUM('Rep quarterly'!E272:E273)</f>
        <v>3372900</v>
      </c>
      <c r="G125" s="4">
        <f>SUM('Rep quarterly'!F272:F273)</f>
        <v>2543000</v>
      </c>
      <c r="H125" s="4">
        <f>SUM('Rep quarterly'!G272:G273)</f>
        <v>2209900</v>
      </c>
      <c r="I125" s="4">
        <f>SUM('Rep quarterly'!H272:H273)</f>
        <v>545400</v>
      </c>
      <c r="J125" s="4">
        <f>SUM('Rep quarterly'!I272:I273)</f>
        <v>0</v>
      </c>
    </row>
    <row r="126">
      <c r="A126" s="0" t="inlineStr">
        <is>
          <t xml:space="preserve">Pipeline created</t>
        </is>
      </c>
      <c r="B126" s="0" t="inlineStr">
        <is>
          <t xml:space="preserve">AMER West</t>
        </is>
      </c>
      <c r="C126" s="0" t="inlineStr">
        <is>
          <t xml:space="preserve">Mid-Market</t>
        </is>
      </c>
      <c r="D126" s="4">
        <f>SUM('Rep quarterly'!C274:C275)</f>
        <v>1397800</v>
      </c>
      <c r="E126" s="4">
        <f>SUM('Rep quarterly'!D274:D275)</f>
        <v>826600</v>
      </c>
      <c r="F126" s="4">
        <f>SUM('Rep quarterly'!E274:E275)</f>
        <v>1333200</v>
      </c>
      <c r="G126" s="4">
        <f>SUM('Rep quarterly'!F274:F275)</f>
        <v>1494600</v>
      </c>
      <c r="H126" s="4">
        <f>SUM('Rep quarterly'!G274:G275)</f>
        <v>1633800</v>
      </c>
      <c r="I126" s="4">
        <f>SUM('Rep quarterly'!H274:H275)</f>
        <v>1137700</v>
      </c>
      <c r="J126" s="4">
        <f>SUM('Rep quarterly'!I274:I275)</f>
        <v>0</v>
      </c>
    </row>
    <row r="127">
      <c r="A127" s="0" t="inlineStr">
        <is>
          <t xml:space="preserve">Pipeline created</t>
        </is>
      </c>
      <c r="B127" s="0" t="inlineStr">
        <is>
          <t xml:space="preserve">AMER West</t>
        </is>
      </c>
      <c r="C127" s="0" t="inlineStr">
        <is>
          <t xml:space="preserve">SMB</t>
        </is>
      </c>
      <c r="D127" s="4">
        <f>SUM('Rep quarterly'!C276:C277)</f>
        <v>614500</v>
      </c>
      <c r="E127" s="4">
        <f>SUM('Rep quarterly'!D276:D277)</f>
        <v>552200</v>
      </c>
      <c r="F127" s="4">
        <f>SUM('Rep quarterly'!E276:E277)</f>
        <v>490500</v>
      </c>
      <c r="G127" s="4">
        <f>SUM('Rep quarterly'!F276:F277)</f>
        <v>446700</v>
      </c>
      <c r="H127" s="4">
        <f>SUM('Rep quarterly'!G276:G277)</f>
        <v>541300</v>
      </c>
      <c r="I127" s="4">
        <f>SUM('Rep quarterly'!H276:H277)</f>
        <v>411600</v>
      </c>
      <c r="J127" s="4">
        <f>SUM('Rep quarterly'!I276:I277)</f>
        <v>0</v>
      </c>
    </row>
    <row r="128">
      <c r="A128" s="0" t="inlineStr">
        <is>
          <t xml:space="preserve">Pipeline created</t>
        </is>
      </c>
      <c r="B128" s="0" t="inlineStr">
        <is>
          <t xml:space="preserve">EMEA</t>
        </is>
      </c>
      <c r="C128" s="0" t="inlineStr">
        <is>
          <t xml:space="preserve">Enterprise</t>
        </is>
      </c>
      <c r="D128" s="4">
        <f>SUM('Rep quarterly'!C278:C279)</f>
        <v>2194500</v>
      </c>
      <c r="E128" s="4">
        <f>SUM('Rep quarterly'!D278:D279)</f>
        <v>1886200</v>
      </c>
      <c r="F128" s="4">
        <f>SUM('Rep quarterly'!E278:E279)</f>
        <v>1228400</v>
      </c>
      <c r="G128" s="4">
        <f>SUM('Rep quarterly'!F278:F279)</f>
        <v>1175300</v>
      </c>
      <c r="H128" s="4">
        <f>SUM('Rep quarterly'!G278:G279)</f>
        <v>2140000</v>
      </c>
      <c r="I128" s="4">
        <f>SUM('Rep quarterly'!H278:H279)</f>
        <v>950300</v>
      </c>
      <c r="J128" s="4">
        <f>SUM('Rep quarterly'!I278:I279)</f>
        <v>0</v>
      </c>
    </row>
    <row r="129">
      <c r="A129" s="0" t="inlineStr">
        <is>
          <t xml:space="preserve">Pipeline created</t>
        </is>
      </c>
      <c r="B129" s="0" t="inlineStr">
        <is>
          <t xml:space="preserve">EMEA</t>
        </is>
      </c>
      <c r="C129" s="0" t="inlineStr">
        <is>
          <t xml:space="preserve">Mid-Market</t>
        </is>
      </c>
      <c r="D129" s="4">
        <f>SUM('Rep quarterly'!C280:C281)</f>
        <v>1512400</v>
      </c>
      <c r="E129" s="4">
        <f>SUM('Rep quarterly'!D280:D281)</f>
        <v>925400</v>
      </c>
      <c r="F129" s="4">
        <f>SUM('Rep quarterly'!E280:E281)</f>
        <v>1188600</v>
      </c>
      <c r="G129" s="4">
        <f>SUM('Rep quarterly'!F280:F281)</f>
        <v>922800</v>
      </c>
      <c r="H129" s="4">
        <f>SUM('Rep quarterly'!G280:G281)</f>
        <v>1122700</v>
      </c>
      <c r="I129" s="4">
        <f>SUM('Rep quarterly'!H280:H281)</f>
        <v>628300</v>
      </c>
      <c r="J129" s="4">
        <f>SUM('Rep quarterly'!I280:I281)</f>
        <v>0</v>
      </c>
    </row>
    <row r="130">
      <c r="A130" s="0" t="inlineStr">
        <is>
          <t xml:space="preserve">Pipeline created</t>
        </is>
      </c>
      <c r="B130" s="0" t="inlineStr">
        <is>
          <t xml:space="preserve">EMEA</t>
        </is>
      </c>
      <c r="C130" s="0" t="inlineStr">
        <is>
          <t xml:space="preserve">SMB</t>
        </is>
      </c>
      <c r="D130" s="4">
        <f>SUM('Rep quarterly'!C282:C283)</f>
        <v>507800</v>
      </c>
      <c r="E130" s="4">
        <f>SUM('Rep quarterly'!D282:D283)</f>
        <v>422200</v>
      </c>
      <c r="F130" s="4">
        <f>SUM('Rep quarterly'!E282:E283)</f>
        <v>528700</v>
      </c>
      <c r="G130" s="4">
        <f>SUM('Rep quarterly'!F282:F283)</f>
        <v>567000</v>
      </c>
      <c r="H130" s="4">
        <f>SUM('Rep quarterly'!G282:G283)</f>
        <v>512800</v>
      </c>
      <c r="I130" s="4">
        <f>SUM('Rep quarterly'!H282:H283)</f>
        <v>484300</v>
      </c>
      <c r="J130" s="4">
        <f>SUM('Rep quarterly'!I282:I283)</f>
        <v>0</v>
      </c>
    </row>
    <row r="131">
      <c r="A131" s="0" t="inlineStr">
        <is>
          <t xml:space="preserve">Pipeline created</t>
        </is>
      </c>
      <c r="B131" s="0" t="inlineStr">
        <is>
          <t xml:space="preserve">APAC</t>
        </is>
      </c>
      <c r="C131" s="0" t="inlineStr">
        <is>
          <t xml:space="preserve">Enterprise</t>
        </is>
      </c>
      <c r="D131" s="4">
        <f>SUM('Rep quarterly'!C284:C285)</f>
        <v>1136700</v>
      </c>
      <c r="E131" s="4">
        <f>SUM('Rep quarterly'!D284:D285)</f>
        <v>575500</v>
      </c>
      <c r="F131" s="4">
        <f>SUM('Rep quarterly'!E284:E285)</f>
        <v>289500</v>
      </c>
      <c r="G131" s="4">
        <f>SUM('Rep quarterly'!F284:F285)</f>
        <v>1525900</v>
      </c>
      <c r="H131" s="4">
        <f>SUM('Rep quarterly'!G284:G285)</f>
        <v>1326900</v>
      </c>
      <c r="I131" s="4">
        <f>SUM('Rep quarterly'!H284:H285)</f>
        <v>2113100</v>
      </c>
      <c r="J131" s="4">
        <f>SUM('Rep quarterly'!I284:I285)</f>
        <v>0</v>
      </c>
    </row>
    <row r="132">
      <c r="A132" s="0" t="inlineStr">
        <is>
          <t xml:space="preserve">Pipeline created</t>
        </is>
      </c>
      <c r="B132" s="0" t="inlineStr">
        <is>
          <t xml:space="preserve">APAC</t>
        </is>
      </c>
      <c r="C132" s="0" t="inlineStr">
        <is>
          <t xml:space="preserve">Mid-Market</t>
        </is>
      </c>
      <c r="D132" s="4">
        <f>SUM('Rep quarterly'!C286:C287)</f>
        <v>878300</v>
      </c>
      <c r="E132" s="4">
        <f>SUM('Rep quarterly'!D286:D287)</f>
        <v>1175300</v>
      </c>
      <c r="F132" s="4">
        <f>SUM('Rep quarterly'!E286:E287)</f>
        <v>665300</v>
      </c>
      <c r="G132" s="4">
        <f>SUM('Rep quarterly'!F286:F287)</f>
        <v>1149700</v>
      </c>
      <c r="H132" s="4">
        <f>SUM('Rep quarterly'!G286:G287)</f>
        <v>974400</v>
      </c>
      <c r="I132" s="4">
        <f>SUM('Rep quarterly'!H286:H287)</f>
        <v>796900</v>
      </c>
      <c r="J132" s="4">
        <f>SUM('Rep quarterly'!I286:I287)</f>
        <v>0</v>
      </c>
    </row>
    <row r="133">
      <c r="A133" s="0" t="inlineStr">
        <is>
          <t xml:space="preserve">Pipeline created</t>
        </is>
      </c>
      <c r="B133" s="0" t="inlineStr">
        <is>
          <t xml:space="preserve">APAC</t>
        </is>
      </c>
      <c r="C133" s="0" t="inlineStr">
        <is>
          <t xml:space="preserve">SMB</t>
        </is>
      </c>
      <c r="D133" s="4">
        <f>SUM('Rep quarterly'!C288:C289)</f>
        <v>165800</v>
      </c>
      <c r="E133" s="4">
        <f>SUM('Rep quarterly'!D288:D289)</f>
        <v>235900</v>
      </c>
      <c r="F133" s="4">
        <f>SUM('Rep quarterly'!E288:E289)</f>
        <v>312200</v>
      </c>
      <c r="G133" s="4">
        <f>SUM('Rep quarterly'!F288:F289)</f>
        <v>183400</v>
      </c>
      <c r="H133" s="4">
        <f>SUM('Rep quarterly'!G288:G289)</f>
        <v>422500</v>
      </c>
      <c r="I133" s="4">
        <f>SUM('Rep quarterly'!H288:H289)</f>
        <v>254200</v>
      </c>
      <c r="J133" s="4">
        <f>SUM('Rep quarterly'!I288:I289)</f>
        <v>0</v>
      </c>
    </row>
    <row r="134">
      <c r="A134" s="0" t="inlineStr">
        <is>
          <t xml:space="preserve">Open pipeline</t>
        </is>
      </c>
      <c r="B134" s="0" t="inlineStr">
        <is>
          <t xml:space="preserve">AMER East</t>
        </is>
      </c>
      <c r="C134" s="0" t="inlineStr">
        <is>
          <t xml:space="preserve">Enterprise</t>
        </is>
      </c>
      <c r="D134" s="4">
        <f>SUM('Rep quarterly'!C290:C291)</f>
        <v>0</v>
      </c>
      <c r="E134" s="4">
        <f>SUM('Rep quarterly'!D290:D291)</f>
        <v>0</v>
      </c>
      <c r="F134" s="4">
        <f>SUM('Rep quarterly'!E290:E291)</f>
        <v>0</v>
      </c>
      <c r="G134" s="4">
        <f>SUM('Rep quarterly'!F290:F291)</f>
        <v>0</v>
      </c>
      <c r="H134" s="4">
        <f>SUM('Rep quarterly'!G290:G291)</f>
        <v>0</v>
      </c>
      <c r="I134" s="4">
        <f>SUM('Rep quarterly'!H290:H291)</f>
        <v>387000</v>
      </c>
      <c r="J134" s="4">
        <f>SUM('Rep quarterly'!I290:I291)</f>
        <v>3878600</v>
      </c>
    </row>
    <row r="135">
      <c r="A135" s="0" t="inlineStr">
        <is>
          <t xml:space="preserve">Open pipeline</t>
        </is>
      </c>
      <c r="B135" s="0" t="inlineStr">
        <is>
          <t xml:space="preserve">AMER East</t>
        </is>
      </c>
      <c r="C135" s="0" t="inlineStr">
        <is>
          <t xml:space="preserve">Mid-Market</t>
        </is>
      </c>
      <c r="D135" s="4">
        <f>SUM('Rep quarterly'!C292:C293)</f>
        <v>0</v>
      </c>
      <c r="E135" s="4">
        <f>SUM('Rep quarterly'!D292:D293)</f>
        <v>0</v>
      </c>
      <c r="F135" s="4">
        <f>SUM('Rep quarterly'!E292:E293)</f>
        <v>0</v>
      </c>
      <c r="G135" s="4">
        <f>SUM('Rep quarterly'!F292:F293)</f>
        <v>0</v>
      </c>
      <c r="H135" s="4">
        <f>SUM('Rep quarterly'!G292:G293)</f>
        <v>0</v>
      </c>
      <c r="I135" s="4">
        <f>SUM('Rep quarterly'!H292:H293)</f>
        <v>258700</v>
      </c>
      <c r="J135" s="4">
        <f>SUM('Rep quarterly'!I292:I293)</f>
        <v>1041000</v>
      </c>
    </row>
    <row r="136">
      <c r="A136" s="0" t="inlineStr">
        <is>
          <t xml:space="preserve">Open pipeline</t>
        </is>
      </c>
      <c r="B136" s="0" t="inlineStr">
        <is>
          <t xml:space="preserve">AMER East</t>
        </is>
      </c>
      <c r="C136" s="0" t="inlineStr">
        <is>
          <t xml:space="preserve">SMB</t>
        </is>
      </c>
      <c r="D136" s="4">
        <f>SUM('Rep quarterly'!C294:C295)</f>
        <v>0</v>
      </c>
      <c r="E136" s="4">
        <f>SUM('Rep quarterly'!D294:D295)</f>
        <v>0</v>
      </c>
      <c r="F136" s="4">
        <f>SUM('Rep quarterly'!E294:E295)</f>
        <v>0</v>
      </c>
      <c r="G136" s="4">
        <f>SUM('Rep quarterly'!F294:F295)</f>
        <v>0</v>
      </c>
      <c r="H136" s="4">
        <f>SUM('Rep quarterly'!G294:G295)</f>
        <v>0</v>
      </c>
      <c r="I136" s="4">
        <f>SUM('Rep quarterly'!H294:H295)</f>
        <v>101800</v>
      </c>
      <c r="J136" s="4">
        <f>SUM('Rep quarterly'!I294:I295)</f>
        <v>195000</v>
      </c>
    </row>
    <row r="137">
      <c r="A137" s="0" t="inlineStr">
        <is>
          <t xml:space="preserve">Open pipeline</t>
        </is>
      </c>
      <c r="B137" s="0" t="inlineStr">
        <is>
          <t xml:space="preserve">AMER West</t>
        </is>
      </c>
      <c r="C137" s="0" t="inlineStr">
        <is>
          <t xml:space="preserve">Enterprise</t>
        </is>
      </c>
      <c r="D137" s="4">
        <f>SUM('Rep quarterly'!C296:C297)</f>
        <v>0</v>
      </c>
      <c r="E137" s="4">
        <f>SUM('Rep quarterly'!D296:D297)</f>
        <v>0</v>
      </c>
      <c r="F137" s="4">
        <f>SUM('Rep quarterly'!E296:E297)</f>
        <v>0</v>
      </c>
      <c r="G137" s="4">
        <f>SUM('Rep quarterly'!F296:F297)</f>
        <v>0</v>
      </c>
      <c r="H137" s="4">
        <f>SUM('Rep quarterly'!G296:G297)</f>
        <v>0</v>
      </c>
      <c r="I137" s="4">
        <f>SUM('Rep quarterly'!H296:H297)</f>
        <v>749100</v>
      </c>
      <c r="J137" s="4">
        <f>SUM('Rep quarterly'!I296:I297)</f>
        <v>998300</v>
      </c>
    </row>
    <row r="138">
      <c r="A138" s="0" t="inlineStr">
        <is>
          <t xml:space="preserve">Open pipeline</t>
        </is>
      </c>
      <c r="B138" s="0" t="inlineStr">
        <is>
          <t xml:space="preserve">AMER West</t>
        </is>
      </c>
      <c r="C138" s="0" t="inlineStr">
        <is>
          <t xml:space="preserve">Mid-Market</t>
        </is>
      </c>
      <c r="D138" s="4">
        <f>SUM('Rep quarterly'!C298:C299)</f>
        <v>0</v>
      </c>
      <c r="E138" s="4">
        <f>SUM('Rep quarterly'!D298:D299)</f>
        <v>0</v>
      </c>
      <c r="F138" s="4">
        <f>SUM('Rep quarterly'!E298:E299)</f>
        <v>0</v>
      </c>
      <c r="G138" s="4">
        <f>SUM('Rep quarterly'!F298:F299)</f>
        <v>0</v>
      </c>
      <c r="H138" s="4">
        <f>SUM('Rep quarterly'!G298:G299)</f>
        <v>0</v>
      </c>
      <c r="I138" s="4">
        <f>SUM('Rep quarterly'!H298:H299)</f>
        <v>171500</v>
      </c>
      <c r="J138" s="4">
        <f>SUM('Rep quarterly'!I298:I299)</f>
        <v>621800</v>
      </c>
    </row>
    <row r="139">
      <c r="A139" s="0" t="inlineStr">
        <is>
          <t xml:space="preserve">Open pipeline</t>
        </is>
      </c>
      <c r="B139" s="0" t="inlineStr">
        <is>
          <t xml:space="preserve">AMER West</t>
        </is>
      </c>
      <c r="C139" s="0" t="inlineStr">
        <is>
          <t xml:space="preserve">SMB</t>
        </is>
      </c>
      <c r="D139" s="4">
        <f>SUM('Rep quarterly'!C300:C301)</f>
        <v>0</v>
      </c>
      <c r="E139" s="4">
        <f>SUM('Rep quarterly'!D300:D301)</f>
        <v>0</v>
      </c>
      <c r="F139" s="4">
        <f>SUM('Rep quarterly'!E300:E301)</f>
        <v>0</v>
      </c>
      <c r="G139" s="4">
        <f>SUM('Rep quarterly'!F300:F301)</f>
        <v>0</v>
      </c>
      <c r="H139" s="4">
        <f>SUM('Rep quarterly'!G300:G301)</f>
        <v>0</v>
      </c>
      <c r="I139" s="4">
        <f>SUM('Rep quarterly'!H300:H301)</f>
        <v>59900</v>
      </c>
      <c r="J139" s="4">
        <f>SUM('Rep quarterly'!I300:I301)</f>
        <v>225000</v>
      </c>
    </row>
    <row r="140">
      <c r="A140" s="0" t="inlineStr">
        <is>
          <t xml:space="preserve">Open pipeline</t>
        </is>
      </c>
      <c r="B140" s="0" t="inlineStr">
        <is>
          <t xml:space="preserve">EMEA</t>
        </is>
      </c>
      <c r="C140" s="0" t="inlineStr">
        <is>
          <t xml:space="preserve">Enterprise</t>
        </is>
      </c>
      <c r="D140" s="4">
        <f>SUM('Rep quarterly'!C302:C303)</f>
        <v>0</v>
      </c>
      <c r="E140" s="4">
        <f>SUM('Rep quarterly'!D302:D303)</f>
        <v>0</v>
      </c>
      <c r="F140" s="4">
        <f>SUM('Rep quarterly'!E302:E303)</f>
        <v>0</v>
      </c>
      <c r="G140" s="4">
        <f>SUM('Rep quarterly'!F302:F303)</f>
        <v>0</v>
      </c>
      <c r="H140" s="4">
        <f>SUM('Rep quarterly'!G302:G303)</f>
        <v>0</v>
      </c>
      <c r="I140" s="4">
        <f>SUM('Rep quarterly'!H302:H303)</f>
        <v>292100</v>
      </c>
      <c r="J140" s="4">
        <f>SUM('Rep quarterly'!I302:I303)</f>
        <v>1564000</v>
      </c>
    </row>
    <row r="141">
      <c r="A141" s="0" t="inlineStr">
        <is>
          <t xml:space="preserve">Open pipeline</t>
        </is>
      </c>
      <c r="B141" s="0" t="inlineStr">
        <is>
          <t xml:space="preserve">EMEA</t>
        </is>
      </c>
      <c r="C141" s="0" t="inlineStr">
        <is>
          <t xml:space="preserve">Mid-Market</t>
        </is>
      </c>
      <c r="D141" s="4">
        <f>SUM('Rep quarterly'!C304:C305)</f>
        <v>0</v>
      </c>
      <c r="E141" s="4">
        <f>SUM('Rep quarterly'!D304:D305)</f>
        <v>0</v>
      </c>
      <c r="F141" s="4">
        <f>SUM('Rep quarterly'!E304:E305)</f>
        <v>0</v>
      </c>
      <c r="G141" s="4">
        <f>SUM('Rep quarterly'!F304:F305)</f>
        <v>0</v>
      </c>
      <c r="H141" s="4">
        <f>SUM('Rep quarterly'!G304:G305)</f>
        <v>0</v>
      </c>
      <c r="I141" s="4">
        <f>SUM('Rep quarterly'!H304:H305)</f>
        <v>170300</v>
      </c>
      <c r="J141" s="4">
        <f>SUM('Rep quarterly'!I304:I305)</f>
        <v>163100</v>
      </c>
    </row>
    <row r="142">
      <c r="A142" s="0" t="inlineStr">
        <is>
          <t xml:space="preserve">Open pipeline</t>
        </is>
      </c>
      <c r="B142" s="0" t="inlineStr">
        <is>
          <t xml:space="preserve">EMEA</t>
        </is>
      </c>
      <c r="C142" s="0" t="inlineStr">
        <is>
          <t xml:space="preserve">SMB</t>
        </is>
      </c>
      <c r="D142" s="4">
        <f>SUM('Rep quarterly'!C306:C307)</f>
        <v>0</v>
      </c>
      <c r="E142" s="4">
        <f>SUM('Rep quarterly'!D306:D307)</f>
        <v>0</v>
      </c>
      <c r="F142" s="4">
        <f>SUM('Rep quarterly'!E306:E307)</f>
        <v>0</v>
      </c>
      <c r="G142" s="4">
        <f>SUM('Rep quarterly'!F306:F307)</f>
        <v>0</v>
      </c>
      <c r="H142" s="4">
        <f>SUM('Rep quarterly'!G306:G307)</f>
        <v>0</v>
      </c>
      <c r="I142" s="4">
        <f>SUM('Rep quarterly'!H306:H307)</f>
        <v>69300</v>
      </c>
      <c r="J142" s="4">
        <f>SUM('Rep quarterly'!I306:I307)</f>
        <v>162100</v>
      </c>
    </row>
    <row r="143">
      <c r="A143" s="0" t="inlineStr">
        <is>
          <t xml:space="preserve">Open pipeline</t>
        </is>
      </c>
      <c r="B143" s="0" t="inlineStr">
        <is>
          <t xml:space="preserve">APAC</t>
        </is>
      </c>
      <c r="C143" s="0" t="inlineStr">
        <is>
          <t xml:space="preserve">Enterprise</t>
        </is>
      </c>
      <c r="D143" s="4">
        <f>SUM('Rep quarterly'!C308:C309)</f>
        <v>0</v>
      </c>
      <c r="E143" s="4">
        <f>SUM('Rep quarterly'!D308:D309)</f>
        <v>0</v>
      </c>
      <c r="F143" s="4">
        <f>SUM('Rep quarterly'!E308:E309)</f>
        <v>0</v>
      </c>
      <c r="G143" s="4">
        <f>SUM('Rep quarterly'!F308:F309)</f>
        <v>0</v>
      </c>
      <c r="H143" s="4">
        <f>SUM('Rep quarterly'!G308:G309)</f>
        <v>0</v>
      </c>
      <c r="I143" s="4">
        <f>SUM('Rep quarterly'!H308:H309)</f>
        <v>236900</v>
      </c>
      <c r="J143" s="4">
        <f>SUM('Rep quarterly'!I308:I309)</f>
        <v>2622900</v>
      </c>
    </row>
    <row r="144">
      <c r="A144" s="0" t="inlineStr">
        <is>
          <t xml:space="preserve">Open pipeline</t>
        </is>
      </c>
      <c r="B144" s="0" t="inlineStr">
        <is>
          <t xml:space="preserve">APAC</t>
        </is>
      </c>
      <c r="C144" s="0" t="inlineStr">
        <is>
          <t xml:space="preserve">Mid-Market</t>
        </is>
      </c>
      <c r="D144" s="4">
        <f>SUM('Rep quarterly'!C310:C311)</f>
        <v>0</v>
      </c>
      <c r="E144" s="4">
        <f>SUM('Rep quarterly'!D310:D311)</f>
        <v>0</v>
      </c>
      <c r="F144" s="4">
        <f>SUM('Rep quarterly'!E310:E311)</f>
        <v>0</v>
      </c>
      <c r="G144" s="4">
        <f>SUM('Rep quarterly'!F310:F311)</f>
        <v>0</v>
      </c>
      <c r="H144" s="4">
        <f>SUM('Rep quarterly'!G310:G311)</f>
        <v>0</v>
      </c>
      <c r="I144" s="4">
        <f>SUM('Rep quarterly'!H310:H311)</f>
        <v>207300</v>
      </c>
      <c r="J144" s="4">
        <f>SUM('Rep quarterly'!I310:I311)</f>
        <v>587500</v>
      </c>
    </row>
    <row r="145">
      <c r="A145" s="0" t="inlineStr">
        <is>
          <t xml:space="preserve">Open pipeline</t>
        </is>
      </c>
      <c r="B145" s="0" t="inlineStr">
        <is>
          <t xml:space="preserve">APAC</t>
        </is>
      </c>
      <c r="C145" s="0" t="inlineStr">
        <is>
          <t xml:space="preserve">SMB</t>
        </is>
      </c>
      <c r="D145" s="4">
        <f>SUM('Rep quarterly'!C312:C313)</f>
        <v>0</v>
      </c>
      <c r="E145" s="4">
        <f>SUM('Rep quarterly'!D312:D313)</f>
        <v>0</v>
      </c>
      <c r="F145" s="4">
        <f>SUM('Rep quarterly'!E312:E313)</f>
        <v>0</v>
      </c>
      <c r="G145" s="4">
        <f>SUM('Rep quarterly'!F312:F313)</f>
        <v>0</v>
      </c>
      <c r="H145" s="4">
        <f>SUM('Rep quarterly'!G312:G313)</f>
        <v>0</v>
      </c>
      <c r="I145" s="4">
        <f>SUM('Rep quarterly'!H312:H313)</f>
        <v>25700</v>
      </c>
      <c r="J145" s="4">
        <f>SUM('Rep quarterly'!I312:I313)</f>
        <v>147900</v>
      </c>
    </row>
    <row r="146">
      <c r="A146" s="0" t="inlineStr">
        <is>
          <t xml:space="preserve">Commit</t>
        </is>
      </c>
      <c r="B146" s="0" t="inlineStr">
        <is>
          <t xml:space="preserve">AMER East</t>
        </is>
      </c>
      <c r="C146" s="0" t="inlineStr">
        <is>
          <t xml:space="preserve">Enterprise</t>
        </is>
      </c>
      <c r="D146" s="4">
        <f>SUM('Rep quarterly'!C314:C315)</f>
        <v>0</v>
      </c>
      <c r="E146" s="4">
        <f>SUM('Rep quarterly'!D314:D315)</f>
        <v>0</v>
      </c>
      <c r="F146" s="4">
        <f>SUM('Rep quarterly'!E314:E315)</f>
        <v>0</v>
      </c>
      <c r="G146" s="4">
        <f>SUM('Rep quarterly'!F314:F315)</f>
        <v>0</v>
      </c>
      <c r="H146" s="4">
        <f>SUM('Rep quarterly'!G314:G315)</f>
        <v>0</v>
      </c>
      <c r="I146" s="4">
        <f>SUM('Rep quarterly'!H314:H315)</f>
        <v>0</v>
      </c>
      <c r="J146" s="4">
        <f>SUM('Rep quarterly'!I314:I315)</f>
        <v>763400</v>
      </c>
    </row>
    <row r="147">
      <c r="A147" s="0" t="inlineStr">
        <is>
          <t xml:space="preserve">Commit</t>
        </is>
      </c>
      <c r="B147" s="0" t="inlineStr">
        <is>
          <t xml:space="preserve">AMER East</t>
        </is>
      </c>
      <c r="C147" s="0" t="inlineStr">
        <is>
          <t xml:space="preserve">Mid-Market</t>
        </is>
      </c>
      <c r="D147" s="4">
        <f>SUM('Rep quarterly'!C316:C317)</f>
        <v>0</v>
      </c>
      <c r="E147" s="4">
        <f>SUM('Rep quarterly'!D316:D317)</f>
        <v>0</v>
      </c>
      <c r="F147" s="4">
        <f>SUM('Rep quarterly'!E316:E317)</f>
        <v>0</v>
      </c>
      <c r="G147" s="4">
        <f>SUM('Rep quarterly'!F316:F317)</f>
        <v>0</v>
      </c>
      <c r="H147" s="4">
        <f>SUM('Rep quarterly'!G316:G317)</f>
        <v>0</v>
      </c>
      <c r="I147" s="4">
        <f>SUM('Rep quarterly'!H316:H317)</f>
        <v>57000</v>
      </c>
      <c r="J147" s="4">
        <f>SUM('Rep quarterly'!I316:I317)</f>
        <v>46000</v>
      </c>
    </row>
    <row r="148">
      <c r="A148" s="0" t="inlineStr">
        <is>
          <t xml:space="preserve">Commit</t>
        </is>
      </c>
      <c r="B148" s="0" t="inlineStr">
        <is>
          <t xml:space="preserve">AMER East</t>
        </is>
      </c>
      <c r="C148" s="0" t="inlineStr">
        <is>
          <t xml:space="preserve">SMB</t>
        </is>
      </c>
      <c r="D148" s="4">
        <f>SUM('Rep quarterly'!C318:C319)</f>
        <v>0</v>
      </c>
      <c r="E148" s="4">
        <f>SUM('Rep quarterly'!D318:D319)</f>
        <v>0</v>
      </c>
      <c r="F148" s="4">
        <f>SUM('Rep quarterly'!E318:E319)</f>
        <v>0</v>
      </c>
      <c r="G148" s="4">
        <f>SUM('Rep quarterly'!F318:F319)</f>
        <v>0</v>
      </c>
      <c r="H148" s="4">
        <f>SUM('Rep quarterly'!G318:G319)</f>
        <v>0</v>
      </c>
      <c r="I148" s="4">
        <f>SUM('Rep quarterly'!H318:H319)</f>
        <v>12400</v>
      </c>
      <c r="J148" s="4">
        <f>SUM('Rep quarterly'!I318:I319)</f>
        <v>40800</v>
      </c>
    </row>
    <row r="149">
      <c r="A149" s="0" t="inlineStr">
        <is>
          <t xml:space="preserve">Commit</t>
        </is>
      </c>
      <c r="B149" s="0" t="inlineStr">
        <is>
          <t xml:space="preserve">AMER West</t>
        </is>
      </c>
      <c r="C149" s="0" t="inlineStr">
        <is>
          <t xml:space="preserve">Enterprise</t>
        </is>
      </c>
      <c r="D149" s="4">
        <f>SUM('Rep quarterly'!C320:C321)</f>
        <v>0</v>
      </c>
      <c r="E149" s="4">
        <f>SUM('Rep quarterly'!D320:D321)</f>
        <v>0</v>
      </c>
      <c r="F149" s="4">
        <f>SUM('Rep quarterly'!E320:E321)</f>
        <v>0</v>
      </c>
      <c r="G149" s="4">
        <f>SUM('Rep quarterly'!F320:F321)</f>
        <v>0</v>
      </c>
      <c r="H149" s="4">
        <f>SUM('Rep quarterly'!G320:G321)</f>
        <v>0</v>
      </c>
      <c r="I149" s="4">
        <f>SUM('Rep quarterly'!H320:H321)</f>
        <v>265800</v>
      </c>
      <c r="J149" s="4">
        <f>SUM('Rep quarterly'!I320:I321)</f>
        <v>110000</v>
      </c>
    </row>
    <row r="150">
      <c r="A150" s="0" t="inlineStr">
        <is>
          <t xml:space="preserve">Commit</t>
        </is>
      </c>
      <c r="B150" s="0" t="inlineStr">
        <is>
          <t xml:space="preserve">AMER West</t>
        </is>
      </c>
      <c r="C150" s="0" t="inlineStr">
        <is>
          <t xml:space="preserve">Mid-Market</t>
        </is>
      </c>
      <c r="D150" s="4">
        <f>SUM('Rep quarterly'!C322:C323)</f>
        <v>0</v>
      </c>
      <c r="E150" s="4">
        <f>SUM('Rep quarterly'!D322:D323)</f>
        <v>0</v>
      </c>
      <c r="F150" s="4">
        <f>SUM('Rep quarterly'!E322:E323)</f>
        <v>0</v>
      </c>
      <c r="G150" s="4">
        <f>SUM('Rep quarterly'!F322:F323)</f>
        <v>0</v>
      </c>
      <c r="H150" s="4">
        <f>SUM('Rep quarterly'!G322:G323)</f>
        <v>0</v>
      </c>
      <c r="I150" s="4">
        <f>SUM('Rep quarterly'!H322:H323)</f>
        <v>127000</v>
      </c>
      <c r="J150" s="4">
        <f>SUM('Rep quarterly'!I322:I323)</f>
        <v>169500</v>
      </c>
    </row>
    <row r="151">
      <c r="A151" s="0" t="inlineStr">
        <is>
          <t xml:space="preserve">Commit</t>
        </is>
      </c>
      <c r="B151" s="0" t="inlineStr">
        <is>
          <t xml:space="preserve">AMER West</t>
        </is>
      </c>
      <c r="C151" s="0" t="inlineStr">
        <is>
          <t xml:space="preserve">SMB</t>
        </is>
      </c>
      <c r="D151" s="4">
        <f>SUM('Rep quarterly'!C324:C325)</f>
        <v>0</v>
      </c>
      <c r="E151" s="4">
        <f>SUM('Rep quarterly'!D324:D325)</f>
        <v>0</v>
      </c>
      <c r="F151" s="4">
        <f>SUM('Rep quarterly'!E324:E325)</f>
        <v>0</v>
      </c>
      <c r="G151" s="4">
        <f>SUM('Rep quarterly'!F324:F325)</f>
        <v>0</v>
      </c>
      <c r="H151" s="4">
        <f>SUM('Rep quarterly'!G324:G325)</f>
        <v>0</v>
      </c>
      <c r="I151" s="4">
        <f>SUM('Rep quarterly'!H324:H325)</f>
        <v>19700</v>
      </c>
      <c r="J151" s="4">
        <f>SUM('Rep quarterly'!I324:I325)</f>
        <v>48700</v>
      </c>
    </row>
    <row r="152">
      <c r="A152" s="0" t="inlineStr">
        <is>
          <t xml:space="preserve">Commit</t>
        </is>
      </c>
      <c r="B152" s="0" t="inlineStr">
        <is>
          <t xml:space="preserve">EMEA</t>
        </is>
      </c>
      <c r="C152" s="0" t="inlineStr">
        <is>
          <t xml:space="preserve">Enterprise</t>
        </is>
      </c>
      <c r="D152" s="4">
        <f>SUM('Rep quarterly'!C326:C327)</f>
        <v>0</v>
      </c>
      <c r="E152" s="4">
        <f>SUM('Rep quarterly'!D326:D327)</f>
        <v>0</v>
      </c>
      <c r="F152" s="4">
        <f>SUM('Rep quarterly'!E326:E327)</f>
        <v>0</v>
      </c>
      <c r="G152" s="4">
        <f>SUM('Rep quarterly'!F326:F327)</f>
        <v>0</v>
      </c>
      <c r="H152" s="4">
        <f>SUM('Rep quarterly'!G326:G327)</f>
        <v>0</v>
      </c>
      <c r="I152" s="4">
        <f>SUM('Rep quarterly'!H326:H327)</f>
        <v>112600</v>
      </c>
      <c r="J152" s="4">
        <f>SUM('Rep quarterly'!I326:I327)</f>
        <v>32900</v>
      </c>
    </row>
    <row r="153">
      <c r="A153" s="0" t="inlineStr">
        <is>
          <t xml:space="preserve">Commit</t>
        </is>
      </c>
      <c r="B153" s="0" t="inlineStr">
        <is>
          <t xml:space="preserve">EMEA</t>
        </is>
      </c>
      <c r="C153" s="0" t="inlineStr">
        <is>
          <t xml:space="preserve">Mid-Market</t>
        </is>
      </c>
      <c r="D153" s="4">
        <f>SUM('Rep quarterly'!C328:C329)</f>
        <v>0</v>
      </c>
      <c r="E153" s="4">
        <f>SUM('Rep quarterly'!D328:D329)</f>
        <v>0</v>
      </c>
      <c r="F153" s="4">
        <f>SUM('Rep quarterly'!E328:E329)</f>
        <v>0</v>
      </c>
      <c r="G153" s="4">
        <f>SUM('Rep quarterly'!F328:F329)</f>
        <v>0</v>
      </c>
      <c r="H153" s="4">
        <f>SUM('Rep quarterly'!G328:G329)</f>
        <v>0</v>
      </c>
      <c r="I153" s="4">
        <f>SUM('Rep quarterly'!H328:H329)</f>
        <v>0</v>
      </c>
      <c r="J153" s="4">
        <f>SUM('Rep quarterly'!I328:I329)</f>
        <v>0</v>
      </c>
    </row>
    <row r="154">
      <c r="A154" s="0" t="inlineStr">
        <is>
          <t xml:space="preserve">Commit</t>
        </is>
      </c>
      <c r="B154" s="0" t="inlineStr">
        <is>
          <t xml:space="preserve">EMEA</t>
        </is>
      </c>
      <c r="C154" s="0" t="inlineStr">
        <is>
          <t xml:space="preserve">SMB</t>
        </is>
      </c>
      <c r="D154" s="4">
        <f>SUM('Rep quarterly'!C330:C331)</f>
        <v>0</v>
      </c>
      <c r="E154" s="4">
        <f>SUM('Rep quarterly'!D330:D331)</f>
        <v>0</v>
      </c>
      <c r="F154" s="4">
        <f>SUM('Rep quarterly'!E330:E331)</f>
        <v>0</v>
      </c>
      <c r="G154" s="4">
        <f>SUM('Rep quarterly'!F330:F331)</f>
        <v>0</v>
      </c>
      <c r="H154" s="4">
        <f>SUM('Rep quarterly'!G330:G331)</f>
        <v>0</v>
      </c>
      <c r="I154" s="4">
        <f>SUM('Rep quarterly'!H330:H331)</f>
        <v>14900</v>
      </c>
      <c r="J154" s="4">
        <f>SUM('Rep quarterly'!I330:I331)</f>
        <v>67800</v>
      </c>
    </row>
    <row r="155">
      <c r="A155" s="0" t="inlineStr">
        <is>
          <t xml:space="preserve">Commit</t>
        </is>
      </c>
      <c r="B155" s="0" t="inlineStr">
        <is>
          <t xml:space="preserve">APAC</t>
        </is>
      </c>
      <c r="C155" s="0" t="inlineStr">
        <is>
          <t xml:space="preserve">Enterprise</t>
        </is>
      </c>
      <c r="D155" s="4">
        <f>SUM('Rep quarterly'!C332:C333)</f>
        <v>0</v>
      </c>
      <c r="E155" s="4">
        <f>SUM('Rep quarterly'!D332:D333)</f>
        <v>0</v>
      </c>
      <c r="F155" s="4">
        <f>SUM('Rep quarterly'!E332:E333)</f>
        <v>0</v>
      </c>
      <c r="G155" s="4">
        <f>SUM('Rep quarterly'!F332:F333)</f>
        <v>0</v>
      </c>
      <c r="H155" s="4">
        <f>SUM('Rep quarterly'!G332:G333)</f>
        <v>0</v>
      </c>
      <c r="I155" s="4">
        <f>SUM('Rep quarterly'!H332:H333)</f>
        <v>0</v>
      </c>
      <c r="J155" s="4">
        <f>SUM('Rep quarterly'!I332:I333)</f>
        <v>101300</v>
      </c>
    </row>
    <row r="156">
      <c r="A156" s="0" t="inlineStr">
        <is>
          <t xml:space="preserve">Commit</t>
        </is>
      </c>
      <c r="B156" s="0" t="inlineStr">
        <is>
          <t xml:space="preserve">APAC</t>
        </is>
      </c>
      <c r="C156" s="0" t="inlineStr">
        <is>
          <t xml:space="preserve">Mid-Market</t>
        </is>
      </c>
      <c r="D156" s="4">
        <f>SUM('Rep quarterly'!C334:C335)</f>
        <v>0</v>
      </c>
      <c r="E156" s="4">
        <f>SUM('Rep quarterly'!D334:D335)</f>
        <v>0</v>
      </c>
      <c r="F156" s="4">
        <f>SUM('Rep quarterly'!E334:E335)</f>
        <v>0</v>
      </c>
      <c r="G156" s="4">
        <f>SUM('Rep quarterly'!F334:F335)</f>
        <v>0</v>
      </c>
      <c r="H156" s="4">
        <f>SUM('Rep quarterly'!G334:G335)</f>
        <v>0</v>
      </c>
      <c r="I156" s="4">
        <f>SUM('Rep quarterly'!H334:H335)</f>
        <v>29900</v>
      </c>
      <c r="J156" s="4">
        <f>SUM('Rep quarterly'!I334:I335)</f>
        <v>177600</v>
      </c>
    </row>
    <row r="157">
      <c r="A157" s="0" t="inlineStr">
        <is>
          <t xml:space="preserve">Commit</t>
        </is>
      </c>
      <c r="B157" s="0" t="inlineStr">
        <is>
          <t xml:space="preserve">APAC</t>
        </is>
      </c>
      <c r="C157" s="0" t="inlineStr">
        <is>
          <t xml:space="preserve">SMB</t>
        </is>
      </c>
      <c r="D157" s="4">
        <f>SUM('Rep quarterly'!C336:C337)</f>
        <v>0</v>
      </c>
      <c r="E157" s="4">
        <f>SUM('Rep quarterly'!D336:D337)</f>
        <v>0</v>
      </c>
      <c r="F157" s="4">
        <f>SUM('Rep quarterly'!E336:E337)</f>
        <v>0</v>
      </c>
      <c r="G157" s="4">
        <f>SUM('Rep quarterly'!F336:F337)</f>
        <v>0</v>
      </c>
      <c r="H157" s="4">
        <f>SUM('Rep quarterly'!G336:G337)</f>
        <v>0</v>
      </c>
      <c r="I157" s="4">
        <f>SUM('Rep quarterly'!H336:H337)</f>
        <v>15000</v>
      </c>
      <c r="J157" s="4">
        <f>SUM('Rep quarterly'!I336:I337)</f>
        <v>6200</v>
      </c>
    </row>
    <row r="158">
      <c r="A158" s="0" t="inlineStr">
        <is>
          <t xml:space="preserve">Best case</t>
        </is>
      </c>
      <c r="B158" s="0" t="inlineStr">
        <is>
          <t xml:space="preserve">AMER East</t>
        </is>
      </c>
      <c r="C158" s="0" t="inlineStr">
        <is>
          <t xml:space="preserve">Enterprise</t>
        </is>
      </c>
      <c r="D158" s="4">
        <f>SUM('Rep quarterly'!C338:C339)</f>
        <v>0</v>
      </c>
      <c r="E158" s="4">
        <f>SUM('Rep quarterly'!D338:D339)</f>
        <v>0</v>
      </c>
      <c r="F158" s="4">
        <f>SUM('Rep quarterly'!E338:E339)</f>
        <v>0</v>
      </c>
      <c r="G158" s="4">
        <f>SUM('Rep quarterly'!F338:F339)</f>
        <v>0</v>
      </c>
      <c r="H158" s="4">
        <f>SUM('Rep quarterly'!G338:G339)</f>
        <v>0</v>
      </c>
      <c r="I158" s="4">
        <f>SUM('Rep quarterly'!H338:H339)</f>
        <v>0</v>
      </c>
      <c r="J158" s="4">
        <f>SUM('Rep quarterly'!I338:I339)</f>
        <v>596900</v>
      </c>
    </row>
    <row r="159">
      <c r="A159" s="0" t="inlineStr">
        <is>
          <t xml:space="preserve">Best case</t>
        </is>
      </c>
      <c r="B159" s="0" t="inlineStr">
        <is>
          <t xml:space="preserve">AMER East</t>
        </is>
      </c>
      <c r="C159" s="0" t="inlineStr">
        <is>
          <t xml:space="preserve">Mid-Market</t>
        </is>
      </c>
      <c r="D159" s="4">
        <f>SUM('Rep quarterly'!C340:C341)</f>
        <v>0</v>
      </c>
      <c r="E159" s="4">
        <f>SUM('Rep quarterly'!D340:D341)</f>
        <v>0</v>
      </c>
      <c r="F159" s="4">
        <f>SUM('Rep quarterly'!E340:E341)</f>
        <v>0</v>
      </c>
      <c r="G159" s="4">
        <f>SUM('Rep quarterly'!F340:F341)</f>
        <v>0</v>
      </c>
      <c r="H159" s="4">
        <f>SUM('Rep quarterly'!G340:G341)</f>
        <v>0</v>
      </c>
      <c r="I159" s="4">
        <f>SUM('Rep quarterly'!H340:H341)</f>
        <v>201700</v>
      </c>
      <c r="J159" s="4">
        <f>SUM('Rep quarterly'!I340:I341)</f>
        <v>147500</v>
      </c>
    </row>
    <row r="160">
      <c r="A160" s="0" t="inlineStr">
        <is>
          <t xml:space="preserve">Best case</t>
        </is>
      </c>
      <c r="B160" s="0" t="inlineStr">
        <is>
          <t xml:space="preserve">AMER East</t>
        </is>
      </c>
      <c r="C160" s="0" t="inlineStr">
        <is>
          <t xml:space="preserve">SMB</t>
        </is>
      </c>
      <c r="D160" s="4">
        <f>SUM('Rep quarterly'!C342:C343)</f>
        <v>0</v>
      </c>
      <c r="E160" s="4">
        <f>SUM('Rep quarterly'!D342:D343)</f>
        <v>0</v>
      </c>
      <c r="F160" s="4">
        <f>SUM('Rep quarterly'!E342:E343)</f>
        <v>0</v>
      </c>
      <c r="G160" s="4">
        <f>SUM('Rep quarterly'!F342:F343)</f>
        <v>0</v>
      </c>
      <c r="H160" s="4">
        <f>SUM('Rep quarterly'!G342:G343)</f>
        <v>0</v>
      </c>
      <c r="I160" s="4">
        <f>SUM('Rep quarterly'!H342:H343)</f>
        <v>60200</v>
      </c>
      <c r="J160" s="4">
        <f>SUM('Rep quarterly'!I342:I343)</f>
        <v>42300</v>
      </c>
    </row>
    <row r="161">
      <c r="A161" s="0" t="inlineStr">
        <is>
          <t xml:space="preserve">Best case</t>
        </is>
      </c>
      <c r="B161" s="0" t="inlineStr">
        <is>
          <t xml:space="preserve">AMER West</t>
        </is>
      </c>
      <c r="C161" s="0" t="inlineStr">
        <is>
          <t xml:space="preserve">Enterprise</t>
        </is>
      </c>
      <c r="D161" s="4">
        <f>SUM('Rep quarterly'!C344:C345)</f>
        <v>0</v>
      </c>
      <c r="E161" s="4">
        <f>SUM('Rep quarterly'!D344:D345)</f>
        <v>0</v>
      </c>
      <c r="F161" s="4">
        <f>SUM('Rep quarterly'!E344:E345)</f>
        <v>0</v>
      </c>
      <c r="G161" s="4">
        <f>SUM('Rep quarterly'!F344:F345)</f>
        <v>0</v>
      </c>
      <c r="H161" s="4">
        <f>SUM('Rep quarterly'!G344:G345)</f>
        <v>0</v>
      </c>
      <c r="I161" s="4">
        <f>SUM('Rep quarterly'!H344:H345)</f>
        <v>366600</v>
      </c>
      <c r="J161" s="4">
        <f>SUM('Rep quarterly'!I344:I345)</f>
        <v>319200</v>
      </c>
    </row>
    <row r="162">
      <c r="A162" s="0" t="inlineStr">
        <is>
          <t xml:space="preserve">Best case</t>
        </is>
      </c>
      <c r="B162" s="0" t="inlineStr">
        <is>
          <t xml:space="preserve">AMER West</t>
        </is>
      </c>
      <c r="C162" s="0" t="inlineStr">
        <is>
          <t xml:space="preserve">Mid-Market</t>
        </is>
      </c>
      <c r="D162" s="4">
        <f>SUM('Rep quarterly'!C346:C347)</f>
        <v>0</v>
      </c>
      <c r="E162" s="4">
        <f>SUM('Rep quarterly'!D346:D347)</f>
        <v>0</v>
      </c>
      <c r="F162" s="4">
        <f>SUM('Rep quarterly'!E346:E347)</f>
        <v>0</v>
      </c>
      <c r="G162" s="4">
        <f>SUM('Rep quarterly'!F346:F347)</f>
        <v>0</v>
      </c>
      <c r="H162" s="4">
        <f>SUM('Rep quarterly'!G346:G347)</f>
        <v>0</v>
      </c>
      <c r="I162" s="4">
        <f>SUM('Rep quarterly'!H346:H347)</f>
        <v>44500</v>
      </c>
      <c r="J162" s="4">
        <f>SUM('Rep quarterly'!I346:I347)</f>
        <v>104100</v>
      </c>
    </row>
    <row r="163">
      <c r="A163" s="0" t="inlineStr">
        <is>
          <t xml:space="preserve">Best case</t>
        </is>
      </c>
      <c r="B163" s="0" t="inlineStr">
        <is>
          <t xml:space="preserve">AMER West</t>
        </is>
      </c>
      <c r="C163" s="0" t="inlineStr">
        <is>
          <t xml:space="preserve">SMB</t>
        </is>
      </c>
      <c r="D163" s="4">
        <f>SUM('Rep quarterly'!C348:C349)</f>
        <v>0</v>
      </c>
      <c r="E163" s="4">
        <f>SUM('Rep quarterly'!D348:D349)</f>
        <v>0</v>
      </c>
      <c r="F163" s="4">
        <f>SUM('Rep quarterly'!E348:E349)</f>
        <v>0</v>
      </c>
      <c r="G163" s="4">
        <f>SUM('Rep quarterly'!F348:F349)</f>
        <v>0</v>
      </c>
      <c r="H163" s="4">
        <f>SUM('Rep quarterly'!G348:G349)</f>
        <v>0</v>
      </c>
      <c r="I163" s="4">
        <f>SUM('Rep quarterly'!H348:H349)</f>
        <v>15300</v>
      </c>
      <c r="J163" s="4">
        <f>SUM('Rep quarterly'!I348:I349)</f>
        <v>120200</v>
      </c>
    </row>
    <row r="164">
      <c r="A164" s="0" t="inlineStr">
        <is>
          <t xml:space="preserve">Best case</t>
        </is>
      </c>
      <c r="B164" s="0" t="inlineStr">
        <is>
          <t xml:space="preserve">EMEA</t>
        </is>
      </c>
      <c r="C164" s="0" t="inlineStr">
        <is>
          <t xml:space="preserve">Enterprise</t>
        </is>
      </c>
      <c r="D164" s="4">
        <f>SUM('Rep quarterly'!C350:C351)</f>
        <v>0</v>
      </c>
      <c r="E164" s="4">
        <f>SUM('Rep quarterly'!D350:D351)</f>
        <v>0</v>
      </c>
      <c r="F164" s="4">
        <f>SUM('Rep quarterly'!E350:E351)</f>
        <v>0</v>
      </c>
      <c r="G164" s="4">
        <f>SUM('Rep quarterly'!F350:F351)</f>
        <v>0</v>
      </c>
      <c r="H164" s="4">
        <f>SUM('Rep quarterly'!G350:G351)</f>
        <v>0</v>
      </c>
      <c r="I164" s="4">
        <f>SUM('Rep quarterly'!H350:H351)</f>
        <v>0</v>
      </c>
      <c r="J164" s="4">
        <f>SUM('Rep quarterly'!I350:I351)</f>
        <v>327200</v>
      </c>
    </row>
    <row r="165">
      <c r="A165" s="0" t="inlineStr">
        <is>
          <t xml:space="preserve">Best case</t>
        </is>
      </c>
      <c r="B165" s="0" t="inlineStr">
        <is>
          <t xml:space="preserve">EMEA</t>
        </is>
      </c>
      <c r="C165" s="0" t="inlineStr">
        <is>
          <t xml:space="preserve">Mid-Market</t>
        </is>
      </c>
      <c r="D165" s="4">
        <f>SUM('Rep quarterly'!C352:C353)</f>
        <v>0</v>
      </c>
      <c r="E165" s="4">
        <f>SUM('Rep quarterly'!D352:D353)</f>
        <v>0</v>
      </c>
      <c r="F165" s="4">
        <f>SUM('Rep quarterly'!E352:E353)</f>
        <v>0</v>
      </c>
      <c r="G165" s="4">
        <f>SUM('Rep quarterly'!F352:F353)</f>
        <v>0</v>
      </c>
      <c r="H165" s="4">
        <f>SUM('Rep quarterly'!G352:G353)</f>
        <v>0</v>
      </c>
      <c r="I165" s="4">
        <f>SUM('Rep quarterly'!H352:H353)</f>
        <v>98000</v>
      </c>
      <c r="J165" s="4">
        <f>SUM('Rep quarterly'!I352:I353)</f>
        <v>0</v>
      </c>
    </row>
    <row r="166">
      <c r="A166" s="0" t="inlineStr">
        <is>
          <t xml:space="preserve">Best case</t>
        </is>
      </c>
      <c r="B166" s="0" t="inlineStr">
        <is>
          <t xml:space="preserve">EMEA</t>
        </is>
      </c>
      <c r="C166" s="0" t="inlineStr">
        <is>
          <t xml:space="preserve">SMB</t>
        </is>
      </c>
      <c r="D166" s="4">
        <f>SUM('Rep quarterly'!C354:C355)</f>
        <v>0</v>
      </c>
      <c r="E166" s="4">
        <f>SUM('Rep quarterly'!D354:D355)</f>
        <v>0</v>
      </c>
      <c r="F166" s="4">
        <f>SUM('Rep quarterly'!E354:E355)</f>
        <v>0</v>
      </c>
      <c r="G166" s="4">
        <f>SUM('Rep quarterly'!F354:F355)</f>
        <v>0</v>
      </c>
      <c r="H166" s="4">
        <f>SUM('Rep quarterly'!G354:G355)</f>
        <v>0</v>
      </c>
      <c r="I166" s="4">
        <f>SUM('Rep quarterly'!H354:H355)</f>
        <v>16100</v>
      </c>
      <c r="J166" s="4">
        <f>SUM('Rep quarterly'!I354:I355)</f>
        <v>79300</v>
      </c>
    </row>
    <row r="167">
      <c r="A167" s="0" t="inlineStr">
        <is>
          <t xml:space="preserve">Best case</t>
        </is>
      </c>
      <c r="B167" s="0" t="inlineStr">
        <is>
          <t xml:space="preserve">APAC</t>
        </is>
      </c>
      <c r="C167" s="0" t="inlineStr">
        <is>
          <t xml:space="preserve">Enterprise</t>
        </is>
      </c>
      <c r="D167" s="4">
        <f>SUM('Rep quarterly'!C356:C357)</f>
        <v>0</v>
      </c>
      <c r="E167" s="4">
        <f>SUM('Rep quarterly'!D356:D357)</f>
        <v>0</v>
      </c>
      <c r="F167" s="4">
        <f>SUM('Rep quarterly'!E356:E357)</f>
        <v>0</v>
      </c>
      <c r="G167" s="4">
        <f>SUM('Rep quarterly'!F356:F357)</f>
        <v>0</v>
      </c>
      <c r="H167" s="4">
        <f>SUM('Rep quarterly'!G356:G357)</f>
        <v>0</v>
      </c>
      <c r="I167" s="4">
        <f>SUM('Rep quarterly'!H356:H357)</f>
        <v>0</v>
      </c>
      <c r="J167" s="4">
        <f>SUM('Rep quarterly'!I356:I357)</f>
        <v>74900</v>
      </c>
    </row>
    <row r="168">
      <c r="A168" s="0" t="inlineStr">
        <is>
          <t xml:space="preserve">Best case</t>
        </is>
      </c>
      <c r="B168" s="0" t="inlineStr">
        <is>
          <t xml:space="preserve">APAC</t>
        </is>
      </c>
      <c r="C168" s="0" t="inlineStr">
        <is>
          <t xml:space="preserve">Mid-Market</t>
        </is>
      </c>
      <c r="D168" s="4">
        <f>SUM('Rep quarterly'!C358:C359)</f>
        <v>0</v>
      </c>
      <c r="E168" s="4">
        <f>SUM('Rep quarterly'!D358:D359)</f>
        <v>0</v>
      </c>
      <c r="F168" s="4">
        <f>SUM('Rep quarterly'!E358:E359)</f>
        <v>0</v>
      </c>
      <c r="G168" s="4">
        <f>SUM('Rep quarterly'!F358:F359)</f>
        <v>0</v>
      </c>
      <c r="H168" s="4">
        <f>SUM('Rep quarterly'!G358:G359)</f>
        <v>0</v>
      </c>
      <c r="I168" s="4">
        <f>SUM('Rep quarterly'!H358:H359)</f>
        <v>38900</v>
      </c>
      <c r="J168" s="4">
        <f>SUM('Rep quarterly'!I358:I359)</f>
        <v>22000</v>
      </c>
    </row>
    <row r="169">
      <c r="A169" s="0" t="inlineStr">
        <is>
          <t xml:space="preserve">Best case</t>
        </is>
      </c>
      <c r="B169" s="0" t="inlineStr">
        <is>
          <t xml:space="preserve">APAC</t>
        </is>
      </c>
      <c r="C169" s="0" t="inlineStr">
        <is>
          <t xml:space="preserve">SMB</t>
        </is>
      </c>
      <c r="D169" s="4">
        <f>SUM('Rep quarterly'!C360:C361)</f>
        <v>0</v>
      </c>
      <c r="E169" s="4">
        <f>SUM('Rep quarterly'!D360:D361)</f>
        <v>0</v>
      </c>
      <c r="F169" s="4">
        <f>SUM('Rep quarterly'!E360:E361)</f>
        <v>0</v>
      </c>
      <c r="G169" s="4">
        <f>SUM('Rep quarterly'!F360:F361)</f>
        <v>0</v>
      </c>
      <c r="H169" s="4">
        <f>SUM('Rep quarterly'!G360:G361)</f>
        <v>0</v>
      </c>
      <c r="I169" s="4">
        <f>SUM('Rep quarterly'!H360:H361)</f>
        <v>0</v>
      </c>
      <c r="J169" s="4">
        <f>SUM('Rep quarterly'!I360:I361)</f>
        <v>53100</v>
      </c>
    </row>
    <row r="170">
      <c r="A170" s="0" t="inlineStr">
        <is>
          <t xml:space="preserve">Coverage of gap (x)</t>
        </is>
      </c>
      <c r="B170" s="0" t="inlineStr">
        <is>
          <t xml:space="preserve">AMER East</t>
        </is>
      </c>
      <c r="C170" s="0" t="inlineStr">
        <is>
          <t xml:space="preserve">Enterprise</t>
        </is>
      </c>
      <c r="D170" s="8">
        <f>IF(AND(((D14-D26)&gt;0),(D134&gt;0)),(D134/(D14-D26)),"")</f>
      </c>
      <c r="E170" s="8">
        <f>IF(AND(((E14-E26)&gt;0),(E134&gt;0)),(E134/(E14-E26)),"")</f>
      </c>
      <c r="F170" s="8">
        <f>IF(AND(((F14-F26)&gt;0),(F134&gt;0)),(F134/(F14-F26)),"")</f>
      </c>
      <c r="G170" s="8">
        <f>IF(AND(((G14-G26)&gt;0),(G134&gt;0)),(G134/(G14-G26)),"")</f>
      </c>
      <c r="H170" s="8">
        <f>IF(AND(((H14-H26)&gt;0),(H134&gt;0)),(H134/(H14-H26)),"")</f>
      </c>
      <c r="I170" s="8">
        <f>IF(AND(((I14-I26)&gt;0),(I134&gt;0)),(I134/(I14-I26)),"")</f>
        <v>1.1713075060532687</v>
      </c>
      <c r="J170" s="8">
        <f>IF(AND(((J14-J26)&gt;0),(J134&gt;0)),(J134/(J14-J26)),"")</f>
        <v>6.889165186500888</v>
      </c>
    </row>
    <row r="171">
      <c r="A171" s="0" t="inlineStr">
        <is>
          <t xml:space="preserve">Coverage of gap (x)</t>
        </is>
      </c>
      <c r="B171" s="0" t="inlineStr">
        <is>
          <t xml:space="preserve">AMER East</t>
        </is>
      </c>
      <c r="C171" s="0" t="inlineStr">
        <is>
          <t xml:space="preserve">Mid-Market</t>
        </is>
      </c>
      <c r="D171" s="8">
        <f>IF(AND(((D15-D27)&gt;0),(D135&gt;0)),(D135/(D15-D27)),"")</f>
      </c>
      <c r="E171" s="8">
        <f>IF(AND(((E15-E27)&gt;0),(E135&gt;0)),(E135/(E15-E27)),"")</f>
      </c>
      <c r="F171" s="8">
        <f>IF(AND(((F15-F27)&gt;0),(F135&gt;0)),(F135/(F15-F27)),"")</f>
      </c>
      <c r="G171" s="8">
        <f>IF(AND(((G15-G27)&gt;0),(G135&gt;0)),(G135/(G15-G27)),"")</f>
      </c>
      <c r="H171" s="8">
        <f>IF(AND(((H15-H27)&gt;0),(H135&gt;0)),(H135/(H15-H27)),"")</f>
      </c>
      <c r="I171" s="8">
        <f>IF(AND(((I15-I27)&gt;0),(I135&gt;0)),(I135/(I15-I27)),"")</f>
        <v>1.0828798660527417</v>
      </c>
      <c r="J171" s="8">
        <f>IF(AND(((J15-J27)&gt;0),(J135&gt;0)),(J135/(J15-J27)),"")</f>
        <v>2.455188679245283</v>
      </c>
    </row>
    <row r="172">
      <c r="A172" s="0" t="inlineStr">
        <is>
          <t xml:space="preserve">Coverage of gap (x)</t>
        </is>
      </c>
      <c r="B172" s="0" t="inlineStr">
        <is>
          <t xml:space="preserve">AMER East</t>
        </is>
      </c>
      <c r="C172" s="0" t="inlineStr">
        <is>
          <t xml:space="preserve">SMB</t>
        </is>
      </c>
      <c r="D172" s="8">
        <f>IF(AND(((D16-D28)&gt;0),(D136&gt;0)),(D136/(D16-D28)),"")</f>
      </c>
      <c r="E172" s="8">
        <f>IF(AND(((E16-E28)&gt;0),(E136&gt;0)),(E136/(E16-E28)),"")</f>
      </c>
      <c r="F172" s="8">
        <f>IF(AND(((F16-F28)&gt;0),(F136&gt;0)),(F136/(F16-F28)),"")</f>
      </c>
      <c r="G172" s="8">
        <f>IF(AND(((G16-G28)&gt;0),(G136&gt;0)),(G136/(G16-G28)),"")</f>
      </c>
      <c r="H172" s="8">
        <f>IF(AND(((H16-H28)&gt;0),(H136&gt;0)),(H136/(H16-H28)),"")</f>
      </c>
      <c r="I172" s="8">
        <f>IF(AND(((I16-I28)&gt;0),(I136&gt;0)),(I136/(I16-I28)),"")</f>
        <v>2.4768856447688563</v>
      </c>
      <c r="J172" s="8">
        <f>IF(AND(((J16-J28)&gt;0),(J136&gt;0)),(J136/(J16-J28)),"")</f>
        <v>0.8705357142857143</v>
      </c>
    </row>
    <row r="173">
      <c r="A173" s="0" t="inlineStr">
        <is>
          <t xml:space="preserve">Coverage of gap (x)</t>
        </is>
      </c>
      <c r="B173" s="0" t="inlineStr">
        <is>
          <t xml:space="preserve">AMER West</t>
        </is>
      </c>
      <c r="C173" s="0" t="inlineStr">
        <is>
          <t xml:space="preserve">Enterprise</t>
        </is>
      </c>
      <c r="D173" s="8">
        <f>IF(AND(((D17-D29)&gt;0),(D137&gt;0)),(D137/(D17-D29)),"")</f>
      </c>
      <c r="E173" s="8">
        <f>IF(AND(((E17-E29)&gt;0),(E137&gt;0)),(E137/(E17-E29)),"")</f>
      </c>
      <c r="F173" s="8">
        <f>IF(AND(((F17-F29)&gt;0),(F137&gt;0)),(F137/(F17-F29)),"")</f>
      </c>
      <c r="G173" s="8">
        <f>IF(AND(((G17-G29)&gt;0),(G137&gt;0)),(G137/(G17-G29)),"")</f>
      </c>
      <c r="H173" s="8">
        <f>IF(AND(((H17-H29)&gt;0),(H137&gt;0)),(H137/(H17-H29)),"")</f>
      </c>
      <c r="I173" s="8">
        <f>IF(AND(((I17-I29)&gt;0),(I137&gt;0)),(I137/(I17-I29)),"")</f>
      </c>
      <c r="J173" s="8">
        <f>IF(AND(((J17-J29)&gt;0),(J137&gt;0)),(J137/(J17-J29)),"")</f>
        <v>1.3310666666666666</v>
      </c>
    </row>
    <row r="174">
      <c r="A174" s="0" t="inlineStr">
        <is>
          <t xml:space="preserve">Coverage of gap (x)</t>
        </is>
      </c>
      <c r="B174" s="0" t="inlineStr">
        <is>
          <t xml:space="preserve">AMER West</t>
        </is>
      </c>
      <c r="C174" s="0" t="inlineStr">
        <is>
          <t xml:space="preserve">Mid-Market</t>
        </is>
      </c>
      <c r="D174" s="8">
        <f>IF(AND(((D18-D30)&gt;0),(D138&gt;0)),(D138/(D18-D30)),"")</f>
      </c>
      <c r="E174" s="8">
        <f>IF(AND(((E18-E30)&gt;0),(E138&gt;0)),(E138/(E18-E30)),"")</f>
      </c>
      <c r="F174" s="8">
        <f>IF(AND(((F18-F30)&gt;0),(F138&gt;0)),(F138/(F18-F30)),"")</f>
      </c>
      <c r="G174" s="8">
        <f>IF(AND(((G18-G30)&gt;0),(G138&gt;0)),(G138/(G18-G30)),"")</f>
      </c>
      <c r="H174" s="8">
        <f>IF(AND(((H18-H30)&gt;0),(H138&gt;0)),(H138/(H18-H30)),"")</f>
      </c>
      <c r="I174" s="8">
        <f>IF(AND(((I18-I30)&gt;0),(I138&gt;0)),(I138/(I18-I30)),"")</f>
      </c>
      <c r="J174" s="8">
        <f>IF(AND(((J18-J30)&gt;0),(J138&gt;0)),(J138/(J18-J30)),"")</f>
        <v>1.6760107816711591</v>
      </c>
    </row>
    <row r="175">
      <c r="A175" s="0" t="inlineStr">
        <is>
          <t xml:space="preserve">Coverage of gap (x)</t>
        </is>
      </c>
      <c r="B175" s="0" t="inlineStr">
        <is>
          <t xml:space="preserve">AMER West</t>
        </is>
      </c>
      <c r="C175" s="0" t="inlineStr">
        <is>
          <t xml:space="preserve">SMB</t>
        </is>
      </c>
      <c r="D175" s="8">
        <f>IF(AND(((D19-D31)&gt;0),(D139&gt;0)),(D139/(D19-D31)),"")</f>
      </c>
      <c r="E175" s="8">
        <f>IF(AND(((E19-E31)&gt;0),(E139&gt;0)),(E139/(E19-E31)),"")</f>
      </c>
      <c r="F175" s="8">
        <f>IF(AND(((F19-F31)&gt;0),(F139&gt;0)),(F139/(F19-F31)),"")</f>
      </c>
      <c r="G175" s="8">
        <f>IF(AND(((G19-G31)&gt;0),(G139&gt;0)),(G139/(G19-G31)),"")</f>
      </c>
      <c r="H175" s="8">
        <f>IF(AND(((H19-H31)&gt;0),(H139&gt;0)),(H139/(H19-H31)),"")</f>
      </c>
      <c r="I175" s="8">
        <f>IF(AND(((I19-I31)&gt;0),(I139&gt;0)),(I139/(I19-I31)),"")</f>
        <v>0.6131013306038895</v>
      </c>
      <c r="J175" s="8">
        <f>IF(AND(((J19-J31)&gt;0),(J139&gt;0)),(J139/(J19-J31)),"")</f>
        <v>1.0044642857142858</v>
      </c>
    </row>
    <row r="176">
      <c r="A176" s="0" t="inlineStr">
        <is>
          <t xml:space="preserve">Coverage of gap (x)</t>
        </is>
      </c>
      <c r="B176" s="0" t="inlineStr">
        <is>
          <t xml:space="preserve">EMEA</t>
        </is>
      </c>
      <c r="C176" s="0" t="inlineStr">
        <is>
          <t xml:space="preserve">Enterprise</t>
        </is>
      </c>
      <c r="D176" s="8">
        <f>IF(AND(((D20-D32)&gt;0),(D140&gt;0)),(D140/(D20-D32)),"")</f>
      </c>
      <c r="E176" s="8">
        <f>IF(AND(((E20-E32)&gt;0),(E140&gt;0)),(E140/(E20-E32)),"")</f>
      </c>
      <c r="F176" s="8">
        <f>IF(AND(((F20-F32)&gt;0),(F140&gt;0)),(F140/(F20-F32)),"")</f>
      </c>
      <c r="G176" s="8">
        <f>IF(AND(((G20-G32)&gt;0),(G140&gt;0)),(G140/(G20-G32)),"")</f>
      </c>
      <c r="H176" s="8">
        <f>IF(AND(((H20-H32)&gt;0),(H140&gt;0)),(H140/(H20-H32)),"")</f>
      </c>
      <c r="I176" s="8">
        <f>IF(AND(((I20-I32)&gt;0),(I140&gt;0)),(I140/(I20-I32)),"")</f>
        <v>2.4041152263374483</v>
      </c>
      <c r="J176" s="8">
        <f>IF(AND(((J20-J32)&gt;0),(J140&gt;0)),(J140/(J20-J32)),"")</f>
        <v>2.3136094674556213</v>
      </c>
    </row>
    <row r="177">
      <c r="A177" s="0" t="inlineStr">
        <is>
          <t xml:space="preserve">Coverage of gap (x)</t>
        </is>
      </c>
      <c r="B177" s="0" t="inlineStr">
        <is>
          <t xml:space="preserve">EMEA</t>
        </is>
      </c>
      <c r="C177" s="0" t="inlineStr">
        <is>
          <t xml:space="preserve">Mid-Market</t>
        </is>
      </c>
      <c r="D177" s="8">
        <f>IF(AND(((D21-D33)&gt;0),(D141&gt;0)),(D141/(D21-D33)),"")</f>
      </c>
      <c r="E177" s="8">
        <f>IF(AND(((E21-E33)&gt;0),(E141&gt;0)),(E141/(E21-E33)),"")</f>
      </c>
      <c r="F177" s="8">
        <f>IF(AND(((F21-F33)&gt;0),(F141&gt;0)),(F141/(F21-F33)),"")</f>
      </c>
      <c r="G177" s="8">
        <f>IF(AND(((G21-G33)&gt;0),(G141&gt;0)),(G141/(G21-G33)),"")</f>
      </c>
      <c r="H177" s="8">
        <f>IF(AND(((H21-H33)&gt;0),(H141&gt;0)),(H141/(H21-H33)),"")</f>
      </c>
      <c r="I177" s="8">
        <f>IF(AND(((I21-I33)&gt;0),(I141&gt;0)),(I141/(I21-I33)),"")</f>
        <v>1.2522058823529412</v>
      </c>
      <c r="J177" s="8">
        <f>IF(AND(((J21-J33)&gt;0),(J141&gt;0)),(J141/(J21-J33)),"")</f>
        <v>0.4292105263157895</v>
      </c>
    </row>
    <row r="178">
      <c r="A178" s="0" t="inlineStr">
        <is>
          <t xml:space="preserve">Coverage of gap (x)</t>
        </is>
      </c>
      <c r="B178" s="0" t="inlineStr">
        <is>
          <t xml:space="preserve">EMEA</t>
        </is>
      </c>
      <c r="C178" s="0" t="inlineStr">
        <is>
          <t xml:space="preserve">SMB</t>
        </is>
      </c>
      <c r="D178" s="8">
        <f>IF(AND(((D22-D34)&gt;0),(D142&gt;0)),(D142/(D22-D34)),"")</f>
      </c>
      <c r="E178" s="8">
        <f>IF(AND(((E22-E34)&gt;0),(E142&gt;0)),(E142/(E22-E34)),"")</f>
      </c>
      <c r="F178" s="8">
        <f>IF(AND(((F22-F34)&gt;0),(F142&gt;0)),(F142/(F22-F34)),"")</f>
      </c>
      <c r="G178" s="8">
        <f>IF(AND(((G22-G34)&gt;0),(G142&gt;0)),(G142/(G22-G34)),"")</f>
      </c>
      <c r="H178" s="8">
        <f>IF(AND(((H22-H34)&gt;0),(H142&gt;0)),(H142/(H22-H34)),"")</f>
      </c>
      <c r="I178" s="8">
        <f>IF(AND(((I22-I34)&gt;0),(I142&gt;0)),(I142/(I22-I34)),"")</f>
        <v>2.6964980544747084</v>
      </c>
      <c r="J178" s="8">
        <f>IF(AND(((J22-J34)&gt;0),(J142&gt;0)),(J142/(J22-J34)),"")</f>
        <v>0.8105</v>
      </c>
    </row>
    <row r="179">
      <c r="A179" s="0" t="inlineStr">
        <is>
          <t xml:space="preserve">Coverage of gap (x)</t>
        </is>
      </c>
      <c r="B179" s="0" t="inlineStr">
        <is>
          <t xml:space="preserve">APAC</t>
        </is>
      </c>
      <c r="C179" s="0" t="inlineStr">
        <is>
          <t xml:space="preserve">Enterprise</t>
        </is>
      </c>
      <c r="D179" s="8">
        <f>IF(AND(((D23-D35)&gt;0),(D143&gt;0)),(D143/(D23-D35)),"")</f>
      </c>
      <c r="E179" s="8">
        <f>IF(AND(((E23-E35)&gt;0),(E143&gt;0)),(E143/(E23-E35)),"")</f>
      </c>
      <c r="F179" s="8">
        <f>IF(AND(((F23-F35)&gt;0),(F143&gt;0)),(F143/(F23-F35)),"")</f>
      </c>
      <c r="G179" s="8">
        <f>IF(AND(((G23-G35)&gt;0),(G143&gt;0)),(G143/(G23-G35)),"")</f>
      </c>
      <c r="H179" s="8">
        <f>IF(AND(((H23-H35)&gt;0),(H143&gt;0)),(H143/(H23-H35)),"")</f>
      </c>
      <c r="I179" s="8">
        <f>IF(AND(((I23-I35)&gt;0),(I143&gt;0)),(I143/(I23-I35)),"")</f>
        <v>0.9007604562737642</v>
      </c>
      <c r="J179" s="8">
        <f>IF(AND(((J23-J35)&gt;0),(J143&gt;0)),(J143/(J23-J35)),"")</f>
        <v>5.005534351145038</v>
      </c>
    </row>
    <row r="180">
      <c r="A180" s="0" t="inlineStr">
        <is>
          <t xml:space="preserve">Coverage of gap (x)</t>
        </is>
      </c>
      <c r="B180" s="0" t="inlineStr">
        <is>
          <t xml:space="preserve">APAC</t>
        </is>
      </c>
      <c r="C180" s="0" t="inlineStr">
        <is>
          <t xml:space="preserve">Mid-Market</t>
        </is>
      </c>
      <c r="D180" s="8">
        <f>IF(AND(((D24-D36)&gt;0),(D144&gt;0)),(D144/(D24-D36)),"")</f>
      </c>
      <c r="E180" s="8">
        <f>IF(AND(((E24-E36)&gt;0),(E144&gt;0)),(E144/(E24-E36)),"")</f>
      </c>
      <c r="F180" s="8">
        <f>IF(AND(((F24-F36)&gt;0),(F144&gt;0)),(F144/(F24-F36)),"")</f>
      </c>
      <c r="G180" s="8">
        <f>IF(AND(((G24-G36)&gt;0),(G144&gt;0)),(G144/(G24-G36)),"")</f>
      </c>
      <c r="H180" s="8">
        <f>IF(AND(((H24-H36)&gt;0),(H144&gt;0)),(H144/(H24-H36)),"")</f>
      </c>
      <c r="I180" s="8">
        <f>IF(AND(((I24-I36)&gt;0),(I144&gt;0)),(I144/(I24-I36)),"")</f>
      </c>
      <c r="J180" s="8">
        <f>IF(AND(((J24-J36)&gt;0),(J144&gt;0)),(J144/(J24-J36)),"")</f>
        <v>1.9583333333333333</v>
      </c>
    </row>
    <row r="181">
      <c r="A181" s="0" t="inlineStr">
        <is>
          <t xml:space="preserve">Coverage of gap (x)</t>
        </is>
      </c>
      <c r="B181" s="0" t="inlineStr">
        <is>
          <t xml:space="preserve">APAC</t>
        </is>
      </c>
      <c r="C181" s="0" t="inlineStr">
        <is>
          <t xml:space="preserve">SMB</t>
        </is>
      </c>
      <c r="D181" s="8">
        <f>IF(AND(((D25-D37)&gt;0),(D145&gt;0)),(D145/(D25-D37)),"")</f>
      </c>
      <c r="E181" s="8">
        <f>IF(AND(((E25-E37)&gt;0),(E145&gt;0)),(E145/(E25-E37)),"")</f>
      </c>
      <c r="F181" s="8">
        <f>IF(AND(((F25-F37)&gt;0),(F145&gt;0)),(F145/(F25-F37)),"")</f>
      </c>
      <c r="G181" s="8">
        <f>IF(AND(((G25-G37)&gt;0),(G145&gt;0)),(G145/(G25-G37)),"")</f>
      </c>
      <c r="H181" s="8">
        <f>IF(AND(((H25-H37)&gt;0),(H145&gt;0)),(H145/(H25-H37)),"")</f>
      </c>
      <c r="I181" s="8">
        <f>IF(AND(((I25-I37)&gt;0),(I145&gt;0)),(I145/(I25-I37)),"")</f>
      </c>
      <c r="J181" s="8">
        <f>IF(AND(((J25-J37)&gt;0),(J145&gt;0)),(J145/(J25-J37)),"")</f>
        <v>1.0564285714285715</v>
      </c>
    </row>
    <row r="182">
      <c r="A182" s="0" t="inlineStr">
        <is>
          <t xml:space="preserve">Forecast</t>
        </is>
      </c>
      <c r="B182" s="0" t="inlineStr">
        <is>
          <t xml:space="preserve">AMER East</t>
        </is>
      </c>
      <c r="C182" s="0" t="inlineStr">
        <is>
          <t xml:space="preserve">Enterprise</t>
        </is>
      </c>
      <c r="D182" s="4">
        <f>SUM('Rep quarterly'!C386:C387)</f>
        <v>0</v>
      </c>
      <c r="E182" s="4">
        <f>SUM('Rep quarterly'!D386:D387)</f>
        <v>0</v>
      </c>
      <c r="F182" s="4">
        <f>SUM('Rep quarterly'!E386:E387)</f>
        <v>201200</v>
      </c>
      <c r="G182" s="4">
        <f>SUM('Rep quarterly'!F386:F387)</f>
        <v>505900</v>
      </c>
      <c r="H182" s="4">
        <f>SUM('Rep quarterly'!G386:G387)</f>
        <v>436700</v>
      </c>
      <c r="I182" s="4">
        <f>SUM('Rep quarterly'!H386:H387)</f>
        <v>177300</v>
      </c>
      <c r="J182" s="4">
        <f>SUM('Rep quarterly'!I386:I387)</f>
        <v>1237340</v>
      </c>
    </row>
    <row r="183">
      <c r="A183" s="0" t="inlineStr">
        <is>
          <t xml:space="preserve">Forecast</t>
        </is>
      </c>
      <c r="B183" s="0" t="inlineStr">
        <is>
          <t xml:space="preserve">AMER East</t>
        </is>
      </c>
      <c r="C183" s="0" t="inlineStr">
        <is>
          <t xml:space="preserve">Mid-Market</t>
        </is>
      </c>
      <c r="D183" s="4">
        <f>SUM('Rep quarterly'!C388:C389)</f>
        <v>207800</v>
      </c>
      <c r="E183" s="4">
        <f>SUM('Rep quarterly'!D388:D389)</f>
        <v>349400</v>
      </c>
      <c r="F183" s="4">
        <f>SUM('Rep quarterly'!E388:E389)</f>
        <v>328700</v>
      </c>
      <c r="G183" s="4">
        <f>SUM('Rep quarterly'!F388:F389)</f>
        <v>450100</v>
      </c>
      <c r="H183" s="4">
        <f>SUM('Rep quarterly'!G388:G389)</f>
        <v>211600</v>
      </c>
      <c r="I183" s="4">
        <f>SUM('Rep quarterly'!H388:H389)</f>
        <v>337250</v>
      </c>
      <c r="J183" s="4">
        <f>SUM('Rep quarterly'!I388:I389)</f>
        <v>199900</v>
      </c>
    </row>
    <row r="184">
      <c r="A184" s="0" t="inlineStr">
        <is>
          <t xml:space="preserve">Forecast</t>
        </is>
      </c>
      <c r="B184" s="0" t="inlineStr">
        <is>
          <t xml:space="preserve">AMER East</t>
        </is>
      </c>
      <c r="C184" s="0" t="inlineStr">
        <is>
          <t xml:space="preserve">SMB</t>
        </is>
      </c>
      <c r="D184" s="4">
        <f>SUM('Rep quarterly'!C390:C391)</f>
        <v>128400</v>
      </c>
      <c r="E184" s="4">
        <f>SUM('Rep quarterly'!D390:D391)</f>
        <v>207500</v>
      </c>
      <c r="F184" s="4">
        <f>SUM('Rep quarterly'!E390:E391)</f>
        <v>156500</v>
      </c>
      <c r="G184" s="4">
        <f>SUM('Rep quarterly'!F390:F391)</f>
        <v>119500</v>
      </c>
      <c r="H184" s="4">
        <f>SUM('Rep quarterly'!G390:G391)</f>
        <v>220600</v>
      </c>
      <c r="I184" s="4">
        <f>SUM('Rep quarterly'!H390:H391)</f>
        <v>227080</v>
      </c>
      <c r="J184" s="4">
        <f>SUM('Rep quarterly'!I390:I391)</f>
        <v>69060</v>
      </c>
    </row>
    <row r="185">
      <c r="A185" s="0" t="inlineStr">
        <is>
          <t xml:space="preserve">Forecast</t>
        </is>
      </c>
      <c r="B185" s="0" t="inlineStr">
        <is>
          <t xml:space="preserve">AMER West</t>
        </is>
      </c>
      <c r="C185" s="0" t="inlineStr">
        <is>
          <t xml:space="preserve">Enterprise</t>
        </is>
      </c>
      <c r="D185" s="4">
        <f>SUM('Rep quarterly'!C392:C393)</f>
        <v>0</v>
      </c>
      <c r="E185" s="4">
        <f>SUM('Rep quarterly'!D392:D393)</f>
        <v>146800</v>
      </c>
      <c r="F185" s="4">
        <f>SUM('Rep quarterly'!E392:E393)</f>
        <v>0</v>
      </c>
      <c r="G185" s="4">
        <f>SUM('Rep quarterly'!F392:F393)</f>
        <v>1447800</v>
      </c>
      <c r="H185" s="4">
        <f>SUM('Rep quarterly'!G392:G393)</f>
        <v>408000</v>
      </c>
      <c r="I185" s="4">
        <f>SUM('Rep quarterly'!H392:H393)</f>
        <v>1628490</v>
      </c>
      <c r="J185" s="4">
        <f>SUM('Rep quarterly'!I392:I393)</f>
        <v>315510</v>
      </c>
    </row>
    <row r="186">
      <c r="A186" s="0" t="inlineStr">
        <is>
          <t xml:space="preserve">Forecast</t>
        </is>
      </c>
      <c r="B186" s="0" t="inlineStr">
        <is>
          <t xml:space="preserve">AMER West</t>
        </is>
      </c>
      <c r="C186" s="0" t="inlineStr">
        <is>
          <t xml:space="preserve">Mid-Market</t>
        </is>
      </c>
      <c r="D186" s="4">
        <f>SUM('Rep quarterly'!C394:C395)</f>
        <v>72300</v>
      </c>
      <c r="E186" s="4">
        <f>SUM('Rep quarterly'!D394:D395)</f>
        <v>114000</v>
      </c>
      <c r="F186" s="4">
        <f>SUM('Rep quarterly'!E394:E395)</f>
        <v>345900</v>
      </c>
      <c r="G186" s="4">
        <f>SUM('Rep quarterly'!F394:F395)</f>
        <v>323600</v>
      </c>
      <c r="H186" s="4">
        <f>SUM('Rep quarterly'!G394:G395)</f>
        <v>794400</v>
      </c>
      <c r="I186" s="4">
        <f>SUM('Rep quarterly'!H394:H395)</f>
        <v>764850</v>
      </c>
      <c r="J186" s="4">
        <f>SUM('Rep quarterly'!I394:I395)</f>
        <v>239420</v>
      </c>
    </row>
    <row r="187">
      <c r="A187" s="0" t="inlineStr">
        <is>
          <t xml:space="preserve">Forecast</t>
        </is>
      </c>
      <c r="B187" s="0" t="inlineStr">
        <is>
          <t xml:space="preserve">AMER West</t>
        </is>
      </c>
      <c r="C187" s="0" t="inlineStr">
        <is>
          <t xml:space="preserve">SMB</t>
        </is>
      </c>
      <c r="D187" s="4">
        <f>SUM('Rep quarterly'!C396:C397)</f>
        <v>151200</v>
      </c>
      <c r="E187" s="4">
        <f>SUM('Rep quarterly'!D396:D397)</f>
        <v>187600</v>
      </c>
      <c r="F187" s="4">
        <f>SUM('Rep quarterly'!E396:E397)</f>
        <v>237400</v>
      </c>
      <c r="G187" s="4">
        <f>SUM('Rep quarterly'!F396:F397)</f>
        <v>182200</v>
      </c>
      <c r="H187" s="4">
        <f>SUM('Rep quarterly'!G396:G397)</f>
        <v>130100</v>
      </c>
      <c r="I187" s="4">
        <f>SUM('Rep quarterly'!H396:H397)</f>
        <v>154170</v>
      </c>
      <c r="J187" s="4">
        <f>SUM('Rep quarterly'!I396:I397)</f>
        <v>109540</v>
      </c>
    </row>
    <row r="188">
      <c r="A188" s="0" t="inlineStr">
        <is>
          <t xml:space="preserve">Forecast</t>
        </is>
      </c>
      <c r="B188" s="0" t="inlineStr">
        <is>
          <t xml:space="preserve">EMEA</t>
        </is>
      </c>
      <c r="C188" s="0" t="inlineStr">
        <is>
          <t xml:space="preserve">Enterprise</t>
        </is>
      </c>
      <c r="D188" s="4">
        <f>SUM('Rep quarterly'!C398:C399)</f>
        <v>245800</v>
      </c>
      <c r="E188" s="4">
        <f>SUM('Rep quarterly'!D398:D399)</f>
        <v>732500</v>
      </c>
      <c r="F188" s="4">
        <f>SUM('Rep quarterly'!E398:E399)</f>
        <v>271600</v>
      </c>
      <c r="G188" s="4">
        <f>SUM('Rep quarterly'!F398:F399)</f>
        <v>566100</v>
      </c>
      <c r="H188" s="4">
        <f>SUM('Rep quarterly'!G398:G399)</f>
        <v>517000</v>
      </c>
      <c r="I188" s="4">
        <f>SUM('Rep quarterly'!H398:H399)</f>
        <v>588790</v>
      </c>
      <c r="J188" s="4">
        <f>SUM('Rep quarterly'!I398:I399)</f>
        <v>313600</v>
      </c>
    </row>
    <row r="189">
      <c r="A189" s="0" t="inlineStr">
        <is>
          <t xml:space="preserve">Forecast</t>
        </is>
      </c>
      <c r="B189" s="0" t="inlineStr">
        <is>
          <t xml:space="preserve">EMEA</t>
        </is>
      </c>
      <c r="C189" s="0" t="inlineStr">
        <is>
          <t xml:space="preserve">Mid-Market</t>
        </is>
      </c>
      <c r="D189" s="4">
        <f>SUM('Rep quarterly'!C400:C401)</f>
        <v>392200</v>
      </c>
      <c r="E189" s="4">
        <f>SUM('Rep quarterly'!D400:D401)</f>
        <v>429200</v>
      </c>
      <c r="F189" s="4">
        <f>SUM('Rep quarterly'!E400:E401)</f>
        <v>492500</v>
      </c>
      <c r="G189" s="4">
        <f>SUM('Rep quarterly'!F400:F401)</f>
        <v>315600</v>
      </c>
      <c r="H189" s="4">
        <f>SUM('Rep quarterly'!G400:G401)</f>
        <v>294100</v>
      </c>
      <c r="I189" s="4">
        <f>SUM('Rep quarterly'!H400:H401)</f>
        <v>300230</v>
      </c>
      <c r="J189" s="4">
        <f>SUM('Rep quarterly'!I400:I401)</f>
        <v>16310</v>
      </c>
    </row>
    <row r="190">
      <c r="A190" s="0" t="inlineStr">
        <is>
          <t xml:space="preserve">Forecast</t>
        </is>
      </c>
      <c r="B190" s="0" t="inlineStr">
        <is>
          <t xml:space="preserve">EMEA</t>
        </is>
      </c>
      <c r="C190" s="0" t="inlineStr">
        <is>
          <t xml:space="preserve">SMB</t>
        </is>
      </c>
      <c r="D190" s="4">
        <f>SUM('Rep quarterly'!C402:C403)</f>
        <v>37400</v>
      </c>
      <c r="E190" s="4">
        <f>SUM('Rep quarterly'!D402:D403)</f>
        <v>225600</v>
      </c>
      <c r="F190" s="4">
        <f>SUM('Rep quarterly'!E402:E403)</f>
        <v>198600</v>
      </c>
      <c r="G190" s="4">
        <f>SUM('Rep quarterly'!F402:F403)</f>
        <v>293300</v>
      </c>
      <c r="H190" s="4">
        <f>SUM('Rep quarterly'!G402:G403)</f>
        <v>144600</v>
      </c>
      <c r="I190" s="4">
        <f>SUM('Rep quarterly'!H402:H403)</f>
        <v>199590</v>
      </c>
      <c r="J190" s="4">
        <f>SUM('Rep quarterly'!I402:I403)</f>
        <v>102170</v>
      </c>
    </row>
    <row r="191">
      <c r="A191" s="0" t="inlineStr">
        <is>
          <t xml:space="preserve">Forecast</t>
        </is>
      </c>
      <c r="B191" s="0" t="inlineStr">
        <is>
          <t xml:space="preserve">APAC</t>
        </is>
      </c>
      <c r="C191" s="0" t="inlineStr">
        <is>
          <t xml:space="preserve">Enterprise</t>
        </is>
      </c>
      <c r="D191" s="4">
        <f>SUM('Rep quarterly'!C404:C405)</f>
        <v>99700</v>
      </c>
      <c r="E191" s="4">
        <f>SUM('Rep quarterly'!D404:D405)</f>
        <v>427200</v>
      </c>
      <c r="F191" s="4">
        <f>SUM('Rep quarterly'!E404:E405)</f>
        <v>64300</v>
      </c>
      <c r="G191" s="4">
        <f>SUM('Rep quarterly'!F404:F405)</f>
        <v>89800</v>
      </c>
      <c r="H191" s="4">
        <f>SUM('Rep quarterly'!G404:G405)</f>
        <v>188400</v>
      </c>
      <c r="I191" s="4">
        <f>SUM('Rep quarterly'!H404:H405)</f>
        <v>284690</v>
      </c>
      <c r="J191" s="4">
        <f>SUM('Rep quarterly'!I404:I405)</f>
        <v>373290</v>
      </c>
    </row>
    <row r="192">
      <c r="A192" s="0" t="inlineStr">
        <is>
          <t xml:space="preserve">Forecast</t>
        </is>
      </c>
      <c r="B192" s="0" t="inlineStr">
        <is>
          <t xml:space="preserve">APAC</t>
        </is>
      </c>
      <c r="C192" s="0" t="inlineStr">
        <is>
          <t xml:space="preserve">Mid-Market</t>
        </is>
      </c>
      <c r="D192" s="4">
        <f>SUM('Rep quarterly'!C406:C407)</f>
        <v>136200</v>
      </c>
      <c r="E192" s="4">
        <f>SUM('Rep quarterly'!D406:D407)</f>
        <v>363700</v>
      </c>
      <c r="F192" s="4">
        <f>SUM('Rep quarterly'!E406:E407)</f>
        <v>406200</v>
      </c>
      <c r="G192" s="4">
        <f>SUM('Rep quarterly'!F406:F407)</f>
        <v>137200</v>
      </c>
      <c r="H192" s="4">
        <f>SUM('Rep quarterly'!G406:G407)</f>
        <v>377800</v>
      </c>
      <c r="I192" s="4">
        <f>SUM('Rep quarterly'!H406:H407)</f>
        <v>414010</v>
      </c>
      <c r="J192" s="4">
        <f>SUM('Rep quarterly'!I406:I407)</f>
        <v>209630</v>
      </c>
    </row>
    <row r="193">
      <c r="A193" s="0" t="inlineStr">
        <is>
          <t xml:space="preserve">Forecast</t>
        </is>
      </c>
      <c r="B193" s="0" t="inlineStr">
        <is>
          <t xml:space="preserve">APAC</t>
        </is>
      </c>
      <c r="C193" s="0" t="inlineStr">
        <is>
          <t xml:space="preserve">SMB</t>
        </is>
      </c>
      <c r="D193" s="4">
        <f>SUM('Rep quarterly'!C408:C409)</f>
        <v>0</v>
      </c>
      <c r="E193" s="4">
        <f>SUM('Rep quarterly'!D408:D409)</f>
        <v>124300</v>
      </c>
      <c r="F193" s="4">
        <f>SUM('Rep quarterly'!E408:E409)</f>
        <v>83400</v>
      </c>
      <c r="G193" s="4">
        <f>SUM('Rep quarterly'!F408:F409)</f>
        <v>30900</v>
      </c>
      <c r="H193" s="4">
        <f>SUM('Rep quarterly'!G408:G409)</f>
        <v>131700</v>
      </c>
      <c r="I193" s="4">
        <f>SUM('Rep quarterly'!H408:H409)</f>
        <v>160270</v>
      </c>
      <c r="J193" s="4">
        <f>SUM('Rep quarterly'!I408:I409)</f>
        <v>40990</v>
      </c>
    </row>
    <row r="194">
      <c r="A194" s="0" t="inlineStr">
        <is>
          <t xml:space="preserve">Forecast attainment</t>
        </is>
      </c>
      <c r="B194" s="0" t="inlineStr">
        <is>
          <t xml:space="preserve">AMER East</t>
        </is>
      </c>
      <c r="C194" s="0" t="inlineStr">
        <is>
          <t xml:space="preserve">Enterprise</t>
        </is>
      </c>
      <c r="D194" s="12">
        <f>IFERROR((D182/D14),0)</f>
        <v>0</v>
      </c>
      <c r="E194" s="12">
        <f>IFERROR((E182/E14),0)</f>
        <v>0</v>
      </c>
      <c r="F194" s="12">
        <f>IFERROR((F182/F14),0)</f>
        <v>0.5365333333333333</v>
      </c>
      <c r="G194" s="12">
        <f>IFERROR((G182/G14),0)</f>
        <v>1.3490666666666666</v>
      </c>
      <c r="H194" s="12">
        <f>IFERROR((H182/H14),0)</f>
        <v>1.1645333333333334</v>
      </c>
      <c r="I194" s="12">
        <f>IFERROR((I182/I14),0)</f>
        <v>0.37803837953091685</v>
      </c>
      <c r="J194" s="12">
        <f>IFERROR((J182/J14),0)</f>
        <v>2.197761989342806</v>
      </c>
    </row>
    <row r="195">
      <c r="A195" s="0" t="inlineStr">
        <is>
          <t xml:space="preserve">Forecast attainment</t>
        </is>
      </c>
      <c r="B195" s="0" t="inlineStr">
        <is>
          <t xml:space="preserve">AMER East</t>
        </is>
      </c>
      <c r="C195" s="0" t="inlineStr">
        <is>
          <t xml:space="preserve">Mid-Market</t>
        </is>
      </c>
      <c r="D195" s="12">
        <f>IFERROR((D183/D15),0)</f>
        <v>0.980188679245283</v>
      </c>
      <c r="E195" s="12">
        <f>IFERROR((E183/E15),0)</f>
        <v>1.318490566037736</v>
      </c>
      <c r="F195" s="12">
        <f>IFERROR((F183/F15),0)</f>
        <v>1.0336477987421384</v>
      </c>
      <c r="G195" s="12">
        <f>IFERROR((G183/G15),0)</f>
        <v>1.2132075471698114</v>
      </c>
      <c r="H195" s="12">
        <f>IFERROR((H183/H15),0)</f>
        <v>0.4990566037735849</v>
      </c>
      <c r="I195" s="12">
        <f>IFERROR((I183/I15),0)</f>
        <v>0.7954009433962265</v>
      </c>
      <c r="J195" s="12">
        <f>IFERROR((J183/J15),0)</f>
        <v>0.4714622641509434</v>
      </c>
    </row>
    <row r="196">
      <c r="A196" s="0" t="inlineStr">
        <is>
          <t xml:space="preserve">Forecast attainment</t>
        </is>
      </c>
      <c r="B196" s="0" t="inlineStr">
        <is>
          <t xml:space="preserve">AMER East</t>
        </is>
      </c>
      <c r="C196" s="0" t="inlineStr">
        <is>
          <t xml:space="preserve">SMB</t>
        </is>
      </c>
      <c r="D196" s="12">
        <f>IFERROR((D184/D16),0)</f>
        <v>0.9171428571428571</v>
      </c>
      <c r="E196" s="12">
        <f>IFERROR((E184/E16),0)</f>
        <v>1.2351190476190477</v>
      </c>
      <c r="F196" s="12">
        <f>IFERROR((F184/F16),0)</f>
        <v>0.798469387755102</v>
      </c>
      <c r="G196" s="12">
        <f>IFERROR((G184/G16),0)</f>
        <v>0.5334821428571429</v>
      </c>
      <c r="H196" s="12">
        <f>IFERROR((H184/H16),0)</f>
        <v>0.9848214285714286</v>
      </c>
      <c r="I196" s="12">
        <f>IFERROR((I184/I16),0)</f>
        <v>1.01375</v>
      </c>
      <c r="J196" s="12">
        <f>IFERROR((J184/J16),0)</f>
        <v>0.30830357142857145</v>
      </c>
    </row>
    <row r="197">
      <c r="A197" s="0" t="inlineStr">
        <is>
          <t xml:space="preserve">Forecast attainment</t>
        </is>
      </c>
      <c r="B197" s="0" t="inlineStr">
        <is>
          <t xml:space="preserve">AMER West</t>
        </is>
      </c>
      <c r="C197" s="0" t="inlineStr">
        <is>
          <t xml:space="preserve">Enterprise</t>
        </is>
      </c>
      <c r="D197" s="12">
        <f>IFERROR((D185/D17),0)</f>
        <v>0</v>
      </c>
      <c r="E197" s="12">
        <f>IFERROR((E185/E17),0)</f>
        <v>0.19573333333333334</v>
      </c>
      <c r="F197" s="12">
        <f>IFERROR((F185/F17),0)</f>
        <v>0</v>
      </c>
      <c r="G197" s="12">
        <f>IFERROR((G185/G17),0)</f>
        <v>1.9304</v>
      </c>
      <c r="H197" s="12">
        <f>IFERROR((H185/H17),0)</f>
        <v>0.544</v>
      </c>
      <c r="I197" s="12">
        <f>IFERROR((I185/I17),0)</f>
        <v>2.17132</v>
      </c>
      <c r="J197" s="12">
        <f>IFERROR((J185/J17),0)</f>
        <v>0.42068</v>
      </c>
    </row>
    <row r="198">
      <c r="A198" s="0" t="inlineStr">
        <is>
          <t xml:space="preserve">Forecast attainment</t>
        </is>
      </c>
      <c r="B198" s="0" t="inlineStr">
        <is>
          <t xml:space="preserve">AMER West</t>
        </is>
      </c>
      <c r="C198" s="0" t="inlineStr">
        <is>
          <t xml:space="preserve">Mid-Market</t>
        </is>
      </c>
      <c r="D198" s="12">
        <f>IFERROR((D186/D18),0)</f>
        <v>0.3410377358490566</v>
      </c>
      <c r="E198" s="12">
        <f>IFERROR((E186/E18),0)</f>
        <v>0.5377358490566038</v>
      </c>
      <c r="F198" s="12">
        <f>IFERROR((F186/F18),0)</f>
        <v>1.6316037735849056</v>
      </c>
      <c r="G198" s="12">
        <f>IFERROR((G186/G18),0)</f>
        <v>1.5264150943396226</v>
      </c>
      <c r="H198" s="12">
        <f>IFERROR((H186/H18),0)</f>
        <v>2.9977358490566037</v>
      </c>
      <c r="I198" s="12">
        <f>IFERROR((I186/I18),0)</f>
        <v>2.405188679245283</v>
      </c>
      <c r="J198" s="12">
        <f>IFERROR((J186/J18),0)</f>
        <v>0.6453369272237197</v>
      </c>
    </row>
    <row r="199">
      <c r="A199" s="0" t="inlineStr">
        <is>
          <t xml:space="preserve">Forecast attainment</t>
        </is>
      </c>
      <c r="B199" s="0" t="inlineStr">
        <is>
          <t xml:space="preserve">AMER West</t>
        </is>
      </c>
      <c r="C199" s="0" t="inlineStr">
        <is>
          <t xml:space="preserve">SMB</t>
        </is>
      </c>
      <c r="D199" s="12">
        <f>IFERROR((D187/D19),0)</f>
        <v>0.675</v>
      </c>
      <c r="E199" s="12">
        <f>IFERROR((E187/E19),0)</f>
        <v>0.8375</v>
      </c>
      <c r="F199" s="12">
        <f>IFERROR((F187/F19),0)</f>
        <v>1.0598214285714285</v>
      </c>
      <c r="G199" s="12">
        <f>IFERROR((G187/G19),0)</f>
        <v>0.8133928571428571</v>
      </c>
      <c r="H199" s="12">
        <f>IFERROR((H187/H19),0)</f>
        <v>0.5808035714285714</v>
      </c>
      <c r="I199" s="12">
        <f>IFERROR((I187/I19),0)</f>
        <v>0.6882589285714286</v>
      </c>
      <c r="J199" s="12">
        <f>IFERROR((J187/J19),0)</f>
        <v>0.4890178571428571</v>
      </c>
    </row>
    <row r="200">
      <c r="A200" s="0" t="inlineStr">
        <is>
          <t xml:space="preserve">Forecast attainment</t>
        </is>
      </c>
      <c r="B200" s="0" t="inlineStr">
        <is>
          <t xml:space="preserve">EMEA</t>
        </is>
      </c>
      <c r="C200" s="0" t="inlineStr">
        <is>
          <t xml:space="preserve">Enterprise</t>
        </is>
      </c>
      <c r="D200" s="12">
        <f>IFERROR((D188/D20),0)</f>
        <v>0.7272189349112426</v>
      </c>
      <c r="E200" s="12">
        <f>IFERROR((E188/E20),0)</f>
        <v>2.1671597633136095</v>
      </c>
      <c r="F200" s="12">
        <f>IFERROR((F188/F20),0)</f>
        <v>0.8035502958579882</v>
      </c>
      <c r="G200" s="12">
        <f>IFERROR((G188/G20),0)</f>
        <v>1.341469194312796</v>
      </c>
      <c r="H200" s="12">
        <f>IFERROR((H188/H20),0)</f>
        <v>1.0197238658777121</v>
      </c>
      <c r="I200" s="12">
        <f>IFERROR((I188/I20),0)</f>
        <v>0.9962605752961083</v>
      </c>
      <c r="J200" s="12">
        <f>IFERROR((J188/J20),0)</f>
        <v>0.463905325443787</v>
      </c>
    </row>
    <row r="201">
      <c r="A201" s="0" t="inlineStr">
        <is>
          <t xml:space="preserve">Forecast attainment</t>
        </is>
      </c>
      <c r="B201" s="0" t="inlineStr">
        <is>
          <t xml:space="preserve">EMEA</t>
        </is>
      </c>
      <c r="C201" s="0" t="inlineStr">
        <is>
          <t xml:space="preserve">Mid-Market</t>
        </is>
      </c>
      <c r="D201" s="12">
        <f>IFERROR((D189/D21),0)</f>
        <v>1.0321052631578946</v>
      </c>
      <c r="E201" s="12">
        <f>IFERROR((E189/E21),0)</f>
        <v>1.1294736842105264</v>
      </c>
      <c r="F201" s="12">
        <f>IFERROR((F189/F21),0)</f>
        <v>1.2960526315789473</v>
      </c>
      <c r="G201" s="12">
        <f>IFERROR((G189/G21),0)</f>
        <v>0.8305263157894737</v>
      </c>
      <c r="H201" s="12">
        <f>IFERROR((H189/H21),0)</f>
        <v>0.7739473684210526</v>
      </c>
      <c r="I201" s="12">
        <f>IFERROR((I189/I21),0)</f>
        <v>0.7900789473684211</v>
      </c>
      <c r="J201" s="12">
        <f>IFERROR((J189/J21),0)</f>
        <v>0.04292105263157895</v>
      </c>
    </row>
    <row r="202">
      <c r="A202" s="0" t="inlineStr">
        <is>
          <t xml:space="preserve">Forecast attainment</t>
        </is>
      </c>
      <c r="B202" s="0" t="inlineStr">
        <is>
          <t xml:space="preserve">EMEA</t>
        </is>
      </c>
      <c r="C202" s="0" t="inlineStr">
        <is>
          <t xml:space="preserve">SMB</t>
        </is>
      </c>
      <c r="D202" s="12">
        <f>IFERROR((D190/D22),0)</f>
        <v>0.2992</v>
      </c>
      <c r="E202" s="12">
        <f>IFERROR((E190/E22),0)</f>
        <v>1.504</v>
      </c>
      <c r="F202" s="12">
        <f>IFERROR((F190/F22),0)</f>
        <v>1.1348571428571428</v>
      </c>
      <c r="G202" s="12">
        <f>IFERROR((G190/G22),0)</f>
        <v>1.4665</v>
      </c>
      <c r="H202" s="12">
        <f>IFERROR((H190/H22),0)</f>
        <v>0.723</v>
      </c>
      <c r="I202" s="12">
        <f>IFERROR((I190/I22),0)</f>
        <v>0.99795</v>
      </c>
      <c r="J202" s="12">
        <f>IFERROR((J190/J22),0)</f>
        <v>0.51085</v>
      </c>
    </row>
    <row r="203">
      <c r="A203" s="0" t="inlineStr">
        <is>
          <t xml:space="preserve">Forecast attainment</t>
        </is>
      </c>
      <c r="B203" s="0" t="inlineStr">
        <is>
          <t xml:space="preserve">APAC</t>
        </is>
      </c>
      <c r="C203" s="0" t="inlineStr">
        <is>
          <t xml:space="preserve">Enterprise</t>
        </is>
      </c>
      <c r="D203" s="12">
        <f>IFERROR((D191/D23),0)</f>
        <v>0.19026717557251907</v>
      </c>
      <c r="E203" s="12">
        <f>IFERROR((E191/E23),0)</f>
        <v>0.815267175572519</v>
      </c>
      <c r="F203" s="12">
        <f>IFERROR((F191/F23),0)</f>
        <v>0.12270992366412213</v>
      </c>
      <c r="G203" s="12">
        <f>IFERROR((G191/G23),0)</f>
        <v>0.1713740458015267</v>
      </c>
      <c r="H203" s="12">
        <f>IFERROR((H191/H23),0)</f>
        <v>0.35954198473282445</v>
      </c>
      <c r="I203" s="12">
        <f>IFERROR((I191/I23),0)</f>
        <v>0.5433015267175573</v>
      </c>
      <c r="J203" s="12">
        <f>IFERROR((J191/J23),0)</f>
        <v>0.7123854961832061</v>
      </c>
    </row>
    <row r="204">
      <c r="A204" s="0" t="inlineStr">
        <is>
          <t xml:space="preserve">Forecast attainment</t>
        </is>
      </c>
      <c r="B204" s="0" t="inlineStr">
        <is>
          <t xml:space="preserve">APAC</t>
        </is>
      </c>
      <c r="C204" s="0" t="inlineStr">
        <is>
          <t xml:space="preserve">Mid-Market</t>
        </is>
      </c>
      <c r="D204" s="12">
        <f>IFERROR((D192/D24),0)</f>
        <v>0.5198473282442748</v>
      </c>
      <c r="E204" s="12">
        <f>IFERROR((E192/E24),0)</f>
        <v>1.2123333333333333</v>
      </c>
      <c r="F204" s="12">
        <f>IFERROR((F192/F24),0)</f>
        <v>1.354</v>
      </c>
      <c r="G204" s="12">
        <f>IFERROR((G192/G24),0)</f>
        <v>0.4573333333333333</v>
      </c>
      <c r="H204" s="12">
        <f>IFERROR((H192/H24),0)</f>
        <v>1.2593333333333334</v>
      </c>
      <c r="I204" s="12">
        <f>IFERROR((I192/I24),0)</f>
        <v>1.3800333333333332</v>
      </c>
      <c r="J204" s="12">
        <f>IFERROR((J192/J24),0)</f>
        <v>0.6987666666666666</v>
      </c>
    </row>
    <row r="205">
      <c r="A205" s="0" t="inlineStr">
        <is>
          <t xml:space="preserve">Forecast attainment</t>
        </is>
      </c>
      <c r="B205" s="0" t="inlineStr">
        <is>
          <t xml:space="preserve">APAC</t>
        </is>
      </c>
      <c r="C205" s="0" t="inlineStr">
        <is>
          <t xml:space="preserve">SMB</t>
        </is>
      </c>
      <c r="D205" s="12">
        <f>IFERROR((D193/D25),0)</f>
        <v>0</v>
      </c>
      <c r="E205" s="12">
        <f>IFERROR((E193/E25),0)</f>
        <v>1.55375</v>
      </c>
      <c r="F205" s="12">
        <f>IFERROR((F193/F25),0)</f>
        <v>1.0425</v>
      </c>
      <c r="G205" s="12">
        <f>IFERROR((G193/G25),0)</f>
        <v>0.38625</v>
      </c>
      <c r="H205" s="12">
        <f>IFERROR((H193/H25),0)</f>
        <v>1.317</v>
      </c>
      <c r="I205" s="12">
        <f>IFERROR((I193/I25),0)</f>
        <v>1.3355833333333333</v>
      </c>
      <c r="J205" s="12">
        <f>IFERROR((J193/J25),0)</f>
        <v>0.29278571428571426</v>
      </c>
    </row>
    <row r="206">
      <c r="A206" s="0" t="inlineStr">
        <is>
          <t xml:space="preserve">Variable pay</t>
        </is>
      </c>
      <c r="B206" s="0" t="inlineStr">
        <is>
          <t xml:space="preserve">AMER East</t>
        </is>
      </c>
      <c r="C206" s="0" t="inlineStr">
        <is>
          <t xml:space="preserve">Enterprise</t>
        </is>
      </c>
      <c r="D206" s="8">
        <f>SUM('Variable pay'!C266:C267)</f>
        <v>0</v>
      </c>
      <c r="E206" s="8">
        <f>SUM('Variable pay'!D266:D267)</f>
        <v>0</v>
      </c>
      <c r="F206" s="8">
        <f>SUM('Variable pay'!E266:E267)</f>
        <v>21531.5</v>
      </c>
      <c r="G206" s="8">
        <f>SUM('Variable pay'!F266:F267)</f>
        <v>70353.5</v>
      </c>
      <c r="H206" s="8">
        <f>SUM('Variable pay'!G266:G267)</f>
        <v>50645.00000000001</v>
      </c>
      <c r="I206" s="8">
        <f>SUM('Variable pay'!H266:H267)</f>
        <v>12090.000000000002</v>
      </c>
      <c r="J206" s="8">
        <f>SUM('Variable pay'!I266:I267)</f>
        <v>0</v>
      </c>
    </row>
    <row r="207">
      <c r="A207" s="0" t="inlineStr">
        <is>
          <t xml:space="preserve">Variable pay</t>
        </is>
      </c>
      <c r="B207" s="0" t="inlineStr">
        <is>
          <t xml:space="preserve">AMER East</t>
        </is>
      </c>
      <c r="C207" s="0" t="inlineStr">
        <is>
          <t xml:space="preserve">Mid-Market</t>
        </is>
      </c>
      <c r="D207" s="8">
        <f>SUM('Variable pay'!C268:C269)</f>
        <v>26860.219999999994</v>
      </c>
      <c r="E207" s="8">
        <f>SUM('Variable pay'!D268:D269)</f>
        <v>53279.97</v>
      </c>
      <c r="F207" s="8">
        <f>SUM('Variable pay'!E268:E269)</f>
        <v>54863.85999999999</v>
      </c>
      <c r="G207" s="8">
        <f>SUM('Variable pay'!F268:F269)</f>
        <v>87895.32</v>
      </c>
      <c r="H207" s="8">
        <f>SUM('Variable pay'!G268:G269)</f>
        <v>26414.344999999998</v>
      </c>
      <c r="I207" s="8">
        <f>SUM('Variable pay'!H268:H269)</f>
        <v>21066.385000000002</v>
      </c>
      <c r="J207" s="8">
        <f>SUM('Variable pay'!I268:I269)</f>
        <v>0</v>
      </c>
    </row>
    <row r="208">
      <c r="A208" s="0" t="inlineStr">
        <is>
          <t xml:space="preserve">Variable pay</t>
        </is>
      </c>
      <c r="B208" s="0" t="inlineStr">
        <is>
          <t xml:space="preserve">AMER East</t>
        </is>
      </c>
      <c r="C208" s="0" t="inlineStr">
        <is>
          <t xml:space="preserve">SMB</t>
        </is>
      </c>
      <c r="D208" s="8">
        <f>SUM('Variable pay'!C270:C271)</f>
        <v>21543.020000000004</v>
      </c>
      <c r="E208" s="8">
        <f>SUM('Variable pay'!D270:D271)</f>
        <v>43899.30000000001</v>
      </c>
      <c r="F208" s="8">
        <f>SUM('Variable pay'!E270:E271)</f>
        <v>26656.800000000003</v>
      </c>
      <c r="G208" s="8">
        <f>SUM('Variable pay'!F270:F271)</f>
        <v>17849.700000000004</v>
      </c>
      <c r="H208" s="8">
        <f>SUM('Variable pay'!G270:G271)</f>
        <v>36763.280000000006</v>
      </c>
      <c r="I208" s="8">
        <f>SUM('Variable pay'!H270:H271)</f>
        <v>39697.3</v>
      </c>
      <c r="J208" s="8">
        <f>SUM('Variable pay'!I270:I271)</f>
        <v>0</v>
      </c>
    </row>
    <row r="209">
      <c r="A209" s="0" t="inlineStr">
        <is>
          <t xml:space="preserve">Variable pay</t>
        </is>
      </c>
      <c r="B209" s="0" t="inlineStr">
        <is>
          <t xml:space="preserve">AMER West</t>
        </is>
      </c>
      <c r="C209" s="0" t="inlineStr">
        <is>
          <t xml:space="preserve">Enterprise</t>
        </is>
      </c>
      <c r="D209" s="8">
        <f>SUM('Variable pay'!C272:C273)</f>
        <v>0</v>
      </c>
      <c r="E209" s="8">
        <f>SUM('Variable pay'!D272:D273)</f>
        <v>14680.000000000002</v>
      </c>
      <c r="F209" s="8">
        <f>SUM('Variable pay'!E272:E273)</f>
        <v>0</v>
      </c>
      <c r="G209" s="8">
        <f>SUM('Variable pay'!F272:F273)</f>
        <v>115872.5</v>
      </c>
      <c r="H209" s="8">
        <f>SUM('Variable pay'!G272:G273)</f>
        <v>45517.5</v>
      </c>
      <c r="I209" s="8">
        <f>SUM('Variable pay'!H272:H273)</f>
        <v>180075.5</v>
      </c>
      <c r="J209" s="8">
        <f>SUM('Variable pay'!I272:I273)</f>
        <v>0</v>
      </c>
    </row>
    <row r="210">
      <c r="A210" s="0" t="inlineStr">
        <is>
          <t xml:space="preserve">Variable pay</t>
        </is>
      </c>
      <c r="B210" s="0" t="inlineStr">
        <is>
          <t xml:space="preserve">AMER West</t>
        </is>
      </c>
      <c r="C210" s="0" t="inlineStr">
        <is>
          <t xml:space="preserve">Mid-Market</t>
        </is>
      </c>
      <c r="D210" s="8">
        <f>SUM('Variable pay'!C274:C275)</f>
        <v>8002.215</v>
      </c>
      <c r="E210" s="8">
        <f>SUM('Variable pay'!D274:D275)</f>
        <v>13983.999999999998</v>
      </c>
      <c r="F210" s="8">
        <f>SUM('Variable pay'!E274:E275)</f>
        <v>65055.17999999999</v>
      </c>
      <c r="G210" s="8">
        <f>SUM('Variable pay'!F274:F275)</f>
        <v>55784.81999999999</v>
      </c>
      <c r="H210" s="8">
        <f>SUM('Variable pay'!G274:G275)</f>
        <v>123541.39</v>
      </c>
      <c r="I210" s="8">
        <f>SUM('Variable pay'!H274:H275)</f>
        <v>146093.14</v>
      </c>
      <c r="J210" s="8">
        <f>SUM('Variable pay'!I274:I275)</f>
        <v>0</v>
      </c>
    </row>
    <row r="211">
      <c r="A211" s="0" t="inlineStr">
        <is>
          <t xml:space="preserve">Variable pay</t>
        </is>
      </c>
      <c r="B211" s="0" t="inlineStr">
        <is>
          <t xml:space="preserve">AMER West</t>
        </is>
      </c>
      <c r="C211" s="0" t="inlineStr">
        <is>
          <t xml:space="preserve">SMB</t>
        </is>
      </c>
      <c r="D211" s="8">
        <f>SUM('Variable pay'!C276:C277)</f>
        <v>23589.460000000003</v>
      </c>
      <c r="E211" s="8">
        <f>SUM('Variable pay'!D276:D277)</f>
        <v>30803.880000000005</v>
      </c>
      <c r="F211" s="8">
        <f>SUM('Variable pay'!E276:E277)</f>
        <v>41864.64</v>
      </c>
      <c r="G211" s="8">
        <f>SUM('Variable pay'!F276:F277)</f>
        <v>29724.760000000002</v>
      </c>
      <c r="H211" s="8">
        <f>SUM('Variable pay'!G276:G277)</f>
        <v>21120.155000000006</v>
      </c>
      <c r="I211" s="8">
        <f>SUM('Variable pay'!H276:H277)</f>
        <v>28092.4</v>
      </c>
      <c r="J211" s="8">
        <f>SUM('Variable pay'!I276:I277)</f>
        <v>0</v>
      </c>
    </row>
    <row r="212">
      <c r="A212" s="0" t="inlineStr">
        <is>
          <t xml:space="preserve">Variable pay</t>
        </is>
      </c>
      <c r="B212" s="0" t="inlineStr">
        <is>
          <t xml:space="preserve">EMEA</t>
        </is>
      </c>
      <c r="C212" s="0" t="inlineStr">
        <is>
          <t xml:space="preserve">Enterprise</t>
        </is>
      </c>
      <c r="D212" s="8">
        <f>SUM('Variable pay'!C278:C279)</f>
        <v>26301.405</v>
      </c>
      <c r="E212" s="8">
        <f>SUM('Variable pay'!D278:D279)</f>
        <v>112500</v>
      </c>
      <c r="F212" s="8">
        <f>SUM('Variable pay'!E278:E279)</f>
        <v>31544.285000000003</v>
      </c>
      <c r="G212" s="8">
        <f>SUM('Variable pay'!F278:F279)</f>
        <v>93752.75</v>
      </c>
      <c r="H212" s="8">
        <f>SUM('Variable pay'!G278:G279)</f>
        <v>67617.65000000001</v>
      </c>
      <c r="I212" s="8">
        <f>SUM('Variable pay'!H278:H279)</f>
        <v>67605.9075</v>
      </c>
      <c r="J212" s="8">
        <f>SUM('Variable pay'!I278:I279)</f>
        <v>0</v>
      </c>
    </row>
    <row r="213">
      <c r="A213" s="0" t="inlineStr">
        <is>
          <t xml:space="preserve">Variable pay</t>
        </is>
      </c>
      <c r="B213" s="0" t="inlineStr">
        <is>
          <t xml:space="preserve">EMEA</t>
        </is>
      </c>
      <c r="C213" s="0" t="inlineStr">
        <is>
          <t xml:space="preserve">Mid-Market</t>
        </is>
      </c>
      <c r="D213" s="8">
        <f>SUM('Variable pay'!C280:C281)</f>
        <v>62153.985</v>
      </c>
      <c r="E213" s="8">
        <f>SUM('Variable pay'!D280:D281)</f>
        <v>84049.465</v>
      </c>
      <c r="F213" s="8">
        <f>SUM('Variable pay'!E280:E281)</f>
        <v>85258.05500000001</v>
      </c>
      <c r="G213" s="8">
        <f>SUM('Variable pay'!F280:F281)</f>
        <v>42802.57</v>
      </c>
      <c r="H213" s="8">
        <f>SUM('Variable pay'!G280:G281)</f>
        <v>43725.9675</v>
      </c>
      <c r="I213" s="8">
        <f>SUM('Variable pay'!H280:H281)</f>
        <v>34199.55</v>
      </c>
      <c r="J213" s="8">
        <f>SUM('Variable pay'!I280:I281)</f>
        <v>0</v>
      </c>
    </row>
    <row r="214">
      <c r="A214" s="0" t="inlineStr">
        <is>
          <t xml:space="preserve">Variable pay</t>
        </is>
      </c>
      <c r="B214" s="0" t="inlineStr">
        <is>
          <t xml:space="preserve">EMEA</t>
        </is>
      </c>
      <c r="C214" s="0" t="inlineStr">
        <is>
          <t xml:space="preserve">SMB</t>
        </is>
      </c>
      <c r="D214" s="8">
        <f>SUM('Variable pay'!C282:C283)</f>
        <v>5865.000000000001</v>
      </c>
      <c r="E214" s="8">
        <f>SUM('Variable pay'!D282:D283)</f>
        <v>56637.99999999999</v>
      </c>
      <c r="F214" s="8">
        <f>SUM('Variable pay'!E282:E283)</f>
        <v>41357</v>
      </c>
      <c r="G214" s="8">
        <f>SUM('Variable pay'!F282:F283)</f>
        <v>75233.5</v>
      </c>
      <c r="H214" s="8">
        <f>SUM('Variable pay'!G282:G283)</f>
        <v>26629.999999999996</v>
      </c>
      <c r="I214" s="8">
        <f>SUM('Variable pay'!H282:H283)</f>
        <v>38392</v>
      </c>
      <c r="J214" s="8">
        <f>SUM('Variable pay'!I282:I283)</f>
        <v>0</v>
      </c>
    </row>
    <row r="215">
      <c r="A215" s="0" t="inlineStr">
        <is>
          <t xml:space="preserve">Variable pay</t>
        </is>
      </c>
      <c r="B215" s="0" t="inlineStr">
        <is>
          <t xml:space="preserve">APAC</t>
        </is>
      </c>
      <c r="C215" s="0" t="inlineStr">
        <is>
          <t xml:space="preserve">Enterprise</t>
        </is>
      </c>
      <c r="D215" s="8">
        <f>SUM('Variable pay'!C284:C285)</f>
        <v>13177.8475</v>
      </c>
      <c r="E215" s="8">
        <f>SUM('Variable pay'!D284:D285)</f>
        <v>62677.145000000004</v>
      </c>
      <c r="F215" s="8">
        <f>SUM('Variable pay'!E284:E285)</f>
        <v>7534.3525</v>
      </c>
      <c r="G215" s="8">
        <f>SUM('Variable pay'!F284:F285)</f>
        <v>10522.314999999999</v>
      </c>
      <c r="H215" s="8">
        <f>SUM('Variable pay'!G284:G285)</f>
        <v>25068.385000000002</v>
      </c>
      <c r="I215" s="8">
        <f>SUM('Variable pay'!H284:H285)</f>
        <v>37447.96</v>
      </c>
      <c r="J215" s="8">
        <f>SUM('Variable pay'!I284:I285)</f>
        <v>0</v>
      </c>
    </row>
    <row r="216">
      <c r="A216" s="0" t="inlineStr">
        <is>
          <t xml:space="preserve">Variable pay</t>
        </is>
      </c>
      <c r="B216" s="0" t="inlineStr">
        <is>
          <t xml:space="preserve">APAC</t>
        </is>
      </c>
      <c r="C216" s="0" t="inlineStr">
        <is>
          <t xml:space="preserve">Mid-Market</t>
        </is>
      </c>
      <c r="D216" s="8">
        <f>SUM('Variable pay'!C286:C287)</f>
        <v>22597.635</v>
      </c>
      <c r="E216" s="8">
        <f>SUM('Variable pay'!D286:D287)</f>
        <v>94346.205</v>
      </c>
      <c r="F216" s="8">
        <f>SUM('Variable pay'!E286:E287)</f>
        <v>90009.54499999998</v>
      </c>
      <c r="G216" s="8">
        <f>SUM('Variable pay'!F286:F287)</f>
        <v>23240.384999999995</v>
      </c>
      <c r="H216" s="8">
        <f>SUM('Variable pay'!G286:G287)</f>
        <v>74399.92</v>
      </c>
      <c r="I216" s="8">
        <f>SUM('Variable pay'!H286:H287)</f>
        <v>80150.325</v>
      </c>
      <c r="J216" s="8">
        <f>SUM('Variable pay'!I286:I287)</f>
        <v>0</v>
      </c>
    </row>
    <row r="217">
      <c r="A217" s="0" t="inlineStr">
        <is>
          <t xml:space="preserve">Variable pay</t>
        </is>
      </c>
      <c r="B217" s="0" t="inlineStr">
        <is>
          <t xml:space="preserve">APAC</t>
        </is>
      </c>
      <c r="C217" s="0" t="inlineStr">
        <is>
          <t xml:space="preserve">SMB</t>
        </is>
      </c>
      <c r="D217" s="8">
        <f>SUM('Variable pay'!C288:C289)</f>
        <v>0</v>
      </c>
      <c r="E217" s="8">
        <f>SUM('Variable pay'!D288:D289)</f>
        <v>39815</v>
      </c>
      <c r="F217" s="8">
        <f>SUM('Variable pay'!E288:E289)</f>
        <v>19969</v>
      </c>
      <c r="G217" s="8">
        <f>SUM('Variable pay'!F288:F289)</f>
        <v>6152.25</v>
      </c>
      <c r="H217" s="8">
        <f>SUM('Variable pay'!G288:G289)</f>
        <v>39106.5</v>
      </c>
      <c r="I217" s="8">
        <f>SUM('Variable pay'!H288:H289)</f>
        <v>45637.5</v>
      </c>
      <c r="J217" s="8">
        <f>SUM('Variable pay'!I288:I289)</f>
        <v>0</v>
      </c>
    </row>
    <row r="218">
      <c r="A218" s="0" t="inlineStr">
        <is>
          <t xml:space="preserve">Variable pay as % of bookings</t>
        </is>
      </c>
      <c r="B218" s="0" t="inlineStr">
        <is>
          <t xml:space="preserve">AMER East</t>
        </is>
      </c>
      <c r="C218" s="0" t="inlineStr">
        <is>
          <t xml:space="preserve">Enterprise</t>
        </is>
      </c>
      <c r="D218" s="12">
        <f>IFERROR((D206/D26),0)</f>
        <v>0</v>
      </c>
      <c r="E218" s="12">
        <f>IFERROR((E206/E26),0)</f>
        <v>0</v>
      </c>
      <c r="F218" s="12">
        <f>IFERROR((F206/F26),0)</f>
        <v>0.10701540755467197</v>
      </c>
      <c r="G218" s="12">
        <f>IFERROR((G206/G26),0)</f>
        <v>0.13906602095275747</v>
      </c>
      <c r="H218" s="12">
        <f>IFERROR((H206/H26),0)</f>
        <v>0.11597206320128237</v>
      </c>
      <c r="I218" s="12">
        <f>IFERROR((I206/I26),0)</f>
        <v>0.08722943722943724</v>
      </c>
      <c r="J218" s="12">
        <f>IFERROR((J206/J26),0)</f>
        <v>0</v>
      </c>
    </row>
    <row r="219">
      <c r="A219" s="0" t="inlineStr">
        <is>
          <t xml:space="preserve">Variable pay as % of bookings</t>
        </is>
      </c>
      <c r="B219" s="0" t="inlineStr">
        <is>
          <t xml:space="preserve">AMER East</t>
        </is>
      </c>
      <c r="C219" s="0" t="inlineStr">
        <is>
          <t xml:space="preserve">Mid-Market</t>
        </is>
      </c>
      <c r="D219" s="12">
        <f>IFERROR((D207/D27),0)</f>
        <v>0.12925996150144367</v>
      </c>
      <c r="E219" s="12">
        <f>IFERROR((E207/E27),0)</f>
        <v>0.15248989696622783</v>
      </c>
      <c r="F219" s="12">
        <f>IFERROR((F207/F27),0)</f>
        <v>0.16691165196227561</v>
      </c>
      <c r="G219" s="12">
        <f>IFERROR((G207/G27),0)</f>
        <v>0.19527953788047103</v>
      </c>
      <c r="H219" s="12">
        <f>IFERROR((H207/H27),0)</f>
        <v>0.12483149810964082</v>
      </c>
      <c r="I219" s="12">
        <f>IFERROR((I207/I27),0)</f>
        <v>0.11381083198271205</v>
      </c>
      <c r="J219" s="12">
        <f>IFERROR((J207/J27),0)</f>
        <v>0</v>
      </c>
    </row>
    <row r="220">
      <c r="A220" s="0" t="inlineStr">
        <is>
          <t xml:space="preserve">Variable pay as % of bookings</t>
        </is>
      </c>
      <c r="B220" s="0" t="inlineStr">
        <is>
          <t xml:space="preserve">AMER East</t>
        </is>
      </c>
      <c r="C220" s="0" t="inlineStr">
        <is>
          <t xml:space="preserve">SMB</t>
        </is>
      </c>
      <c r="D220" s="12">
        <f>IFERROR((D208/D28),0)</f>
        <v>0.1677805295950156</v>
      </c>
      <c r="E220" s="12">
        <f>IFERROR((E208/E28),0)</f>
        <v>0.21156289156626512</v>
      </c>
      <c r="F220" s="12">
        <f>IFERROR((F208/F28),0)</f>
        <v>0.17033099041533548</v>
      </c>
      <c r="G220" s="12">
        <f>IFERROR((G208/G28),0)</f>
        <v>0.1493698744769875</v>
      </c>
      <c r="H220" s="12">
        <f>IFERROR((H208/H28),0)</f>
        <v>0.16665131459655488</v>
      </c>
      <c r="I220" s="12">
        <f>IFERROR((I208/I28),0)</f>
        <v>0.21704373974849647</v>
      </c>
      <c r="J220" s="12">
        <f>IFERROR((J208/J28),0)</f>
        <v>0</v>
      </c>
    </row>
    <row r="221">
      <c r="A221" s="0" t="inlineStr">
        <is>
          <t xml:space="preserve">Variable pay as % of bookings</t>
        </is>
      </c>
      <c r="B221" s="0" t="inlineStr">
        <is>
          <t xml:space="preserve">AMER West</t>
        </is>
      </c>
      <c r="C221" s="0" t="inlineStr">
        <is>
          <t xml:space="preserve">Enterprise</t>
        </is>
      </c>
      <c r="D221" s="12">
        <f>IFERROR((D209/D29),0)</f>
        <v>0</v>
      </c>
      <c r="E221" s="12">
        <f>IFERROR((E209/E29),0)</f>
        <v>0.1</v>
      </c>
      <c r="F221" s="12">
        <f>IFERROR((F209/F29),0)</f>
        <v>0</v>
      </c>
      <c r="G221" s="12">
        <f>IFERROR((G209/G29),0)</f>
        <v>0.08003349910208592</v>
      </c>
      <c r="H221" s="12">
        <f>IFERROR((H209/H29),0)</f>
        <v>0.1115625</v>
      </c>
      <c r="I221" s="12">
        <f>IFERROR((I209/I29),0)</f>
        <v>0.15077911747467135</v>
      </c>
      <c r="J221" s="12">
        <f>IFERROR((J209/J29),0)</f>
        <v>0</v>
      </c>
    </row>
    <row r="222">
      <c r="A222" s="0" t="inlineStr">
        <is>
          <t xml:space="preserve">Variable pay as % of bookings</t>
        </is>
      </c>
      <c r="B222" s="0" t="inlineStr">
        <is>
          <t xml:space="preserve">AMER West</t>
        </is>
      </c>
      <c r="C222" s="0" t="inlineStr">
        <is>
          <t xml:space="preserve">Mid-Market</t>
        </is>
      </c>
      <c r="D222" s="12">
        <f>IFERROR((D210/D30),0)</f>
        <v>0.11068070539419088</v>
      </c>
      <c r="E222" s="12">
        <f>IFERROR((E210/E30),0)</f>
        <v>0.12266666666666665</v>
      </c>
      <c r="F222" s="12">
        <f>IFERROR((F210/F30),0)</f>
        <v>0.18807510841283606</v>
      </c>
      <c r="G222" s="12">
        <f>IFERROR((G210/G30),0)</f>
        <v>0.172388195302843</v>
      </c>
      <c r="H222" s="12">
        <f>IFERROR((H210/H30),0)</f>
        <v>0.1555153449144008</v>
      </c>
      <c r="I222" s="12">
        <f>IFERROR((I210/I30),0)</f>
        <v>0.23252131147540986</v>
      </c>
      <c r="J222" s="12">
        <f>IFERROR((J210/J30),0)</f>
        <v>0</v>
      </c>
    </row>
    <row r="223">
      <c r="A223" s="0" t="inlineStr">
        <is>
          <t xml:space="preserve">Variable pay as % of bookings</t>
        </is>
      </c>
      <c r="B223" s="0" t="inlineStr">
        <is>
          <t xml:space="preserve">AMER West</t>
        </is>
      </c>
      <c r="C223" s="0" t="inlineStr">
        <is>
          <t xml:space="preserve">SMB</t>
        </is>
      </c>
      <c r="D223" s="12">
        <f>IFERROR((D211/D31),0)</f>
        <v>0.15601494708994712</v>
      </c>
      <c r="E223" s="12">
        <f>IFERROR((E211/E31),0)</f>
        <v>0.16419978678038383</v>
      </c>
      <c r="F223" s="12">
        <f>IFERROR((F211/F31),0)</f>
        <v>0.1763464195450716</v>
      </c>
      <c r="G223" s="12">
        <f>IFERROR((G211/G31),0)</f>
        <v>0.16314357848518113</v>
      </c>
      <c r="H223" s="12">
        <f>IFERROR((H211/H31),0)</f>
        <v>0.16233785549577254</v>
      </c>
      <c r="I223" s="12">
        <f>IFERROR((I211/I31),0)</f>
        <v>0.22242596991290578</v>
      </c>
      <c r="J223" s="12">
        <f>IFERROR((J211/J31),0)</f>
        <v>0</v>
      </c>
    </row>
    <row r="224">
      <c r="A224" s="0" t="inlineStr">
        <is>
          <t xml:space="preserve">Variable pay as % of bookings</t>
        </is>
      </c>
      <c r="B224" s="0" t="inlineStr">
        <is>
          <t xml:space="preserve">EMEA</t>
        </is>
      </c>
      <c r="C224" s="0" t="inlineStr">
        <is>
          <t xml:space="preserve">Enterprise</t>
        </is>
      </c>
      <c r="D224" s="12">
        <f>IFERROR((D212/D32),0)</f>
        <v>0.10700327502034174</v>
      </c>
      <c r="E224" s="12">
        <f>IFERROR((E212/E32),0)</f>
        <v>0.15358361774744028</v>
      </c>
      <c r="F224" s="12">
        <f>IFERROR((F212/F32),0)</f>
        <v>0.11614243372606776</v>
      </c>
      <c r="G224" s="12">
        <f>IFERROR((G212/G32),0)</f>
        <v>0.16561164105281753</v>
      </c>
      <c r="H224" s="12">
        <f>IFERROR((H212/H32),0)</f>
        <v>0.13078849129593811</v>
      </c>
      <c r="I224" s="12">
        <f>IFERROR((I212/I32),0)</f>
        <v>0.14399554313099042</v>
      </c>
      <c r="J224" s="12">
        <f>IFERROR((J212/J32),0)</f>
        <v>0</v>
      </c>
    </row>
    <row r="225">
      <c r="A225" s="0" t="inlineStr">
        <is>
          <t xml:space="preserve">Variable pay as % of bookings</t>
        </is>
      </c>
      <c r="B225" s="0" t="inlineStr">
        <is>
          <t xml:space="preserve">EMEA</t>
        </is>
      </c>
      <c r="C225" s="0" t="inlineStr">
        <is>
          <t xml:space="preserve">Mid-Market</t>
        </is>
      </c>
      <c r="D225" s="12">
        <f>IFERROR((D213/D33),0)</f>
        <v>0.15847522947475778</v>
      </c>
      <c r="E225" s="12">
        <f>IFERROR((E213/E33),0)</f>
        <v>0.19582820363466916</v>
      </c>
      <c r="F225" s="12">
        <f>IFERROR((F213/F33),0)</f>
        <v>0.17311280203045687</v>
      </c>
      <c r="G225" s="12">
        <f>IFERROR((G213/G33),0)</f>
        <v>0.135622845373891</v>
      </c>
      <c r="H225" s="12">
        <f>IFERROR((H213/H33),0)</f>
        <v>0.14867721013260796</v>
      </c>
      <c r="I225" s="12">
        <f>IFERROR((I213/I33),0)</f>
        <v>0.14016209016393444</v>
      </c>
      <c r="J225" s="12">
        <f>IFERROR((J213/J33),0)</f>
        <v>0</v>
      </c>
    </row>
    <row r="226">
      <c r="A226" s="0" t="inlineStr">
        <is>
          <t xml:space="preserve">Variable pay as % of bookings</t>
        </is>
      </c>
      <c r="B226" s="0" t="inlineStr">
        <is>
          <t xml:space="preserve">EMEA</t>
        </is>
      </c>
      <c r="C226" s="0" t="inlineStr">
        <is>
          <t xml:space="preserve">SMB</t>
        </is>
      </c>
      <c r="D226" s="12">
        <f>IFERROR((D214/D34),0)</f>
        <v>0.15681818181818183</v>
      </c>
      <c r="E226" s="12">
        <f>IFERROR((E214/E34),0)</f>
        <v>0.25105496453900705</v>
      </c>
      <c r="F226" s="12">
        <f>IFERROR((F214/F34),0)</f>
        <v>0.20824269889224573</v>
      </c>
      <c r="G226" s="12">
        <f>IFERROR((G214/G34),0)</f>
        <v>0.2565069894306171</v>
      </c>
      <c r="H226" s="12">
        <f>IFERROR((H214/H34),0)</f>
        <v>0.18416320885200552</v>
      </c>
      <c r="I226" s="12">
        <f>IFERROR((I214/I34),0)</f>
        <v>0.2202639127940333</v>
      </c>
      <c r="J226" s="12">
        <f>IFERROR((J214/J34),0)</f>
        <v>0</v>
      </c>
    </row>
    <row r="227">
      <c r="A227" s="0" t="inlineStr">
        <is>
          <t xml:space="preserve">Variable pay as % of bookings</t>
        </is>
      </c>
      <c r="B227" s="0" t="inlineStr">
        <is>
          <t xml:space="preserve">APAC</t>
        </is>
      </c>
      <c r="C227" s="0" t="inlineStr">
        <is>
          <t xml:space="preserve">Enterprise</t>
        </is>
      </c>
      <c r="D227" s="12">
        <f>IFERROR((D215/D35),0)</f>
        <v>0.132175</v>
      </c>
      <c r="E227" s="12">
        <f>IFERROR((E215/E35),0)</f>
        <v>0.14671616338951313</v>
      </c>
      <c r="F227" s="12">
        <f>IFERROR((F215/F35),0)</f>
        <v>0.117175</v>
      </c>
      <c r="G227" s="12">
        <f>IFERROR((G215/G35),0)</f>
        <v>0.11717499999999999</v>
      </c>
      <c r="H227" s="12">
        <f>IFERROR((H215/H35),0)</f>
        <v>0.13305936836518048</v>
      </c>
      <c r="I227" s="12">
        <f>IFERROR((I215/I35),0)</f>
        <v>0.14347877394636016</v>
      </c>
      <c r="J227" s="12">
        <f>IFERROR((J215/J35),0)</f>
        <v>0</v>
      </c>
    </row>
    <row r="228">
      <c r="A228" s="0" t="inlineStr">
        <is>
          <t xml:space="preserve">Variable pay as % of bookings</t>
        </is>
      </c>
      <c r="B228" s="0" t="inlineStr">
        <is>
          <t xml:space="preserve">APAC</t>
        </is>
      </c>
      <c r="C228" s="0" t="inlineStr">
        <is>
          <t xml:space="preserve">Mid-Market</t>
        </is>
      </c>
      <c r="D228" s="12">
        <f>IFERROR((D216/D36),0)</f>
        <v>0.16591508810572686</v>
      </c>
      <c r="E228" s="12">
        <f>IFERROR((E216/E36),0)</f>
        <v>0.25940666758317293</v>
      </c>
      <c r="F228" s="12">
        <f>IFERROR((F216/F36),0)</f>
        <v>0.2215892294436238</v>
      </c>
      <c r="G228" s="12">
        <f>IFERROR((G216/G36),0)</f>
        <v>0.16939056122448976</v>
      </c>
      <c r="H228" s="12">
        <f>IFERROR((H216/H36),0)</f>
        <v>0.19692938062466914</v>
      </c>
      <c r="I228" s="12">
        <f>IFERROR((I216/I36),0)</f>
        <v>0.22654133691351044</v>
      </c>
      <c r="J228" s="12">
        <f>IFERROR((J216/J36),0)</f>
        <v>0</v>
      </c>
    </row>
    <row r="229">
      <c r="A229" s="0" t="inlineStr">
        <is>
          <t xml:space="preserve">Variable pay as % of bookings</t>
        </is>
      </c>
      <c r="B229" s="0" t="inlineStr">
        <is>
          <t xml:space="preserve">APAC</t>
        </is>
      </c>
      <c r="C229" s="0" t="inlineStr">
        <is>
          <t xml:space="preserve">SMB</t>
        </is>
      </c>
      <c r="D229" s="12">
        <f>IFERROR((D217/D37),0)</f>
        <v>0</v>
      </c>
      <c r="E229" s="12">
        <f>IFERROR((E217/E37),0)</f>
        <v>0.3203137570394208</v>
      </c>
      <c r="F229" s="12">
        <f>IFERROR((F217/F37),0)</f>
        <v>0.23943645083932855</v>
      </c>
      <c r="G229" s="12">
        <f>IFERROR((G217/G37),0)</f>
        <v>0.1991019417475728</v>
      </c>
      <c r="H229" s="12">
        <f>IFERROR((H217/H37),0)</f>
        <v>0.2969362186788155</v>
      </c>
      <c r="I229" s="12">
        <f>IFERROR((I217/I37),0)</f>
        <v>0.313229238160604</v>
      </c>
      <c r="J229" s="12">
        <f>IFERROR((J217/J37),0)</f>
        <v>0</v>
      </c>
    </row>
  </sheetData>
</worksheet>
</file>

<file path=xl/worksheets/sheet18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cols>
    <col min="1" max="1" width="18" customWidth="1"/>
    <col min="2" max="2" width="3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</cols>
  <sheetData>
    <row r="1">
      <c r="A1" s="1" t="inlineStr">
        <is>
          <t xml:space="preserve">line</t>
        </is>
      </c>
      <c r="B1" s="1" t="inlineStr">
        <is>
          <t xml:space="preserve">region</t>
        </is>
      </c>
      <c r="C1" s="1" t="inlineStr">
        <is>
          <t xml:space="preserve">Q2 2025</t>
        </is>
      </c>
      <c r="D1" s="1" t="inlineStr">
        <is>
          <t xml:space="preserve">Q3 2025</t>
        </is>
      </c>
      <c r="E1" s="1" t="inlineStr">
        <is>
          <t xml:space="preserve">Q4 2025</t>
        </is>
      </c>
      <c r="F1" s="1" t="inlineStr">
        <is>
          <t xml:space="preserve">Q1 2026</t>
        </is>
      </c>
      <c r="G1" s="1" t="inlineStr">
        <is>
          <t xml:space="preserve">Q2 2026</t>
        </is>
      </c>
      <c r="H1" s="1" t="inlineStr">
        <is>
          <t xml:space="preserve">Q3 2026</t>
        </is>
      </c>
      <c r="I1" s="1" t="inlineStr">
        <is>
          <t xml:space="preserve">Q4 2026</t>
        </is>
      </c>
    </row>
    <row r="2">
      <c r="A2" s="0" t="inlineStr">
        <is>
          <t xml:space="preserve">Quota</t>
        </is>
      </c>
      <c r="B2" s="0" t="inlineStr">
        <is>
          <t xml:space="preserve">AMER East</t>
        </is>
      </c>
      <c r="C2" s="4">
        <f>SUM('Team quarterly (region × segmen'!D14:D16)</f>
        <v>727000</v>
      </c>
      <c r="D2" s="4">
        <f>SUM('Team quarterly (region × segmen'!E14:E16)</f>
        <v>808000</v>
      </c>
      <c r="E2" s="4">
        <f>SUM('Team quarterly (region × segmen'!F14:F16)</f>
        <v>889000</v>
      </c>
      <c r="F2" s="4">
        <f>SUM('Team quarterly (region × segmen'!G14:G16)</f>
        <v>970000</v>
      </c>
      <c r="G2" s="4">
        <f>SUM('Team quarterly (region × segmen'!H14:H16)</f>
        <v>1023000</v>
      </c>
      <c r="H2" s="4">
        <f>SUM('Team quarterly (region × segmen'!I14:I16)</f>
        <v>1117000</v>
      </c>
      <c r="I2" s="4">
        <f>SUM('Team quarterly (region × segmen'!J14:J16)</f>
        <v>1211000</v>
      </c>
    </row>
    <row r="3">
      <c r="A3" s="0" t="inlineStr">
        <is>
          <t xml:space="preserve">Quota</t>
        </is>
      </c>
      <c r="B3" s="0" t="inlineStr">
        <is>
          <t xml:space="preserve">AMER West</t>
        </is>
      </c>
      <c r="C3" s="4">
        <f>SUM('Team quarterly (region × segmen'!D17:D19)</f>
        <v>1186000</v>
      </c>
      <c r="D3" s="4">
        <f>SUM('Team quarterly (region × segmen'!E17:E19)</f>
        <v>1186000</v>
      </c>
      <c r="E3" s="4">
        <f>SUM('Team quarterly (region × segmen'!F17:F19)</f>
        <v>1186000</v>
      </c>
      <c r="F3" s="4">
        <f>SUM('Team quarterly (region × segmen'!G17:G19)</f>
        <v>1186000</v>
      </c>
      <c r="G3" s="4">
        <f>SUM('Team quarterly (region × segmen'!H17:H19)</f>
        <v>1239000</v>
      </c>
      <c r="H3" s="4">
        <f>SUM('Team quarterly (region × segmen'!I17:I19)</f>
        <v>1292000</v>
      </c>
      <c r="I3" s="4">
        <f>SUM('Team quarterly (region × segmen'!J17:J19)</f>
        <v>1345000</v>
      </c>
    </row>
    <row r="4">
      <c r="A4" s="0" t="inlineStr">
        <is>
          <t xml:space="preserve">Quota</t>
        </is>
      </c>
      <c r="B4" s="0" t="inlineStr">
        <is>
          <t xml:space="preserve">EMEA</t>
        </is>
      </c>
      <c r="C4" s="4">
        <f>SUM('Team quarterly (region × segmen'!D20:D22)</f>
        <v>843000</v>
      </c>
      <c r="D4" s="4">
        <f>SUM('Team quarterly (region × segmen'!E20:E22)</f>
        <v>868000</v>
      </c>
      <c r="E4" s="4">
        <f>SUM('Team quarterly (region × segmen'!F20:F22)</f>
        <v>893000</v>
      </c>
      <c r="F4" s="4">
        <f>SUM('Team quarterly (region × segmen'!G20:G22)</f>
        <v>1002000</v>
      </c>
      <c r="G4" s="4">
        <f>SUM('Team quarterly (region × segmen'!H20:H22)</f>
        <v>1087000</v>
      </c>
      <c r="H4" s="4">
        <f>SUM('Team quarterly (region × segmen'!I20:I22)</f>
        <v>1171000</v>
      </c>
      <c r="I4" s="4">
        <f>SUM('Team quarterly (region × segmen'!J20:J22)</f>
        <v>1256000</v>
      </c>
    </row>
    <row r="5">
      <c r="A5" s="0" t="inlineStr">
        <is>
          <t xml:space="preserve">Quota</t>
        </is>
      </c>
      <c r="B5" s="0" t="inlineStr">
        <is>
          <t xml:space="preserve">APAC</t>
        </is>
      </c>
      <c r="C5" s="4">
        <f>SUM('Team quarterly (region × segmen'!D23:D25)</f>
        <v>866000</v>
      </c>
      <c r="D5" s="4">
        <f>SUM('Team quarterly (region × segmen'!E23:E25)</f>
        <v>904000</v>
      </c>
      <c r="E5" s="4">
        <f>SUM('Team quarterly (region × segmen'!F23:F25)</f>
        <v>904000</v>
      </c>
      <c r="F5" s="4">
        <f>SUM('Team quarterly (region × segmen'!G23:G25)</f>
        <v>904000</v>
      </c>
      <c r="G5" s="4">
        <f>SUM('Team quarterly (region × segmen'!H23:H25)</f>
        <v>924000</v>
      </c>
      <c r="H5" s="4">
        <f>SUM('Team quarterly (region × segmen'!I23:I25)</f>
        <v>944000</v>
      </c>
      <c r="I5" s="4">
        <f>SUM('Team quarterly (region × segmen'!J23:J25)</f>
        <v>964000</v>
      </c>
    </row>
    <row r="6">
      <c r="A6" s="0" t="inlineStr">
        <is>
          <t xml:space="preserve">Bookings</t>
        </is>
      </c>
      <c r="B6" s="0" t="inlineStr">
        <is>
          <t xml:space="preserve">AMER East</t>
        </is>
      </c>
      <c r="C6" s="4">
        <f>SUM('Team quarterly (region × segmen'!D26:D28)</f>
        <v>336200</v>
      </c>
      <c r="D6" s="4">
        <f>SUM('Team quarterly (region × segmen'!E26:E28)</f>
        <v>556900</v>
      </c>
      <c r="E6" s="4">
        <f>SUM('Team quarterly (region × segmen'!F26:F28)</f>
        <v>686400</v>
      </c>
      <c r="F6" s="4">
        <f>SUM('Team quarterly (region × segmen'!G26:G28)</f>
        <v>1075500</v>
      </c>
      <c r="G6" s="4">
        <f>SUM('Team quarterly (region × segmen'!H26:H28)</f>
        <v>868900</v>
      </c>
      <c r="H6" s="4">
        <f>SUM('Team quarterly (region × segmen'!I26:I28)</f>
        <v>506600</v>
      </c>
      <c r="I6" s="4">
        <f>SUM('Team quarterly (region × segmen'!J26:J28)</f>
        <v>0</v>
      </c>
    </row>
    <row r="7">
      <c r="A7" s="0" t="inlineStr">
        <is>
          <t xml:space="preserve">Bookings</t>
        </is>
      </c>
      <c r="B7" s="0" t="inlineStr">
        <is>
          <t xml:space="preserve">AMER West</t>
        </is>
      </c>
      <c r="C7" s="4">
        <f>SUM('Team quarterly (region × segmen'!D29:D31)</f>
        <v>223500</v>
      </c>
      <c r="D7" s="4">
        <f>SUM('Team quarterly (region × segmen'!E29:E31)</f>
        <v>448400</v>
      </c>
      <c r="E7" s="4">
        <f>SUM('Team quarterly (region × segmen'!F29:F31)</f>
        <v>583300</v>
      </c>
      <c r="F7" s="4">
        <f>SUM('Team quarterly (region × segmen'!G29:G31)</f>
        <v>1953600</v>
      </c>
      <c r="G7" s="4">
        <f>SUM('Team quarterly (region × segmen'!H29:H31)</f>
        <v>1332500</v>
      </c>
      <c r="H7" s="4">
        <f>SUM('Team quarterly (region × segmen'!I29:I31)</f>
        <v>1948900</v>
      </c>
      <c r="I7" s="4">
        <f>SUM('Team quarterly (region × segmen'!J29:J31)</f>
        <v>0</v>
      </c>
    </row>
    <row r="8">
      <c r="A8" s="0" t="inlineStr">
        <is>
          <t xml:space="preserve">Bookings</t>
        </is>
      </c>
      <c r="B8" s="0" t="inlineStr">
        <is>
          <t xml:space="preserve">EMEA</t>
        </is>
      </c>
      <c r="C8" s="4">
        <f>SUM('Team quarterly (region × segmen'!D32:D34)</f>
        <v>675400</v>
      </c>
      <c r="D8" s="4">
        <f>SUM('Team quarterly (region × segmen'!E32:E34)</f>
        <v>1387300</v>
      </c>
      <c r="E8" s="4">
        <f>SUM('Team quarterly (region × segmen'!F32:F34)</f>
        <v>962700</v>
      </c>
      <c r="F8" s="4">
        <f>SUM('Team quarterly (region × segmen'!G32:G34)</f>
        <v>1175000</v>
      </c>
      <c r="G8" s="4">
        <f>SUM('Team quarterly (region × segmen'!H32:H34)</f>
        <v>955700</v>
      </c>
      <c r="H8" s="4">
        <f>SUM('Team quarterly (region × segmen'!I32:I34)</f>
        <v>887800</v>
      </c>
      <c r="I8" s="4">
        <f>SUM('Team quarterly (region × segmen'!J32:J34)</f>
        <v>0</v>
      </c>
    </row>
    <row r="9">
      <c r="A9" s="0" t="inlineStr">
        <is>
          <t xml:space="preserve">Bookings</t>
        </is>
      </c>
      <c r="B9" s="0" t="inlineStr">
        <is>
          <t xml:space="preserve">APAC</t>
        </is>
      </c>
      <c r="C9" s="4">
        <f>SUM('Team quarterly (region × segmen'!D35:D37)</f>
        <v>235900</v>
      </c>
      <c r="D9" s="4">
        <f>SUM('Team quarterly (region × segmen'!E35:E37)</f>
        <v>915200</v>
      </c>
      <c r="E9" s="4">
        <f>SUM('Team quarterly (region × segmen'!F35:F37)</f>
        <v>553900</v>
      </c>
      <c r="F9" s="4">
        <f>SUM('Team quarterly (region × segmen'!G35:G37)</f>
        <v>257900</v>
      </c>
      <c r="G9" s="4">
        <f>SUM('Team quarterly (region × segmen'!H35:H37)</f>
        <v>697900</v>
      </c>
      <c r="H9" s="4">
        <f>SUM('Team quarterly (region × segmen'!I35:I37)</f>
        <v>760500</v>
      </c>
      <c r="I9" s="4">
        <f>SUM('Team quarterly (region × segmen'!J35:J37)</f>
        <v>0</v>
      </c>
    </row>
    <row r="10">
      <c r="A10" s="0" t="inlineStr">
        <is>
          <t xml:space="preserve">Attainment</t>
        </is>
      </c>
      <c r="B10" s="0" t="inlineStr">
        <is>
          <t xml:space="preserve">AMER East</t>
        </is>
      </c>
      <c r="C10" s="12">
        <f>IF((0=1),"",IFERROR((C6/C2),0))</f>
        <v>0.4624484181568088</v>
      </c>
      <c r="D10" s="12">
        <f>IF((0=1),"",IFERROR((D6/D2),0))</f>
        <v>0.6892326732673267</v>
      </c>
      <c r="E10" s="12">
        <f>IF((0=1),"",IFERROR((E6/E2),0))</f>
        <v>0.772103487064117</v>
      </c>
      <c r="F10" s="12">
        <f>IF((0=1),"",IFERROR((F6/F2),0))</f>
        <v>1.1087628865979382</v>
      </c>
      <c r="G10" s="12">
        <f>IF((0=1),"",IFERROR((G6/G2),0))</f>
        <v>0.8493646138807429</v>
      </c>
      <c r="H10" s="12">
        <f>IF((0=1),"",IFERROR((H6/H2),0))</f>
        <v>0.45353625783348256</v>
      </c>
      <c r="I10" s="12">
        <f>IF((1=1),"",IFERROR((I6/I2),0))</f>
      </c>
    </row>
    <row r="11">
      <c r="A11" s="0" t="inlineStr">
        <is>
          <t xml:space="preserve">Attainment</t>
        </is>
      </c>
      <c r="B11" s="0" t="inlineStr">
        <is>
          <t xml:space="preserve">AMER West</t>
        </is>
      </c>
      <c r="C11" s="12">
        <f>IF((0=1),"",IFERROR((C7/C3),0))</f>
        <v>0.1884485666104553</v>
      </c>
      <c r="D11" s="12">
        <f>IF((0=1),"",IFERROR((D7/D3),0))</f>
        <v>0.37807757166947725</v>
      </c>
      <c r="E11" s="12">
        <f>IF((0=1),"",IFERROR((E7/E3),0))</f>
        <v>0.4918212478920742</v>
      </c>
      <c r="F11" s="12">
        <f>IF((0=1),"",IFERROR((F7/F3),0))</f>
        <v>1.6472175379426643</v>
      </c>
      <c r="G11" s="12">
        <f>IF((0=1),"",IFERROR((G7/G3),0))</f>
        <v>1.0754640839386602</v>
      </c>
      <c r="H11" s="12">
        <f>IF((0=1),"",IFERROR((H7/H3),0))</f>
        <v>1.50843653250774</v>
      </c>
      <c r="I11" s="12">
        <f>IF((1=1),"",IFERROR((I7/I3),0))</f>
      </c>
    </row>
    <row r="12">
      <c r="A12" s="0" t="inlineStr">
        <is>
          <t xml:space="preserve">Attainment</t>
        </is>
      </c>
      <c r="B12" s="0" t="inlineStr">
        <is>
          <t xml:space="preserve">EMEA</t>
        </is>
      </c>
      <c r="C12" s="12">
        <f>IF((0=1),"",IFERROR((C8/C4),0))</f>
        <v>0.8011862396204034</v>
      </c>
      <c r="D12" s="12">
        <f>IF((0=1),"",IFERROR((D8/D4),0))</f>
        <v>1.5982718894009216</v>
      </c>
      <c r="E12" s="12">
        <f>IF((0=1),"",IFERROR((E8/E4),0))</f>
        <v>1.0780515117581186</v>
      </c>
      <c r="F12" s="12">
        <f>IF((0=1),"",IFERROR((F8/F4),0))</f>
        <v>1.1726546906187625</v>
      </c>
      <c r="G12" s="12">
        <f>IF((0=1),"",IFERROR((G8/G4),0))</f>
        <v>0.8792088316467341</v>
      </c>
      <c r="H12" s="12">
        <f>IF((0=1),"",IFERROR((H8/H4),0))</f>
        <v>0.7581554227156276</v>
      </c>
      <c r="I12" s="12">
        <f>IF((1=1),"",IFERROR((I8/I4),0))</f>
      </c>
    </row>
    <row r="13">
      <c r="A13" s="0" t="inlineStr">
        <is>
          <t xml:space="preserve">Attainment</t>
        </is>
      </c>
      <c r="B13" s="0" t="inlineStr">
        <is>
          <t xml:space="preserve">APAC</t>
        </is>
      </c>
      <c r="C13" s="12">
        <f>IF((0=1),"",IFERROR((C9/C5),0))</f>
        <v>0.27240184757505775</v>
      </c>
      <c r="D13" s="12">
        <f>IF((0=1),"",IFERROR((D9/D5),0))</f>
        <v>1.0123893805309734</v>
      </c>
      <c r="E13" s="12">
        <f>IF((0=1),"",IFERROR((E9/E5),0))</f>
        <v>0.6127212389380531</v>
      </c>
      <c r="F13" s="12">
        <f>IF((0=1),"",IFERROR((F9/F5),0))</f>
        <v>0.285287610619469</v>
      </c>
      <c r="G13" s="12">
        <f>IF((0=1),"",IFERROR((G9/G5),0))</f>
        <v>0.7553030303030303</v>
      </c>
      <c r="H13" s="12">
        <f>IF((0=1),"",IFERROR((H9/H5),0))</f>
        <v>0.805614406779661</v>
      </c>
      <c r="I13" s="12">
        <f>IF((1=1),"",IFERROR((I9/I5),0))</f>
      </c>
    </row>
    <row r="14">
      <c r="A14" s="0" t="inlineStr">
        <is>
          <t xml:space="preserve">Forecast</t>
        </is>
      </c>
      <c r="B14" s="0" t="inlineStr">
        <is>
          <t xml:space="preserve">AMER East</t>
        </is>
      </c>
      <c r="C14" s="4">
        <f>SUM('Team quarterly (region × segmen'!D182:D184)</f>
        <v>336200</v>
      </c>
      <c r="D14" s="4">
        <f>SUM('Team quarterly (region × segmen'!E182:E184)</f>
        <v>556900</v>
      </c>
      <c r="E14" s="4">
        <f>SUM('Team quarterly (region × segmen'!F182:F184)</f>
        <v>686400</v>
      </c>
      <c r="F14" s="4">
        <f>SUM('Team quarterly (region × segmen'!G182:G184)</f>
        <v>1075500</v>
      </c>
      <c r="G14" s="4">
        <f>SUM('Team quarterly (region × segmen'!H182:H184)</f>
        <v>868900</v>
      </c>
      <c r="H14" s="4">
        <f>SUM('Team quarterly (region × segmen'!I182:I184)</f>
        <v>741630</v>
      </c>
      <c r="I14" s="4">
        <f>SUM('Team quarterly (region × segmen'!J182:J184)</f>
        <v>1506300</v>
      </c>
    </row>
    <row r="15">
      <c r="A15" s="0" t="inlineStr">
        <is>
          <t xml:space="preserve">Forecast</t>
        </is>
      </c>
      <c r="B15" s="0" t="inlineStr">
        <is>
          <t xml:space="preserve">AMER West</t>
        </is>
      </c>
      <c r="C15" s="4">
        <f>SUM('Team quarterly (region × segmen'!D185:D187)</f>
        <v>223500</v>
      </c>
      <c r="D15" s="4">
        <f>SUM('Team quarterly (region × segmen'!E185:E187)</f>
        <v>448400</v>
      </c>
      <c r="E15" s="4">
        <f>SUM('Team quarterly (region × segmen'!F185:F187)</f>
        <v>583300</v>
      </c>
      <c r="F15" s="4">
        <f>SUM('Team quarterly (region × segmen'!G185:G187)</f>
        <v>1953600</v>
      </c>
      <c r="G15" s="4">
        <f>SUM('Team quarterly (region × segmen'!H185:H187)</f>
        <v>1332500</v>
      </c>
      <c r="H15" s="4">
        <f>SUM('Team quarterly (region × segmen'!I185:I187)</f>
        <v>2547510</v>
      </c>
      <c r="I15" s="4">
        <f>SUM('Team quarterly (region × segmen'!J185:J187)</f>
        <v>664470</v>
      </c>
    </row>
    <row r="16">
      <c r="A16" s="0" t="inlineStr">
        <is>
          <t xml:space="preserve">Forecast</t>
        </is>
      </c>
      <c r="B16" s="0" t="inlineStr">
        <is>
          <t xml:space="preserve">EMEA</t>
        </is>
      </c>
      <c r="C16" s="4">
        <f>SUM('Team quarterly (region × segmen'!D188:D190)</f>
        <v>675400</v>
      </c>
      <c r="D16" s="4">
        <f>SUM('Team quarterly (region × segmen'!E188:E190)</f>
        <v>1387300</v>
      </c>
      <c r="E16" s="4">
        <f>SUM('Team quarterly (region × segmen'!F188:F190)</f>
        <v>962700</v>
      </c>
      <c r="F16" s="4">
        <f>SUM('Team quarterly (region × segmen'!G188:G190)</f>
        <v>1175000</v>
      </c>
      <c r="G16" s="4">
        <f>SUM('Team quarterly (region × segmen'!H188:H190)</f>
        <v>955700</v>
      </c>
      <c r="H16" s="4">
        <f>SUM('Team quarterly (region × segmen'!I188:I190)</f>
        <v>1088610</v>
      </c>
      <c r="I16" s="4">
        <f>SUM('Team quarterly (region × segmen'!J188:J190)</f>
        <v>432080</v>
      </c>
    </row>
    <row r="17">
      <c r="A17" s="0" t="inlineStr">
        <is>
          <t xml:space="preserve">Forecast</t>
        </is>
      </c>
      <c r="B17" s="0" t="inlineStr">
        <is>
          <t xml:space="preserve">APAC</t>
        </is>
      </c>
      <c r="C17" s="4">
        <f>SUM('Team quarterly (region × segmen'!D191:D193)</f>
        <v>235900</v>
      </c>
      <c r="D17" s="4">
        <f>SUM('Team quarterly (region × segmen'!E191:E193)</f>
        <v>915200</v>
      </c>
      <c r="E17" s="4">
        <f>SUM('Team quarterly (region × segmen'!F191:F193)</f>
        <v>553900</v>
      </c>
      <c r="F17" s="4">
        <f>SUM('Team quarterly (region × segmen'!G191:G193)</f>
        <v>257900</v>
      </c>
      <c r="G17" s="4">
        <f>SUM('Team quarterly (region × segmen'!H191:H193)</f>
        <v>697900</v>
      </c>
      <c r="H17" s="4">
        <f>SUM('Team quarterly (region × segmen'!I191:I193)</f>
        <v>858970</v>
      </c>
      <c r="I17" s="4">
        <f>SUM('Team quarterly (region × segmen'!J191:J193)</f>
        <v>623910</v>
      </c>
    </row>
    <row r="18">
      <c r="A18" s="0" t="inlineStr">
        <is>
          <t xml:space="preserve">Forecast attainment</t>
        </is>
      </c>
      <c r="B18" s="0" t="inlineStr">
        <is>
          <t xml:space="preserve">AMER East</t>
        </is>
      </c>
      <c r="C18" s="12">
        <f>IFERROR((C14/C2),0)</f>
        <v>0.4624484181568088</v>
      </c>
      <c r="D18" s="12">
        <f>IFERROR((D14/D2),0)</f>
        <v>0.6892326732673267</v>
      </c>
      <c r="E18" s="12">
        <f>IFERROR((E14/E2),0)</f>
        <v>0.772103487064117</v>
      </c>
      <c r="F18" s="12">
        <f>IFERROR((F14/F2),0)</f>
        <v>1.1087628865979382</v>
      </c>
      <c r="G18" s="12">
        <f>IFERROR((G14/G2),0)</f>
        <v>0.8493646138807429</v>
      </c>
      <c r="H18" s="12">
        <f>IFERROR((H14/H2),0)</f>
        <v>0.6639480752014324</v>
      </c>
      <c r="I18" s="12">
        <f>IFERROR((I14/I2),0)</f>
        <v>1.2438480594549959</v>
      </c>
    </row>
    <row r="19">
      <c r="A19" s="0" t="inlineStr">
        <is>
          <t xml:space="preserve">Forecast attainment</t>
        </is>
      </c>
      <c r="B19" s="0" t="inlineStr">
        <is>
          <t xml:space="preserve">AMER West</t>
        </is>
      </c>
      <c r="C19" s="12">
        <f>IFERROR((C15/C3),0)</f>
        <v>0.1884485666104553</v>
      </c>
      <c r="D19" s="12">
        <f>IFERROR((D15/D3),0)</f>
        <v>0.37807757166947725</v>
      </c>
      <c r="E19" s="12">
        <f>IFERROR((E15/E3),0)</f>
        <v>0.4918212478920742</v>
      </c>
      <c r="F19" s="12">
        <f>IFERROR((F15/F3),0)</f>
        <v>1.6472175379426643</v>
      </c>
      <c r="G19" s="12">
        <f>IFERROR((G15/G3),0)</f>
        <v>1.0754640839386602</v>
      </c>
      <c r="H19" s="12">
        <f>IFERROR((H15/H3),0)</f>
        <v>1.9717569659442724</v>
      </c>
      <c r="I19" s="12">
        <f>IFERROR((I15/I3),0)</f>
        <v>0.4940297397769517</v>
      </c>
    </row>
    <row r="20">
      <c r="A20" s="0" t="inlineStr">
        <is>
          <t xml:space="preserve">Forecast attainment</t>
        </is>
      </c>
      <c r="B20" s="0" t="inlineStr">
        <is>
          <t xml:space="preserve">EMEA</t>
        </is>
      </c>
      <c r="C20" s="12">
        <f>IFERROR((C16/C4),0)</f>
        <v>0.8011862396204034</v>
      </c>
      <c r="D20" s="12">
        <f>IFERROR((D16/D4),0)</f>
        <v>1.5982718894009216</v>
      </c>
      <c r="E20" s="12">
        <f>IFERROR((E16/E4),0)</f>
        <v>1.0780515117581186</v>
      </c>
      <c r="F20" s="12">
        <f>IFERROR((F16/F4),0)</f>
        <v>1.1726546906187625</v>
      </c>
      <c r="G20" s="12">
        <f>IFERROR((G16/G4),0)</f>
        <v>0.8792088316467341</v>
      </c>
      <c r="H20" s="12">
        <f>IFERROR((H16/H4),0)</f>
        <v>0.9296413321947053</v>
      </c>
      <c r="I20" s="12">
        <f>IFERROR((I16/I4),0)</f>
        <v>0.3440127388535032</v>
      </c>
    </row>
    <row r="21">
      <c r="A21" s="0" t="inlineStr">
        <is>
          <t xml:space="preserve">Forecast attainment</t>
        </is>
      </c>
      <c r="B21" s="0" t="inlineStr">
        <is>
          <t xml:space="preserve">APAC</t>
        </is>
      </c>
      <c r="C21" s="12">
        <f>IFERROR((C17/C5),0)</f>
        <v>0.27240184757505775</v>
      </c>
      <c r="D21" s="12">
        <f>IFERROR((D17/D5),0)</f>
        <v>1.0123893805309734</v>
      </c>
      <c r="E21" s="12">
        <f>IFERROR((E17/E5),0)</f>
        <v>0.6127212389380531</v>
      </c>
      <c r="F21" s="12">
        <f>IFERROR((F17/F5),0)</f>
        <v>0.285287610619469</v>
      </c>
      <c r="G21" s="12">
        <f>IFERROR((G17/G5),0)</f>
        <v>0.7553030303030303</v>
      </c>
      <c r="H21" s="12">
        <f>IFERROR((H17/H5),0)</f>
        <v>0.9099258474576272</v>
      </c>
      <c r="I21" s="12">
        <f>IFERROR((I17/I5),0)</f>
        <v>0.6472095435684647</v>
      </c>
    </row>
    <row r="22">
      <c r="A22" s="0" t="inlineStr">
        <is>
          <t xml:space="preserve">Open pipeline</t>
        </is>
      </c>
      <c r="B22" s="0" t="inlineStr">
        <is>
          <t xml:space="preserve">AMER East</t>
        </is>
      </c>
      <c r="C22" s="4">
        <f>SUM('Team quarterly (region × segmen'!D134:D136)</f>
        <v>0</v>
      </c>
      <c r="D22" s="4">
        <f>SUM('Team quarterly (region × segmen'!E134:E136)</f>
        <v>0</v>
      </c>
      <c r="E22" s="4">
        <f>SUM('Team quarterly (region × segmen'!F134:F136)</f>
        <v>0</v>
      </c>
      <c r="F22" s="4">
        <f>SUM('Team quarterly (region × segmen'!G134:G136)</f>
        <v>0</v>
      </c>
      <c r="G22" s="4">
        <f>SUM('Team quarterly (region × segmen'!H134:H136)</f>
        <v>0</v>
      </c>
      <c r="H22" s="4">
        <f>SUM('Team quarterly (region × segmen'!I134:I136)</f>
        <v>747500</v>
      </c>
      <c r="I22" s="4">
        <f>SUM('Team quarterly (region × segmen'!J134:J136)</f>
        <v>5114600</v>
      </c>
    </row>
    <row r="23">
      <c r="A23" s="0" t="inlineStr">
        <is>
          <t xml:space="preserve">Open pipeline</t>
        </is>
      </c>
      <c r="B23" s="0" t="inlineStr">
        <is>
          <t xml:space="preserve">AMER West</t>
        </is>
      </c>
      <c r="C23" s="4">
        <f>SUM('Team quarterly (region × segmen'!D137:D139)</f>
        <v>0</v>
      </c>
      <c r="D23" s="4">
        <f>SUM('Team quarterly (region × segmen'!E137:E139)</f>
        <v>0</v>
      </c>
      <c r="E23" s="4">
        <f>SUM('Team quarterly (region × segmen'!F137:F139)</f>
        <v>0</v>
      </c>
      <c r="F23" s="4">
        <f>SUM('Team quarterly (region × segmen'!G137:G139)</f>
        <v>0</v>
      </c>
      <c r="G23" s="4">
        <f>SUM('Team quarterly (region × segmen'!H137:H139)</f>
        <v>0</v>
      </c>
      <c r="H23" s="4">
        <f>SUM('Team quarterly (region × segmen'!I137:I139)</f>
        <v>980500</v>
      </c>
      <c r="I23" s="4">
        <f>SUM('Team quarterly (region × segmen'!J137:J139)</f>
        <v>1845100</v>
      </c>
    </row>
    <row r="24">
      <c r="A24" s="0" t="inlineStr">
        <is>
          <t xml:space="preserve">Open pipeline</t>
        </is>
      </c>
      <c r="B24" s="0" t="inlineStr">
        <is>
          <t xml:space="preserve">EMEA</t>
        </is>
      </c>
      <c r="C24" s="4">
        <f>SUM('Team quarterly (region × segmen'!D140:D142)</f>
        <v>0</v>
      </c>
      <c r="D24" s="4">
        <f>SUM('Team quarterly (region × segmen'!E140:E142)</f>
        <v>0</v>
      </c>
      <c r="E24" s="4">
        <f>SUM('Team quarterly (region × segmen'!F140:F142)</f>
        <v>0</v>
      </c>
      <c r="F24" s="4">
        <f>SUM('Team quarterly (region × segmen'!G140:G142)</f>
        <v>0</v>
      </c>
      <c r="G24" s="4">
        <f>SUM('Team quarterly (region × segmen'!H140:H142)</f>
        <v>0</v>
      </c>
      <c r="H24" s="4">
        <f>SUM('Team quarterly (region × segmen'!I140:I142)</f>
        <v>531700</v>
      </c>
      <c r="I24" s="4">
        <f>SUM('Team quarterly (region × segmen'!J140:J142)</f>
        <v>1889200</v>
      </c>
    </row>
    <row r="25">
      <c r="A25" s="0" t="inlineStr">
        <is>
          <t xml:space="preserve">Open pipeline</t>
        </is>
      </c>
      <c r="B25" s="0" t="inlineStr">
        <is>
          <t xml:space="preserve">APAC</t>
        </is>
      </c>
      <c r="C25" s="4">
        <f>SUM('Team quarterly (region × segmen'!D143:D145)</f>
        <v>0</v>
      </c>
      <c r="D25" s="4">
        <f>SUM('Team quarterly (region × segmen'!E143:E145)</f>
        <v>0</v>
      </c>
      <c r="E25" s="4">
        <f>SUM('Team quarterly (region × segmen'!F143:F145)</f>
        <v>0</v>
      </c>
      <c r="F25" s="4">
        <f>SUM('Team quarterly (region × segmen'!G143:G145)</f>
        <v>0</v>
      </c>
      <c r="G25" s="4">
        <f>SUM('Team quarterly (region × segmen'!H143:H145)</f>
        <v>0</v>
      </c>
      <c r="H25" s="4">
        <f>SUM('Team quarterly (region × segmen'!I143:I145)</f>
        <v>469900</v>
      </c>
      <c r="I25" s="4">
        <f>SUM('Team quarterly (region × segmen'!J143:J145)</f>
        <v>3358300</v>
      </c>
    </row>
    <row r="26">
      <c r="A26" s="0" t="inlineStr">
        <is>
          <t xml:space="preserve">Coverage of gap (x)</t>
        </is>
      </c>
      <c r="B26" s="0" t="inlineStr">
        <is>
          <t xml:space="preserve">AMER East</t>
        </is>
      </c>
      <c r="C26" s="8">
        <f>IF(AND(((C2-C6)&gt;0),(C22&gt;0)),(C22/(C2-C6)),"")</f>
      </c>
      <c r="D26" s="8">
        <f>IF(AND(((D2-D6)&gt;0),(D22&gt;0)),(D22/(D2-D6)),"")</f>
      </c>
      <c r="E26" s="8">
        <f>IF(AND(((E2-E6)&gt;0),(E22&gt;0)),(E22/(E2-E6)),"")</f>
      </c>
      <c r="F26" s="8">
        <f>IF(AND(((F2-F6)&gt;0),(F22&gt;0)),(F22/(F2-F6)),"")</f>
      </c>
      <c r="G26" s="8">
        <f>IF(AND(((G2-G6)&gt;0),(G22&gt;0)),(G22/(G2-G6)),"")</f>
      </c>
      <c r="H26" s="8">
        <f>IF(AND(((H2-H6)&gt;0),(H22&gt;0)),(H22/(H2-H6)),"")</f>
        <v>1.2246068152031455</v>
      </c>
      <c r="I26" s="8">
        <f>IF(AND(((I2-I6)&gt;0),(I22&gt;0)),(I22/(I2-I6)),"")</f>
        <v>4.223451692815854</v>
      </c>
    </row>
    <row r="27">
      <c r="A27" s="0" t="inlineStr">
        <is>
          <t xml:space="preserve">Coverage of gap (x)</t>
        </is>
      </c>
      <c r="B27" s="0" t="inlineStr">
        <is>
          <t xml:space="preserve">AMER West</t>
        </is>
      </c>
      <c r="C27" s="8">
        <f>IF(AND(((C3-C7)&gt;0),(C23&gt;0)),(C23/(C3-C7)),"")</f>
      </c>
      <c r="D27" s="8">
        <f>IF(AND(((D3-D7)&gt;0),(D23&gt;0)),(D23/(D3-D7)),"")</f>
      </c>
      <c r="E27" s="8">
        <f>IF(AND(((E3-E7)&gt;0),(E23&gt;0)),(E23/(E3-E7)),"")</f>
      </c>
      <c r="F27" s="8">
        <f>IF(AND(((F3-F7)&gt;0),(F23&gt;0)),(F23/(F3-F7)),"")</f>
      </c>
      <c r="G27" s="8">
        <f>IF(AND(((G3-G7)&gt;0),(G23&gt;0)),(G23/(G3-G7)),"")</f>
      </c>
      <c r="H27" s="8">
        <f>IF(AND(((H3-H7)&gt;0),(H23&gt;0)),(H23/(H3-H7)),"")</f>
      </c>
      <c r="I27" s="8">
        <f>IF(AND(((I3-I7)&gt;0),(I23&gt;0)),(I23/(I3-I7)),"")</f>
        <v>1.37182156133829</v>
      </c>
    </row>
    <row r="28">
      <c r="A28" s="0" t="inlineStr">
        <is>
          <t xml:space="preserve">Coverage of gap (x)</t>
        </is>
      </c>
      <c r="B28" s="0" t="inlineStr">
        <is>
          <t xml:space="preserve">EMEA</t>
        </is>
      </c>
      <c r="C28" s="8">
        <f>IF(AND(((C4-C8)&gt;0),(C24&gt;0)),(C24/(C4-C8)),"")</f>
      </c>
      <c r="D28" s="8">
        <f>IF(AND(((D4-D8)&gt;0),(D24&gt;0)),(D24/(D4-D8)),"")</f>
      </c>
      <c r="E28" s="8">
        <f>IF(AND(((E4-E8)&gt;0),(E24&gt;0)),(E24/(E4-E8)),"")</f>
      </c>
      <c r="F28" s="8">
        <f>IF(AND(((F4-F8)&gt;0),(F24&gt;0)),(F24/(F4-F8)),"")</f>
      </c>
      <c r="G28" s="8">
        <f>IF(AND(((G4-G8)&gt;0),(G24&gt;0)),(G24/(G4-G8)),"")</f>
      </c>
      <c r="H28" s="8">
        <f>IF(AND(((H4-H8)&gt;0),(H24&gt;0)),(H24/(H4-H8)),"")</f>
        <v>1.8774717514124293</v>
      </c>
      <c r="I28" s="8">
        <f>IF(AND(((I4-I8)&gt;0),(I24&gt;0)),(I24/(I4-I8)),"")</f>
        <v>1.504140127388535</v>
      </c>
    </row>
    <row r="29">
      <c r="A29" s="0" t="inlineStr">
        <is>
          <t xml:space="preserve">Coverage of gap (x)</t>
        </is>
      </c>
      <c r="B29" s="0" t="inlineStr">
        <is>
          <t xml:space="preserve">APAC</t>
        </is>
      </c>
      <c r="C29" s="8">
        <f>IF(AND(((C5-C9)&gt;0),(C25&gt;0)),(C25/(C5-C9)),"")</f>
      </c>
      <c r="D29" s="8">
        <f>IF(AND(((D5-D9)&gt;0),(D25&gt;0)),(D25/(D5-D9)),"")</f>
      </c>
      <c r="E29" s="8">
        <f>IF(AND(((E5-E9)&gt;0),(E25&gt;0)),(E25/(E5-E9)),"")</f>
      </c>
      <c r="F29" s="8">
        <f>IF(AND(((F5-F9)&gt;0),(F25&gt;0)),(F25/(F5-F9)),"")</f>
      </c>
      <c r="G29" s="8">
        <f>IF(AND(((G5-G9)&gt;0),(G25&gt;0)),(G25/(G5-G9)),"")</f>
      </c>
      <c r="H29" s="8">
        <f>IF(AND(((H5-H9)&gt;0),(H25&gt;0)),(H25/(H5-H9)),"")</f>
        <v>2.5607629427792915</v>
      </c>
      <c r="I29" s="8">
        <f>IF(AND(((I5-I9)&gt;0),(I25&gt;0)),(I25/(I5-I9)),"")</f>
        <v>3.483713692946058</v>
      </c>
    </row>
    <row r="30">
      <c r="A30" s="0" t="inlineStr">
        <is>
          <t xml:space="preserve">Deals won</t>
        </is>
      </c>
      <c r="B30" s="0" t="inlineStr">
        <is>
          <t xml:space="preserve">AMER East</t>
        </is>
      </c>
      <c r="C30" s="4">
        <f>SUM('Team quarterly (region × segmen'!D62:D64)</f>
        <v>15</v>
      </c>
      <c r="D30" s="4">
        <f>SUM('Team quarterly (region × segmen'!E62:E64)</f>
        <v>28</v>
      </c>
      <c r="E30" s="4">
        <f>SUM('Team quarterly (region × segmen'!F62:F64)</f>
        <v>25</v>
      </c>
      <c r="F30" s="4">
        <f>SUM('Team quarterly (region × segmen'!G62:G64)</f>
        <v>24</v>
      </c>
      <c r="G30" s="4">
        <f>SUM('Team quarterly (region × segmen'!H62:H64)</f>
        <v>29</v>
      </c>
      <c r="H30" s="4">
        <f>SUM('Team quarterly (region × segmen'!I62:I64)</f>
        <v>26</v>
      </c>
      <c r="I30" s="4">
        <f>SUM('Team quarterly (region × segmen'!J62:J64)</f>
        <v>0</v>
      </c>
    </row>
    <row r="31">
      <c r="A31" s="0" t="inlineStr">
        <is>
          <t xml:space="preserve">Deals won</t>
        </is>
      </c>
      <c r="B31" s="0" t="inlineStr">
        <is>
          <t xml:space="preserve">AMER West</t>
        </is>
      </c>
      <c r="C31" s="4">
        <f>SUM('Team quarterly (region × segmen'!D65:D67)</f>
        <v>17</v>
      </c>
      <c r="D31" s="4">
        <f>SUM('Team quarterly (region × segmen'!E65:E67)</f>
        <v>20</v>
      </c>
      <c r="E31" s="4">
        <f>SUM('Team quarterly (region × segmen'!F65:F67)</f>
        <v>22</v>
      </c>
      <c r="F31" s="4">
        <f>SUM('Team quarterly (region × segmen'!G65:G67)</f>
        <v>28</v>
      </c>
      <c r="G31" s="4">
        <f>SUM('Team quarterly (region × segmen'!H65:H67)</f>
        <v>32</v>
      </c>
      <c r="H31" s="4">
        <f>SUM('Team quarterly (region × segmen'!I65:I67)</f>
        <v>29</v>
      </c>
      <c r="I31" s="4">
        <f>SUM('Team quarterly (region × segmen'!J65:J67)</f>
        <v>0</v>
      </c>
    </row>
    <row r="32">
      <c r="A32" s="0" t="inlineStr">
        <is>
          <t xml:space="preserve">Deals won</t>
        </is>
      </c>
      <c r="B32" s="0" t="inlineStr">
        <is>
          <t xml:space="preserve">EMEA</t>
        </is>
      </c>
      <c r="C32" s="4">
        <f>SUM('Team quarterly (region × segmen'!D68:D70)</f>
        <v>14</v>
      </c>
      <c r="D32" s="4">
        <f>SUM('Team quarterly (region × segmen'!E68:E70)</f>
        <v>32</v>
      </c>
      <c r="E32" s="4">
        <f>SUM('Team quarterly (region × segmen'!F68:F70)</f>
        <v>30</v>
      </c>
      <c r="F32" s="4">
        <f>SUM('Team quarterly (region × segmen'!G68:G70)</f>
        <v>34</v>
      </c>
      <c r="G32" s="4">
        <f>SUM('Team quarterly (region × segmen'!H68:H70)</f>
        <v>26</v>
      </c>
      <c r="H32" s="4">
        <f>SUM('Team quarterly (region × segmen'!I68:I70)</f>
        <v>23</v>
      </c>
      <c r="I32" s="4">
        <f>SUM('Team quarterly (region × segmen'!J68:J70)</f>
        <v>0</v>
      </c>
    </row>
    <row r="33">
      <c r="A33" s="0" t="inlineStr">
        <is>
          <t xml:space="preserve">Deals won</t>
        </is>
      </c>
      <c r="B33" s="0" t="inlineStr">
        <is>
          <t xml:space="preserve">APAC</t>
        </is>
      </c>
      <c r="C33" s="4">
        <f>SUM('Team quarterly (region × segmen'!D71:D73)</f>
        <v>5</v>
      </c>
      <c r="D33" s="4">
        <f>SUM('Team quarterly (region × segmen'!E71:E73)</f>
        <v>22</v>
      </c>
      <c r="E33" s="4">
        <f>SUM('Team quarterly (region × segmen'!F71:F73)</f>
        <v>17</v>
      </c>
      <c r="F33" s="4">
        <f>SUM('Team quarterly (region × segmen'!G71:G73)</f>
        <v>6</v>
      </c>
      <c r="G33" s="4">
        <f>SUM('Team quarterly (region × segmen'!H71:H73)</f>
        <v>22</v>
      </c>
      <c r="H33" s="4">
        <f>SUM('Team quarterly (region × segmen'!I71:I73)</f>
        <v>22</v>
      </c>
      <c r="I33" s="4">
        <f>SUM('Team quarterly (region × segmen'!J71:J73)</f>
        <v>0</v>
      </c>
    </row>
    <row r="34">
      <c r="A34" s="0" t="inlineStr">
        <is>
          <t xml:space="preserve">Deals lost</t>
        </is>
      </c>
      <c r="B34" s="0" t="inlineStr">
        <is>
          <t xml:space="preserve">AMER East</t>
        </is>
      </c>
      <c r="C34" s="4">
        <f>SUM('Team quarterly (region × segmen'!D74:D76)</f>
        <v>40</v>
      </c>
      <c r="D34" s="4">
        <f>SUM('Team quarterly (region × segmen'!E74:E76)</f>
        <v>70</v>
      </c>
      <c r="E34" s="4">
        <f>SUM('Team quarterly (region × segmen'!F74:F76)</f>
        <v>36</v>
      </c>
      <c r="F34" s="4">
        <f>SUM('Team quarterly (region × segmen'!G74:G76)</f>
        <v>50</v>
      </c>
      <c r="G34" s="4">
        <f>SUM('Team quarterly (region × segmen'!H74:H76)</f>
        <v>75</v>
      </c>
      <c r="H34" s="4">
        <f>SUM('Team quarterly (region × segmen'!I74:I76)</f>
        <v>54</v>
      </c>
      <c r="I34" s="4">
        <f>SUM('Team quarterly (region × segmen'!J74:J76)</f>
        <v>0</v>
      </c>
    </row>
    <row r="35">
      <c r="A35" s="0" t="inlineStr">
        <is>
          <t xml:space="preserve">Deals lost</t>
        </is>
      </c>
      <c r="B35" s="0" t="inlineStr">
        <is>
          <t xml:space="preserve">AMER West</t>
        </is>
      </c>
      <c r="C35" s="4">
        <f>SUM('Team quarterly (region × segmen'!D77:D79)</f>
        <v>28</v>
      </c>
      <c r="D35" s="4">
        <f>SUM('Team quarterly (region × segmen'!E77:E79)</f>
        <v>53</v>
      </c>
      <c r="E35" s="4">
        <f>SUM('Team quarterly (region × segmen'!F77:F79)</f>
        <v>46</v>
      </c>
      <c r="F35" s="4">
        <f>SUM('Team quarterly (region × segmen'!G77:G79)</f>
        <v>57</v>
      </c>
      <c r="G35" s="4">
        <f>SUM('Team quarterly (region × segmen'!H77:H79)</f>
        <v>44</v>
      </c>
      <c r="H35" s="4">
        <f>SUM('Team quarterly (region × segmen'!I77:I79)</f>
        <v>42</v>
      </c>
      <c r="I35" s="4">
        <f>SUM('Team quarterly (region × segmen'!J77:J79)</f>
        <v>0</v>
      </c>
    </row>
    <row r="36">
      <c r="A36" s="0" t="inlineStr">
        <is>
          <t xml:space="preserve">Deals lost</t>
        </is>
      </c>
      <c r="B36" s="0" t="inlineStr">
        <is>
          <t xml:space="preserve">EMEA</t>
        </is>
      </c>
      <c r="C36" s="4">
        <f>SUM('Team quarterly (region × segmen'!D80:D82)</f>
        <v>26</v>
      </c>
      <c r="D36" s="4">
        <f>SUM('Team quarterly (region × segmen'!E80:E82)</f>
        <v>52</v>
      </c>
      <c r="E36" s="4">
        <f>SUM('Team quarterly (region × segmen'!F80:F82)</f>
        <v>43</v>
      </c>
      <c r="F36" s="4">
        <f>SUM('Team quarterly (region × segmen'!G80:G82)</f>
        <v>39</v>
      </c>
      <c r="G36" s="4">
        <f>SUM('Team quarterly (region × segmen'!H80:H82)</f>
        <v>52</v>
      </c>
      <c r="H36" s="4">
        <f>SUM('Team quarterly (region × segmen'!I80:I82)</f>
        <v>40</v>
      </c>
      <c r="I36" s="4">
        <f>SUM('Team quarterly (region × segmen'!J80:J82)</f>
        <v>0</v>
      </c>
    </row>
    <row r="37">
      <c r="A37" s="0" t="inlineStr">
        <is>
          <t xml:space="preserve">Deals lost</t>
        </is>
      </c>
      <c r="B37" s="0" t="inlineStr">
        <is>
          <t xml:space="preserve">APAC</t>
        </is>
      </c>
      <c r="C37" s="4">
        <f>SUM('Team quarterly (region × segmen'!D83:D85)</f>
        <v>13</v>
      </c>
      <c r="D37" s="4">
        <f>SUM('Team quarterly (region × segmen'!E83:E85)</f>
        <v>29</v>
      </c>
      <c r="E37" s="4">
        <f>SUM('Team quarterly (region × segmen'!F83:F85)</f>
        <v>34</v>
      </c>
      <c r="F37" s="4">
        <f>SUM('Team quarterly (region × segmen'!G83:G85)</f>
        <v>20</v>
      </c>
      <c r="G37" s="4">
        <f>SUM('Team quarterly (region × segmen'!H83:H85)</f>
        <v>37</v>
      </c>
      <c r="H37" s="4">
        <f>SUM('Team quarterly (region × segmen'!I83:I85)</f>
        <v>28</v>
      </c>
      <c r="I37" s="4">
        <f>SUM('Team quarterly (region × segmen'!J83:J85)</f>
        <v>0</v>
      </c>
    </row>
    <row r="38">
      <c r="A38" s="0" t="inlineStr">
        <is>
          <t xml:space="preserve">Win rate</t>
        </is>
      </c>
      <c r="B38" s="0" t="inlineStr">
        <is>
          <t xml:space="preserve">AMER East</t>
        </is>
      </c>
      <c r="C38" s="12">
        <f>IF((0=1),"",IFERROR((C30/(C30+C34)),0))</f>
        <v>0.2727272727272727</v>
      </c>
      <c r="D38" s="12">
        <f>IF((0=1),"",IFERROR((D30/(D30+D34)),0))</f>
        <v>0.2857142857142857</v>
      </c>
      <c r="E38" s="12">
        <f>IF((0=1),"",IFERROR((E30/(E30+E34)),0))</f>
        <v>0.4098360655737705</v>
      </c>
      <c r="F38" s="12">
        <f>IF((0=1),"",IFERROR((F30/(F30+F34)),0))</f>
        <v>0.32432432432432434</v>
      </c>
      <c r="G38" s="12">
        <f>IF((0=1),"",IFERROR((G30/(G30+G34)),0))</f>
        <v>0.27884615384615385</v>
      </c>
      <c r="H38" s="12">
        <f>IF((0=1),"",IFERROR((H30/(H30+H34)),0))</f>
        <v>0.325</v>
      </c>
      <c r="I38" s="12">
        <f>IF((1=1),"",IFERROR((I30/(I30+I34)),0))</f>
      </c>
    </row>
    <row r="39">
      <c r="A39" s="0" t="inlineStr">
        <is>
          <t xml:space="preserve">Win rate</t>
        </is>
      </c>
      <c r="B39" s="0" t="inlineStr">
        <is>
          <t xml:space="preserve">AMER West</t>
        </is>
      </c>
      <c r="C39" s="12">
        <f>IF((0=1),"",IFERROR((C31/(C31+C35)),0))</f>
        <v>0.37777777777777777</v>
      </c>
      <c r="D39" s="12">
        <f>IF((0=1),"",IFERROR((D31/(D31+D35)),0))</f>
        <v>0.273972602739726</v>
      </c>
      <c r="E39" s="12">
        <f>IF((0=1),"",IFERROR((E31/(E31+E35)),0))</f>
        <v>0.3235294117647059</v>
      </c>
      <c r="F39" s="12">
        <f>IF((0=1),"",IFERROR((F31/(F31+F35)),0))</f>
        <v>0.32941176470588235</v>
      </c>
      <c r="G39" s="12">
        <f>IF((0=1),"",IFERROR((G31/(G31+G35)),0))</f>
        <v>0.42105263157894735</v>
      </c>
      <c r="H39" s="12">
        <f>IF((0=1),"",IFERROR((H31/(H31+H35)),0))</f>
        <v>0.4084507042253521</v>
      </c>
      <c r="I39" s="12">
        <f>IF((1=1),"",IFERROR((I31/(I31+I35)),0))</f>
      </c>
    </row>
    <row r="40">
      <c r="A40" s="0" t="inlineStr">
        <is>
          <t xml:space="preserve">Win rate</t>
        </is>
      </c>
      <c r="B40" s="0" t="inlineStr">
        <is>
          <t xml:space="preserve">EMEA</t>
        </is>
      </c>
      <c r="C40" s="12">
        <f>IF((0=1),"",IFERROR((C32/(C32+C36)),0))</f>
        <v>0.35</v>
      </c>
      <c r="D40" s="12">
        <f>IF((0=1),"",IFERROR((D32/(D32+D36)),0))</f>
        <v>0.38095238095238093</v>
      </c>
      <c r="E40" s="12">
        <f>IF((0=1),"",IFERROR((E32/(E32+E36)),0))</f>
        <v>0.410958904109589</v>
      </c>
      <c r="F40" s="12">
        <f>IF((0=1),"",IFERROR((F32/(F32+F36)),0))</f>
        <v>0.4657534246575342</v>
      </c>
      <c r="G40" s="12">
        <f>IF((0=1),"",IFERROR((G32/(G32+G36)),0))</f>
        <v>0.3333333333333333</v>
      </c>
      <c r="H40" s="12">
        <f>IF((0=1),"",IFERROR((H32/(H32+H36)),0))</f>
        <v>0.36507936507936506</v>
      </c>
      <c r="I40" s="12">
        <f>IF((1=1),"",IFERROR((I32/(I32+I36)),0))</f>
      </c>
    </row>
    <row r="41">
      <c r="A41" s="0" t="inlineStr">
        <is>
          <t xml:space="preserve">Win rate</t>
        </is>
      </c>
      <c r="B41" s="0" t="inlineStr">
        <is>
          <t xml:space="preserve">APAC</t>
        </is>
      </c>
      <c r="C41" s="12">
        <f>IF((0=1),"",IFERROR((C33/(C33+C37)),0))</f>
        <v>0.2777777777777778</v>
      </c>
      <c r="D41" s="12">
        <f>IF((0=1),"",IFERROR((D33/(D33+D37)),0))</f>
        <v>0.43137254901960786</v>
      </c>
      <c r="E41" s="12">
        <f>IF((0=1),"",IFERROR((E33/(E33+E37)),0))</f>
        <v>0.3333333333333333</v>
      </c>
      <c r="F41" s="12">
        <f>IF((0=1),"",IFERROR((F33/(F33+F37)),0))</f>
        <v>0.23076923076923078</v>
      </c>
      <c r="G41" s="12">
        <f>IF((0=1),"",IFERROR((G33/(G33+G37)),0))</f>
        <v>0.3728813559322034</v>
      </c>
      <c r="H41" s="12">
        <f>IF((0=1),"",IFERROR((H33/(H33+H37)),0))</f>
        <v>0.44</v>
      </c>
      <c r="I41" s="12">
        <f>IF((1=1),"",IFERROR((I33/(I33+I37)),0))</f>
      </c>
    </row>
    <row r="42">
      <c r="A42" s="0" t="inlineStr">
        <is>
          <t xml:space="preserve">New-logo bookings</t>
        </is>
      </c>
      <c r="B42" s="0" t="inlineStr">
        <is>
          <t xml:space="preserve">AMER East</t>
        </is>
      </c>
      <c r="C42" s="4">
        <f>SUM('Team quarterly (region × segmen'!D110:D112)</f>
        <v>296600</v>
      </c>
      <c r="D42" s="4">
        <f>SUM('Team quarterly (region × segmen'!E110:E112)</f>
        <v>426800</v>
      </c>
      <c r="E42" s="4">
        <f>SUM('Team quarterly (region × segmen'!F110:F112)</f>
        <v>598700</v>
      </c>
      <c r="F42" s="4">
        <f>SUM('Team quarterly (region × segmen'!G110:G112)</f>
        <v>838400</v>
      </c>
      <c r="G42" s="4">
        <f>SUM('Team quarterly (region × segmen'!H110:H112)</f>
        <v>531100</v>
      </c>
      <c r="H42" s="4">
        <f>SUM('Team quarterly (region × segmen'!I110:I112)</f>
        <v>348000</v>
      </c>
      <c r="I42" s="4">
        <f>SUM('Team quarterly (region × segmen'!J110:J112)</f>
        <v>0</v>
      </c>
    </row>
    <row r="43">
      <c r="A43" s="0" t="inlineStr">
        <is>
          <t xml:space="preserve">New-logo bookings</t>
        </is>
      </c>
      <c r="B43" s="0" t="inlineStr">
        <is>
          <t xml:space="preserve">AMER West</t>
        </is>
      </c>
      <c r="C43" s="4">
        <f>SUM('Team quarterly (region × segmen'!D113:D115)</f>
        <v>164800</v>
      </c>
      <c r="D43" s="4">
        <f>SUM('Team quarterly (region × segmen'!E113:E115)</f>
        <v>401900</v>
      </c>
      <c r="E43" s="4">
        <f>SUM('Team quarterly (region × segmen'!F113:F115)</f>
        <v>559300</v>
      </c>
      <c r="F43" s="4">
        <f>SUM('Team quarterly (region × segmen'!G113:G115)</f>
        <v>1812200</v>
      </c>
      <c r="G43" s="4">
        <f>SUM('Team quarterly (region × segmen'!H113:H115)</f>
        <v>1124700</v>
      </c>
      <c r="H43" s="4">
        <f>SUM('Team quarterly (region × segmen'!I113:I115)</f>
        <v>1729600</v>
      </c>
      <c r="I43" s="4">
        <f>SUM('Team quarterly (region × segmen'!J113:J115)</f>
        <v>0</v>
      </c>
    </row>
    <row r="44">
      <c r="A44" s="0" t="inlineStr">
        <is>
          <t xml:space="preserve">New-logo bookings</t>
        </is>
      </c>
      <c r="B44" s="0" t="inlineStr">
        <is>
          <t xml:space="preserve">EMEA</t>
        </is>
      </c>
      <c r="C44" s="4">
        <f>SUM('Team quarterly (region × segmen'!D116:D118)</f>
        <v>575000</v>
      </c>
      <c r="D44" s="4">
        <f>SUM('Team quarterly (region × segmen'!E116:E118)</f>
        <v>1134000</v>
      </c>
      <c r="E44" s="4">
        <f>SUM('Team quarterly (region × segmen'!F116:F118)</f>
        <v>701400</v>
      </c>
      <c r="F44" s="4">
        <f>SUM('Team quarterly (region × segmen'!G116:G118)</f>
        <v>1000100</v>
      </c>
      <c r="G44" s="4">
        <f>SUM('Team quarterly (region × segmen'!H116:H118)</f>
        <v>674600</v>
      </c>
      <c r="H44" s="4">
        <f>SUM('Team quarterly (region × segmen'!I116:I118)</f>
        <v>814100</v>
      </c>
      <c r="I44" s="4">
        <f>SUM('Team quarterly (region × segmen'!J116:J118)</f>
        <v>0</v>
      </c>
    </row>
    <row r="45">
      <c r="A45" s="0" t="inlineStr">
        <is>
          <t xml:space="preserve">New-logo bookings</t>
        </is>
      </c>
      <c r="B45" s="0" t="inlineStr">
        <is>
          <t xml:space="preserve">APAC</t>
        </is>
      </c>
      <c r="C45" s="4">
        <f>SUM('Team quarterly (region × segmen'!D119:D121)</f>
        <v>128300</v>
      </c>
      <c r="D45" s="4">
        <f>SUM('Team quarterly (region × segmen'!E119:E121)</f>
        <v>683700</v>
      </c>
      <c r="E45" s="4">
        <f>SUM('Team quarterly (region × segmen'!F119:F121)</f>
        <v>449000</v>
      </c>
      <c r="F45" s="4">
        <f>SUM('Team quarterly (region × segmen'!G119:G121)</f>
        <v>125800</v>
      </c>
      <c r="G45" s="4">
        <f>SUM('Team quarterly (region × segmen'!H119:H121)</f>
        <v>529100</v>
      </c>
      <c r="H45" s="4">
        <f>SUM('Team quarterly (region × segmen'!I119:I121)</f>
        <v>579900</v>
      </c>
      <c r="I45" s="4">
        <f>SUM('Team quarterly (region × segmen'!J119:J121)</f>
        <v>0</v>
      </c>
    </row>
    <row r="46">
      <c r="A46" s="0" t="inlineStr">
        <is>
          <t xml:space="preserve">Variable pay</t>
        </is>
      </c>
      <c r="B46" s="0" t="inlineStr">
        <is>
          <t xml:space="preserve">AMER East</t>
        </is>
      </c>
      <c r="C46" s="8">
        <f>SUM('Team quarterly (region × segmen'!D206:D208)</f>
        <v>48403.24</v>
      </c>
      <c r="D46" s="8">
        <f>SUM('Team quarterly (region × segmen'!E206:E208)</f>
        <v>97179.27000000002</v>
      </c>
      <c r="E46" s="8">
        <f>SUM('Team quarterly (region × segmen'!F206:F208)</f>
        <v>103052.15999999999</v>
      </c>
      <c r="F46" s="8">
        <f>SUM('Team quarterly (region × segmen'!G206:G208)</f>
        <v>176098.52000000002</v>
      </c>
      <c r="G46" s="8">
        <f>SUM('Team quarterly (region × segmen'!H206:H208)</f>
        <v>113822.625</v>
      </c>
      <c r="H46" s="8">
        <f>SUM('Team quarterly (region × segmen'!I206:I208)</f>
        <v>72853.685</v>
      </c>
      <c r="I46" s="8">
        <f>SUM('Team quarterly (region × segmen'!J206:J208)</f>
        <v>0</v>
      </c>
    </row>
    <row r="47">
      <c r="A47" s="0" t="inlineStr">
        <is>
          <t xml:space="preserve">Variable pay</t>
        </is>
      </c>
      <c r="B47" s="0" t="inlineStr">
        <is>
          <t xml:space="preserve">AMER West</t>
        </is>
      </c>
      <c r="C47" s="8">
        <f>SUM('Team quarterly (region × segmen'!D209:D211)</f>
        <v>31591.675000000003</v>
      </c>
      <c r="D47" s="8">
        <f>SUM('Team quarterly (region × segmen'!E209:E211)</f>
        <v>59467.880000000005</v>
      </c>
      <c r="E47" s="8">
        <f>SUM('Team quarterly (region × segmen'!F209:F211)</f>
        <v>106919.81999999999</v>
      </c>
      <c r="F47" s="8">
        <f>SUM('Team quarterly (region × segmen'!G209:G211)</f>
        <v>201382.08000000002</v>
      </c>
      <c r="G47" s="8">
        <f>SUM('Team quarterly (region × segmen'!H209:H211)</f>
        <v>190179.045</v>
      </c>
      <c r="H47" s="8">
        <f>SUM('Team quarterly (region × segmen'!I209:I211)</f>
        <v>354261.04000000004</v>
      </c>
      <c r="I47" s="8">
        <f>SUM('Team quarterly (region × segmen'!J209:J211)</f>
        <v>0</v>
      </c>
    </row>
    <row r="48">
      <c r="A48" s="0" t="inlineStr">
        <is>
          <t xml:space="preserve">Variable pay</t>
        </is>
      </c>
      <c r="B48" s="0" t="inlineStr">
        <is>
          <t xml:space="preserve">EMEA</t>
        </is>
      </c>
      <c r="C48" s="8">
        <f>SUM('Team quarterly (region × segmen'!D212:D214)</f>
        <v>94320.39</v>
      </c>
      <c r="D48" s="8">
        <f>SUM('Team quarterly (region × segmen'!E212:E214)</f>
        <v>253187.465</v>
      </c>
      <c r="E48" s="8">
        <f>SUM('Team quarterly (region × segmen'!F212:F214)</f>
        <v>158159.34000000003</v>
      </c>
      <c r="F48" s="8">
        <f>SUM('Team quarterly (region × segmen'!G212:G214)</f>
        <v>211788.82</v>
      </c>
      <c r="G48" s="8">
        <f>SUM('Team quarterly (region × segmen'!H212:H214)</f>
        <v>137973.6175</v>
      </c>
      <c r="H48" s="8">
        <f>SUM('Team quarterly (region × segmen'!I212:I214)</f>
        <v>140197.45750000002</v>
      </c>
      <c r="I48" s="8">
        <f>SUM('Team quarterly (region × segmen'!J212:J214)</f>
        <v>0</v>
      </c>
    </row>
    <row r="49">
      <c r="A49" s="0" t="inlineStr">
        <is>
          <t xml:space="preserve">Variable pay</t>
        </is>
      </c>
      <c r="B49" s="0" t="inlineStr">
        <is>
          <t xml:space="preserve">APAC</t>
        </is>
      </c>
      <c r="C49" s="8">
        <f>SUM('Team quarterly (region × segmen'!D215:D217)</f>
        <v>35775.4825</v>
      </c>
      <c r="D49" s="8">
        <f>SUM('Team quarterly (region × segmen'!E215:E217)</f>
        <v>196838.35</v>
      </c>
      <c r="E49" s="8">
        <f>SUM('Team quarterly (region × segmen'!F215:F217)</f>
        <v>117512.89749999998</v>
      </c>
      <c r="F49" s="8">
        <f>SUM('Team quarterly (region × segmen'!G215:G217)</f>
        <v>39914.95</v>
      </c>
      <c r="G49" s="8">
        <f>SUM('Team quarterly (region × segmen'!H215:H217)</f>
        <v>138574.805</v>
      </c>
      <c r="H49" s="8">
        <f>SUM('Team quarterly (region × segmen'!I215:I217)</f>
        <v>163235.785</v>
      </c>
      <c r="I49" s="8">
        <f>SUM('Team quarterly (region × segmen'!J215:J217)</f>
        <v>0</v>
      </c>
    </row>
  </sheetData>
</worksheet>
</file>

<file path=xl/worksheets/sheet19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cols>
    <col min="1" max="1" width="18" customWidth="1"/>
    <col min="2" max="2" width="3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</cols>
  <sheetData>
    <row r="1">
      <c r="A1" s="1" t="inlineStr">
        <is>
          <t xml:space="preserve">line</t>
        </is>
      </c>
      <c r="B1" s="1" t="inlineStr">
        <is>
          <t xml:space="preserve">segment</t>
        </is>
      </c>
      <c r="C1" s="1" t="inlineStr">
        <is>
          <t xml:space="preserve">Q2 2025</t>
        </is>
      </c>
      <c r="D1" s="1" t="inlineStr">
        <is>
          <t xml:space="preserve">Q3 2025</t>
        </is>
      </c>
      <c r="E1" s="1" t="inlineStr">
        <is>
          <t xml:space="preserve">Q4 2025</t>
        </is>
      </c>
      <c r="F1" s="1" t="inlineStr">
        <is>
          <t xml:space="preserve">Q1 2026</t>
        </is>
      </c>
      <c r="G1" s="1" t="inlineStr">
        <is>
          <t xml:space="preserve">Q2 2026</t>
        </is>
      </c>
      <c r="H1" s="1" t="inlineStr">
        <is>
          <t xml:space="preserve">Q3 2026</t>
        </is>
      </c>
      <c r="I1" s="1" t="inlineStr">
        <is>
          <t xml:space="preserve">Q4 2026</t>
        </is>
      </c>
    </row>
    <row r="2">
      <c r="A2" s="0" t="inlineStr">
        <is>
          <t xml:space="preserve">Quota</t>
        </is>
      </c>
      <c r="B2" s="0" t="inlineStr">
        <is>
          <t xml:space="preserve">Enterprise</t>
        </is>
      </c>
      <c r="C2" s="4">
        <f>SUM('Team quarterly (region × segmen'!D14,'Team quarterly (region × segmen'!D17,'Team quarterly (region × segmen'!D20,'Team quarterly (region × segmen'!D23)</f>
        <v>1987000</v>
      </c>
      <c r="D2" s="4">
        <f>SUM('Team quarterly (region × segmen'!E14,'Team quarterly (region × segmen'!E17,'Team quarterly (region × segmen'!E20,'Team quarterly (region × segmen'!E23)</f>
        <v>1987000</v>
      </c>
      <c r="E2" s="4">
        <f>SUM('Team quarterly (region × segmen'!F14,'Team quarterly (region × segmen'!F17,'Team quarterly (region × segmen'!F20,'Team quarterly (region × segmen'!F23)</f>
        <v>1987000</v>
      </c>
      <c r="F2" s="4">
        <f>SUM('Team quarterly (region × segmen'!G14,'Team quarterly (region × segmen'!G17,'Team quarterly (region × segmen'!G20,'Team quarterly (region × segmen'!G23)</f>
        <v>2071000</v>
      </c>
      <c r="G2" s="4">
        <f>SUM('Team quarterly (region × segmen'!H14,'Team quarterly (region × segmen'!H17,'Team quarterly (region × segmen'!H20,'Team quarterly (region × segmen'!H23)</f>
        <v>2156000</v>
      </c>
      <c r="H2" s="4">
        <f>SUM('Team quarterly (region × segmen'!I14,'Team quarterly (region × segmen'!I17,'Team quarterly (region × segmen'!I20,'Team quarterly (region × segmen'!I23)</f>
        <v>2334000</v>
      </c>
      <c r="I2" s="4">
        <f>SUM('Team quarterly (region × segmen'!J14,'Team quarterly (region × segmen'!J17,'Team quarterly (region × segmen'!J20,'Team quarterly (region × segmen'!J23)</f>
        <v>2513000</v>
      </c>
    </row>
    <row r="3">
      <c r="A3" s="0" t="inlineStr">
        <is>
          <t xml:space="preserve">Quota</t>
        </is>
      </c>
      <c r="B3" s="0" t="inlineStr">
        <is>
          <t xml:space="preserve">Mid-Market</t>
        </is>
      </c>
      <c r="C3" s="4">
        <f>SUM('Team quarterly (region × segmen'!D15,'Team quarterly (region × segmen'!D18,'Team quarterly (region × segmen'!D21,'Team quarterly (region × segmen'!D24)</f>
        <v>1066000</v>
      </c>
      <c r="D3" s="4">
        <f>SUM('Team quarterly (region × segmen'!E15,'Team quarterly (region × segmen'!E18,'Team quarterly (region × segmen'!E21,'Team quarterly (region × segmen'!E24)</f>
        <v>1157000</v>
      </c>
      <c r="E3" s="4">
        <f>SUM('Team quarterly (region × segmen'!F15,'Team quarterly (region × segmen'!F18,'Team quarterly (region × segmen'!F21,'Team quarterly (region × segmen'!F24)</f>
        <v>1210000</v>
      </c>
      <c r="F3" s="4">
        <f>SUM('Team quarterly (region × segmen'!G15,'Team quarterly (region × segmen'!G18,'Team quarterly (region × segmen'!G21,'Team quarterly (region × segmen'!G24)</f>
        <v>1263000</v>
      </c>
      <c r="G3" s="4">
        <f>SUM('Team quarterly (region × segmen'!H15,'Team quarterly (region × segmen'!H18,'Team quarterly (region × segmen'!H21,'Team quarterly (region × segmen'!H24)</f>
        <v>1369000</v>
      </c>
      <c r="H3" s="4">
        <f>SUM('Team quarterly (region × segmen'!I15,'Team quarterly (region × segmen'!I18,'Team quarterly (region × segmen'!I21,'Team quarterly (region × segmen'!I24)</f>
        <v>1422000</v>
      </c>
      <c r="I3" s="4">
        <f>SUM('Team quarterly (region × segmen'!J15,'Team quarterly (region × segmen'!J18,'Team quarterly (region × segmen'!J21,'Team quarterly (region × segmen'!J24)</f>
        <v>1475000</v>
      </c>
    </row>
    <row r="4">
      <c r="A4" s="0" t="inlineStr">
        <is>
          <t xml:space="preserve">Quota</t>
        </is>
      </c>
      <c r="B4" s="0" t="inlineStr">
        <is>
          <t xml:space="preserve">SMB</t>
        </is>
      </c>
      <c r="C4" s="4">
        <f>SUM('Team quarterly (region × segmen'!D16,'Team quarterly (region × segmen'!D19,'Team quarterly (region × segmen'!D22,'Team quarterly (region × segmen'!D25)</f>
        <v>569000</v>
      </c>
      <c r="D4" s="4">
        <f>SUM('Team quarterly (region × segmen'!E16,'Team quarterly (region × segmen'!E19,'Team quarterly (region × segmen'!E22,'Team quarterly (region × segmen'!E25)</f>
        <v>622000</v>
      </c>
      <c r="E4" s="4">
        <f>SUM('Team quarterly (region × segmen'!F16,'Team quarterly (region × segmen'!F19,'Team quarterly (region × segmen'!F22,'Team quarterly (region × segmen'!F25)</f>
        <v>675000</v>
      </c>
      <c r="F4" s="4">
        <f>SUM('Team quarterly (region × segmen'!G16,'Team quarterly (region × segmen'!G19,'Team quarterly (region × segmen'!G22,'Team quarterly (region × segmen'!G25)</f>
        <v>728000</v>
      </c>
      <c r="G4" s="4">
        <f>SUM('Team quarterly (region × segmen'!H16,'Team quarterly (region × segmen'!H19,'Team quarterly (region × segmen'!H22,'Team quarterly (region × segmen'!H25)</f>
        <v>748000</v>
      </c>
      <c r="H4" s="4">
        <f>SUM('Team quarterly (region × segmen'!I16,'Team quarterly (region × segmen'!I19,'Team quarterly (region × segmen'!I22,'Team quarterly (region × segmen'!I25)</f>
        <v>768000</v>
      </c>
      <c r="I4" s="4">
        <f>SUM('Team quarterly (region × segmen'!J16,'Team quarterly (region × segmen'!J19,'Team quarterly (region × segmen'!J22,'Team quarterly (region × segmen'!J25)</f>
        <v>788000</v>
      </c>
    </row>
    <row r="5">
      <c r="A5" s="0" t="inlineStr">
        <is>
          <t xml:space="preserve">Bookings</t>
        </is>
      </c>
      <c r="B5" s="0" t="inlineStr">
        <is>
          <t xml:space="preserve">Enterprise</t>
        </is>
      </c>
      <c r="C5" s="4">
        <f>SUM('Team quarterly (region × segmen'!D26,'Team quarterly (region × segmen'!D29,'Team quarterly (region × segmen'!D32,'Team quarterly (region × segmen'!D35)</f>
        <v>345500</v>
      </c>
      <c r="D5" s="4">
        <f>SUM('Team quarterly (region × segmen'!E26,'Team quarterly (region × segmen'!E29,'Team quarterly (region × segmen'!E32,'Team quarterly (region × segmen'!E35)</f>
        <v>1306500</v>
      </c>
      <c r="E5" s="4">
        <f>SUM('Team quarterly (region × segmen'!F26,'Team quarterly (region × segmen'!F29,'Team quarterly (region × segmen'!F32,'Team quarterly (region × segmen'!F35)</f>
        <v>537100</v>
      </c>
      <c r="F5" s="4">
        <f>SUM('Team quarterly (region × segmen'!G26,'Team quarterly (region × segmen'!G29,'Team quarterly (region × segmen'!G32,'Team quarterly (region × segmen'!G35)</f>
        <v>2609600</v>
      </c>
      <c r="G5" s="4">
        <f>SUM('Team quarterly (region × segmen'!H26,'Team quarterly (region × segmen'!H29,'Team quarterly (region × segmen'!H32,'Team quarterly (region × segmen'!H35)</f>
        <v>1550100</v>
      </c>
      <c r="H5" s="4">
        <f>SUM('Team quarterly (region × segmen'!I26,'Team quarterly (region × segmen'!I29,'Team quarterly (region × segmen'!I32,'Team quarterly (region × segmen'!I35)</f>
        <v>2063400</v>
      </c>
      <c r="I5" s="4">
        <f>SUM('Team quarterly (region × segmen'!J26,'Team quarterly (region × segmen'!J29,'Team quarterly (region × segmen'!J32,'Team quarterly (region × segmen'!J35)</f>
        <v>0</v>
      </c>
    </row>
    <row r="6">
      <c r="A6" s="0" t="inlineStr">
        <is>
          <t xml:space="preserve">Bookings</t>
        </is>
      </c>
      <c r="B6" s="0" t="inlineStr">
        <is>
          <t xml:space="preserve">Mid-Market</t>
        </is>
      </c>
      <c r="C6" s="4">
        <f>SUM('Team quarterly (region × segmen'!D27,'Team quarterly (region × segmen'!D30,'Team quarterly (region × segmen'!D33,'Team quarterly (region × segmen'!D36)</f>
        <v>808500</v>
      </c>
      <c r="D6" s="4">
        <f>SUM('Team quarterly (region × segmen'!E27,'Team quarterly (region × segmen'!E30,'Team quarterly (region × segmen'!E33,'Team quarterly (region × segmen'!E36)</f>
        <v>1256300</v>
      </c>
      <c r="E6" s="4">
        <f>SUM('Team quarterly (region × segmen'!F27,'Team quarterly (region × segmen'!F30,'Team quarterly (region × segmen'!F33,'Team quarterly (region × segmen'!F36)</f>
        <v>1573300</v>
      </c>
      <c r="F6" s="4">
        <f>SUM('Team quarterly (region × segmen'!G27,'Team quarterly (region × segmen'!G30,'Team quarterly (region × segmen'!G33,'Team quarterly (region × segmen'!G36)</f>
        <v>1226500</v>
      </c>
      <c r="G6" s="4">
        <f>SUM('Team quarterly (region × segmen'!H27,'Team quarterly (region × segmen'!H30,'Team quarterly (region × segmen'!H33,'Team quarterly (region × segmen'!H36)</f>
        <v>1677900</v>
      </c>
      <c r="H6" s="4">
        <f>SUM('Team quarterly (region × segmen'!I27,'Team quarterly (region × segmen'!I30,'Team quarterly (region × segmen'!I33,'Team quarterly (region × segmen'!I36)</f>
        <v>1411200</v>
      </c>
      <c r="I6" s="4">
        <f>SUM('Team quarterly (region × segmen'!J27,'Team quarterly (region × segmen'!J30,'Team quarterly (region × segmen'!J33,'Team quarterly (region × segmen'!J36)</f>
        <v>0</v>
      </c>
    </row>
    <row r="7">
      <c r="A7" s="0" t="inlineStr">
        <is>
          <t xml:space="preserve">Bookings</t>
        </is>
      </c>
      <c r="B7" s="0" t="inlineStr">
        <is>
          <t xml:space="preserve">SMB</t>
        </is>
      </c>
      <c r="C7" s="4">
        <f>SUM('Team quarterly (region × segmen'!D28,'Team quarterly (region × segmen'!D31,'Team quarterly (region × segmen'!D34,'Team quarterly (region × segmen'!D37)</f>
        <v>317000</v>
      </c>
      <c r="D7" s="4">
        <f>SUM('Team quarterly (region × segmen'!E28,'Team quarterly (region × segmen'!E31,'Team quarterly (region × segmen'!E34,'Team quarterly (region × segmen'!E37)</f>
        <v>745000</v>
      </c>
      <c r="E7" s="4">
        <f>SUM('Team quarterly (region × segmen'!F28,'Team quarterly (region × segmen'!F31,'Team quarterly (region × segmen'!F34,'Team quarterly (region × segmen'!F37)</f>
        <v>675900</v>
      </c>
      <c r="F7" s="4">
        <f>SUM('Team quarterly (region × segmen'!G28,'Team quarterly (region × segmen'!G31,'Team quarterly (region × segmen'!G34,'Team quarterly (region × segmen'!G37)</f>
        <v>625900</v>
      </c>
      <c r="G7" s="4">
        <f>SUM('Team quarterly (region × segmen'!H28,'Team quarterly (region × segmen'!H31,'Team quarterly (region × segmen'!H34,'Team quarterly (region × segmen'!H37)</f>
        <v>627000</v>
      </c>
      <c r="H7" s="4">
        <f>SUM('Team quarterly (region × segmen'!I28,'Team quarterly (region × segmen'!I31,'Team quarterly (region × segmen'!I34,'Team quarterly (region × segmen'!I37)</f>
        <v>629200</v>
      </c>
      <c r="I7" s="4">
        <f>SUM('Team quarterly (region × segmen'!J28,'Team quarterly (region × segmen'!J31,'Team quarterly (region × segmen'!J34,'Team quarterly (region × segmen'!J37)</f>
        <v>0</v>
      </c>
    </row>
    <row r="8">
      <c r="A8" s="0" t="inlineStr">
        <is>
          <t xml:space="preserve">Attainment</t>
        </is>
      </c>
      <c r="B8" s="0" t="inlineStr">
        <is>
          <t xml:space="preserve">Enterprise</t>
        </is>
      </c>
      <c r="C8" s="12">
        <f>IF((0=1),"",IFERROR((C5/C2),0))</f>
        <v>0.1738802214393558</v>
      </c>
      <c r="D8" s="12">
        <f>IF((0=1),"",IFERROR((D5/D2),0))</f>
        <v>0.6575239053850025</v>
      </c>
      <c r="E8" s="12">
        <f>IF((0=1),"",IFERROR((E5/E2),0))</f>
        <v>0.27030699547055864</v>
      </c>
      <c r="F8" s="12">
        <f>IF((0=1),"",IFERROR((F5/F2),0))</f>
        <v>1.2600676001931435</v>
      </c>
      <c r="G8" s="12">
        <f>IF((0=1),"",IFERROR((G5/G2),0))</f>
        <v>0.7189703153988868</v>
      </c>
      <c r="H8" s="12">
        <f>IF((0=1),"",IFERROR((H5/H2),0))</f>
        <v>0.8840616966580976</v>
      </c>
      <c r="I8" s="12">
        <f>IF((1=1),"",IFERROR((I5/I2),0))</f>
      </c>
    </row>
    <row r="9">
      <c r="A9" s="0" t="inlineStr">
        <is>
          <t xml:space="preserve">Attainment</t>
        </is>
      </c>
      <c r="B9" s="0" t="inlineStr">
        <is>
          <t xml:space="preserve">Mid-Market</t>
        </is>
      </c>
      <c r="C9" s="12">
        <f>IF((0=1),"",IFERROR((C6/C3),0))</f>
        <v>0.7584427767354597</v>
      </c>
      <c r="D9" s="12">
        <f>IF((0=1),"",IFERROR((D6/D3),0))</f>
        <v>1.0858254105445118</v>
      </c>
      <c r="E9" s="12">
        <f>IF((0=1),"",IFERROR((E6/E3),0))</f>
        <v>1.3002479338842976</v>
      </c>
      <c r="F9" s="12">
        <f>IF((0=1),"",IFERROR((F6/F3),0))</f>
        <v>0.9711005542359462</v>
      </c>
      <c r="G9" s="12">
        <f>IF((0=1),"",IFERROR((G6/G3),0))</f>
        <v>1.2256391526661796</v>
      </c>
      <c r="H9" s="12">
        <f>IF((0=1),"",IFERROR((H6/H3),0))</f>
        <v>0.9924050632911392</v>
      </c>
      <c r="I9" s="12">
        <f>IF((1=1),"",IFERROR((I6/I3),0))</f>
      </c>
    </row>
    <row r="10">
      <c r="A10" s="0" t="inlineStr">
        <is>
          <t xml:space="preserve">Attainment</t>
        </is>
      </c>
      <c r="B10" s="0" t="inlineStr">
        <is>
          <t xml:space="preserve">SMB</t>
        </is>
      </c>
      <c r="C10" s="12">
        <f>IF((0=1),"",IFERROR((C7/C4),0))</f>
        <v>0.5571177504393673</v>
      </c>
      <c r="D10" s="12">
        <f>IF((0=1),"",IFERROR((D7/D4),0))</f>
        <v>1.197749196141479</v>
      </c>
      <c r="E10" s="12">
        <f>IF((0=1),"",IFERROR((E7/E4),0))</f>
        <v>1.0013333333333334</v>
      </c>
      <c r="F10" s="12">
        <f>IF((0=1),"",IFERROR((F7/F4),0))</f>
        <v>0.8597527472527473</v>
      </c>
      <c r="G10" s="12">
        <f>IF((0=1),"",IFERROR((G7/G4),0))</f>
        <v>0.8382352941176471</v>
      </c>
      <c r="H10" s="12">
        <f>IF((0=1),"",IFERROR((H7/H4),0))</f>
        <v>0.8192708333333333</v>
      </c>
      <c r="I10" s="12">
        <f>IF((1=1),"",IFERROR((I7/I4),0))</f>
      </c>
    </row>
    <row r="11">
      <c r="A11" s="0" t="inlineStr">
        <is>
          <t xml:space="preserve">Forecast</t>
        </is>
      </c>
      <c r="B11" s="0" t="inlineStr">
        <is>
          <t xml:space="preserve">Enterprise</t>
        </is>
      </c>
      <c r="C11" s="4">
        <f>SUM('Team quarterly (region × segmen'!D182,'Team quarterly (region × segmen'!D185,'Team quarterly (region × segmen'!D188,'Team quarterly (region × segmen'!D191)</f>
        <v>345500</v>
      </c>
      <c r="D11" s="4">
        <f>SUM('Team quarterly (region × segmen'!E182,'Team quarterly (region × segmen'!E185,'Team quarterly (region × segmen'!E188,'Team quarterly (region × segmen'!E191)</f>
        <v>1306500</v>
      </c>
      <c r="E11" s="4">
        <f>SUM('Team quarterly (region × segmen'!F182,'Team quarterly (region × segmen'!F185,'Team quarterly (region × segmen'!F188,'Team quarterly (region × segmen'!F191)</f>
        <v>537100</v>
      </c>
      <c r="F11" s="4">
        <f>SUM('Team quarterly (region × segmen'!G182,'Team quarterly (region × segmen'!G185,'Team quarterly (region × segmen'!G188,'Team quarterly (region × segmen'!G191)</f>
        <v>2609600</v>
      </c>
      <c r="G11" s="4">
        <f>SUM('Team quarterly (region × segmen'!H182,'Team quarterly (region × segmen'!H185,'Team quarterly (region × segmen'!H188,'Team quarterly (region × segmen'!H191)</f>
        <v>1550100</v>
      </c>
      <c r="H11" s="4">
        <f>SUM('Team quarterly (region × segmen'!I182,'Team quarterly (region × segmen'!I185,'Team quarterly (region × segmen'!I188,'Team quarterly (region × segmen'!I191)</f>
        <v>2679270</v>
      </c>
      <c r="I11" s="4">
        <f>SUM('Team quarterly (region × segmen'!J182,'Team quarterly (region × segmen'!J185,'Team quarterly (region × segmen'!J188,'Team quarterly (region × segmen'!J191)</f>
        <v>2239740</v>
      </c>
    </row>
    <row r="12">
      <c r="A12" s="0" t="inlineStr">
        <is>
          <t xml:space="preserve">Forecast</t>
        </is>
      </c>
      <c r="B12" s="0" t="inlineStr">
        <is>
          <t xml:space="preserve">Mid-Market</t>
        </is>
      </c>
      <c r="C12" s="4">
        <f>SUM('Team quarterly (region × segmen'!D183,'Team quarterly (region × segmen'!D186,'Team quarterly (region × segmen'!D189,'Team quarterly (region × segmen'!D192)</f>
        <v>808500</v>
      </c>
      <c r="D12" s="4">
        <f>SUM('Team quarterly (region × segmen'!E183,'Team quarterly (region × segmen'!E186,'Team quarterly (region × segmen'!E189,'Team quarterly (region × segmen'!E192)</f>
        <v>1256300</v>
      </c>
      <c r="E12" s="4">
        <f>SUM('Team quarterly (region × segmen'!F183,'Team quarterly (region × segmen'!F186,'Team quarterly (region × segmen'!F189,'Team quarterly (region × segmen'!F192)</f>
        <v>1573300</v>
      </c>
      <c r="F12" s="4">
        <f>SUM('Team quarterly (region × segmen'!G183,'Team quarterly (region × segmen'!G186,'Team quarterly (region × segmen'!G189,'Team quarterly (region × segmen'!G192)</f>
        <v>1226500</v>
      </c>
      <c r="G12" s="4">
        <f>SUM('Team quarterly (region × segmen'!H183,'Team quarterly (region × segmen'!H186,'Team quarterly (region × segmen'!H189,'Team quarterly (region × segmen'!H192)</f>
        <v>1677900</v>
      </c>
      <c r="H12" s="4">
        <f>SUM('Team quarterly (region × segmen'!I183,'Team quarterly (region × segmen'!I186,'Team quarterly (region × segmen'!I189,'Team quarterly (region × segmen'!I192)</f>
        <v>1816340</v>
      </c>
      <c r="I12" s="4">
        <f>SUM('Team quarterly (region × segmen'!J183,'Team quarterly (region × segmen'!J186,'Team quarterly (region × segmen'!J189,'Team quarterly (region × segmen'!J192)</f>
        <v>665260</v>
      </c>
    </row>
    <row r="13">
      <c r="A13" s="0" t="inlineStr">
        <is>
          <t xml:space="preserve">Forecast</t>
        </is>
      </c>
      <c r="B13" s="0" t="inlineStr">
        <is>
          <t xml:space="preserve">SMB</t>
        </is>
      </c>
      <c r="C13" s="4">
        <f>SUM('Team quarterly (region × segmen'!D184,'Team quarterly (region × segmen'!D187,'Team quarterly (region × segmen'!D190,'Team quarterly (region × segmen'!D193)</f>
        <v>317000</v>
      </c>
      <c r="D13" s="4">
        <f>SUM('Team quarterly (region × segmen'!E184,'Team quarterly (region × segmen'!E187,'Team quarterly (region × segmen'!E190,'Team quarterly (region × segmen'!E193)</f>
        <v>745000</v>
      </c>
      <c r="E13" s="4">
        <f>SUM('Team quarterly (region × segmen'!F184,'Team quarterly (region × segmen'!F187,'Team quarterly (region × segmen'!F190,'Team quarterly (region × segmen'!F193)</f>
        <v>675900</v>
      </c>
      <c r="F13" s="4">
        <f>SUM('Team quarterly (region × segmen'!G184,'Team quarterly (region × segmen'!G187,'Team quarterly (region × segmen'!G190,'Team quarterly (region × segmen'!G193)</f>
        <v>625900</v>
      </c>
      <c r="G13" s="4">
        <f>SUM('Team quarterly (region × segmen'!H184,'Team quarterly (region × segmen'!H187,'Team quarterly (region × segmen'!H190,'Team quarterly (region × segmen'!H193)</f>
        <v>627000</v>
      </c>
      <c r="H13" s="4">
        <f>SUM('Team quarterly (region × segmen'!I184,'Team quarterly (region × segmen'!I187,'Team quarterly (region × segmen'!I190,'Team quarterly (region × segmen'!I193)</f>
        <v>741110</v>
      </c>
      <c r="I13" s="4">
        <f>SUM('Team quarterly (region × segmen'!J184,'Team quarterly (region × segmen'!J187,'Team quarterly (region × segmen'!J190,'Team quarterly (region × segmen'!J193)</f>
        <v>321760</v>
      </c>
    </row>
    <row r="14">
      <c r="A14" s="0" t="inlineStr">
        <is>
          <t xml:space="preserve">Forecast attainment</t>
        </is>
      </c>
      <c r="B14" s="0" t="inlineStr">
        <is>
          <t xml:space="preserve">Enterprise</t>
        </is>
      </c>
      <c r="C14" s="12">
        <f>IFERROR((C11/C2),0)</f>
        <v>0.1738802214393558</v>
      </c>
      <c r="D14" s="12">
        <f>IFERROR((D11/D2),0)</f>
        <v>0.6575239053850025</v>
      </c>
      <c r="E14" s="12">
        <f>IFERROR((E11/E2),0)</f>
        <v>0.27030699547055864</v>
      </c>
      <c r="F14" s="12">
        <f>IFERROR((F11/F2),0)</f>
        <v>1.2600676001931435</v>
      </c>
      <c r="G14" s="12">
        <f>IFERROR((G11/G2),0)</f>
        <v>0.7189703153988868</v>
      </c>
      <c r="H14" s="12">
        <f>IFERROR((H11/H2),0)</f>
        <v>1.14793059125964</v>
      </c>
      <c r="I14" s="12">
        <f>IFERROR((I11/I2),0)</f>
        <v>0.8912614405093514</v>
      </c>
    </row>
    <row r="15">
      <c r="A15" s="0" t="inlineStr">
        <is>
          <t xml:space="preserve">Forecast attainment</t>
        </is>
      </c>
      <c r="B15" s="0" t="inlineStr">
        <is>
          <t xml:space="preserve">Mid-Market</t>
        </is>
      </c>
      <c r="C15" s="12">
        <f>IFERROR((C12/C3),0)</f>
        <v>0.7584427767354597</v>
      </c>
      <c r="D15" s="12">
        <f>IFERROR((D12/D3),0)</f>
        <v>1.0858254105445118</v>
      </c>
      <c r="E15" s="12">
        <f>IFERROR((E12/E3),0)</f>
        <v>1.3002479338842976</v>
      </c>
      <c r="F15" s="12">
        <f>IFERROR((F12/F3),0)</f>
        <v>0.9711005542359462</v>
      </c>
      <c r="G15" s="12">
        <f>IFERROR((G12/G3),0)</f>
        <v>1.2256391526661796</v>
      </c>
      <c r="H15" s="12">
        <f>IFERROR((H12/H3),0)</f>
        <v>1.2773136427566807</v>
      </c>
      <c r="I15" s="12">
        <f>IFERROR((I12/I3),0)</f>
        <v>0.45102372881355934</v>
      </c>
    </row>
    <row r="16">
      <c r="A16" s="0" t="inlineStr">
        <is>
          <t xml:space="preserve">Forecast attainment</t>
        </is>
      </c>
      <c r="B16" s="0" t="inlineStr">
        <is>
          <t xml:space="preserve">SMB</t>
        </is>
      </c>
      <c r="C16" s="12">
        <f>IFERROR((C13/C4),0)</f>
        <v>0.5571177504393673</v>
      </c>
      <c r="D16" s="12">
        <f>IFERROR((D13/D4),0)</f>
        <v>1.197749196141479</v>
      </c>
      <c r="E16" s="12">
        <f>IFERROR((E13/E4),0)</f>
        <v>1.0013333333333334</v>
      </c>
      <c r="F16" s="12">
        <f>IFERROR((F13/F4),0)</f>
        <v>0.8597527472527473</v>
      </c>
      <c r="G16" s="12">
        <f>IFERROR((G13/G4),0)</f>
        <v>0.8382352941176471</v>
      </c>
      <c r="H16" s="12">
        <f>IFERROR((H13/H4),0)</f>
        <v>0.9649869791666666</v>
      </c>
      <c r="I16" s="12">
        <f>IFERROR((I13/I4),0)</f>
        <v>0.4083248730964467</v>
      </c>
    </row>
    <row r="17">
      <c r="A17" s="0" t="inlineStr">
        <is>
          <t xml:space="preserve">Open pipeline</t>
        </is>
      </c>
      <c r="B17" s="0" t="inlineStr">
        <is>
          <t xml:space="preserve">Enterprise</t>
        </is>
      </c>
      <c r="C17" s="4">
        <f>SUM('Team quarterly (region × segmen'!D134,'Team quarterly (region × segmen'!D137,'Team quarterly (region × segmen'!D140,'Team quarterly (region × segmen'!D143)</f>
        <v>0</v>
      </c>
      <c r="D17" s="4">
        <f>SUM('Team quarterly (region × segmen'!E134,'Team quarterly (region × segmen'!E137,'Team quarterly (region × segmen'!E140,'Team quarterly (region × segmen'!E143)</f>
        <v>0</v>
      </c>
      <c r="E17" s="4">
        <f>SUM('Team quarterly (region × segmen'!F134,'Team quarterly (region × segmen'!F137,'Team quarterly (region × segmen'!F140,'Team quarterly (region × segmen'!F143)</f>
        <v>0</v>
      </c>
      <c r="F17" s="4">
        <f>SUM('Team quarterly (region × segmen'!G134,'Team quarterly (region × segmen'!G137,'Team quarterly (region × segmen'!G140,'Team quarterly (region × segmen'!G143)</f>
        <v>0</v>
      </c>
      <c r="G17" s="4">
        <f>SUM('Team quarterly (region × segmen'!H134,'Team quarterly (region × segmen'!H137,'Team quarterly (region × segmen'!H140,'Team quarterly (region × segmen'!H143)</f>
        <v>0</v>
      </c>
      <c r="H17" s="4">
        <f>SUM('Team quarterly (region × segmen'!I134,'Team quarterly (region × segmen'!I137,'Team quarterly (region × segmen'!I140,'Team quarterly (region × segmen'!I143)</f>
        <v>1665100</v>
      </c>
      <c r="I17" s="4">
        <f>SUM('Team quarterly (region × segmen'!J134,'Team quarterly (region × segmen'!J137,'Team quarterly (region × segmen'!J140,'Team quarterly (region × segmen'!J143)</f>
        <v>9063800</v>
      </c>
    </row>
    <row r="18">
      <c r="A18" s="0" t="inlineStr">
        <is>
          <t xml:space="preserve">Open pipeline</t>
        </is>
      </c>
      <c r="B18" s="0" t="inlineStr">
        <is>
          <t xml:space="preserve">Mid-Market</t>
        </is>
      </c>
      <c r="C18" s="4">
        <f>SUM('Team quarterly (region × segmen'!D135,'Team quarterly (region × segmen'!D138,'Team quarterly (region × segmen'!D141,'Team quarterly (region × segmen'!D144)</f>
        <v>0</v>
      </c>
      <c r="D18" s="4">
        <f>SUM('Team quarterly (region × segmen'!E135,'Team quarterly (region × segmen'!E138,'Team quarterly (region × segmen'!E141,'Team quarterly (region × segmen'!E144)</f>
        <v>0</v>
      </c>
      <c r="E18" s="4">
        <f>SUM('Team quarterly (region × segmen'!F135,'Team quarterly (region × segmen'!F138,'Team quarterly (region × segmen'!F141,'Team quarterly (region × segmen'!F144)</f>
        <v>0</v>
      </c>
      <c r="F18" s="4">
        <f>SUM('Team quarterly (region × segmen'!G135,'Team quarterly (region × segmen'!G138,'Team quarterly (region × segmen'!G141,'Team quarterly (region × segmen'!G144)</f>
        <v>0</v>
      </c>
      <c r="G18" s="4">
        <f>SUM('Team quarterly (region × segmen'!H135,'Team quarterly (region × segmen'!H138,'Team quarterly (region × segmen'!H141,'Team quarterly (region × segmen'!H144)</f>
        <v>0</v>
      </c>
      <c r="H18" s="4">
        <f>SUM('Team quarterly (region × segmen'!I135,'Team quarterly (region × segmen'!I138,'Team quarterly (region × segmen'!I141,'Team quarterly (region × segmen'!I144)</f>
        <v>807800</v>
      </c>
      <c r="I18" s="4">
        <f>SUM('Team quarterly (region × segmen'!J135,'Team quarterly (region × segmen'!J138,'Team quarterly (region × segmen'!J141,'Team quarterly (region × segmen'!J144)</f>
        <v>2413400</v>
      </c>
    </row>
    <row r="19">
      <c r="A19" s="0" t="inlineStr">
        <is>
          <t xml:space="preserve">Open pipeline</t>
        </is>
      </c>
      <c r="B19" s="0" t="inlineStr">
        <is>
          <t xml:space="preserve">SMB</t>
        </is>
      </c>
      <c r="C19" s="4">
        <f>SUM('Team quarterly (region × segmen'!D136,'Team quarterly (region × segmen'!D139,'Team quarterly (region × segmen'!D142,'Team quarterly (region × segmen'!D145)</f>
        <v>0</v>
      </c>
      <c r="D19" s="4">
        <f>SUM('Team quarterly (region × segmen'!E136,'Team quarterly (region × segmen'!E139,'Team quarterly (region × segmen'!E142,'Team quarterly (region × segmen'!E145)</f>
        <v>0</v>
      </c>
      <c r="E19" s="4">
        <f>SUM('Team quarterly (region × segmen'!F136,'Team quarterly (region × segmen'!F139,'Team quarterly (region × segmen'!F142,'Team quarterly (region × segmen'!F145)</f>
        <v>0</v>
      </c>
      <c r="F19" s="4">
        <f>SUM('Team quarterly (region × segmen'!G136,'Team quarterly (region × segmen'!G139,'Team quarterly (region × segmen'!G142,'Team quarterly (region × segmen'!G145)</f>
        <v>0</v>
      </c>
      <c r="G19" s="4">
        <f>SUM('Team quarterly (region × segmen'!H136,'Team quarterly (region × segmen'!H139,'Team quarterly (region × segmen'!H142,'Team quarterly (region × segmen'!H145)</f>
        <v>0</v>
      </c>
      <c r="H19" s="4">
        <f>SUM('Team quarterly (region × segmen'!I136,'Team quarterly (region × segmen'!I139,'Team quarterly (region × segmen'!I142,'Team quarterly (region × segmen'!I145)</f>
        <v>256700</v>
      </c>
      <c r="I19" s="4">
        <f>SUM('Team quarterly (region × segmen'!J136,'Team quarterly (region × segmen'!J139,'Team quarterly (region × segmen'!J142,'Team quarterly (region × segmen'!J145)</f>
        <v>730000</v>
      </c>
    </row>
    <row r="20">
      <c r="A20" s="0" t="inlineStr">
        <is>
          <t xml:space="preserve">Coverage of gap (x)</t>
        </is>
      </c>
      <c r="B20" s="0" t="inlineStr">
        <is>
          <t xml:space="preserve">Enterprise</t>
        </is>
      </c>
      <c r="C20" s="8">
        <f>IF(AND(((C2-C5)&gt;0),(C17&gt;0)),(C17/(C2-C5)),"")</f>
      </c>
      <c r="D20" s="8">
        <f>IF(AND(((D2-D5)&gt;0),(D17&gt;0)),(D17/(D2-D5)),"")</f>
      </c>
      <c r="E20" s="8">
        <f>IF(AND(((E2-E5)&gt;0),(E17&gt;0)),(E17/(E2-E5)),"")</f>
      </c>
      <c r="F20" s="8">
        <f>IF(AND(((F2-F5)&gt;0),(F17&gt;0)),(F17/(F2-F5)),"")</f>
      </c>
      <c r="G20" s="8">
        <f>IF(AND(((G2-G5)&gt;0),(G17&gt;0)),(G17/(G2-G5)),"")</f>
      </c>
      <c r="H20" s="8">
        <f>IF(AND(((H2-H5)&gt;0),(H17&gt;0)),(H17/(H2-H5)),"")</f>
        <v>6.153362897265336</v>
      </c>
      <c r="I20" s="8">
        <f>IF(AND(((I2-I5)&gt;0),(I17&gt;0)),(I17/(I2-I5)),"")</f>
        <v>3.6067648229208116</v>
      </c>
    </row>
    <row r="21">
      <c r="A21" s="0" t="inlineStr">
        <is>
          <t xml:space="preserve">Coverage of gap (x)</t>
        </is>
      </c>
      <c r="B21" s="0" t="inlineStr">
        <is>
          <t xml:space="preserve">Mid-Market</t>
        </is>
      </c>
      <c r="C21" s="8">
        <f>IF(AND(((C3-C6)&gt;0),(C18&gt;0)),(C18/(C3-C6)),"")</f>
      </c>
      <c r="D21" s="8">
        <f>IF(AND(((D3-D6)&gt;0),(D18&gt;0)),(D18/(D3-D6)),"")</f>
      </c>
      <c r="E21" s="8">
        <f>IF(AND(((E3-E6)&gt;0),(E18&gt;0)),(E18/(E3-E6)),"")</f>
      </c>
      <c r="F21" s="8">
        <f>IF(AND(((F3-F6)&gt;0),(F18&gt;0)),(F18/(F3-F6)),"")</f>
      </c>
      <c r="G21" s="8">
        <f>IF(AND(((G3-G6)&gt;0),(G18&gt;0)),(G18/(G3-G6)),"")</f>
      </c>
      <c r="H21" s="8">
        <f>IF(AND(((H3-H6)&gt;0),(H18&gt;0)),(H18/(H3-H6)),"")</f>
        <v>74.79629629629629</v>
      </c>
      <c r="I21" s="8">
        <f>IF(AND(((I3-I6)&gt;0),(I18&gt;0)),(I18/(I3-I6)),"")</f>
        <v>1.6362033898305084</v>
      </c>
    </row>
    <row r="22">
      <c r="A22" s="0" t="inlineStr">
        <is>
          <t xml:space="preserve">Coverage of gap (x)</t>
        </is>
      </c>
      <c r="B22" s="0" t="inlineStr">
        <is>
          <t xml:space="preserve">SMB</t>
        </is>
      </c>
      <c r="C22" s="8">
        <f>IF(AND(((C4-C7)&gt;0),(C19&gt;0)),(C19/(C4-C7)),"")</f>
      </c>
      <c r="D22" s="8">
        <f>IF(AND(((D4-D7)&gt;0),(D19&gt;0)),(D19/(D4-D7)),"")</f>
      </c>
      <c r="E22" s="8">
        <f>IF(AND(((E4-E7)&gt;0),(E19&gt;0)),(E19/(E4-E7)),"")</f>
      </c>
      <c r="F22" s="8">
        <f>IF(AND(((F4-F7)&gt;0),(F19&gt;0)),(F19/(F4-F7)),"")</f>
      </c>
      <c r="G22" s="8">
        <f>IF(AND(((G4-G7)&gt;0),(G19&gt;0)),(G19/(G4-G7)),"")</f>
      </c>
      <c r="H22" s="8">
        <f>IF(AND(((H4-H7)&gt;0),(H19&gt;0)),(H19/(H4-H7)),"")</f>
        <v>1.8494236311239194</v>
      </c>
      <c r="I22" s="8">
        <f>IF(AND(((I4-I7)&gt;0),(I19&gt;0)),(I19/(I4-I7)),"")</f>
        <v>0.9263959390862944</v>
      </c>
    </row>
    <row r="23">
      <c r="A23" s="0" t="inlineStr">
        <is>
          <t xml:space="preserve">Deals won</t>
        </is>
      </c>
      <c r="B23" s="0" t="inlineStr">
        <is>
          <t xml:space="preserve">Enterprise</t>
        </is>
      </c>
      <c r="C23" s="4">
        <f>SUM('Team quarterly (region × segmen'!D62,'Team quarterly (region × segmen'!D65,'Team quarterly (region × segmen'!D68,'Team quarterly (region × segmen'!D71)</f>
        <v>2</v>
      </c>
      <c r="D23" s="4">
        <f>SUM('Team quarterly (region × segmen'!E62,'Team quarterly (region × segmen'!E65,'Team quarterly (region × segmen'!E68,'Team quarterly (region × segmen'!E71)</f>
        <v>11</v>
      </c>
      <c r="E23" s="4">
        <f>SUM('Team quarterly (region × segmen'!F62,'Team quarterly (region × segmen'!F65,'Team quarterly (region × segmen'!F68,'Team quarterly (region × segmen'!F71)</f>
        <v>6</v>
      </c>
      <c r="F23" s="4">
        <f>SUM('Team quarterly (region × segmen'!G62,'Team quarterly (region × segmen'!G65,'Team quarterly (region × segmen'!G68,'Team quarterly (region × segmen'!G71)</f>
        <v>10</v>
      </c>
      <c r="G23" s="4">
        <f>SUM('Team quarterly (region × segmen'!H62,'Team quarterly (region × segmen'!H65,'Team quarterly (region × segmen'!H68,'Team quarterly (region × segmen'!H71)</f>
        <v>15</v>
      </c>
      <c r="H23" s="4">
        <f>SUM('Team quarterly (region × segmen'!I62,'Team quarterly (region × segmen'!I65,'Team quarterly (region × segmen'!I68,'Team quarterly (region × segmen'!I71)</f>
        <v>14</v>
      </c>
      <c r="I23" s="4">
        <f>SUM('Team quarterly (region × segmen'!J62,'Team quarterly (region × segmen'!J65,'Team quarterly (region × segmen'!J68,'Team quarterly (region × segmen'!J71)</f>
        <v>0</v>
      </c>
    </row>
    <row r="24">
      <c r="A24" s="0" t="inlineStr">
        <is>
          <t xml:space="preserve">Deals won</t>
        </is>
      </c>
      <c r="B24" s="0" t="inlineStr">
        <is>
          <t xml:space="preserve">Mid-Market</t>
        </is>
      </c>
      <c r="C24" s="4">
        <f>SUM('Team quarterly (region × segmen'!D63,'Team quarterly (region × segmen'!D66,'Team quarterly (region × segmen'!D69,'Team quarterly (region × segmen'!D72)</f>
        <v>20</v>
      </c>
      <c r="D24" s="4">
        <f>SUM('Team quarterly (region × segmen'!E63,'Team quarterly (region × segmen'!E66,'Team quarterly (region × segmen'!E69,'Team quarterly (region × segmen'!E72)</f>
        <v>31</v>
      </c>
      <c r="E24" s="4">
        <f>SUM('Team quarterly (region × segmen'!F63,'Team quarterly (region × segmen'!F66,'Team quarterly (region × segmen'!F69,'Team quarterly (region × segmen'!F72)</f>
        <v>39</v>
      </c>
      <c r="F24" s="4">
        <f>SUM('Team quarterly (region × segmen'!G63,'Team quarterly (region × segmen'!G66,'Team quarterly (region × segmen'!G69,'Team quarterly (region × segmen'!G72)</f>
        <v>30</v>
      </c>
      <c r="G24" s="4">
        <f>SUM('Team quarterly (region × segmen'!H63,'Team quarterly (region × segmen'!H66,'Team quarterly (region × segmen'!H69,'Team quarterly (region × segmen'!H72)</f>
        <v>44</v>
      </c>
      <c r="H24" s="4">
        <f>SUM('Team quarterly (region × segmen'!I63,'Team quarterly (region × segmen'!I66,'Team quarterly (region × segmen'!I69,'Team quarterly (region × segmen'!I72)</f>
        <v>38</v>
      </c>
      <c r="I24" s="4">
        <f>SUM('Team quarterly (region × segmen'!J63,'Team quarterly (region × segmen'!J66,'Team quarterly (region × segmen'!J69,'Team quarterly (region × segmen'!J72)</f>
        <v>0</v>
      </c>
    </row>
    <row r="25">
      <c r="A25" s="0" t="inlineStr">
        <is>
          <t xml:space="preserve">Deals won</t>
        </is>
      </c>
      <c r="B25" s="0" t="inlineStr">
        <is>
          <t xml:space="preserve">SMB</t>
        </is>
      </c>
      <c r="C25" s="4">
        <f>SUM('Team quarterly (region × segmen'!D64,'Team quarterly (region × segmen'!D67,'Team quarterly (region × segmen'!D70,'Team quarterly (region × segmen'!D73)</f>
        <v>29</v>
      </c>
      <c r="D25" s="4">
        <f>SUM('Team quarterly (region × segmen'!E64,'Team quarterly (region × segmen'!E67,'Team quarterly (region × segmen'!E70,'Team quarterly (region × segmen'!E73)</f>
        <v>60</v>
      </c>
      <c r="E25" s="4">
        <f>SUM('Team quarterly (region × segmen'!F64,'Team quarterly (region × segmen'!F67,'Team quarterly (region × segmen'!F70,'Team quarterly (region × segmen'!F73)</f>
        <v>49</v>
      </c>
      <c r="F25" s="4">
        <f>SUM('Team quarterly (region × segmen'!G64,'Team quarterly (region × segmen'!G67,'Team quarterly (region × segmen'!G70,'Team quarterly (region × segmen'!G73)</f>
        <v>52</v>
      </c>
      <c r="G25" s="4">
        <f>SUM('Team quarterly (region × segmen'!H64,'Team quarterly (region × segmen'!H67,'Team quarterly (region × segmen'!H70,'Team quarterly (region × segmen'!H73)</f>
        <v>50</v>
      </c>
      <c r="H25" s="4">
        <f>SUM('Team quarterly (region × segmen'!I64,'Team quarterly (region × segmen'!I67,'Team quarterly (region × segmen'!I70,'Team quarterly (region × segmen'!I73)</f>
        <v>48</v>
      </c>
      <c r="I25" s="4">
        <f>SUM('Team quarterly (region × segmen'!J64,'Team quarterly (region × segmen'!J67,'Team quarterly (region × segmen'!J70,'Team quarterly (region × segmen'!J73)</f>
        <v>0</v>
      </c>
    </row>
    <row r="26">
      <c r="A26" s="0" t="inlineStr">
        <is>
          <t xml:space="preserve">Deals lost</t>
        </is>
      </c>
      <c r="B26" s="0" t="inlineStr">
        <is>
          <t xml:space="preserve">Enterprise</t>
        </is>
      </c>
      <c r="C26" s="4">
        <f>SUM('Team quarterly (region × segmen'!D74,'Team quarterly (region × segmen'!D77,'Team quarterly (region × segmen'!D80,'Team quarterly (region × segmen'!D83)</f>
        <v>0</v>
      </c>
      <c r="D26" s="4">
        <f>SUM('Team quarterly (region × segmen'!E74,'Team quarterly (region × segmen'!E77,'Team quarterly (region × segmen'!E80,'Team quarterly (region × segmen'!E83)</f>
        <v>30</v>
      </c>
      <c r="E26" s="4">
        <f>SUM('Team quarterly (region × segmen'!F74,'Team quarterly (region × segmen'!F77,'Team quarterly (region × segmen'!F80,'Team quarterly (region × segmen'!F83)</f>
        <v>25</v>
      </c>
      <c r="F26" s="4">
        <f>SUM('Team quarterly (region × segmen'!G74,'Team quarterly (region × segmen'!G77,'Team quarterly (region × segmen'!G80,'Team quarterly (region × segmen'!G83)</f>
        <v>26</v>
      </c>
      <c r="G26" s="4">
        <f>SUM('Team quarterly (region × segmen'!H74,'Team quarterly (region × segmen'!H77,'Team quarterly (region × segmen'!H80,'Team quarterly (region × segmen'!H83)</f>
        <v>31</v>
      </c>
      <c r="H26" s="4">
        <f>SUM('Team quarterly (region × segmen'!I74,'Team quarterly (region × segmen'!I77,'Team quarterly (region × segmen'!I80,'Team quarterly (region × segmen'!I83)</f>
        <v>30</v>
      </c>
      <c r="I26" s="4">
        <f>SUM('Team quarterly (region × segmen'!J74,'Team quarterly (region × segmen'!J77,'Team quarterly (region × segmen'!J80,'Team quarterly (region × segmen'!J83)</f>
        <v>0</v>
      </c>
    </row>
    <row r="27">
      <c r="A27" s="0" t="inlineStr">
        <is>
          <t xml:space="preserve">Deals lost</t>
        </is>
      </c>
      <c r="B27" s="0" t="inlineStr">
        <is>
          <t xml:space="preserve">Mid-Market</t>
        </is>
      </c>
      <c r="C27" s="4">
        <f>SUM('Team quarterly (region × segmen'!D75,'Team quarterly (region × segmen'!D78,'Team quarterly (region × segmen'!D81,'Team quarterly (region × segmen'!D84)</f>
        <v>32</v>
      </c>
      <c r="D27" s="4">
        <f>SUM('Team quarterly (region × segmen'!E75,'Team quarterly (region × segmen'!E78,'Team quarterly (region × segmen'!E81,'Team quarterly (region × segmen'!E84)</f>
        <v>84</v>
      </c>
      <c r="E27" s="4">
        <f>SUM('Team quarterly (region × segmen'!F75,'Team quarterly (region × segmen'!F78,'Team quarterly (region × segmen'!F81,'Team quarterly (region × segmen'!F84)</f>
        <v>60</v>
      </c>
      <c r="F27" s="4">
        <f>SUM('Team quarterly (region × segmen'!G75,'Team quarterly (region × segmen'!G78,'Team quarterly (region × segmen'!G81,'Team quarterly (region × segmen'!G84)</f>
        <v>68</v>
      </c>
      <c r="G27" s="4">
        <f>SUM('Team quarterly (region × segmen'!H75,'Team quarterly (region × segmen'!H78,'Team quarterly (region × segmen'!H81,'Team quarterly (region × segmen'!H84)</f>
        <v>77</v>
      </c>
      <c r="H27" s="4">
        <f>SUM('Team quarterly (region × segmen'!I75,'Team quarterly (region × segmen'!I78,'Team quarterly (region × segmen'!I81,'Team quarterly (region × segmen'!I84)</f>
        <v>60</v>
      </c>
      <c r="I27" s="4">
        <f>SUM('Team quarterly (region × segmen'!J75,'Team quarterly (region × segmen'!J78,'Team quarterly (region × segmen'!J81,'Team quarterly (region × segmen'!J84)</f>
        <v>0</v>
      </c>
    </row>
    <row r="28">
      <c r="A28" s="0" t="inlineStr">
        <is>
          <t xml:space="preserve">Deals lost</t>
        </is>
      </c>
      <c r="B28" s="0" t="inlineStr">
        <is>
          <t xml:space="preserve">SMB</t>
        </is>
      </c>
      <c r="C28" s="4">
        <f>SUM('Team quarterly (region × segmen'!D76,'Team quarterly (region × segmen'!D79,'Team quarterly (region × segmen'!D82,'Team quarterly (region × segmen'!D85)</f>
        <v>75</v>
      </c>
      <c r="D28" s="4">
        <f>SUM('Team quarterly (region × segmen'!E76,'Team quarterly (region × segmen'!E79,'Team quarterly (region × segmen'!E82,'Team quarterly (region × segmen'!E85)</f>
        <v>90</v>
      </c>
      <c r="E28" s="4">
        <f>SUM('Team quarterly (region × segmen'!F76,'Team quarterly (region × segmen'!F79,'Team quarterly (region × segmen'!F82,'Team quarterly (region × segmen'!F85)</f>
        <v>74</v>
      </c>
      <c r="F28" s="4">
        <f>SUM('Team quarterly (region × segmen'!G76,'Team quarterly (region × segmen'!G79,'Team quarterly (region × segmen'!G82,'Team quarterly (region × segmen'!G85)</f>
        <v>72</v>
      </c>
      <c r="G28" s="4">
        <f>SUM('Team quarterly (region × segmen'!H76,'Team quarterly (region × segmen'!H79,'Team quarterly (region × segmen'!H82,'Team quarterly (region × segmen'!H85)</f>
        <v>100</v>
      </c>
      <c r="H28" s="4">
        <f>SUM('Team quarterly (region × segmen'!I76,'Team quarterly (region × segmen'!I79,'Team quarterly (region × segmen'!I82,'Team quarterly (region × segmen'!I85)</f>
        <v>74</v>
      </c>
      <c r="I28" s="4">
        <f>SUM('Team quarterly (region × segmen'!J76,'Team quarterly (region × segmen'!J79,'Team quarterly (region × segmen'!J82,'Team quarterly (region × segmen'!J85)</f>
        <v>0</v>
      </c>
    </row>
    <row r="29">
      <c r="A29" s="0" t="inlineStr">
        <is>
          <t xml:space="preserve">Win rate</t>
        </is>
      </c>
      <c r="B29" s="0" t="inlineStr">
        <is>
          <t xml:space="preserve">Enterprise</t>
        </is>
      </c>
      <c r="C29" s="12">
        <f>IF((0=1),"",IFERROR((C23/(C23+C26)),0))</f>
        <v>1</v>
      </c>
      <c r="D29" s="12">
        <f>IF((0=1),"",IFERROR((D23/(D23+D26)),0))</f>
        <v>0.2682926829268293</v>
      </c>
      <c r="E29" s="12">
        <f>IF((0=1),"",IFERROR((E23/(E23+E26)),0))</f>
        <v>0.1935483870967742</v>
      </c>
      <c r="F29" s="12">
        <f>IF((0=1),"",IFERROR((F23/(F23+F26)),0))</f>
        <v>0.2777777777777778</v>
      </c>
      <c r="G29" s="12">
        <f>IF((0=1),"",IFERROR((G23/(G23+G26)),0))</f>
        <v>0.32608695652173914</v>
      </c>
      <c r="H29" s="12">
        <f>IF((0=1),"",IFERROR((H23/(H23+H26)),0))</f>
        <v>0.3181818181818182</v>
      </c>
      <c r="I29" s="12">
        <f>IF((1=1),"",IFERROR((I23/(I23+I26)),0))</f>
      </c>
    </row>
    <row r="30">
      <c r="A30" s="0" t="inlineStr">
        <is>
          <t xml:space="preserve">Win rate</t>
        </is>
      </c>
      <c r="B30" s="0" t="inlineStr">
        <is>
          <t xml:space="preserve">Mid-Market</t>
        </is>
      </c>
      <c r="C30" s="12">
        <f>IF((0=1),"",IFERROR((C24/(C24+C27)),0))</f>
        <v>0.38461538461538464</v>
      </c>
      <c r="D30" s="12">
        <f>IF((0=1),"",IFERROR((D24/(D24+D27)),0))</f>
        <v>0.26956521739130435</v>
      </c>
      <c r="E30" s="12">
        <f>IF((0=1),"",IFERROR((E24/(E24+E27)),0))</f>
        <v>0.3939393939393939</v>
      </c>
      <c r="F30" s="12">
        <f>IF((0=1),"",IFERROR((F24/(F24+F27)),0))</f>
        <v>0.30612244897959184</v>
      </c>
      <c r="G30" s="12">
        <f>IF((0=1),"",IFERROR((G24/(G24+G27)),0))</f>
        <v>0.36363636363636365</v>
      </c>
      <c r="H30" s="12">
        <f>IF((0=1),"",IFERROR((H24/(H24+H27)),0))</f>
        <v>0.3877551020408163</v>
      </c>
      <c r="I30" s="12">
        <f>IF((1=1),"",IFERROR((I24/(I24+I27)),0))</f>
      </c>
    </row>
    <row r="31">
      <c r="A31" s="0" t="inlineStr">
        <is>
          <t xml:space="preserve">Win rate</t>
        </is>
      </c>
      <c r="B31" s="0" t="inlineStr">
        <is>
          <t xml:space="preserve">SMB</t>
        </is>
      </c>
      <c r="C31" s="12">
        <f>IF((0=1),"",IFERROR((C25/(C25+C28)),0))</f>
        <v>0.27884615384615385</v>
      </c>
      <c r="D31" s="12">
        <f>IF((0=1),"",IFERROR((D25/(D25+D28)),0))</f>
        <v>0.4</v>
      </c>
      <c r="E31" s="12">
        <f>IF((0=1),"",IFERROR((E25/(E25+E28)),0))</f>
        <v>0.3983739837398374</v>
      </c>
      <c r="F31" s="12">
        <f>IF((0=1),"",IFERROR((F25/(F25+F28)),0))</f>
        <v>0.41935483870967744</v>
      </c>
      <c r="G31" s="12">
        <f>IF((0=1),"",IFERROR((G25/(G25+G28)),0))</f>
        <v>0.3333333333333333</v>
      </c>
      <c r="H31" s="12">
        <f>IF((0=1),"",IFERROR((H25/(H25+H28)),0))</f>
        <v>0.39344262295081966</v>
      </c>
      <c r="I31" s="12">
        <f>IF((1=1),"",IFERROR((I25/(I25+I28)),0))</f>
      </c>
    </row>
    <row r="32">
      <c r="A32" s="0" t="inlineStr">
        <is>
          <t xml:space="preserve">Average deal</t>
        </is>
      </c>
      <c r="B32" s="0" t="inlineStr">
        <is>
          <t xml:space="preserve">Enterprise</t>
        </is>
      </c>
      <c r="C32" s="8">
        <f>IF((0=1),"",IFERROR((C5/C23),0))</f>
        <v>172750</v>
      </c>
      <c r="D32" s="8">
        <f>IF((0=1),"",IFERROR((D5/D23),0))</f>
        <v>118772.72727272728</v>
      </c>
      <c r="E32" s="8">
        <f>IF((0=1),"",IFERROR((E5/E23),0))</f>
        <v>89516.66666666667</v>
      </c>
      <c r="F32" s="8">
        <f>IF((0=1),"",IFERROR((F5/F23),0))</f>
        <v>260960</v>
      </c>
      <c r="G32" s="8">
        <f>IF((0=1),"",IFERROR((G5/G23),0))</f>
        <v>103340</v>
      </c>
      <c r="H32" s="8">
        <f>IF((0=1),"",IFERROR((H5/H23),0))</f>
        <v>147385.7142857143</v>
      </c>
      <c r="I32" s="8">
        <f>IF((1=1),"",IFERROR((I5/I23),0))</f>
      </c>
    </row>
    <row r="33">
      <c r="A33" s="0" t="inlineStr">
        <is>
          <t xml:space="preserve">Average deal</t>
        </is>
      </c>
      <c r="B33" s="0" t="inlineStr">
        <is>
          <t xml:space="preserve">Mid-Market</t>
        </is>
      </c>
      <c r="C33" s="8">
        <f>IF((0=1),"",IFERROR((C6/C24),0))</f>
        <v>40425</v>
      </c>
      <c r="D33" s="8">
        <f>IF((0=1),"",IFERROR((D6/D24),0))</f>
        <v>40525.8064516129</v>
      </c>
      <c r="E33" s="8">
        <f>IF((0=1),"",IFERROR((E6/E24),0))</f>
        <v>40341.02564102564</v>
      </c>
      <c r="F33" s="8">
        <f>IF((0=1),"",IFERROR((F6/F24),0))</f>
        <v>40883.333333333336</v>
      </c>
      <c r="G33" s="8">
        <f>IF((0=1),"",IFERROR((G6/G24),0))</f>
        <v>38134.09090909091</v>
      </c>
      <c r="H33" s="8">
        <f>IF((0=1),"",IFERROR((H6/H24),0))</f>
        <v>37136.84210526316</v>
      </c>
      <c r="I33" s="8">
        <f>IF((1=1),"",IFERROR((I6/I24),0))</f>
      </c>
    </row>
    <row r="34">
      <c r="A34" s="0" t="inlineStr">
        <is>
          <t xml:space="preserve">Average deal</t>
        </is>
      </c>
      <c r="B34" s="0" t="inlineStr">
        <is>
          <t xml:space="preserve">SMB</t>
        </is>
      </c>
      <c r="C34" s="8">
        <f>IF((0=1),"",IFERROR((C7/C25),0))</f>
        <v>10931.034482758621</v>
      </c>
      <c r="D34" s="8">
        <f>IF((0=1),"",IFERROR((D7/D25),0))</f>
        <v>12416.666666666666</v>
      </c>
      <c r="E34" s="8">
        <f>IF((0=1),"",IFERROR((E7/E25),0))</f>
        <v>13793.877551020409</v>
      </c>
      <c r="F34" s="8">
        <f>IF((0=1),"",IFERROR((F7/F25),0))</f>
        <v>12036.538461538461</v>
      </c>
      <c r="G34" s="8">
        <f>IF((0=1),"",IFERROR((G7/G25),0))</f>
        <v>12540</v>
      </c>
      <c r="H34" s="8">
        <f>IF((0=1),"",IFERROR((H7/H25),0))</f>
        <v>13108.333333333334</v>
      </c>
      <c r="I34" s="8">
        <f>IF((1=1),"",IFERROR((I7/I25),0))</f>
      </c>
    </row>
    <row r="35">
      <c r="A35" s="0" t="inlineStr">
        <is>
          <t xml:space="preserve">New-logo bookings</t>
        </is>
      </c>
      <c r="B35" s="0" t="inlineStr">
        <is>
          <t xml:space="preserve">Enterprise</t>
        </is>
      </c>
      <c r="C35" s="4">
        <f>SUM('Team quarterly (region × segmen'!D110,'Team quarterly (region × segmen'!D113,'Team quarterly (region × segmen'!D116,'Team quarterly (region × segmen'!D119)</f>
        <v>345500</v>
      </c>
      <c r="D35" s="4">
        <f>SUM('Team quarterly (region × segmen'!E110,'Team quarterly (region × segmen'!E113,'Team quarterly (region × segmen'!E116,'Team quarterly (region × segmen'!E119)</f>
        <v>969900</v>
      </c>
      <c r="E35" s="4">
        <f>SUM('Team quarterly (region × segmen'!F110,'Team quarterly (region × segmen'!F113,'Team quarterly (region × segmen'!F116,'Team quarterly (region × segmen'!F119)</f>
        <v>409100</v>
      </c>
      <c r="F35" s="4">
        <f>SUM('Team quarterly (region × segmen'!G110,'Team quarterly (region × segmen'!G113,'Team quarterly (region × segmen'!G116,'Team quarterly (region × segmen'!G119)</f>
        <v>2461500</v>
      </c>
      <c r="G35" s="4">
        <f>SUM('Team quarterly (region × segmen'!H110,'Team quarterly (region × segmen'!H113,'Team quarterly (region × segmen'!H116,'Team quarterly (region × segmen'!H119)</f>
        <v>1049800</v>
      </c>
      <c r="H35" s="4">
        <f>SUM('Team quarterly (region × segmen'!I110,'Team quarterly (region × segmen'!I113,'Team quarterly (region × segmen'!I116,'Team quarterly (region × segmen'!I119)</f>
        <v>1859900</v>
      </c>
      <c r="I35" s="4">
        <f>SUM('Team quarterly (region × segmen'!J110,'Team quarterly (region × segmen'!J113,'Team quarterly (region × segmen'!J116,'Team quarterly (region × segmen'!J119)</f>
        <v>0</v>
      </c>
    </row>
    <row r="36">
      <c r="A36" s="0" t="inlineStr">
        <is>
          <t xml:space="preserve">New-logo bookings</t>
        </is>
      </c>
      <c r="B36" s="0" t="inlineStr">
        <is>
          <t xml:space="preserve">Mid-Market</t>
        </is>
      </c>
      <c r="C36" s="4">
        <f>SUM('Team quarterly (region × segmen'!D111,'Team quarterly (region × segmen'!D114,'Team quarterly (region × segmen'!D117,'Team quarterly (region × segmen'!D120)</f>
        <v>590100</v>
      </c>
      <c r="D36" s="4">
        <f>SUM('Team quarterly (region × segmen'!E111,'Team quarterly (region × segmen'!E114,'Team quarterly (region × segmen'!E117,'Team quarterly (region × segmen'!E120)</f>
        <v>1056900</v>
      </c>
      <c r="E36" s="4">
        <f>SUM('Team quarterly (region × segmen'!F111,'Team quarterly (region × segmen'!F114,'Team quarterly (region × segmen'!F117,'Team quarterly (region × segmen'!F120)</f>
        <v>1293900</v>
      </c>
      <c r="F36" s="4">
        <f>SUM('Team quarterly (region × segmen'!G111,'Team quarterly (region × segmen'!G114,'Team quarterly (region × segmen'!G117,'Team quarterly (region × segmen'!G120)</f>
        <v>826400</v>
      </c>
      <c r="G36" s="4">
        <f>SUM('Team quarterly (region × segmen'!H111,'Team quarterly (region × segmen'!H114,'Team quarterly (region × segmen'!H117,'Team quarterly (region × segmen'!H120)</f>
        <v>1354900</v>
      </c>
      <c r="H36" s="4">
        <f>SUM('Team quarterly (region × segmen'!I111,'Team quarterly (region × segmen'!I114,'Team quarterly (region × segmen'!I117,'Team quarterly (region × segmen'!I120)</f>
        <v>1089900</v>
      </c>
      <c r="I36" s="4">
        <f>SUM('Team quarterly (region × segmen'!J111,'Team quarterly (region × segmen'!J114,'Team quarterly (region × segmen'!J117,'Team quarterly (region × segmen'!J120)</f>
        <v>0</v>
      </c>
    </row>
    <row r="37">
      <c r="A37" s="0" t="inlineStr">
        <is>
          <t xml:space="preserve">New-logo bookings</t>
        </is>
      </c>
      <c r="B37" s="0" t="inlineStr">
        <is>
          <t xml:space="preserve">SMB</t>
        </is>
      </c>
      <c r="C37" s="4">
        <f>SUM('Team quarterly (region × segmen'!D112,'Team quarterly (region × segmen'!D115,'Team quarterly (region × segmen'!D118,'Team quarterly (region × segmen'!D121)</f>
        <v>229100</v>
      </c>
      <c r="D37" s="4">
        <f>SUM('Team quarterly (region × segmen'!E112,'Team quarterly (region × segmen'!E115,'Team quarterly (region × segmen'!E118,'Team quarterly (region × segmen'!E121)</f>
        <v>619600</v>
      </c>
      <c r="E37" s="4">
        <f>SUM('Team quarterly (region × segmen'!F112,'Team quarterly (region × segmen'!F115,'Team quarterly (region × segmen'!F118,'Team quarterly (region × segmen'!F121)</f>
        <v>605400</v>
      </c>
      <c r="F37" s="4">
        <f>SUM('Team quarterly (region × segmen'!G112,'Team quarterly (region × segmen'!G115,'Team quarterly (region × segmen'!G118,'Team quarterly (region × segmen'!G121)</f>
        <v>488600</v>
      </c>
      <c r="G37" s="4">
        <f>SUM('Team quarterly (region × segmen'!H112,'Team quarterly (region × segmen'!H115,'Team quarterly (region × segmen'!H118,'Team quarterly (region × segmen'!H121)</f>
        <v>454800</v>
      </c>
      <c r="H37" s="4">
        <f>SUM('Team quarterly (region × segmen'!I112,'Team quarterly (region × segmen'!I115,'Team quarterly (region × segmen'!I118,'Team quarterly (region × segmen'!I121)</f>
        <v>521800</v>
      </c>
      <c r="I37" s="4">
        <f>SUM('Team quarterly (region × segmen'!J112,'Team quarterly (region × segmen'!J115,'Team quarterly (region × segmen'!J118,'Team quarterly (region × segmen'!J121)</f>
        <v>0</v>
      </c>
    </row>
    <row r="38">
      <c r="A38" s="0" t="inlineStr">
        <is>
          <t xml:space="preserve">Average sales cycle (days, won)</t>
        </is>
      </c>
      <c r="B38" s="0" t="inlineStr">
        <is>
          <t xml:space="preserve">Enterprise</t>
        </is>
      </c>
      <c r="C38" s="8">
        <f>IFERROR((SUMIFS('Opportunities'!$O$2:$O$1775,'Opportunities'!$W$2:$W$1775,"=enterprise",'Opportunities'!$P$2:$P$1775,"=1",'Opportunities'!$X$2:$X$1775,"=q2_2025")/COUNTIFS('Opportunities'!$W$2:$W$1775,"=enterprise",'Opportunities'!$P$2:$P$1775,"=1",'Opportunities'!$X$2:$X$1775,"=q2_2025",'Opportunities'!$O$2:$O$1775,"&lt;&gt;")),"")</f>
        <v>54</v>
      </c>
      <c r="D38" s="8">
        <f>IFERROR((SUMIFS('Opportunities'!$O$2:$O$1775,'Opportunities'!$W$2:$W$1775,"=enterprise",'Opportunities'!$P$2:$P$1775,"=1",'Opportunities'!$X$2:$X$1775,"=q3_2025")/COUNTIFS('Opportunities'!$W$2:$W$1775,"=enterprise",'Opportunities'!$P$2:$P$1775,"=1",'Opportunities'!$X$2:$X$1775,"=q3_2025",'Opportunities'!$O$2:$O$1775,"&lt;&gt;")),"")</f>
        <v>103.45454545454545</v>
      </c>
      <c r="E38" s="8">
        <f>IFERROR((SUMIFS('Opportunities'!$O$2:$O$1775,'Opportunities'!$W$2:$W$1775,"=enterprise",'Opportunities'!$P$2:$P$1775,"=1",'Opportunities'!$X$2:$X$1775,"=q4_2025")/COUNTIFS('Opportunities'!$W$2:$W$1775,"=enterprise",'Opportunities'!$P$2:$P$1775,"=1",'Opportunities'!$X$2:$X$1775,"=q4_2025",'Opportunities'!$O$2:$O$1775,"&lt;&gt;")),"")</f>
        <v>103.16666666666667</v>
      </c>
      <c r="F38" s="8">
        <f>IFERROR((SUMIFS('Opportunities'!$O$2:$O$1775,'Opportunities'!$W$2:$W$1775,"=enterprise",'Opportunities'!$P$2:$P$1775,"=1",'Opportunities'!$X$2:$X$1775,"=q1_2026")/COUNTIFS('Opportunities'!$W$2:$W$1775,"=enterprise",'Opportunities'!$P$2:$P$1775,"=1",'Opportunities'!$X$2:$X$1775,"=q1_2026",'Opportunities'!$O$2:$O$1775,"&lt;&gt;")),"")</f>
        <v>148.1</v>
      </c>
      <c r="G38" s="8">
        <f>IFERROR((SUMIFS('Opportunities'!$O$2:$O$1775,'Opportunities'!$W$2:$W$1775,"=enterprise",'Opportunities'!$P$2:$P$1775,"=1",'Opportunities'!$X$2:$X$1775,"=q2_2026")/COUNTIFS('Opportunities'!$W$2:$W$1775,"=enterprise",'Opportunities'!$P$2:$P$1775,"=1",'Opportunities'!$X$2:$X$1775,"=q2_2026",'Opportunities'!$O$2:$O$1775,"&lt;&gt;")),"")</f>
        <v>142</v>
      </c>
      <c r="H38" s="8">
        <f>IFERROR((SUMIFS('Opportunities'!$O$2:$O$1775,'Opportunities'!$W$2:$W$1775,"=enterprise",'Opportunities'!$P$2:$P$1775,"=1",'Opportunities'!$X$2:$X$1775,"=q3_2026")/COUNTIFS('Opportunities'!$W$2:$W$1775,"=enterprise",'Opportunities'!$P$2:$P$1775,"=1",'Opportunities'!$X$2:$X$1775,"=q3_2026",'Opportunities'!$O$2:$O$1775,"&lt;&gt;")),"")</f>
        <v>116.07142857142857</v>
      </c>
      <c r="I38" s="8">
        <f>IFERROR((SUMIFS('Opportunities'!$O$2:$O$1775,'Opportunities'!$W$2:$W$1775,"=enterprise",'Opportunities'!$P$2:$P$1775,"=1",'Opportunities'!$X$2:$X$1775,"=q4_2026")/COUNTIFS('Opportunities'!$W$2:$W$1775,"=enterprise",'Opportunities'!$P$2:$P$1775,"=1",'Opportunities'!$X$2:$X$1775,"=q4_2026",'Opportunities'!$O$2:$O$1775,"&lt;&gt;")),"")</f>
      </c>
    </row>
    <row r="39">
      <c r="A39" s="0" t="inlineStr">
        <is>
          <t xml:space="preserve">Average sales cycle (days, won)</t>
        </is>
      </c>
      <c r="B39" s="0" t="inlineStr">
        <is>
          <t xml:space="preserve">Mid-Market</t>
        </is>
      </c>
      <c r="C39" s="8">
        <f>IFERROR((SUMIFS('Opportunities'!$O$2:$O$1775,'Opportunities'!$W$2:$W$1775,"=mid_market",'Opportunities'!$P$2:$P$1775,"=1",'Opportunities'!$X$2:$X$1775,"=q2_2025")/COUNTIFS('Opportunities'!$W$2:$W$1775,"=mid_market",'Opportunities'!$P$2:$P$1775,"=1",'Opportunities'!$X$2:$X$1775,"=q2_2025",'Opportunities'!$O$2:$O$1775,"&lt;&gt;")),"")</f>
        <v>51.5</v>
      </c>
      <c r="D39" s="8">
        <f>IFERROR((SUMIFS('Opportunities'!$O$2:$O$1775,'Opportunities'!$W$2:$W$1775,"=mid_market",'Opportunities'!$P$2:$P$1775,"=1",'Opportunities'!$X$2:$X$1775,"=q3_2025")/COUNTIFS('Opportunities'!$W$2:$W$1775,"=mid_market",'Opportunities'!$P$2:$P$1775,"=1",'Opportunities'!$X$2:$X$1775,"=q3_2025",'Opportunities'!$O$2:$O$1775,"&lt;&gt;")),"")</f>
        <v>73.38709677419355</v>
      </c>
      <c r="E39" s="8">
        <f>IFERROR((SUMIFS('Opportunities'!$O$2:$O$1775,'Opportunities'!$W$2:$W$1775,"=mid_market",'Opportunities'!$P$2:$P$1775,"=1",'Opportunities'!$X$2:$X$1775,"=q4_2025")/COUNTIFS('Opportunities'!$W$2:$W$1775,"=mid_market",'Opportunities'!$P$2:$P$1775,"=1",'Opportunities'!$X$2:$X$1775,"=q4_2025",'Opportunities'!$O$2:$O$1775,"&lt;&gt;")),"")</f>
        <v>65.53846153846153</v>
      </c>
      <c r="F39" s="8">
        <f>IFERROR((SUMIFS('Opportunities'!$O$2:$O$1775,'Opportunities'!$W$2:$W$1775,"=mid_market",'Opportunities'!$P$2:$P$1775,"=1",'Opportunities'!$X$2:$X$1775,"=q1_2026")/COUNTIFS('Opportunities'!$W$2:$W$1775,"=mid_market",'Opportunities'!$P$2:$P$1775,"=1",'Opportunities'!$X$2:$X$1775,"=q1_2026",'Opportunities'!$O$2:$O$1775,"&lt;&gt;")),"")</f>
        <v>65.03333333333333</v>
      </c>
      <c r="G39" s="8">
        <f>IFERROR((SUMIFS('Opportunities'!$O$2:$O$1775,'Opportunities'!$W$2:$W$1775,"=mid_market",'Opportunities'!$P$2:$P$1775,"=1",'Opportunities'!$X$2:$X$1775,"=q2_2026")/COUNTIFS('Opportunities'!$W$2:$W$1775,"=mid_market",'Opportunities'!$P$2:$P$1775,"=1",'Opportunities'!$X$2:$X$1775,"=q2_2026",'Opportunities'!$O$2:$O$1775,"&lt;&gt;")),"")</f>
        <v>72.54545454545455</v>
      </c>
      <c r="H39" s="8">
        <f>IFERROR((SUMIFS('Opportunities'!$O$2:$O$1775,'Opportunities'!$W$2:$W$1775,"=mid_market",'Opportunities'!$P$2:$P$1775,"=1",'Opportunities'!$X$2:$X$1775,"=q3_2026")/COUNTIFS('Opportunities'!$W$2:$W$1775,"=mid_market",'Opportunities'!$P$2:$P$1775,"=1",'Opportunities'!$X$2:$X$1775,"=q3_2026",'Opportunities'!$O$2:$O$1775,"&lt;&gt;")),"")</f>
        <v>57.78947368421053</v>
      </c>
      <c r="I39" s="8">
        <f>IFERROR((SUMIFS('Opportunities'!$O$2:$O$1775,'Opportunities'!$W$2:$W$1775,"=mid_market",'Opportunities'!$P$2:$P$1775,"=1",'Opportunities'!$X$2:$X$1775,"=q4_2026")/COUNTIFS('Opportunities'!$W$2:$W$1775,"=mid_market",'Opportunities'!$P$2:$P$1775,"=1",'Opportunities'!$X$2:$X$1775,"=q4_2026",'Opportunities'!$O$2:$O$1775,"&lt;&gt;")),"")</f>
      </c>
    </row>
    <row r="40">
      <c r="A40" s="0" t="inlineStr">
        <is>
          <t xml:space="preserve">Average sales cycle (days, won)</t>
        </is>
      </c>
      <c r="B40" s="0" t="inlineStr">
        <is>
          <t xml:space="preserve">SMB</t>
        </is>
      </c>
      <c r="C40" s="8">
        <f>IFERROR((SUMIFS('Opportunities'!$O$2:$O$1775,'Opportunities'!$W$2:$W$1775,"=smb",'Opportunities'!$P$2:$P$1775,"=1",'Opportunities'!$X$2:$X$1775,"=q2_2025")/COUNTIFS('Opportunities'!$W$2:$W$1775,"=smb",'Opportunities'!$P$2:$P$1775,"=1",'Opportunities'!$X$2:$X$1775,"=q2_2025",'Opportunities'!$O$2:$O$1775,"&lt;&gt;")),"")</f>
        <v>28.620689655172413</v>
      </c>
      <c r="D40" s="8">
        <f>IFERROR((SUMIFS('Opportunities'!$O$2:$O$1775,'Opportunities'!$W$2:$W$1775,"=smb",'Opportunities'!$P$2:$P$1775,"=1",'Opportunities'!$X$2:$X$1775,"=q3_2025")/COUNTIFS('Opportunities'!$W$2:$W$1775,"=smb",'Opportunities'!$P$2:$P$1775,"=1",'Opportunities'!$X$2:$X$1775,"=q3_2025",'Opportunities'!$O$2:$O$1775,"&lt;&gt;")),"")</f>
        <v>40.88333333333333</v>
      </c>
      <c r="E40" s="8">
        <f>IFERROR((SUMIFS('Opportunities'!$O$2:$O$1775,'Opportunities'!$W$2:$W$1775,"=smb",'Opportunities'!$P$2:$P$1775,"=1",'Opportunities'!$X$2:$X$1775,"=q4_2025")/COUNTIFS('Opportunities'!$W$2:$W$1775,"=smb",'Opportunities'!$P$2:$P$1775,"=1",'Opportunities'!$X$2:$X$1775,"=q4_2025",'Opportunities'!$O$2:$O$1775,"&lt;&gt;")),"")</f>
        <v>39.714285714285715</v>
      </c>
      <c r="F40" s="8">
        <f>IFERROR((SUMIFS('Opportunities'!$O$2:$O$1775,'Opportunities'!$W$2:$W$1775,"=smb",'Opportunities'!$P$2:$P$1775,"=1",'Opportunities'!$X$2:$X$1775,"=q1_2026")/COUNTIFS('Opportunities'!$W$2:$W$1775,"=smb",'Opportunities'!$P$2:$P$1775,"=1",'Opportunities'!$X$2:$X$1775,"=q1_2026",'Opportunities'!$O$2:$O$1775,"&lt;&gt;")),"")</f>
        <v>35.11538461538461</v>
      </c>
      <c r="G40" s="8">
        <f>IFERROR((SUMIFS('Opportunities'!$O$2:$O$1775,'Opportunities'!$W$2:$W$1775,"=smb",'Opportunities'!$P$2:$P$1775,"=1",'Opportunities'!$X$2:$X$1775,"=q2_2026")/COUNTIFS('Opportunities'!$W$2:$W$1775,"=smb",'Opportunities'!$P$2:$P$1775,"=1",'Opportunities'!$X$2:$X$1775,"=q2_2026",'Opportunities'!$O$2:$O$1775,"&lt;&gt;")),"")</f>
        <v>37.82</v>
      </c>
      <c r="H40" s="8">
        <f>IFERROR((SUMIFS('Opportunities'!$O$2:$O$1775,'Opportunities'!$W$2:$W$1775,"=smb",'Opportunities'!$P$2:$P$1775,"=1",'Opportunities'!$X$2:$X$1775,"=q3_2026")/COUNTIFS('Opportunities'!$W$2:$W$1775,"=smb",'Opportunities'!$P$2:$P$1775,"=1",'Opportunities'!$X$2:$X$1775,"=q3_2026",'Opportunities'!$O$2:$O$1775,"&lt;&gt;")),"")</f>
        <v>27</v>
      </c>
      <c r="I40" s="8">
        <f>IFERROR((SUMIFS('Opportunities'!$O$2:$O$1775,'Opportunities'!$W$2:$W$1775,"=smb",'Opportunities'!$P$2:$P$1775,"=1",'Opportunities'!$X$2:$X$1775,"=q4_2026")/COUNTIFS('Opportunities'!$W$2:$W$1775,"=smb",'Opportunities'!$P$2:$P$1775,"=1",'Opportunities'!$X$2:$X$1775,"=q4_2026",'Opportunities'!$O$2:$O$1775,"&lt;&gt;")),"")</f>
      </c>
    </row>
  </sheetData>
</worksheet>
</file>

<file path=xl/worksheets/sheet2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1" t="inlineStr">
        <is>
          <t xml:space="preserve">line</t>
        </is>
      </c>
      <c r="B1" s="1" t="inlineStr">
        <is>
          <t xml:space="preserve">Q2 2025</t>
        </is>
      </c>
      <c r="C1" s="1" t="inlineStr">
        <is>
          <t xml:space="preserve">Q3 2025</t>
        </is>
      </c>
      <c r="D1" s="1" t="inlineStr">
        <is>
          <t xml:space="preserve">Q4 2025</t>
        </is>
      </c>
      <c r="E1" s="1" t="inlineStr">
        <is>
          <t xml:space="preserve">Q1 2026</t>
        </is>
      </c>
      <c r="F1" s="1" t="inlineStr">
        <is>
          <t xml:space="preserve">Q2 2026</t>
        </is>
      </c>
      <c r="G1" s="1" t="inlineStr">
        <is>
          <t xml:space="preserve">Q3 2026</t>
        </is>
      </c>
      <c r="H1" s="1" t="inlineStr">
        <is>
          <t xml:space="preserve">Q4 2026</t>
        </is>
      </c>
    </row>
    <row r="2">
      <c r="A2" s="0" t="inlineStr">
        <is>
          <t xml:space="preserve">Quota</t>
        </is>
      </c>
      <c r="B2" s="4">
        <f>SUM('Team quarterly (region × segmen'!D14:D25)</f>
        <v>3622000</v>
      </c>
      <c r="C2" s="4">
        <f>SUM('Team quarterly (region × segmen'!E14:E25)</f>
        <v>3766000</v>
      </c>
      <c r="D2" s="4">
        <f>SUM('Team quarterly (region × segmen'!F14:F25)</f>
        <v>3872000</v>
      </c>
      <c r="E2" s="4">
        <f>SUM('Team quarterly (region × segmen'!G14:G25)</f>
        <v>4062000</v>
      </c>
      <c r="F2" s="4">
        <f>SUM('Team quarterly (region × segmen'!H14:H25)</f>
        <v>4273000</v>
      </c>
      <c r="G2" s="4">
        <f>SUM('Team quarterly (region × segmen'!I14:I25)</f>
        <v>4524000</v>
      </c>
      <c r="H2" s="4">
        <f>SUM('Team quarterly (region × segmen'!J14:J25)</f>
        <v>4776000</v>
      </c>
    </row>
    <row r="3">
      <c r="A3" s="0" t="inlineStr">
        <is>
          <t xml:space="preserve">Bookings</t>
        </is>
      </c>
      <c r="B3" s="4">
        <f>SUM('Team quarterly (region × segmen'!D26:D37)</f>
        <v>1471000</v>
      </c>
      <c r="C3" s="4">
        <f>SUM('Team quarterly (region × segmen'!E26:E37)</f>
        <v>3307800</v>
      </c>
      <c r="D3" s="4">
        <f>SUM('Team quarterly (region × segmen'!F26:F37)</f>
        <v>2786300</v>
      </c>
      <c r="E3" s="4">
        <f>SUM('Team quarterly (region × segmen'!G26:G37)</f>
        <v>4462000</v>
      </c>
      <c r="F3" s="4">
        <f>SUM('Team quarterly (region × segmen'!H26:H37)</f>
        <v>3855000</v>
      </c>
      <c r="G3" s="4">
        <f>SUM('Team quarterly (region × segmen'!I26:I37)</f>
        <v>4103800</v>
      </c>
      <c r="H3" s="4">
        <f>SUM('Team quarterly (region × segmen'!J26:J37)</f>
        <v>0</v>
      </c>
    </row>
    <row r="4">
      <c r="A4" s="0" t="inlineStr">
        <is>
          <t xml:space="preserve">Attainment</t>
        </is>
      </c>
      <c r="B4" s="12">
        <f>IF((0=1),"",IFERROR((B3/B2),0))</f>
        <v>0.40612921038100497</v>
      </c>
      <c r="C4" s="12">
        <f>IF((0=1),"",IFERROR((C3/C2),0))</f>
        <v>0.878332448220924</v>
      </c>
      <c r="D4" s="12">
        <f>IF((0=1),"",IFERROR((D3/D2),0))</f>
        <v>0.7196022727272727</v>
      </c>
      <c r="E4" s="12">
        <f>IF((0=1),"",IFERROR((E3/E2),0))</f>
        <v>1.0984736582964056</v>
      </c>
      <c r="F4" s="12">
        <f>IF((0=1),"",IFERROR((F3/F2),0))</f>
        <v>0.902176456821905</v>
      </c>
      <c r="G4" s="12">
        <f>IF((0=1),"",IFERROR((G3/G2),0))</f>
        <v>0.9071175950486295</v>
      </c>
      <c r="H4" s="12">
        <f>IF((1=1),"",IFERROR((H3/H2),0))</f>
      </c>
    </row>
    <row r="5">
      <c r="A5" s="0" t="inlineStr">
        <is>
          <t xml:space="preserve">Forecast (booked + weighted pipeline)</t>
        </is>
      </c>
      <c r="B5" s="4">
        <f>SUM('Team quarterly (region × segmen'!D182:D193)</f>
        <v>1471000</v>
      </c>
      <c r="C5" s="4">
        <f>SUM('Team quarterly (region × segmen'!E182:E193)</f>
        <v>3307800</v>
      </c>
      <c r="D5" s="4">
        <f>SUM('Team quarterly (region × segmen'!F182:F193)</f>
        <v>2786300</v>
      </c>
      <c r="E5" s="4">
        <f>SUM('Team quarterly (region × segmen'!G182:G193)</f>
        <v>4462000</v>
      </c>
      <c r="F5" s="4">
        <f>SUM('Team quarterly (region × segmen'!H182:H193)</f>
        <v>3855000</v>
      </c>
      <c r="G5" s="4">
        <f>SUM('Team quarterly (region × segmen'!I182:I193)</f>
        <v>5236720</v>
      </c>
      <c r="H5" s="4">
        <f>SUM('Team quarterly (region × segmen'!J182:J193)</f>
        <v>3226760</v>
      </c>
    </row>
    <row r="6">
      <c r="A6" s="0" t="inlineStr">
        <is>
          <t xml:space="preserve">Forecast attainment</t>
        </is>
      </c>
      <c r="B6" s="12">
        <f>IFERROR((B5/B2),0)</f>
        <v>0.40612921038100497</v>
      </c>
      <c r="C6" s="12">
        <f>IFERROR((C5/C2),0)</f>
        <v>0.878332448220924</v>
      </c>
      <c r="D6" s="12">
        <f>IFERROR((D5/D2),0)</f>
        <v>0.7196022727272727</v>
      </c>
      <c r="E6" s="12">
        <f>IFERROR((E5/E2),0)</f>
        <v>1.0984736582964056</v>
      </c>
      <c r="F6" s="12">
        <f>IFERROR((F5/F2),0)</f>
        <v>0.902176456821905</v>
      </c>
      <c r="G6" s="12">
        <f>IFERROR((G5/G2),0)</f>
        <v>1.1575419982316535</v>
      </c>
      <c r="H6" s="12">
        <f>IFERROR((H5/H2),0)</f>
        <v>0.6756197654941374</v>
      </c>
    </row>
    <row r="7">
      <c r="A7" s="0" t="inlineStr">
        <is>
          <t xml:space="preserve">Gap to quota</t>
        </is>
      </c>
      <c r="B7" s="4">
        <f>(B2-B3)</f>
        <v>2151000</v>
      </c>
      <c r="C7" s="4">
        <f>(C2-C3)</f>
        <v>458200</v>
      </c>
      <c r="D7" s="4">
        <f>(D2-D3)</f>
        <v>1085700</v>
      </c>
      <c r="E7" s="4">
        <f>(E2-E3)</f>
        <v>-400000</v>
      </c>
      <c r="F7" s="4">
        <f>(F2-F3)</f>
        <v>418000</v>
      </c>
      <c r="G7" s="4">
        <f>(G2-G3)</f>
        <v>420200</v>
      </c>
      <c r="H7" s="4">
        <f>(H2-H3)</f>
        <v>4776000</v>
      </c>
    </row>
    <row r="8">
      <c r="A8" s="0" t="inlineStr">
        <is>
          <t xml:space="preserve">Open pipeline</t>
        </is>
      </c>
      <c r="B8" s="4">
        <f>SUM('Team quarterly (region × segmen'!D134:D145)</f>
        <v>0</v>
      </c>
      <c r="C8" s="4">
        <f>SUM('Team quarterly (region × segmen'!E134:E145)</f>
        <v>0</v>
      </c>
      <c r="D8" s="4">
        <f>SUM('Team quarterly (region × segmen'!F134:F145)</f>
        <v>0</v>
      </c>
      <c r="E8" s="4">
        <f>SUM('Team quarterly (region × segmen'!G134:G145)</f>
        <v>0</v>
      </c>
      <c r="F8" s="4">
        <f>SUM('Team quarterly (region × segmen'!H134:H145)</f>
        <v>0</v>
      </c>
      <c r="G8" s="4">
        <f>SUM('Team quarterly (region × segmen'!I134:I145)</f>
        <v>2729600</v>
      </c>
      <c r="H8" s="4">
        <f>SUM('Team quarterly (region × segmen'!J134:J145)</f>
        <v>12207200</v>
      </c>
    </row>
    <row r="9">
      <c r="A9" s="0" t="inlineStr">
        <is>
          <t xml:space="preserve">Commit</t>
        </is>
      </c>
      <c r="B9" s="4">
        <f>SUM('Team quarterly (region × segmen'!D146:D157)</f>
        <v>0</v>
      </c>
      <c r="C9" s="4">
        <f>SUM('Team quarterly (region × segmen'!E146:E157)</f>
        <v>0</v>
      </c>
      <c r="D9" s="4">
        <f>SUM('Team quarterly (region × segmen'!F146:F157)</f>
        <v>0</v>
      </c>
      <c r="E9" s="4">
        <f>SUM('Team quarterly (region × segmen'!G146:G157)</f>
        <v>0</v>
      </c>
      <c r="F9" s="4">
        <f>SUM('Team quarterly (region × segmen'!H146:H157)</f>
        <v>0</v>
      </c>
      <c r="G9" s="4">
        <f>SUM('Team quarterly (region × segmen'!I146:I157)</f>
        <v>654300</v>
      </c>
      <c r="H9" s="4">
        <f>SUM('Team quarterly (region × segmen'!J146:J157)</f>
        <v>1564200</v>
      </c>
    </row>
    <row r="10">
      <c r="A10" s="0" t="inlineStr">
        <is>
          <t xml:space="preserve">Best case</t>
        </is>
      </c>
      <c r="B10" s="4">
        <f>SUM('Team quarterly (region × segmen'!D158:D169)</f>
        <v>0</v>
      </c>
      <c r="C10" s="4">
        <f>SUM('Team quarterly (region × segmen'!E158:E169)</f>
        <v>0</v>
      </c>
      <c r="D10" s="4">
        <f>SUM('Team quarterly (region × segmen'!F158:F169)</f>
        <v>0</v>
      </c>
      <c r="E10" s="4">
        <f>SUM('Team quarterly (region × segmen'!G158:G169)</f>
        <v>0</v>
      </c>
      <c r="F10" s="4">
        <f>SUM('Team quarterly (region × segmen'!H158:H169)</f>
        <v>0</v>
      </c>
      <c r="G10" s="4">
        <f>SUM('Team quarterly (region × segmen'!I158:I169)</f>
        <v>841300</v>
      </c>
      <c r="H10" s="4">
        <f>SUM('Team quarterly (region × segmen'!J158:J169)</f>
        <v>1886700</v>
      </c>
    </row>
    <row r="11">
      <c r="A11" s="0" t="inlineStr">
        <is>
          <t xml:space="preserve">Coverage of gap (x)</t>
        </is>
      </c>
      <c r="B11" s="8">
        <f>IF(AND((B7&gt;0),(B8&gt;0)),(B8/B7),"")</f>
      </c>
      <c r="C11" s="8">
        <f>IF(AND((C7&gt;0),(C8&gt;0)),(C8/C7),"")</f>
      </c>
      <c r="D11" s="8">
        <f>IF(AND((D7&gt;0),(D8&gt;0)),(D8/D7),"")</f>
      </c>
      <c r="E11" s="8">
        <f>IF(AND((E7&gt;0),(E8&gt;0)),(E8/E7),"")</f>
      </c>
      <c r="F11" s="8">
        <f>IF(AND((F7&gt;0),(F8&gt;0)),(F8/F7),"")</f>
      </c>
      <c r="G11" s="8">
        <f>IF(AND((G7&gt;0),(G8&gt;0)),(G8/G7),"")</f>
        <v>6.4959543074726325</v>
      </c>
      <c r="H11" s="8">
        <f>IF(AND((H7&gt;0),(H8&gt;0)),(H8/H7),"")</f>
        <v>2.5559463986599664</v>
      </c>
    </row>
    <row r="12">
      <c r="A12" s="0" t="inlineStr">
        <is>
          <t xml:space="preserve">Pipeline created</t>
        </is>
      </c>
      <c r="B12" s="4">
        <f>SUM('Team quarterly (region × segmen'!D122:D133)</f>
        <v>14814900</v>
      </c>
      <c r="C12" s="4">
        <f>SUM('Team quarterly (region × segmen'!E122:E133)</f>
        <v>10928300</v>
      </c>
      <c r="D12" s="4">
        <f>SUM('Team quarterly (region × segmen'!F122:F133)</f>
        <v>12542200</v>
      </c>
      <c r="E12" s="4">
        <f>SUM('Team quarterly (region × segmen'!G122:G133)</f>
        <v>14483900</v>
      </c>
      <c r="F12" s="4">
        <f>SUM('Team quarterly (region × segmen'!H122:H133)</f>
        <v>15986000</v>
      </c>
      <c r="G12" s="4">
        <f>SUM('Team quarterly (region × segmen'!I122:I133)</f>
        <v>11628200</v>
      </c>
      <c r="H12" s="4">
        <f>SUM('Team quarterly (region × segmen'!J122:J133)</f>
        <v>0</v>
      </c>
    </row>
    <row r="13">
      <c r="A13" s="0" t="inlineStr">
        <is>
          <t xml:space="preserve">Deals won</t>
        </is>
      </c>
      <c r="B13" s="4">
        <f>SUM('Team quarterly (region × segmen'!D62:D73)</f>
        <v>51</v>
      </c>
      <c r="C13" s="4">
        <f>SUM('Team quarterly (region × segmen'!E62:E73)</f>
        <v>102</v>
      </c>
      <c r="D13" s="4">
        <f>SUM('Team quarterly (region × segmen'!F62:F73)</f>
        <v>94</v>
      </c>
      <c r="E13" s="4">
        <f>SUM('Team quarterly (region × segmen'!G62:G73)</f>
        <v>92</v>
      </c>
      <c r="F13" s="4">
        <f>SUM('Team quarterly (region × segmen'!H62:H73)</f>
        <v>109</v>
      </c>
      <c r="G13" s="4">
        <f>SUM('Team quarterly (region × segmen'!I62:I73)</f>
        <v>100</v>
      </c>
      <c r="H13" s="4">
        <f>SUM('Team quarterly (region × segmen'!J62:J73)</f>
        <v>0</v>
      </c>
    </row>
    <row r="14">
      <c r="A14" s="0" t="inlineStr">
        <is>
          <t xml:space="preserve">Deals lost</t>
        </is>
      </c>
      <c r="B14" s="4">
        <f>SUM('Team quarterly (region × segmen'!D74:D85)</f>
        <v>107</v>
      </c>
      <c r="C14" s="4">
        <f>SUM('Team quarterly (region × segmen'!E74:E85)</f>
        <v>204</v>
      </c>
      <c r="D14" s="4">
        <f>SUM('Team quarterly (region × segmen'!F74:F85)</f>
        <v>159</v>
      </c>
      <c r="E14" s="4">
        <f>SUM('Team quarterly (region × segmen'!G74:G85)</f>
        <v>166</v>
      </c>
      <c r="F14" s="4">
        <f>SUM('Team quarterly (region × segmen'!H74:H85)</f>
        <v>208</v>
      </c>
      <c r="G14" s="4">
        <f>SUM('Team quarterly (region × segmen'!I74:I85)</f>
        <v>164</v>
      </c>
      <c r="H14" s="4">
        <f>SUM('Team quarterly (region × segmen'!J74:J85)</f>
        <v>0</v>
      </c>
    </row>
    <row r="15">
      <c r="A15" s="0" t="inlineStr">
        <is>
          <t xml:space="preserve">Win rate</t>
        </is>
      </c>
      <c r="B15" s="12">
        <f>IF((0=1),"",IFERROR((B13/(B13+B14)),0))</f>
        <v>0.3227848101265823</v>
      </c>
      <c r="C15" s="12">
        <f>IF((0=1),"",IFERROR((C13/(C13+C14)),0))</f>
        <v>0.3333333333333333</v>
      </c>
      <c r="D15" s="12">
        <f>IF((0=1),"",IFERROR((D13/(D13+D14)),0))</f>
        <v>0.3715415019762846</v>
      </c>
      <c r="E15" s="12">
        <f>IF((0=1),"",IFERROR((E13/(E13+E14)),0))</f>
        <v>0.35658914728682173</v>
      </c>
      <c r="F15" s="12">
        <f>IF((0=1),"",IFERROR((F13/(F13+F14)),0))</f>
        <v>0.3438485804416404</v>
      </c>
      <c r="G15" s="12">
        <f>IF((0=1),"",IFERROR((G13/(G13+G14)),0))</f>
        <v>0.3787878787878788</v>
      </c>
      <c r="H15" s="12">
        <f>IF((1=1),"",IFERROR((H13/(H13+H14)),0))</f>
      </c>
    </row>
    <row r="16">
      <c r="A16" s="0" t="inlineStr">
        <is>
          <t xml:space="preserve">Average deal</t>
        </is>
      </c>
      <c r="B16" s="8">
        <f>IF((0=1),"",IFERROR((B3/B13),0))</f>
        <v>28843.13725490196</v>
      </c>
      <c r="C16" s="8">
        <f>IF((0=1),"",IFERROR((C3/C13),0))</f>
        <v>32429.41176470588</v>
      </c>
      <c r="D16" s="8">
        <f>IF((0=1),"",IFERROR((D3/D13),0))</f>
        <v>29641.489361702126</v>
      </c>
      <c r="E16" s="8">
        <f>IF((0=1),"",IFERROR((E3/E13),0))</f>
        <v>48500</v>
      </c>
      <c r="F16" s="8">
        <f>IF((0=1),"",IFERROR((F3/F13),0))</f>
        <v>35366.97247706422</v>
      </c>
      <c r="G16" s="8">
        <f>IF((0=1),"",IFERROR((G3/G13),0))</f>
        <v>41038</v>
      </c>
      <c r="H16" s="8">
        <f>IF((1=1),"",IFERROR((H3/H13),0))</f>
      </c>
    </row>
    <row r="17">
      <c r="A17" s="0" t="inlineStr">
        <is>
          <t xml:space="preserve">Average sales cycle (days)</t>
        </is>
      </c>
      <c r="B17" s="8">
        <f>IFERROR((SUMIFS('Opportunities'!$O$2:$O$1775,'Opportunities'!$P$2:$P$1775,"=1",'Opportunities'!$X$2:$X$1775,"=q2_2025")/COUNTIFS('Opportunities'!$P$2:$P$1775,"=1",'Opportunities'!$X$2:$X$1775,"=q2_2025",'Opportunities'!$O$2:$O$1775,"&lt;&gt;")),"")</f>
        <v>38.588235294117645</v>
      </c>
      <c r="C17" s="8">
        <f>IFERROR((SUMIFS('Opportunities'!$O$2:$O$1775,'Opportunities'!$P$2:$P$1775,"=1",'Opportunities'!$X$2:$X$1775,"=q3_2025")/COUNTIFS('Opportunities'!$P$2:$P$1775,"=1",'Opportunities'!$X$2:$X$1775,"=q3_2025",'Opportunities'!$O$2:$O$1775,"&lt;&gt;")),"")</f>
        <v>57.509803921568626</v>
      </c>
      <c r="D17" s="8">
        <f>IFERROR((SUMIFS('Opportunities'!$O$2:$O$1775,'Opportunities'!$P$2:$P$1775,"=1",'Opportunities'!$X$2:$X$1775,"=q4_2025")/COUNTIFS('Opportunities'!$P$2:$P$1775,"=1",'Opportunities'!$X$2:$X$1775,"=q4_2025",'Opportunities'!$O$2:$O$1775,"&lt;&gt;")),"")</f>
        <v>54.47872340425532</v>
      </c>
      <c r="E17" s="8">
        <f>IFERROR((SUMIFS('Opportunities'!$O$2:$O$1775,'Opportunities'!$P$2:$P$1775,"=1",'Opportunities'!$X$2:$X$1775,"=q1_2026")/COUNTIFS('Opportunities'!$P$2:$P$1775,"=1",'Opportunities'!$X$2:$X$1775,"=q1_2026",'Opportunities'!$O$2:$O$1775,"&lt;&gt;")),"")</f>
        <v>57.15217391304348</v>
      </c>
      <c r="F17" s="8">
        <f>IFERROR((SUMIFS('Opportunities'!$O$2:$O$1775,'Opportunities'!$P$2:$P$1775,"=1",'Opportunities'!$X$2:$X$1775,"=q2_2026")/COUNTIFS('Opportunities'!$P$2:$P$1775,"=1",'Opportunities'!$X$2:$X$1775,"=q2_2026",'Opportunities'!$O$2:$O$1775,"&lt;&gt;")),"")</f>
        <v>66.1743119266055</v>
      </c>
      <c r="G17" s="8">
        <f>IFERROR((SUMIFS('Opportunities'!$O$2:$O$1775,'Opportunities'!$P$2:$P$1775,"=1",'Opportunities'!$X$2:$X$1775,"=q3_2026")/COUNTIFS('Opportunities'!$P$2:$P$1775,"=1",'Opportunities'!$X$2:$X$1775,"=q3_2026",'Opportunities'!$O$2:$O$1775,"&lt;&gt;")),"")</f>
        <v>51.17</v>
      </c>
      <c r="H17" s="8">
        <f>IFERROR((SUMIFS('Opportunities'!$O$2:$O$1775,'Opportunities'!$P$2:$P$1775,"=1",'Opportunities'!$X$2:$X$1775,"=q4_2026")/COUNTIFS('Opportunities'!$P$2:$P$1775,"=1",'Opportunities'!$X$2:$X$1775,"=q4_2026",'Opportunities'!$O$2:$O$1775,"&lt;&gt;")),"")</f>
      </c>
    </row>
    <row r="18">
      <c r="A18" s="0" t="inlineStr">
        <is>
          <t xml:space="preserve">New-logo bookings</t>
        </is>
      </c>
      <c r="B18" s="4">
        <f>SUM('Team quarterly (region × segmen'!D110:D121)</f>
        <v>1164700</v>
      </c>
      <c r="C18" s="4">
        <f>SUM('Team quarterly (region × segmen'!E110:E121)</f>
        <v>2646400</v>
      </c>
      <c r="D18" s="4">
        <f>SUM('Team quarterly (region × segmen'!F110:F121)</f>
        <v>2308400</v>
      </c>
      <c r="E18" s="4">
        <f>SUM('Team quarterly (region × segmen'!G110:G121)</f>
        <v>3776500</v>
      </c>
      <c r="F18" s="4">
        <f>SUM('Team quarterly (region × segmen'!H110:H121)</f>
        <v>2859500</v>
      </c>
      <c r="G18" s="4">
        <f>SUM('Team quarterly (region × segmen'!I110:I121)</f>
        <v>3471600</v>
      </c>
      <c r="H18" s="4">
        <f>SUM('Team quarterly (region × segmen'!J110:J121)</f>
        <v>0</v>
      </c>
    </row>
    <row r="19">
      <c r="A19" s="0" t="inlineStr">
        <is>
          <t xml:space="preserve">New-logo share of bookings</t>
        </is>
      </c>
      <c r="B19" s="12">
        <f>IFERROR((B18/B3),0)</f>
        <v>0.7917743031951053</v>
      </c>
      <c r="C19" s="12">
        <f>IFERROR((C18/C3),0)</f>
        <v>0.8000483705181691</v>
      </c>
      <c r="D19" s="12">
        <f>IFERROR((D18/D3),0)</f>
        <v>0.8284822165595952</v>
      </c>
      <c r="E19" s="12">
        <f>IFERROR((E18/E3),0)</f>
        <v>0.8463693411026445</v>
      </c>
      <c r="F19" s="12">
        <f>IFERROR((F18/F3),0)</f>
        <v>0.7417639429312581</v>
      </c>
      <c r="G19" s="12">
        <f>IFERROR((G18/G3),0)</f>
        <v>0.8459476582679468</v>
      </c>
      <c r="H19" s="12">
        <f>IFERROR((H18/H3),0)</f>
        <v>0</v>
      </c>
    </row>
    <row r="20">
      <c r="A20" s="0" t="inlineStr">
        <is>
          <t xml:space="preserve">Expansion bookings</t>
        </is>
      </c>
      <c r="B20" s="4">
        <f>(B3-B18)</f>
        <v>306300</v>
      </c>
      <c r="C20" s="4">
        <f>(C3-C18)</f>
        <v>661400</v>
      </c>
      <c r="D20" s="4">
        <f>(D3-D18)</f>
        <v>477900</v>
      </c>
      <c r="E20" s="4">
        <f>(E3-E18)</f>
        <v>685500</v>
      </c>
      <c r="F20" s="4">
        <f>(F3-F18)</f>
        <v>995500</v>
      </c>
      <c r="G20" s="4">
        <f>(G3-G18)</f>
        <v>632200</v>
      </c>
      <c r="H20" s="4">
        <f>(H3-H18)</f>
        <v>0</v>
      </c>
    </row>
    <row r="21">
      <c r="A21" s="0" t="inlineStr">
        <is>
          <t xml:space="preserve">Sales variable pay</t>
        </is>
      </c>
      <c r="B21" s="8">
        <f>SUM('Team quarterly (region × segmen'!D206:D217)</f>
        <v>210090.7875</v>
      </c>
      <c r="C21" s="8">
        <f>SUM('Team quarterly (region × segmen'!E206:E217)</f>
        <v>606672.965</v>
      </c>
      <c r="D21" s="8">
        <f>SUM('Team quarterly (region × segmen'!F206:F217)</f>
        <v>485644.21749999997</v>
      </c>
      <c r="E21" s="8">
        <f>SUM('Team quarterly (region × segmen'!G206:G217)</f>
        <v>629184.37</v>
      </c>
      <c r="F21" s="8">
        <f>SUM('Team quarterly (region × segmen'!H206:H217)</f>
        <v>580550.0925000001</v>
      </c>
      <c r="G21" s="8">
        <f>SUM('Team quarterly (region × segmen'!I206:I217)</f>
        <v>730547.9675</v>
      </c>
      <c r="H21" s="8">
        <f>SUM('Team quarterly (region × segmen'!J206:J217)</f>
        <v>0</v>
      </c>
    </row>
    <row r="22">
      <c r="A22" s="0" t="inlineStr">
        <is>
          <t xml:space="preserve">Variable pay as % of bookings</t>
        </is>
      </c>
      <c r="B22" s="12">
        <f>IFERROR((B21/B3),0)</f>
        <v>0.14282174541128484</v>
      </c>
      <c r="C22" s="12">
        <f>IFERROR((C21/C3),0)</f>
        <v>0.1834067854767519</v>
      </c>
      <c r="D22" s="12">
        <f>IFERROR((D21/D3),0)</f>
        <v>0.17429717456842406</v>
      </c>
      <c r="E22" s="12">
        <f>IFERROR((E21/E3),0)</f>
        <v>0.1410094957418198</v>
      </c>
      <c r="F22" s="12">
        <f>IFERROR((F21/F3),0)</f>
        <v>0.1505966517509728</v>
      </c>
      <c r="G22" s="12">
        <f>IFERROR((G21/G3),0)</f>
        <v>0.1780174393245285</v>
      </c>
      <c r="H22" s="12">
        <f>IFERROR((H21/H3),0)</f>
        <v>0</v>
      </c>
    </row>
    <row r="23">
      <c r="A23" s="0" t="inlineStr">
        <is>
          <t xml:space="preserve">Marketing spend</t>
        </is>
      </c>
      <c r="B23" s="4">
        <f>SUM('Marketing funnel by channel and'!D2:F25)</f>
        <v>933380</v>
      </c>
      <c r="C23" s="4">
        <f>SUM('Marketing funnel by channel and'!G2:I25)</f>
        <v>720440</v>
      </c>
      <c r="D23" s="4">
        <f>SUM('Marketing funnel by channel and'!J2:L25)</f>
        <v>777190</v>
      </c>
      <c r="E23" s="4">
        <f>SUM('Marketing funnel by channel and'!M2:O25)</f>
        <v>910850</v>
      </c>
      <c r="F23" s="4">
        <f>SUM('Marketing funnel by channel and'!P2:R25)</f>
        <v>982850</v>
      </c>
      <c r="G23" s="4">
        <f>SUM('Marketing funnel by channel and'!S2:U25)</f>
        <v>775580</v>
      </c>
      <c r="H23" s="4">
        <f>SUM('Marketing funnel by channel and'!V2:X25)</f>
        <v>898830</v>
      </c>
    </row>
    <row r="24">
      <c r="A24" s="0" t="inlineStr">
        <is>
          <t xml:space="preserve">Marketing spend as % of bookings</t>
        </is>
      </c>
      <c r="B24" s="12">
        <f>IFERROR((B23/B3),0)</f>
        <v>0.6345207341944256</v>
      </c>
      <c r="C24" s="12">
        <f>IFERROR((C23/C3),0)</f>
        <v>0.21780035068625672</v>
      </c>
      <c r="D24" s="12">
        <f>IFERROR((D23/D3),0)</f>
        <v>0.27893263467681156</v>
      </c>
      <c r="E24" s="12">
        <f>IFERROR((E23/E3),0)</f>
        <v>0.2041349170775437</v>
      </c>
      <c r="F24" s="12">
        <f>IFERROR((F23/F3),0)</f>
        <v>0.25495460440985734</v>
      </c>
      <c r="G24" s="12">
        <f>IFERROR((G23/G3),0)</f>
        <v>0.1889906915541693</v>
      </c>
      <c r="H24" s="12">
        <f>IFERROR((H23/H3),0)</f>
        <v>0</v>
      </c>
    </row>
    <row r="25">
      <c r="A25" s="0" t="inlineStr">
        <is>
          <t xml:space="preserve">Leads</t>
        </is>
      </c>
      <c r="B25" s="4">
        <f>SUM('Marketing funnel by channel and'!D26:F49)</f>
        <v>7535</v>
      </c>
      <c r="C25" s="4">
        <f>SUM('Marketing funnel by channel and'!G26:I49)</f>
        <v>6340</v>
      </c>
      <c r="D25" s="4">
        <f>SUM('Marketing funnel by channel and'!J26:L49)</f>
        <v>6380</v>
      </c>
      <c r="E25" s="4">
        <f>SUM('Marketing funnel by channel and'!M26:O49)</f>
        <v>7418</v>
      </c>
      <c r="F25" s="4">
        <f>SUM('Marketing funnel by channel and'!P26:R49)</f>
        <v>8337</v>
      </c>
      <c r="G25" s="4">
        <f>SUM('Marketing funnel by channel and'!S26:U49)</f>
        <v>6989</v>
      </c>
      <c r="H25" s="4">
        <f>SUM('Marketing funnel by channel and'!V26:X49)</f>
        <v>6890</v>
      </c>
    </row>
    <row r="26">
      <c r="A26" s="0" t="inlineStr">
        <is>
          <t xml:space="preserve">MQLs</t>
        </is>
      </c>
      <c r="B26" s="4">
        <f>SUM('Marketing funnel by channel and'!D50:F73)</f>
        <v>1215</v>
      </c>
      <c r="C26" s="4">
        <f>SUM('Marketing funnel by channel and'!G50:I73)</f>
        <v>966</v>
      </c>
      <c r="D26" s="4">
        <f>SUM('Marketing funnel by channel and'!J50:L73)</f>
        <v>1014</v>
      </c>
      <c r="E26" s="4">
        <f>SUM('Marketing funnel by channel and'!M50:O73)</f>
        <v>1158</v>
      </c>
      <c r="F26" s="4">
        <f>SUM('Marketing funnel by channel and'!P50:R73)</f>
        <v>1346</v>
      </c>
      <c r="G26" s="4">
        <f>SUM('Marketing funnel by channel and'!S50:U73)</f>
        <v>1073</v>
      </c>
      <c r="H26" s="4">
        <f>SUM('Marketing funnel by channel and'!V50:X73)</f>
        <v>1155</v>
      </c>
    </row>
    <row r="27">
      <c r="A27" s="0" t="inlineStr">
        <is>
          <t xml:space="preserve">Opportunities created</t>
        </is>
      </c>
      <c r="B27" s="4">
        <f>SUM('Marketing funnel by channel and'!D74:F97)</f>
        <v>337</v>
      </c>
      <c r="C27" s="4">
        <f>SUM('Marketing funnel by channel and'!G74:I97)</f>
        <v>253</v>
      </c>
      <c r="D27" s="4">
        <f>SUM('Marketing funnel by channel and'!J74:L97)</f>
        <v>270</v>
      </c>
      <c r="E27" s="4">
        <f>SUM('Marketing funnel by channel and'!M74:O97)</f>
        <v>298</v>
      </c>
      <c r="F27" s="4">
        <f>SUM('Marketing funnel by channel and'!P74:R97)</f>
        <v>358</v>
      </c>
      <c r="G27" s="4">
        <f>SUM('Marketing funnel by channel and'!S74:U97)</f>
        <v>258</v>
      </c>
      <c r="H27" s="4">
        <f>SUM('Marketing funnel by channel and'!V74:X97)</f>
        <v>0</v>
      </c>
    </row>
  </sheetData>
</worksheet>
</file>

<file path=xl/worksheets/sheet2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</cols>
  <sheetData>
    <row r="1">
      <c r="A1" s="1" t="inlineStr">
        <is>
          <t xml:space="preserve">line</t>
        </is>
      </c>
      <c r="B1" s="1" t="inlineStr">
        <is>
          <t xml:space="preserve">Apr-25</t>
        </is>
      </c>
      <c r="C1" s="1" t="inlineStr">
        <is>
          <t xml:space="preserve">May-25</t>
        </is>
      </c>
      <c r="D1" s="1" t="inlineStr">
        <is>
          <t xml:space="preserve">Jun-25</t>
        </is>
      </c>
      <c r="E1" s="1" t="inlineStr">
        <is>
          <t xml:space="preserve">Jul-25</t>
        </is>
      </c>
      <c r="F1" s="1" t="inlineStr">
        <is>
          <t xml:space="preserve">Aug-25</t>
        </is>
      </c>
      <c r="G1" s="1" t="inlineStr">
        <is>
          <t xml:space="preserve">Sep-25</t>
        </is>
      </c>
      <c r="H1" s="1" t="inlineStr">
        <is>
          <t xml:space="preserve">Oct-25</t>
        </is>
      </c>
      <c r="I1" s="1" t="inlineStr">
        <is>
          <t xml:space="preserve">Nov-25</t>
        </is>
      </c>
      <c r="J1" s="1" t="inlineStr">
        <is>
          <t xml:space="preserve">Dec-25</t>
        </is>
      </c>
      <c r="K1" s="1" t="inlineStr">
        <is>
          <t xml:space="preserve">Jan-26</t>
        </is>
      </c>
      <c r="L1" s="1" t="inlineStr">
        <is>
          <t xml:space="preserve">Feb-26</t>
        </is>
      </c>
      <c r="M1" s="1" t="inlineStr">
        <is>
          <t xml:space="preserve">Mar-26</t>
        </is>
      </c>
      <c r="N1" s="1" t="inlineStr">
        <is>
          <t xml:space="preserve">Apr-26</t>
        </is>
      </c>
      <c r="O1" s="1" t="inlineStr">
        <is>
          <t xml:space="preserve">May-26</t>
        </is>
      </c>
      <c r="P1" s="1" t="inlineStr">
        <is>
          <t xml:space="preserve">Jun-26</t>
        </is>
      </c>
      <c r="Q1" s="1" t="inlineStr">
        <is>
          <t xml:space="preserve">Jul-26</t>
        </is>
      </c>
      <c r="R1" s="1" t="inlineStr">
        <is>
          <t xml:space="preserve">Aug-26</t>
        </is>
      </c>
      <c r="S1" s="1" t="inlineStr">
        <is>
          <t xml:space="preserve">Sep-26</t>
        </is>
      </c>
      <c r="T1" s="1" t="inlineStr">
        <is>
          <t xml:space="preserve">Oct-26</t>
        </is>
      </c>
      <c r="U1" s="1" t="inlineStr">
        <is>
          <t xml:space="preserve">Nov-26</t>
        </is>
      </c>
      <c r="V1" s="1" t="inlineStr">
        <is>
          <t xml:space="preserve">Dec-26</t>
        </is>
      </c>
    </row>
    <row r="2">
      <c r="A2" s="0" t="inlineStr">
        <is>
          <t xml:space="preserve">Bookings</t>
        </is>
      </c>
      <c r="B2" s="4">
        <f>SUM('Rep monthly'!C2:C25)</f>
        <v>49200</v>
      </c>
      <c r="C2" s="4">
        <f>SUM('Rep monthly'!D2:D25)</f>
        <v>374700</v>
      </c>
      <c r="D2" s="4">
        <f>SUM('Rep monthly'!E2:E25)</f>
        <v>1047100</v>
      </c>
      <c r="E2" s="4">
        <f>SUM('Rep monthly'!F2:F25)</f>
        <v>626200</v>
      </c>
      <c r="F2" s="4">
        <f>SUM('Rep monthly'!G2:G25)</f>
        <v>470900</v>
      </c>
      <c r="G2" s="4">
        <f>SUM('Rep monthly'!H2:H25)</f>
        <v>2210700</v>
      </c>
      <c r="H2" s="4">
        <f>SUM('Rep monthly'!I2:I25)</f>
        <v>540400</v>
      </c>
      <c r="I2" s="4">
        <f>SUM('Rep monthly'!J2:J25)</f>
        <v>872000</v>
      </c>
      <c r="J2" s="4">
        <f>SUM('Rep monthly'!K2:K25)</f>
        <v>1373900</v>
      </c>
      <c r="K2" s="4">
        <f>SUM('Rep monthly'!L2:L25)</f>
        <v>1113500</v>
      </c>
      <c r="L2" s="4">
        <f>SUM('Rep monthly'!M2:M25)</f>
        <v>1233000</v>
      </c>
      <c r="M2" s="4">
        <f>SUM('Rep monthly'!N2:N25)</f>
        <v>2115500</v>
      </c>
      <c r="N2" s="4">
        <f>SUM('Rep monthly'!O2:O25)</f>
        <v>890500</v>
      </c>
      <c r="O2" s="4">
        <f>SUM('Rep monthly'!P2:P25)</f>
        <v>826000</v>
      </c>
      <c r="P2" s="4">
        <f>SUM('Rep monthly'!Q2:Q25)</f>
        <v>2138500</v>
      </c>
      <c r="Q2" s="4">
        <f>SUM('Rep monthly'!R2:R25)</f>
        <v>1366800</v>
      </c>
      <c r="R2" s="4">
        <f>SUM('Rep monthly'!S2:S25)</f>
        <v>953700</v>
      </c>
      <c r="S2" s="4">
        <f>SUM('Rep monthly'!T2:T25)</f>
        <v>1783300</v>
      </c>
      <c r="T2" s="4">
        <f>SUM('Rep monthly'!U2:U25)</f>
        <v>0</v>
      </c>
      <c r="U2" s="4">
        <f>SUM('Rep monthly'!V2:V25)</f>
        <v>0</v>
      </c>
      <c r="V2" s="4">
        <f>SUM('Rep monthly'!W2:W25)</f>
        <v>0</v>
      </c>
    </row>
    <row r="3">
      <c r="A3" s="0" t="inlineStr">
        <is>
          <t xml:space="preserve">Quota (quarter ÷ 3)</t>
        </is>
      </c>
      <c r="B3" s="8">
        <f>(SUM('Company quarterly'!B2)/3)</f>
        <v>1207333.3333333333</v>
      </c>
      <c r="C3" s="8">
        <f>(SUM('Company quarterly'!B2)/3)</f>
        <v>1207333.3333333333</v>
      </c>
      <c r="D3" s="8">
        <f>(SUM('Company quarterly'!B2)/3)</f>
        <v>1207333.3333333333</v>
      </c>
      <c r="E3" s="8">
        <f>(SUM('Company quarterly'!C2)/3)</f>
        <v>1255333.3333333333</v>
      </c>
      <c r="F3" s="8">
        <f>(SUM('Company quarterly'!C2)/3)</f>
        <v>1255333.3333333333</v>
      </c>
      <c r="G3" s="8">
        <f>(SUM('Company quarterly'!C2)/3)</f>
        <v>1255333.3333333333</v>
      </c>
      <c r="H3" s="8">
        <f>(SUM('Company quarterly'!D2)/3)</f>
        <v>1290666.6666666667</v>
      </c>
      <c r="I3" s="8">
        <f>(SUM('Company quarterly'!D2)/3)</f>
        <v>1290666.6666666667</v>
      </c>
      <c r="J3" s="8">
        <f>(SUM('Company quarterly'!D2)/3)</f>
        <v>1290666.6666666667</v>
      </c>
      <c r="K3" s="8">
        <f>(SUM('Company quarterly'!E2)/3)</f>
        <v>1354000</v>
      </c>
      <c r="L3" s="8">
        <f>(SUM('Company quarterly'!E2)/3)</f>
        <v>1354000</v>
      </c>
      <c r="M3" s="8">
        <f>(SUM('Company quarterly'!E2)/3)</f>
        <v>1354000</v>
      </c>
      <c r="N3" s="8">
        <f>(SUM('Company quarterly'!F2)/3)</f>
        <v>1424333.3333333333</v>
      </c>
      <c r="O3" s="8">
        <f>(SUM('Company quarterly'!F2)/3)</f>
        <v>1424333.3333333333</v>
      </c>
      <c r="P3" s="8">
        <f>(SUM('Company quarterly'!F2)/3)</f>
        <v>1424333.3333333333</v>
      </c>
      <c r="Q3" s="8">
        <f>(SUM('Company quarterly'!G2)/3)</f>
        <v>1508000</v>
      </c>
      <c r="R3" s="8">
        <f>(SUM('Company quarterly'!G2)/3)</f>
        <v>1508000</v>
      </c>
      <c r="S3" s="8">
        <f>(SUM('Company quarterly'!G2)/3)</f>
        <v>1508000</v>
      </c>
      <c r="T3" s="8">
        <f>(SUM('Company quarterly'!H2)/3)</f>
        <v>1592000</v>
      </c>
      <c r="U3" s="8">
        <f>(SUM('Company quarterly'!H2)/3)</f>
        <v>1592000</v>
      </c>
      <c r="V3" s="8">
        <f>(SUM('Company quarterly'!H2)/3)</f>
        <v>1592000</v>
      </c>
    </row>
    <row r="4">
      <c r="A4" s="0" t="inlineStr">
        <is>
          <t xml:space="preserve">Attainment</t>
        </is>
      </c>
      <c r="B4" s="12">
        <f>IF(("fcst"="fcst"),"",IFERROR((B2/B3),0))</f>
      </c>
      <c r="C4" s="12">
        <f>IF(("fcst"="fcst"),"",IFERROR((C2/C3),0))</f>
      </c>
      <c r="D4" s="12">
        <f>IF(("fcst"="fcst"),"",IFERROR((D2/D3),0))</f>
      </c>
      <c r="E4" s="12">
        <f>IF(("fcst"="fcst"),"",IFERROR((E2/E3),0))</f>
      </c>
      <c r="F4" s="12">
        <f>IF(("fcst"="fcst"),"",IFERROR((F2/F3),0))</f>
      </c>
      <c r="G4" s="12">
        <f>IF(("fcst"="fcst"),"",IFERROR((G2/G3),0))</f>
      </c>
      <c r="H4" s="12">
        <f>IF(("fcst"="fcst"),"",IFERROR((H2/H3),0))</f>
      </c>
      <c r="I4" s="12">
        <f>IF(("fcst"="fcst"),"",IFERROR((I2/I3),0))</f>
      </c>
      <c r="J4" s="12">
        <f>IF(("fcst"="fcst"),"",IFERROR((J2/J3),0))</f>
      </c>
      <c r="K4" s="12">
        <f>IF(("fcst"="fcst"),"",IFERROR((K2/K3),0))</f>
      </c>
      <c r="L4" s="12">
        <f>IF(("fcst"="fcst"),"",IFERROR((L2/L3),0))</f>
      </c>
      <c r="M4" s="12">
        <f>IF(("fcst"="fcst"),"",IFERROR((M2/M3),0))</f>
      </c>
      <c r="N4" s="12">
        <f>IF(("fcst"="fcst"),"",IFERROR((N2/N3),0))</f>
      </c>
      <c r="O4" s="12">
        <f>IF(("fcst"="fcst"),"",IFERROR((O2/O3),0))</f>
      </c>
      <c r="P4" s="12">
        <f>IF(("fcst"="fcst"),"",IFERROR((P2/P3),0))</f>
      </c>
      <c r="Q4" s="12">
        <f>IF(("fcst"="fcst"),"",IFERROR((Q2/Q3),0))</f>
      </c>
      <c r="R4" s="12">
        <f>IF(("fcst"="fcst"),"",IFERROR((R2/R3),0))</f>
      </c>
      <c r="S4" s="12">
        <f>IF(("fcst"="fcst"),"",IFERROR((S2/S3),0))</f>
      </c>
      <c r="T4" s="12">
        <f>IF(("fcst"="fcst"),"",IFERROR((T2/T3),0))</f>
      </c>
      <c r="U4" s="12">
        <f>IF(("fcst"="fcst"),"",IFERROR((U2/U3),0))</f>
      </c>
      <c r="V4" s="12">
        <f>IF(("fcst"="fcst"),"",IFERROR((V2/V3),0))</f>
      </c>
    </row>
    <row r="5">
      <c r="A5" s="0" t="inlineStr">
        <is>
          <t xml:space="preserve">New-logo bookings</t>
        </is>
      </c>
      <c r="B5" s="4">
        <f>SUM('Rep monthly'!C74:C97)</f>
        <v>32500</v>
      </c>
      <c r="C5" s="4">
        <f>SUM('Rep monthly'!D74:D97)</f>
        <v>202300</v>
      </c>
      <c r="D5" s="4">
        <f>SUM('Rep monthly'!E74:E97)</f>
        <v>929900</v>
      </c>
      <c r="E5" s="4">
        <f>SUM('Rep monthly'!F74:F97)</f>
        <v>533700</v>
      </c>
      <c r="F5" s="4">
        <f>SUM('Rep monthly'!G74:G97)</f>
        <v>347300</v>
      </c>
      <c r="G5" s="4">
        <f>SUM('Rep monthly'!H74:H97)</f>
        <v>1765400</v>
      </c>
      <c r="H5" s="4">
        <f>SUM('Rep monthly'!I74:I97)</f>
        <v>424400</v>
      </c>
      <c r="I5" s="4">
        <f>SUM('Rep monthly'!J74:J97)</f>
        <v>658600</v>
      </c>
      <c r="J5" s="4">
        <f>SUM('Rep monthly'!K74:K97)</f>
        <v>1225400</v>
      </c>
      <c r="K5" s="4">
        <f>SUM('Rep monthly'!L74:L97)</f>
        <v>903400</v>
      </c>
      <c r="L5" s="4">
        <f>SUM('Rep monthly'!M74:M97)</f>
        <v>1003100</v>
      </c>
      <c r="M5" s="4">
        <f>SUM('Rep monthly'!N74:N97)</f>
        <v>1870000</v>
      </c>
      <c r="N5" s="4">
        <f>SUM('Rep monthly'!O74:O97)</f>
        <v>855600</v>
      </c>
      <c r="O5" s="4">
        <f>SUM('Rep monthly'!P74:P97)</f>
        <v>409700</v>
      </c>
      <c r="P5" s="4">
        <f>SUM('Rep monthly'!Q74:Q97)</f>
        <v>1594200</v>
      </c>
      <c r="Q5" s="4">
        <f>SUM('Rep monthly'!R74:R97)</f>
        <v>895700</v>
      </c>
      <c r="R5" s="4">
        <f>SUM('Rep monthly'!S74:S97)</f>
        <v>881500</v>
      </c>
      <c r="S5" s="4">
        <f>SUM('Rep monthly'!T74:T97)</f>
        <v>1694400</v>
      </c>
      <c r="T5" s="4">
        <f>SUM('Rep monthly'!U74:U97)</f>
        <v>0</v>
      </c>
      <c r="U5" s="4">
        <f>SUM('Rep monthly'!V74:V97)</f>
        <v>0</v>
      </c>
      <c r="V5" s="4">
        <f>SUM('Rep monthly'!W74:W97)</f>
        <v>0</v>
      </c>
    </row>
    <row r="6">
      <c r="A6" s="0" t="inlineStr">
        <is>
          <t xml:space="preserve">Expansion bookings</t>
        </is>
      </c>
      <c r="B6" s="4">
        <f>SUM('Rep monthly'!C98:C121)</f>
        <v>16700</v>
      </c>
      <c r="C6" s="4">
        <f>SUM('Rep monthly'!D98:D121)</f>
        <v>172400</v>
      </c>
      <c r="D6" s="4">
        <f>SUM('Rep monthly'!E98:E121)</f>
        <v>117200</v>
      </c>
      <c r="E6" s="4">
        <f>SUM('Rep monthly'!F98:F121)</f>
        <v>92500</v>
      </c>
      <c r="F6" s="4">
        <f>SUM('Rep monthly'!G98:G121)</f>
        <v>123600</v>
      </c>
      <c r="G6" s="4">
        <f>SUM('Rep monthly'!H98:H121)</f>
        <v>445300</v>
      </c>
      <c r="H6" s="4">
        <f>SUM('Rep monthly'!I98:I121)</f>
        <v>116000</v>
      </c>
      <c r="I6" s="4">
        <f>SUM('Rep monthly'!J98:J121)</f>
        <v>213400</v>
      </c>
      <c r="J6" s="4">
        <f>SUM('Rep monthly'!K98:K121)</f>
        <v>148500</v>
      </c>
      <c r="K6" s="4">
        <f>SUM('Rep monthly'!L98:L121)</f>
        <v>210100</v>
      </c>
      <c r="L6" s="4">
        <f>SUM('Rep monthly'!M98:M121)</f>
        <v>229900</v>
      </c>
      <c r="M6" s="4">
        <f>SUM('Rep monthly'!N98:N121)</f>
        <v>245500</v>
      </c>
      <c r="N6" s="4">
        <f>SUM('Rep monthly'!O98:O121)</f>
        <v>34900</v>
      </c>
      <c r="O6" s="4">
        <f>SUM('Rep monthly'!P98:P121)</f>
        <v>416300</v>
      </c>
      <c r="P6" s="4">
        <f>SUM('Rep monthly'!Q98:Q121)</f>
        <v>544300</v>
      </c>
      <c r="Q6" s="4">
        <f>SUM('Rep monthly'!R98:R121)</f>
        <v>471100</v>
      </c>
      <c r="R6" s="4">
        <f>SUM('Rep monthly'!S98:S121)</f>
        <v>72200</v>
      </c>
      <c r="S6" s="4">
        <f>SUM('Rep monthly'!T98:T121)</f>
        <v>88900</v>
      </c>
      <c r="T6" s="4">
        <f>SUM('Rep monthly'!U98:U121)</f>
        <v>0</v>
      </c>
      <c r="U6" s="4">
        <f>SUM('Rep monthly'!V98:V121)</f>
        <v>0</v>
      </c>
      <c r="V6" s="4">
        <f>SUM('Rep monthly'!W98:W121)</f>
        <v>0</v>
      </c>
    </row>
    <row r="7">
      <c r="A7" s="0" t="inlineStr">
        <is>
          <t xml:space="preserve">Open pipeline closing this month</t>
        </is>
      </c>
      <c r="B7" s="4">
        <f>SUM('Rep monthly'!C170:C193)</f>
        <v>0</v>
      </c>
      <c r="C7" s="4">
        <f>SUM('Rep monthly'!D170:D193)</f>
        <v>0</v>
      </c>
      <c r="D7" s="4">
        <f>SUM('Rep monthly'!E170:E193)</f>
        <v>0</v>
      </c>
      <c r="E7" s="4">
        <f>SUM('Rep monthly'!F170:F193)</f>
        <v>0</v>
      </c>
      <c r="F7" s="4">
        <f>SUM('Rep monthly'!G170:G193)</f>
        <v>0</v>
      </c>
      <c r="G7" s="4">
        <f>SUM('Rep monthly'!H170:H193)</f>
        <v>0</v>
      </c>
      <c r="H7" s="4">
        <f>SUM('Rep monthly'!I170:I193)</f>
        <v>0</v>
      </c>
      <c r="I7" s="4">
        <f>SUM('Rep monthly'!J170:J193)</f>
        <v>0</v>
      </c>
      <c r="J7" s="4">
        <f>SUM('Rep monthly'!K170:K193)</f>
        <v>0</v>
      </c>
      <c r="K7" s="4">
        <f>SUM('Rep monthly'!L170:L193)</f>
        <v>0</v>
      </c>
      <c r="L7" s="4">
        <f>SUM('Rep monthly'!M170:M193)</f>
        <v>0</v>
      </c>
      <c r="M7" s="4">
        <f>SUM('Rep monthly'!N170:N193)</f>
        <v>0</v>
      </c>
      <c r="N7" s="4">
        <f>SUM('Rep monthly'!O170:O193)</f>
        <v>0</v>
      </c>
      <c r="O7" s="4">
        <f>SUM('Rep monthly'!P170:P193)</f>
        <v>0</v>
      </c>
      <c r="P7" s="4">
        <f>SUM('Rep monthly'!Q170:Q193)</f>
        <v>0</v>
      </c>
      <c r="Q7" s="4">
        <f>SUM('Rep monthly'!R170:R193)</f>
        <v>0</v>
      </c>
      <c r="R7" s="4">
        <f>SUM('Rep monthly'!S170:S193)</f>
        <v>0</v>
      </c>
      <c r="S7" s="4">
        <f>SUM('Rep monthly'!T170:T193)</f>
        <v>2729600</v>
      </c>
      <c r="T7" s="4">
        <f>SUM('Rep monthly'!U170:U193)</f>
        <v>4769700</v>
      </c>
      <c r="U7" s="4">
        <f>SUM('Rep monthly'!V170:V193)</f>
        <v>1540500</v>
      </c>
      <c r="V7" s="4">
        <f>SUM('Rep monthly'!W170:W193)</f>
        <v>5897000</v>
      </c>
    </row>
    <row r="8">
      <c r="A8" s="0" t="inlineStr">
        <is>
          <t xml:space="preserve">Forecast</t>
        </is>
      </c>
      <c r="B8" s="4">
        <f>SUM('Rep monthly'!C266:C289)</f>
        <v>49200</v>
      </c>
      <c r="C8" s="4">
        <f>SUM('Rep monthly'!D266:D289)</f>
        <v>374700</v>
      </c>
      <c r="D8" s="4">
        <f>SUM('Rep monthly'!E266:E289)</f>
        <v>1047100</v>
      </c>
      <c r="E8" s="4">
        <f>SUM('Rep monthly'!F266:F289)</f>
        <v>626200</v>
      </c>
      <c r="F8" s="4">
        <f>SUM('Rep monthly'!G266:G289)</f>
        <v>470900</v>
      </c>
      <c r="G8" s="4">
        <f>SUM('Rep monthly'!H266:H289)</f>
        <v>2210700</v>
      </c>
      <c r="H8" s="4">
        <f>SUM('Rep monthly'!I266:I289)</f>
        <v>540400</v>
      </c>
      <c r="I8" s="4">
        <f>SUM('Rep monthly'!J266:J289)</f>
        <v>872000</v>
      </c>
      <c r="J8" s="4">
        <f>SUM('Rep monthly'!K266:K289)</f>
        <v>1373900</v>
      </c>
      <c r="K8" s="4">
        <f>SUM('Rep monthly'!L266:L289)</f>
        <v>1113500</v>
      </c>
      <c r="L8" s="4">
        <f>SUM('Rep monthly'!M266:M289)</f>
        <v>1233000</v>
      </c>
      <c r="M8" s="4">
        <f>SUM('Rep monthly'!N266:N289)</f>
        <v>2115500</v>
      </c>
      <c r="N8" s="4">
        <f>SUM('Rep monthly'!O266:O289)</f>
        <v>890500</v>
      </c>
      <c r="O8" s="4">
        <f>SUM('Rep monthly'!P266:P289)</f>
        <v>826000</v>
      </c>
      <c r="P8" s="4">
        <f>SUM('Rep monthly'!Q266:Q289)</f>
        <v>2138500</v>
      </c>
      <c r="Q8" s="4">
        <f>SUM('Rep monthly'!R266:R289)</f>
        <v>1366800</v>
      </c>
      <c r="R8" s="4">
        <f>SUM('Rep monthly'!S266:S289)</f>
        <v>953700</v>
      </c>
      <c r="S8" s="4">
        <f>SUM('Rep monthly'!T266:T289)</f>
        <v>2916220</v>
      </c>
      <c r="T8" s="4">
        <f>SUM('Rep monthly'!U266:U289)</f>
        <v>1736850</v>
      </c>
      <c r="U8" s="4">
        <f>SUM('Rep monthly'!V266:V289)</f>
        <v>188730</v>
      </c>
      <c r="V8" s="4">
        <f>SUM('Rep monthly'!W266:W289)</f>
        <v>1301180</v>
      </c>
    </row>
    <row r="9">
      <c r="A9" s="0" t="inlineStr">
        <is>
          <t xml:space="preserve">Pipeline created</t>
        </is>
      </c>
      <c r="B9" s="4">
        <f>SUM('Rep monthly'!C146:C169)</f>
        <v>4000300</v>
      </c>
      <c r="C9" s="4">
        <f>SUM('Rep monthly'!D146:D169)</f>
        <v>5460800</v>
      </c>
      <c r="D9" s="4">
        <f>SUM('Rep monthly'!E146:E169)</f>
        <v>5353800</v>
      </c>
      <c r="E9" s="4">
        <f>SUM('Rep monthly'!F146:F169)</f>
        <v>3946000</v>
      </c>
      <c r="F9" s="4">
        <f>SUM('Rep monthly'!G146:G169)</f>
        <v>2965600</v>
      </c>
      <c r="G9" s="4">
        <f>SUM('Rep monthly'!H146:H169)</f>
        <v>4016700</v>
      </c>
      <c r="H9" s="4">
        <f>SUM('Rep monthly'!I146:I169)</f>
        <v>4311300</v>
      </c>
      <c r="I9" s="4">
        <f>SUM('Rep monthly'!J146:J169)</f>
        <v>4432900</v>
      </c>
      <c r="J9" s="4">
        <f>SUM('Rep monthly'!K146:K169)</f>
        <v>3798000</v>
      </c>
      <c r="K9" s="4">
        <f>SUM('Rep monthly'!L146:L169)</f>
        <v>3924800</v>
      </c>
      <c r="L9" s="4">
        <f>SUM('Rep monthly'!M146:M169)</f>
        <v>5215900</v>
      </c>
      <c r="M9" s="4">
        <f>SUM('Rep monthly'!N146:N169)</f>
        <v>5343200</v>
      </c>
      <c r="N9" s="4">
        <f>SUM('Rep monthly'!O146:O169)</f>
        <v>4193600</v>
      </c>
      <c r="O9" s="4">
        <f>SUM('Rep monthly'!P146:P169)</f>
        <v>4812700</v>
      </c>
      <c r="P9" s="4">
        <f>SUM('Rep monthly'!Q146:Q169)</f>
        <v>6979700</v>
      </c>
      <c r="Q9" s="4">
        <f>SUM('Rep monthly'!R146:R169)</f>
        <v>3816900</v>
      </c>
      <c r="R9" s="4">
        <f>SUM('Rep monthly'!S146:S169)</f>
        <v>4902900</v>
      </c>
      <c r="S9" s="4">
        <f>SUM('Rep monthly'!T146:T169)</f>
        <v>2908400</v>
      </c>
      <c r="T9" s="4">
        <f>SUM('Rep monthly'!U146:U169)</f>
        <v>0</v>
      </c>
      <c r="U9" s="4">
        <f>SUM('Rep monthly'!V146:V169)</f>
        <v>0</v>
      </c>
      <c r="V9" s="4">
        <f>SUM('Rep monthly'!W146:W169)</f>
        <v>0</v>
      </c>
    </row>
    <row r="10">
      <c r="A10" s="0" t="inlineStr">
        <is>
          <t xml:space="preserve">Opportunities created</t>
        </is>
      </c>
      <c r="B10" s="4">
        <f>SUM('Rep monthly'!C122:C145)</f>
        <v>96</v>
      </c>
      <c r="C10" s="4">
        <f>SUM('Rep monthly'!D122:D145)</f>
        <v>126</v>
      </c>
      <c r="D10" s="4">
        <f>SUM('Rep monthly'!E122:E145)</f>
        <v>115</v>
      </c>
      <c r="E10" s="4">
        <f>SUM('Rep monthly'!F122:F145)</f>
        <v>102</v>
      </c>
      <c r="F10" s="4">
        <f>SUM('Rep monthly'!G122:G145)</f>
        <v>72</v>
      </c>
      <c r="G10" s="4">
        <f>SUM('Rep monthly'!H122:H145)</f>
        <v>79</v>
      </c>
      <c r="H10" s="4">
        <f>SUM('Rep monthly'!I122:I145)</f>
        <v>90</v>
      </c>
      <c r="I10" s="4">
        <f>SUM('Rep monthly'!J122:J145)</f>
        <v>78</v>
      </c>
      <c r="J10" s="4">
        <f>SUM('Rep monthly'!K122:K145)</f>
        <v>102</v>
      </c>
      <c r="K10" s="4">
        <f>SUM('Rep monthly'!L122:L145)</f>
        <v>87</v>
      </c>
      <c r="L10" s="4">
        <f>SUM('Rep monthly'!M122:M145)</f>
        <v>95</v>
      </c>
      <c r="M10" s="4">
        <f>SUM('Rep monthly'!N122:N145)</f>
        <v>116</v>
      </c>
      <c r="N10" s="4">
        <f>SUM('Rep monthly'!O122:O145)</f>
        <v>111</v>
      </c>
      <c r="O10" s="4">
        <f>SUM('Rep monthly'!P122:P145)</f>
        <v>98</v>
      </c>
      <c r="P10" s="4">
        <f>SUM('Rep monthly'!Q122:Q145)</f>
        <v>149</v>
      </c>
      <c r="Q10" s="4">
        <f>SUM('Rep monthly'!R122:R145)</f>
        <v>102</v>
      </c>
      <c r="R10" s="4">
        <f>SUM('Rep monthly'!S122:S145)</f>
        <v>95</v>
      </c>
      <c r="S10" s="4">
        <f>SUM('Rep monthly'!T122:T145)</f>
        <v>61</v>
      </c>
      <c r="T10" s="4">
        <f>SUM('Rep monthly'!U122:U145)</f>
        <v>0</v>
      </c>
      <c r="U10" s="4">
        <f>SUM('Rep monthly'!V122:V145)</f>
        <v>0</v>
      </c>
      <c r="V10" s="4">
        <f>SUM('Rep monthly'!W122:W145)</f>
        <v>0</v>
      </c>
    </row>
    <row r="11">
      <c r="A11" s="0" t="inlineStr">
        <is>
          <t xml:space="preserve">Deals won</t>
        </is>
      </c>
      <c r="B11" s="4">
        <f>SUM('Rep monthly'!C26:C49)</f>
        <v>3</v>
      </c>
      <c r="C11" s="4">
        <f>SUM('Rep monthly'!D26:D49)</f>
        <v>19</v>
      </c>
      <c r="D11" s="4">
        <f>SUM('Rep monthly'!E26:E49)</f>
        <v>29</v>
      </c>
      <c r="E11" s="4">
        <f>SUM('Rep monthly'!F26:F49)</f>
        <v>27</v>
      </c>
      <c r="F11" s="4">
        <f>SUM('Rep monthly'!G26:G49)</f>
        <v>22</v>
      </c>
      <c r="G11" s="4">
        <f>SUM('Rep monthly'!H26:H49)</f>
        <v>53</v>
      </c>
      <c r="H11" s="4">
        <f>SUM('Rep monthly'!I26:I49)</f>
        <v>19</v>
      </c>
      <c r="I11" s="4">
        <f>SUM('Rep monthly'!J26:J49)</f>
        <v>27</v>
      </c>
      <c r="J11" s="4">
        <f>SUM('Rep monthly'!K26:K49)</f>
        <v>48</v>
      </c>
      <c r="K11" s="4">
        <f>SUM('Rep monthly'!L26:L49)</f>
        <v>27</v>
      </c>
      <c r="L11" s="4">
        <f>SUM('Rep monthly'!M26:M49)</f>
        <v>20</v>
      </c>
      <c r="M11" s="4">
        <f>SUM('Rep monthly'!N26:N49)</f>
        <v>45</v>
      </c>
      <c r="N11" s="4">
        <f>SUM('Rep monthly'!O26:O49)</f>
        <v>25</v>
      </c>
      <c r="O11" s="4">
        <f>SUM('Rep monthly'!P26:P49)</f>
        <v>28</v>
      </c>
      <c r="P11" s="4">
        <f>SUM('Rep monthly'!Q26:Q49)</f>
        <v>56</v>
      </c>
      <c r="Q11" s="4">
        <f>SUM('Rep monthly'!R26:R49)</f>
        <v>43</v>
      </c>
      <c r="R11" s="4">
        <f>SUM('Rep monthly'!S26:S49)</f>
        <v>26</v>
      </c>
      <c r="S11" s="4">
        <f>SUM('Rep monthly'!T26:T49)</f>
        <v>31</v>
      </c>
      <c r="T11" s="4">
        <f>SUM('Rep monthly'!U26:U49)</f>
        <v>0</v>
      </c>
      <c r="U11" s="4">
        <f>SUM('Rep monthly'!V26:V49)</f>
        <v>0</v>
      </c>
      <c r="V11" s="4">
        <f>SUM('Rep monthly'!W26:W49)</f>
        <v>0</v>
      </c>
    </row>
    <row r="12">
      <c r="A12" s="0" t="inlineStr">
        <is>
          <t xml:space="preserve">Beginning ARR</t>
        </is>
      </c>
      <c r="B12" s="4">
        <f>IF((0=0),'Plan parameters'!B2,0)</f>
        <v>52600000</v>
      </c>
      <c r="C12" s="4">
        <f>IF((1=0),'Plan parameters'!B2,B16)</f>
        <v>51786400</v>
      </c>
      <c r="D12" s="4">
        <f>IF((2=0),'Plan parameters'!B2,C16)</f>
        <v>52038200</v>
      </c>
      <c r="E12" s="4">
        <f>IF((3=0),'Plan parameters'!B2,D16)</f>
        <v>52825000</v>
      </c>
      <c r="F12" s="4">
        <f>IF((4=0),'Plan parameters'!B2,E16)</f>
        <v>53272300</v>
      </c>
      <c r="G12" s="4">
        <f>IF((5=0),'Plan parameters'!B2,F16)</f>
        <v>53715700</v>
      </c>
      <c r="H12" s="4">
        <f>IF((6=0),'Plan parameters'!B2,G16)</f>
        <v>55129800</v>
      </c>
      <c r="I12" s="4">
        <f>IF((7=0),'Plan parameters'!B2,H16)</f>
        <v>55422600</v>
      </c>
      <c r="J12" s="4">
        <f>IF((8=0),'Plan parameters'!B2,I16)</f>
        <v>56263400</v>
      </c>
      <c r="K12" s="4">
        <f>IF((9=0),'Plan parameters'!B2,J16)</f>
        <v>57588700</v>
      </c>
      <c r="L12" s="4">
        <f>IF((10=0),'Plan parameters'!B2,K16)</f>
        <v>58645200</v>
      </c>
      <c r="M12" s="4">
        <f>IF((11=0),'Plan parameters'!B2,L16)</f>
        <v>59685000</v>
      </c>
      <c r="N12" s="4">
        <f>IF((12=0),'Plan parameters'!B2,M16)</f>
        <v>61451600</v>
      </c>
      <c r="O12" s="4">
        <f>IF((13=0),'Plan parameters'!B2,N16)</f>
        <v>62125100</v>
      </c>
      <c r="P12" s="4">
        <f>IF((14=0),'Plan parameters'!B2,O16)</f>
        <v>62341000</v>
      </c>
      <c r="Q12" s="4">
        <f>IF((15=0),'Plan parameters'!B2,P16)</f>
        <v>64336300</v>
      </c>
      <c r="R12" s="4">
        <f>IF((16=0),'Plan parameters'!B2,Q16)</f>
        <v>65513000</v>
      </c>
      <c r="S12" s="4">
        <f>IF((17=0),'Plan parameters'!B2,R16)</f>
        <v>66279900</v>
      </c>
      <c r="T12" s="4">
        <f>IF((18=0),'Plan parameters'!B2,S16)</f>
        <v>68063200</v>
      </c>
      <c r="U12" s="4">
        <f>IF((19=0),'Plan parameters'!B2,T16)</f>
        <v>68063200</v>
      </c>
      <c r="V12" s="4">
        <f>IF((20=0),'Plan parameters'!B2,U16)</f>
        <v>68063200</v>
      </c>
    </row>
    <row r="13">
      <c r="A13" s="0" t="inlineStr">
        <is>
          <t xml:space="preserve">New-logo ARR</t>
        </is>
      </c>
      <c r="B13" s="4">
        <f>B5</f>
        <v>32500</v>
      </c>
      <c r="C13" s="4">
        <f>C5</f>
        <v>202300</v>
      </c>
      <c r="D13" s="4">
        <f>D5</f>
        <v>929900</v>
      </c>
      <c r="E13" s="4">
        <f>E5</f>
        <v>533700</v>
      </c>
      <c r="F13" s="4">
        <f>F5</f>
        <v>347300</v>
      </c>
      <c r="G13" s="4">
        <f>G5</f>
        <v>1765400</v>
      </c>
      <c r="H13" s="4">
        <f>H5</f>
        <v>424400</v>
      </c>
      <c r="I13" s="4">
        <f>I5</f>
        <v>658600</v>
      </c>
      <c r="J13" s="4">
        <f>J5</f>
        <v>1225400</v>
      </c>
      <c r="K13" s="4">
        <f>K5</f>
        <v>903400</v>
      </c>
      <c r="L13" s="4">
        <f>L5</f>
        <v>1003100</v>
      </c>
      <c r="M13" s="4">
        <f>M5</f>
        <v>1870000</v>
      </c>
      <c r="N13" s="4">
        <f>N5</f>
        <v>855600</v>
      </c>
      <c r="O13" s="4">
        <f>O5</f>
        <v>409700</v>
      </c>
      <c r="P13" s="4">
        <f>P5</f>
        <v>1594200</v>
      </c>
      <c r="Q13" s="4">
        <f>Q5</f>
        <v>895700</v>
      </c>
      <c r="R13" s="4">
        <f>R5</f>
        <v>881500</v>
      </c>
      <c r="S13" s="4">
        <f>S5</f>
        <v>1694400</v>
      </c>
      <c r="T13" s="4">
        <f>T5</f>
        <v>0</v>
      </c>
      <c r="U13" s="4">
        <f>U5</f>
        <v>0</v>
      </c>
      <c r="V13" s="4">
        <f>V5</f>
        <v>0</v>
      </c>
    </row>
    <row r="14">
      <c r="A14" s="0" t="inlineStr">
        <is>
          <t xml:space="preserve">Expansion ARR</t>
        </is>
      </c>
      <c r="B14" s="4">
        <f>B6</f>
        <v>16700</v>
      </c>
      <c r="C14" s="4">
        <f>C6</f>
        <v>172400</v>
      </c>
      <c r="D14" s="4">
        <f>D6</f>
        <v>117200</v>
      </c>
      <c r="E14" s="4">
        <f>E6</f>
        <v>92500</v>
      </c>
      <c r="F14" s="4">
        <f>F6</f>
        <v>123600</v>
      </c>
      <c r="G14" s="4">
        <f>G6</f>
        <v>445300</v>
      </c>
      <c r="H14" s="4">
        <f>H6</f>
        <v>116000</v>
      </c>
      <c r="I14" s="4">
        <f>I6</f>
        <v>213400</v>
      </c>
      <c r="J14" s="4">
        <f>J6</f>
        <v>148500</v>
      </c>
      <c r="K14" s="4">
        <f>K6</f>
        <v>210100</v>
      </c>
      <c r="L14" s="4">
        <f>L6</f>
        <v>229900</v>
      </c>
      <c r="M14" s="4">
        <f>M6</f>
        <v>245500</v>
      </c>
      <c r="N14" s="4">
        <f>N6</f>
        <v>34900</v>
      </c>
      <c r="O14" s="4">
        <f>O6</f>
        <v>416300</v>
      </c>
      <c r="P14" s="4">
        <f>P6</f>
        <v>544300</v>
      </c>
      <c r="Q14" s="4">
        <f>Q6</f>
        <v>471100</v>
      </c>
      <c r="R14" s="4">
        <f>R6</f>
        <v>72200</v>
      </c>
      <c r="S14" s="4">
        <f>S6</f>
        <v>88900</v>
      </c>
      <c r="T14" s="4">
        <f>T6</f>
        <v>0</v>
      </c>
      <c r="U14" s="4">
        <f>U6</f>
        <v>0</v>
      </c>
      <c r="V14" s="4">
        <f>V6</f>
        <v>0</v>
      </c>
    </row>
    <row r="15">
      <c r="A15" s="0" t="inlineStr">
        <is>
          <t xml:space="preserve">Churned ARR</t>
        </is>
      </c>
      <c r="B15" s="4">
        <f>-(SUMIFS('Churn events'!$D$2:$D$84,'Churn events'!$B$2:$B$84,"apr25"))</f>
        <v>-862800</v>
      </c>
      <c r="C15" s="4">
        <f>-(SUMIFS('Churn events'!$D$2:$D$84,'Churn events'!$B$2:$B$84,"may25"))</f>
        <v>-122900</v>
      </c>
      <c r="D15" s="4">
        <f>-(SUMIFS('Churn events'!$D$2:$D$84,'Churn events'!$B$2:$B$84,"jun25"))</f>
        <v>-260300</v>
      </c>
      <c r="E15" s="4">
        <f>-(SUMIFS('Churn events'!$D$2:$D$84,'Churn events'!$B$2:$B$84,"jul25"))</f>
        <v>-178900</v>
      </c>
      <c r="F15" s="4">
        <f>-(SUMIFS('Churn events'!$D$2:$D$84,'Churn events'!$B$2:$B$84,"aug25"))</f>
        <v>-27500</v>
      </c>
      <c r="G15" s="4">
        <f>-(SUMIFS('Churn events'!$D$2:$D$84,'Churn events'!$B$2:$B$84,"sep25"))</f>
        <v>-796600</v>
      </c>
      <c r="H15" s="4">
        <f>-(SUMIFS('Churn events'!$D$2:$D$84,'Churn events'!$B$2:$B$84,"oct25"))</f>
        <v>-247600</v>
      </c>
      <c r="I15" s="4">
        <f>-(SUMIFS('Churn events'!$D$2:$D$84,'Churn events'!$B$2:$B$84,"nov25"))</f>
        <v>-31200</v>
      </c>
      <c r="J15" s="4">
        <f>-(SUMIFS('Churn events'!$D$2:$D$84,'Churn events'!$B$2:$B$84,"dec25"))</f>
        <v>-48600</v>
      </c>
      <c r="K15" s="4">
        <f>-(SUMIFS('Churn events'!$D$2:$D$84,'Churn events'!$B$2:$B$84,"jan26"))</f>
        <v>-57000</v>
      </c>
      <c r="L15" s="4">
        <f>-(SUMIFS('Churn events'!$D$2:$D$84,'Churn events'!$B$2:$B$84,"feb26"))</f>
        <v>-193200</v>
      </c>
      <c r="M15" s="4">
        <f>-(SUMIFS('Churn events'!$D$2:$D$84,'Churn events'!$B$2:$B$84,"mar26"))</f>
        <v>-348900</v>
      </c>
      <c r="N15" s="4">
        <f>-(SUMIFS('Churn events'!$D$2:$D$84,'Churn events'!$B$2:$B$84,"apr26"))</f>
        <v>-217000</v>
      </c>
      <c r="O15" s="4">
        <f>-(SUMIFS('Churn events'!$D$2:$D$84,'Churn events'!$B$2:$B$84,"may26"))</f>
        <v>-610100</v>
      </c>
      <c r="P15" s="4">
        <f>-(SUMIFS('Churn events'!$D$2:$D$84,'Churn events'!$B$2:$B$84,"jun26"))</f>
        <v>-143200</v>
      </c>
      <c r="Q15" s="4">
        <f>-(SUMIFS('Churn events'!$D$2:$D$84,'Churn events'!$B$2:$B$84,"jul26"))</f>
        <v>-190100</v>
      </c>
      <c r="R15" s="4">
        <f>-(SUMIFS('Churn events'!$D$2:$D$84,'Churn events'!$B$2:$B$84,"aug26"))</f>
        <v>-186800</v>
      </c>
      <c r="S15" s="4">
        <f>-(SUMIFS('Churn events'!$D$2:$D$84,'Churn events'!$B$2:$B$84,"sep26"))</f>
        <v>0</v>
      </c>
      <c r="T15" s="4">
        <f>-(SUMIFS('Churn events'!$D$2:$D$84,'Churn events'!$B$2:$B$84,"oct26"))</f>
        <v>0</v>
      </c>
      <c r="U15" s="4">
        <f>-(SUMIFS('Churn events'!$D$2:$D$84,'Churn events'!$B$2:$B$84,"nov26"))</f>
        <v>0</v>
      </c>
      <c r="V15" s="4">
        <f>-(SUMIFS('Churn events'!$D$2:$D$84,'Churn events'!$B$2:$B$84,"dec26"))</f>
        <v>0</v>
      </c>
    </row>
    <row r="16">
      <c r="A16" s="0" t="inlineStr">
        <is>
          <t xml:space="preserve">Ending ARR</t>
        </is>
      </c>
      <c r="B16" s="4">
        <f>(((B12+B13)+B14)+B15)</f>
        <v>51786400</v>
      </c>
      <c r="C16" s="4">
        <f>(((C12+C13)+C14)+C15)</f>
        <v>52038200</v>
      </c>
      <c r="D16" s="4">
        <f>(((D12+D13)+D14)+D15)</f>
        <v>52825000</v>
      </c>
      <c r="E16" s="4">
        <f>(((E12+E13)+E14)+E15)</f>
        <v>53272300</v>
      </c>
      <c r="F16" s="4">
        <f>(((F12+F13)+F14)+F15)</f>
        <v>53715700</v>
      </c>
      <c r="G16" s="4">
        <f>(((G12+G13)+G14)+G15)</f>
        <v>55129800</v>
      </c>
      <c r="H16" s="4">
        <f>(((H12+H13)+H14)+H15)</f>
        <v>55422600</v>
      </c>
      <c r="I16" s="4">
        <f>(((I12+I13)+I14)+I15)</f>
        <v>56263400</v>
      </c>
      <c r="J16" s="4">
        <f>(((J12+J13)+J14)+J15)</f>
        <v>57588700</v>
      </c>
      <c r="K16" s="4">
        <f>(((K12+K13)+K14)+K15)</f>
        <v>58645200</v>
      </c>
      <c r="L16" s="4">
        <f>(((L12+L13)+L14)+L15)</f>
        <v>59685000</v>
      </c>
      <c r="M16" s="4">
        <f>(((M12+M13)+M14)+M15)</f>
        <v>61451600</v>
      </c>
      <c r="N16" s="4">
        <f>(((N12+N13)+N14)+N15)</f>
        <v>62125100</v>
      </c>
      <c r="O16" s="4">
        <f>(((O12+O13)+O14)+O15)</f>
        <v>62341000</v>
      </c>
      <c r="P16" s="4">
        <f>(((P12+P13)+P14)+P15)</f>
        <v>64336300</v>
      </c>
      <c r="Q16" s="4">
        <f>(((Q12+Q13)+Q14)+Q15)</f>
        <v>65513000</v>
      </c>
      <c r="R16" s="4">
        <f>(((R12+R13)+R14)+R15)</f>
        <v>66279900</v>
      </c>
      <c r="S16" s="4">
        <f>(((S12+S13)+S14)+S15)</f>
        <v>68063200</v>
      </c>
      <c r="T16" s="4">
        <f>(((T12+T13)+T14)+T15)</f>
        <v>68063200</v>
      </c>
      <c r="U16" s="4">
        <f>(((U12+U13)+U14)+U15)</f>
        <v>68063200</v>
      </c>
      <c r="V16" s="4">
        <f>(((V12+V13)+V14)+V15)</f>
        <v>68063200</v>
      </c>
    </row>
    <row r="17">
      <c r="A17" s="0" t="inlineStr">
        <is>
          <t xml:space="preserve">Net new ARR</t>
        </is>
      </c>
      <c r="B17" s="4">
        <f>(B16-B12)</f>
        <v>-813600</v>
      </c>
      <c r="C17" s="4">
        <f>(C16-C12)</f>
        <v>251800</v>
      </c>
      <c r="D17" s="4">
        <f>(D16-D12)</f>
        <v>786800</v>
      </c>
      <c r="E17" s="4">
        <f>(E16-E12)</f>
        <v>447300</v>
      </c>
      <c r="F17" s="4">
        <f>(F16-F12)</f>
        <v>443400</v>
      </c>
      <c r="G17" s="4">
        <f>(G16-G12)</f>
        <v>1414100</v>
      </c>
      <c r="H17" s="4">
        <f>(H16-H12)</f>
        <v>292800</v>
      </c>
      <c r="I17" s="4">
        <f>(I16-I12)</f>
        <v>840800</v>
      </c>
      <c r="J17" s="4">
        <f>(J16-J12)</f>
        <v>1325300</v>
      </c>
      <c r="K17" s="4">
        <f>(K16-K12)</f>
        <v>1056500</v>
      </c>
      <c r="L17" s="4">
        <f>(L16-L12)</f>
        <v>1039800</v>
      </c>
      <c r="M17" s="4">
        <f>(M16-M12)</f>
        <v>1766600</v>
      </c>
      <c r="N17" s="4">
        <f>(N16-N12)</f>
        <v>673500</v>
      </c>
      <c r="O17" s="4">
        <f>(O16-O12)</f>
        <v>215900</v>
      </c>
      <c r="P17" s="4">
        <f>(P16-P12)</f>
        <v>1995300</v>
      </c>
      <c r="Q17" s="4">
        <f>(Q16-Q12)</f>
        <v>1176700</v>
      </c>
      <c r="R17" s="4">
        <f>(R16-R12)</f>
        <v>766900</v>
      </c>
      <c r="S17" s="4">
        <f>(S16-S12)</f>
        <v>1783300</v>
      </c>
      <c r="T17" s="4">
        <f>(T16-T12)</f>
        <v>0</v>
      </c>
      <c r="U17" s="4">
        <f>(U16-U12)</f>
        <v>0</v>
      </c>
      <c r="V17" s="4">
        <f>(V16-V12)</f>
        <v>0</v>
      </c>
    </row>
    <row r="18">
      <c r="A18" s="0" t="inlineStr">
        <is>
          <t xml:space="preserve">ARR growth (month)</t>
        </is>
      </c>
      <c r="B18" s="12">
        <f>IFERROR((B17/B12),0)</f>
        <v>-0.015467680608365019</v>
      </c>
      <c r="C18" s="12">
        <f>IFERROR((C17/C12),0)</f>
        <v>0.004862280444286531</v>
      </c>
      <c r="D18" s="12">
        <f>IFERROR((D17/D12),0)</f>
        <v>0.01511966209438451</v>
      </c>
      <c r="E18" s="12">
        <f>IFERROR((E17/E12),0)</f>
        <v>0.008467581637482253</v>
      </c>
      <c r="F18" s="12">
        <f>IFERROR((F17/F12),0)</f>
        <v>0.008323274947768352</v>
      </c>
      <c r="G18" s="12">
        <f>IFERROR((G17/G12),0)</f>
        <v>0.026325636638822543</v>
      </c>
      <c r="H18" s="12">
        <f>IFERROR((H17/H12),0)</f>
        <v>0.0053111021625327865</v>
      </c>
      <c r="I18" s="12">
        <f>IFERROR((I17/I12),0)</f>
        <v>0.015170706534879274</v>
      </c>
      <c r="J18" s="12">
        <f>IFERROR((J17/J12),0)</f>
        <v>0.023555277498338172</v>
      </c>
      <c r="K18" s="12">
        <f>IFERROR((K17/K12),0)</f>
        <v>0.018345612941427746</v>
      </c>
      <c r="L18" s="12">
        <f>IFERROR((L17/L12),0)</f>
        <v>0.01773035133310143</v>
      </c>
      <c r="M18" s="12">
        <f>IFERROR((M17/M12),0)</f>
        <v>0.029598726648236574</v>
      </c>
      <c r="N18" s="12">
        <f>IFERROR((N17/N12),0)</f>
        <v>0.010959844820964793</v>
      </c>
      <c r="O18" s="12">
        <f>IFERROR((O17/O12),0)</f>
        <v>0.0034752459150971184</v>
      </c>
      <c r="P18" s="12">
        <f>IFERROR((P17/P12),0)</f>
        <v>0.032006223833432254</v>
      </c>
      <c r="Q18" s="12">
        <f>IFERROR((Q17/Q12),0)</f>
        <v>0.018289830158091155</v>
      </c>
      <c r="R18" s="12">
        <f>IFERROR((R17/R12),0)</f>
        <v>0.01170607360371224</v>
      </c>
      <c r="S18" s="12">
        <f>IFERROR((S17/S12),0)</f>
        <v>0.02690559279660953</v>
      </c>
      <c r="T18" s="12">
        <f>IFERROR((T17/T12),0)</f>
        <v>0</v>
      </c>
      <c r="U18" s="12">
        <f>IFERROR((U17/U12),0)</f>
        <v>0</v>
      </c>
      <c r="V18" s="12">
        <f>IFERROR((V17/V12),0)</f>
        <v>0</v>
      </c>
    </row>
    <row r="19">
      <c r="A19" s="0" t="inlineStr">
        <is>
          <t xml:space="preserve">Monthly gross churn</t>
        </is>
      </c>
      <c r="B19" s="12">
        <f>IFERROR((-(B15)/B12),0)</f>
        <v>0.01640304182509506</v>
      </c>
      <c r="C19" s="12">
        <f>IFERROR((-(C15)/C12),0)</f>
        <v>0.002373209954737151</v>
      </c>
      <c r="D19" s="12">
        <f>IFERROR((-(D15)/D12),0)</f>
        <v>0.005002094615109669</v>
      </c>
      <c r="E19" s="12">
        <f>IFERROR((-(E15)/E12),0)</f>
        <v>0.003386654046379555</v>
      </c>
      <c r="F19" s="12">
        <f>IFERROR((-(F15)/F12),0)</f>
        <v>0.0005162157443924892</v>
      </c>
      <c r="G19" s="12">
        <f>IFERROR((-(G15)/G12),0)</f>
        <v>0.014829928680069328</v>
      </c>
      <c r="H19" s="12">
        <f>IFERROR((-(H15)/H12),0)</f>
        <v>0.0044912189052019056</v>
      </c>
      <c r="I19" s="12">
        <f>IFERROR((-(I15)/I12),0)</f>
        <v>0.0005629472453475658</v>
      </c>
      <c r="J19" s="12">
        <f>IFERROR((-(J15)/J12),0)</f>
        <v>0.0008637942250201729</v>
      </c>
      <c r="K19" s="12">
        <f>IFERROR((-(K15)/K12),0)</f>
        <v>0.0009897775084348145</v>
      </c>
      <c r="L19" s="12">
        <f>IFERROR((-(L15)/L12),0)</f>
        <v>0.0032943872644308485</v>
      </c>
      <c r="M19" s="12">
        <f>IFERROR((-(M15)/M12),0)</f>
        <v>0.0058456898718270926</v>
      </c>
      <c r="N19" s="12">
        <f>IFERROR((-(N15)/N12),0)</f>
        <v>0.0035312343372670522</v>
      </c>
      <c r="O19" s="12">
        <f>IFERROR((-(O15)/O12),0)</f>
        <v>0.009820507331175322</v>
      </c>
      <c r="P19" s="12">
        <f>IFERROR((-(P15)/P12),0)</f>
        <v>0.0022970436791196805</v>
      </c>
      <c r="Q19" s="12">
        <f>IFERROR((-(Q15)/Q12),0)</f>
        <v>0.0029547860228207093</v>
      </c>
      <c r="R19" s="12">
        <f>IFERROR((-(R15)/R12),0)</f>
        <v>0.0028513424816448644</v>
      </c>
      <c r="S19" s="12">
        <f>IFERROR((-(S15)/S12),0)</f>
        <v>0</v>
      </c>
      <c r="T19" s="12">
        <f>IFERROR((-(T15)/T12),0)</f>
        <v>0</v>
      </c>
      <c r="U19" s="12">
        <f>IFERROR((-(U15)/U12),0)</f>
        <v>0</v>
      </c>
      <c r="V19" s="12">
        <f>IFERROR((-(V15)/V12),0)</f>
        <v>0</v>
      </c>
    </row>
  </sheetData>
</worksheet>
</file>

<file path=xl/worksheets/sheet2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Frame</t>
        </is>
      </c>
      <c r="F1" s="1" t="inlineStr">
        <is>
          <t xml:space="preserve">Year</t>
        </is>
      </c>
      <c r="G1" s="1" t="inlineStr">
        <is>
          <t xml:space="preserve">Quarter</t>
        </is>
      </c>
      <c r="H1" s="1" t="inlineStr">
        <is>
          <t xml:space="preserve">Index</t>
        </is>
      </c>
    </row>
    <row r="2">
      <c r="A2" s="0" t="inlineStr">
        <is>
          <t xml:space="preserve">apr25</t>
        </is>
      </c>
      <c r="B2" s="0" t="inlineStr">
        <is>
          <t xml:space="preserve">Apr-25</t>
        </is>
      </c>
      <c r="C2" s="16">
        <v>45748</v>
      </c>
      <c r="D2" s="16">
        <v>45777</v>
      </c>
      <c r="E2" s="0" t="inlineStr">
        <is>
          <t xml:space="preserve">fcst</t>
        </is>
      </c>
      <c r="F2" s="4">
        <v>2025</v>
      </c>
      <c r="G2" s="0" t="inlineStr">
        <is>
          <t xml:space="preserve">Q2 2025</t>
        </is>
      </c>
      <c r="H2" s="4">
        <v>0</v>
      </c>
    </row>
    <row r="3">
      <c r="A3" s="0" t="inlineStr">
        <is>
          <t xml:space="preserve">may25</t>
        </is>
      </c>
      <c r="B3" s="0" t="inlineStr">
        <is>
          <t xml:space="preserve">May-25</t>
        </is>
      </c>
      <c r="C3" s="16">
        <v>45778</v>
      </c>
      <c r="D3" s="16">
        <v>45808</v>
      </c>
      <c r="E3" s="0" t="inlineStr">
        <is>
          <t xml:space="preserve">fcst</t>
        </is>
      </c>
      <c r="F3" s="4">
        <v>2025</v>
      </c>
      <c r="G3" s="0" t="inlineStr">
        <is>
          <t xml:space="preserve">Q2 2025</t>
        </is>
      </c>
      <c r="H3" s="4">
        <v>1</v>
      </c>
    </row>
    <row r="4">
      <c r="A4" s="0" t="inlineStr">
        <is>
          <t xml:space="preserve">jun25</t>
        </is>
      </c>
      <c r="B4" s="0" t="inlineStr">
        <is>
          <t xml:space="preserve">Jun-25</t>
        </is>
      </c>
      <c r="C4" s="16">
        <v>45809</v>
      </c>
      <c r="D4" s="16">
        <v>45838</v>
      </c>
      <c r="E4" s="0" t="inlineStr">
        <is>
          <t xml:space="preserve">fcst</t>
        </is>
      </c>
      <c r="F4" s="4">
        <v>2025</v>
      </c>
      <c r="G4" s="0" t="inlineStr">
        <is>
          <t xml:space="preserve">Q2 2025</t>
        </is>
      </c>
      <c r="H4" s="4">
        <v>2</v>
      </c>
    </row>
    <row r="5">
      <c r="A5" s="0" t="inlineStr">
        <is>
          <t xml:space="preserve">jul25</t>
        </is>
      </c>
      <c r="B5" s="0" t="inlineStr">
        <is>
          <t xml:space="preserve">Jul-25</t>
        </is>
      </c>
      <c r="C5" s="16">
        <v>45839</v>
      </c>
      <c r="D5" s="16">
        <v>45869</v>
      </c>
      <c r="E5" s="0" t="inlineStr">
        <is>
          <t xml:space="preserve">fcst</t>
        </is>
      </c>
      <c r="F5" s="4">
        <v>2025</v>
      </c>
      <c r="G5" s="0" t="inlineStr">
        <is>
          <t xml:space="preserve">Q3 2025</t>
        </is>
      </c>
      <c r="H5" s="4">
        <v>3</v>
      </c>
    </row>
    <row r="6">
      <c r="A6" s="0" t="inlineStr">
        <is>
          <t xml:space="preserve">aug25</t>
        </is>
      </c>
      <c r="B6" s="0" t="inlineStr">
        <is>
          <t xml:space="preserve">Aug-25</t>
        </is>
      </c>
      <c r="C6" s="16">
        <v>45870</v>
      </c>
      <c r="D6" s="16">
        <v>45900</v>
      </c>
      <c r="E6" s="0" t="inlineStr">
        <is>
          <t xml:space="preserve">fcst</t>
        </is>
      </c>
      <c r="F6" s="4">
        <v>2025</v>
      </c>
      <c r="G6" s="0" t="inlineStr">
        <is>
          <t xml:space="preserve">Q3 2025</t>
        </is>
      </c>
      <c r="H6" s="4">
        <v>4</v>
      </c>
    </row>
    <row r="7">
      <c r="A7" s="0" t="inlineStr">
        <is>
          <t xml:space="preserve">sep25</t>
        </is>
      </c>
      <c r="B7" s="0" t="inlineStr">
        <is>
          <t xml:space="preserve">Sep-25</t>
        </is>
      </c>
      <c r="C7" s="16">
        <v>45901</v>
      </c>
      <c r="D7" s="16">
        <v>45930</v>
      </c>
      <c r="E7" s="0" t="inlineStr">
        <is>
          <t xml:space="preserve">fcst</t>
        </is>
      </c>
      <c r="F7" s="4">
        <v>2025</v>
      </c>
      <c r="G7" s="0" t="inlineStr">
        <is>
          <t xml:space="preserve">Q3 2025</t>
        </is>
      </c>
      <c r="H7" s="4">
        <v>5</v>
      </c>
    </row>
    <row r="8">
      <c r="A8" s="0" t="inlineStr">
        <is>
          <t xml:space="preserve">oct25</t>
        </is>
      </c>
      <c r="B8" s="0" t="inlineStr">
        <is>
          <t xml:space="preserve">Oct-25</t>
        </is>
      </c>
      <c r="C8" s="16">
        <v>45931</v>
      </c>
      <c r="D8" s="16">
        <v>45961</v>
      </c>
      <c r="E8" s="0" t="inlineStr">
        <is>
          <t xml:space="preserve">fcst</t>
        </is>
      </c>
      <c r="F8" s="4">
        <v>2025</v>
      </c>
      <c r="G8" s="0" t="inlineStr">
        <is>
          <t xml:space="preserve">Q4 2025</t>
        </is>
      </c>
      <c r="H8" s="4">
        <v>6</v>
      </c>
    </row>
    <row r="9">
      <c r="A9" s="0" t="inlineStr">
        <is>
          <t xml:space="preserve">nov25</t>
        </is>
      </c>
      <c r="B9" s="0" t="inlineStr">
        <is>
          <t xml:space="preserve">Nov-25</t>
        </is>
      </c>
      <c r="C9" s="16">
        <v>45962</v>
      </c>
      <c r="D9" s="16">
        <v>45991</v>
      </c>
      <c r="E9" s="0" t="inlineStr">
        <is>
          <t xml:space="preserve">fcst</t>
        </is>
      </c>
      <c r="F9" s="4">
        <v>2025</v>
      </c>
      <c r="G9" s="0" t="inlineStr">
        <is>
          <t xml:space="preserve">Q4 2025</t>
        </is>
      </c>
      <c r="H9" s="4">
        <v>7</v>
      </c>
    </row>
    <row r="10">
      <c r="A10" s="0" t="inlineStr">
        <is>
          <t xml:space="preserve">dec25</t>
        </is>
      </c>
      <c r="B10" s="0" t="inlineStr">
        <is>
          <t xml:space="preserve">Dec-25</t>
        </is>
      </c>
      <c r="C10" s="16">
        <v>45992</v>
      </c>
      <c r="D10" s="16">
        <v>46022</v>
      </c>
      <c r="E10" s="0" t="inlineStr">
        <is>
          <t xml:space="preserve">fcst</t>
        </is>
      </c>
      <c r="F10" s="4">
        <v>2025</v>
      </c>
      <c r="G10" s="0" t="inlineStr">
        <is>
          <t xml:space="preserve">Q4 2025</t>
        </is>
      </c>
      <c r="H10" s="4">
        <v>8</v>
      </c>
    </row>
    <row r="11">
      <c r="A11" s="0" t="inlineStr">
        <is>
          <t xml:space="preserve">jan26</t>
        </is>
      </c>
      <c r="B11" s="0" t="inlineStr">
        <is>
          <t xml:space="preserve">Jan-26</t>
        </is>
      </c>
      <c r="C11" s="16">
        <v>46023</v>
      </c>
      <c r="D11" s="16">
        <v>46053</v>
      </c>
      <c r="E11" s="0" t="inlineStr">
        <is>
          <t xml:space="preserve">fcst</t>
        </is>
      </c>
      <c r="F11" s="4">
        <v>2026</v>
      </c>
      <c r="G11" s="0" t="inlineStr">
        <is>
          <t xml:space="preserve">Q1 2026</t>
        </is>
      </c>
      <c r="H11" s="4">
        <v>9</v>
      </c>
    </row>
    <row r="12">
      <c r="A12" s="0" t="inlineStr">
        <is>
          <t xml:space="preserve">feb26</t>
        </is>
      </c>
      <c r="B12" s="0" t="inlineStr">
        <is>
          <t xml:space="preserve">Feb-26</t>
        </is>
      </c>
      <c r="C12" s="16">
        <v>46054</v>
      </c>
      <c r="D12" s="16">
        <v>46081</v>
      </c>
      <c r="E12" s="0" t="inlineStr">
        <is>
          <t xml:space="preserve">fcst</t>
        </is>
      </c>
      <c r="F12" s="4">
        <v>2026</v>
      </c>
      <c r="G12" s="0" t="inlineStr">
        <is>
          <t xml:space="preserve">Q1 2026</t>
        </is>
      </c>
      <c r="H12" s="4">
        <v>10</v>
      </c>
    </row>
    <row r="13">
      <c r="A13" s="0" t="inlineStr">
        <is>
          <t xml:space="preserve">mar26</t>
        </is>
      </c>
      <c r="B13" s="0" t="inlineStr">
        <is>
          <t xml:space="preserve">Mar-26</t>
        </is>
      </c>
      <c r="C13" s="16">
        <v>46082</v>
      </c>
      <c r="D13" s="16">
        <v>46112</v>
      </c>
      <c r="E13" s="0" t="inlineStr">
        <is>
          <t xml:space="preserve">fcst</t>
        </is>
      </c>
      <c r="F13" s="4">
        <v>2026</v>
      </c>
      <c r="G13" s="0" t="inlineStr">
        <is>
          <t xml:space="preserve">Q1 2026</t>
        </is>
      </c>
      <c r="H13" s="4">
        <v>11</v>
      </c>
    </row>
    <row r="14">
      <c r="A14" s="0" t="inlineStr">
        <is>
          <t xml:space="preserve">apr26</t>
        </is>
      </c>
      <c r="B14" s="0" t="inlineStr">
        <is>
          <t xml:space="preserve">Apr-26</t>
        </is>
      </c>
      <c r="C14" s="16">
        <v>46113</v>
      </c>
      <c r="D14" s="16">
        <v>46142</v>
      </c>
      <c r="E14" s="0" t="inlineStr">
        <is>
          <t xml:space="preserve">fcst</t>
        </is>
      </c>
      <c r="F14" s="4">
        <v>2026</v>
      </c>
      <c r="G14" s="0" t="inlineStr">
        <is>
          <t xml:space="preserve">Q2 2026</t>
        </is>
      </c>
      <c r="H14" s="4">
        <v>12</v>
      </c>
    </row>
    <row r="15">
      <c r="A15" s="0" t="inlineStr">
        <is>
          <t xml:space="preserve">may26</t>
        </is>
      </c>
      <c r="B15" s="0" t="inlineStr">
        <is>
          <t xml:space="preserve">May-26</t>
        </is>
      </c>
      <c r="C15" s="16">
        <v>46143</v>
      </c>
      <c r="D15" s="16">
        <v>46173</v>
      </c>
      <c r="E15" s="0" t="inlineStr">
        <is>
          <t xml:space="preserve">fcst</t>
        </is>
      </c>
      <c r="F15" s="4">
        <v>2026</v>
      </c>
      <c r="G15" s="0" t="inlineStr">
        <is>
          <t xml:space="preserve">Q2 2026</t>
        </is>
      </c>
      <c r="H15" s="4">
        <v>13</v>
      </c>
    </row>
    <row r="16">
      <c r="A16" s="0" t="inlineStr">
        <is>
          <t xml:space="preserve">jun26</t>
        </is>
      </c>
      <c r="B16" s="0" t="inlineStr">
        <is>
          <t xml:space="preserve">Jun-26</t>
        </is>
      </c>
      <c r="C16" s="16">
        <v>46174</v>
      </c>
      <c r="D16" s="16">
        <v>46203</v>
      </c>
      <c r="E16" s="0" t="inlineStr">
        <is>
          <t xml:space="preserve">fcst</t>
        </is>
      </c>
      <c r="F16" s="4">
        <v>2026</v>
      </c>
      <c r="G16" s="0" t="inlineStr">
        <is>
          <t xml:space="preserve">Q2 2026</t>
        </is>
      </c>
      <c r="H16" s="4">
        <v>14</v>
      </c>
    </row>
    <row r="17">
      <c r="A17" s="0" t="inlineStr">
        <is>
          <t xml:space="preserve">jul26</t>
        </is>
      </c>
      <c r="B17" s="0" t="inlineStr">
        <is>
          <t xml:space="preserve">Jul-26</t>
        </is>
      </c>
      <c r="C17" s="16">
        <v>46204</v>
      </c>
      <c r="D17" s="16">
        <v>46234</v>
      </c>
      <c r="E17" s="0" t="inlineStr">
        <is>
          <t xml:space="preserve">fcst</t>
        </is>
      </c>
      <c r="F17" s="4">
        <v>2026</v>
      </c>
      <c r="G17" s="0" t="inlineStr">
        <is>
          <t xml:space="preserve">Q3 2026</t>
        </is>
      </c>
      <c r="H17" s="4">
        <v>15</v>
      </c>
    </row>
    <row r="18">
      <c r="A18" s="0" t="inlineStr">
        <is>
          <t xml:space="preserve">aug26</t>
        </is>
      </c>
      <c r="B18" s="0" t="inlineStr">
        <is>
          <t xml:space="preserve">Aug-26</t>
        </is>
      </c>
      <c r="C18" s="16">
        <v>46235</v>
      </c>
      <c r="D18" s="16">
        <v>46265</v>
      </c>
      <c r="E18" s="0" t="inlineStr">
        <is>
          <t xml:space="preserve">fcst</t>
        </is>
      </c>
      <c r="F18" s="4">
        <v>2026</v>
      </c>
      <c r="G18" s="0" t="inlineStr">
        <is>
          <t xml:space="preserve">Q3 2026</t>
        </is>
      </c>
      <c r="H18" s="4">
        <v>16</v>
      </c>
    </row>
    <row r="19">
      <c r="A19" s="0" t="inlineStr">
        <is>
          <t xml:space="preserve">sep26</t>
        </is>
      </c>
      <c r="B19" s="0" t="inlineStr">
        <is>
          <t xml:space="preserve">Sep-26</t>
        </is>
      </c>
      <c r="C19" s="16">
        <v>46266</v>
      </c>
      <c r="D19" s="16">
        <v>46295</v>
      </c>
      <c r="E19" s="0" t="inlineStr">
        <is>
          <t xml:space="preserve">fcst</t>
        </is>
      </c>
      <c r="F19" s="4">
        <v>2026</v>
      </c>
      <c r="G19" s="0" t="inlineStr">
        <is>
          <t xml:space="preserve">Q3 2026</t>
        </is>
      </c>
      <c r="H19" s="4">
        <v>17</v>
      </c>
    </row>
    <row r="20">
      <c r="A20" s="0" t="inlineStr">
        <is>
          <t xml:space="preserve">oct26</t>
        </is>
      </c>
      <c r="B20" s="0" t="inlineStr">
        <is>
          <t xml:space="preserve">Oct-26</t>
        </is>
      </c>
      <c r="C20" s="16">
        <v>46296</v>
      </c>
      <c r="D20" s="16">
        <v>46326</v>
      </c>
      <c r="E20" s="0" t="inlineStr">
        <is>
          <t xml:space="preserve">fcst</t>
        </is>
      </c>
      <c r="F20" s="4">
        <v>2026</v>
      </c>
      <c r="G20" s="0" t="inlineStr">
        <is>
          <t xml:space="preserve">Q4 2026</t>
        </is>
      </c>
      <c r="H20" s="4">
        <v>18</v>
      </c>
    </row>
    <row r="21">
      <c r="A21" s="0" t="inlineStr">
        <is>
          <t xml:space="preserve">nov26</t>
        </is>
      </c>
      <c r="B21" s="0" t="inlineStr">
        <is>
          <t xml:space="preserve">Nov-26</t>
        </is>
      </c>
      <c r="C21" s="16">
        <v>46327</v>
      </c>
      <c r="D21" s="16">
        <v>46356</v>
      </c>
      <c r="E21" s="0" t="inlineStr">
        <is>
          <t xml:space="preserve">fcst</t>
        </is>
      </c>
      <c r="F21" s="4">
        <v>2026</v>
      </c>
      <c r="G21" s="0" t="inlineStr">
        <is>
          <t xml:space="preserve">Q4 2026</t>
        </is>
      </c>
      <c r="H21" s="4">
        <v>19</v>
      </c>
    </row>
    <row r="22">
      <c r="A22" s="0" t="inlineStr">
        <is>
          <t xml:space="preserve">dec26</t>
        </is>
      </c>
      <c r="B22" s="0" t="inlineStr">
        <is>
          <t xml:space="preserve">Dec-26</t>
        </is>
      </c>
      <c r="C22" s="16">
        <v>46357</v>
      </c>
      <c r="D22" s="16">
        <v>46387</v>
      </c>
      <c r="E22" s="0" t="inlineStr">
        <is>
          <t xml:space="preserve">fcst</t>
        </is>
      </c>
      <c r="F22" s="4">
        <v>2026</v>
      </c>
      <c r="G22" s="0" t="inlineStr">
        <is>
          <t xml:space="preserve">Q4 2026</t>
        </is>
      </c>
      <c r="H22" s="4">
        <v>20</v>
      </c>
    </row>
  </sheetData>
</worksheet>
</file>

<file path=xl/worksheets/sheet2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label</t>
        </is>
      </c>
      <c r="D1" s="1" t="inlineStr">
        <is>
          <t xml:space="preserve">year</t>
        </is>
      </c>
      <c r="E1" s="1" t="inlineStr">
        <is>
          <t xml:space="preserve">spiff_active</t>
        </is>
      </c>
      <c r="F1" s="1" t="inlineStr">
        <is>
          <t xml:space="preserve">is_future</t>
        </is>
      </c>
    </row>
    <row r="2">
      <c r="A2" s="0" t="inlineStr">
        <is>
          <t xml:space="preserve">q2_2025</t>
        </is>
      </c>
      <c r="B2" s="0" t="inlineStr">
        <is>
          <t xml:space="preserve">Q2 2025</t>
        </is>
      </c>
      <c r="C2" s="0" t="inlineStr">
        <is>
          <t xml:space="preserve">Q2 2025</t>
        </is>
      </c>
      <c r="D2" s="4">
        <v>2025</v>
      </c>
      <c r="E2" s="4">
        <v>0</v>
      </c>
      <c r="F2" s="4">
        <v>0</v>
      </c>
    </row>
    <row r="3">
      <c r="A3" s="0" t="inlineStr">
        <is>
          <t xml:space="preserve">q3_2025</t>
        </is>
      </c>
      <c r="B3" s="0" t="inlineStr">
        <is>
          <t xml:space="preserve">Q3 2025</t>
        </is>
      </c>
      <c r="C3" s="0" t="inlineStr">
        <is>
          <t xml:space="preserve">Q3 2025</t>
        </is>
      </c>
      <c r="D3" s="4">
        <v>2025</v>
      </c>
      <c r="E3" s="4">
        <v>0</v>
      </c>
      <c r="F3" s="4">
        <v>0</v>
      </c>
    </row>
    <row r="4">
      <c r="A4" s="0" t="inlineStr">
        <is>
          <t xml:space="preserve">q4_2025</t>
        </is>
      </c>
      <c r="B4" s="0" t="inlineStr">
        <is>
          <t xml:space="preserve">Q4 2025</t>
        </is>
      </c>
      <c r="C4" s="0" t="inlineStr">
        <is>
          <t xml:space="preserve">Q4 2025</t>
        </is>
      </c>
      <c r="D4" s="4">
        <v>2025</v>
      </c>
      <c r="E4" s="4">
        <v>0</v>
      </c>
      <c r="F4" s="4">
        <v>0</v>
      </c>
    </row>
    <row r="5">
      <c r="A5" s="0" t="inlineStr">
        <is>
          <t xml:space="preserve">q1_2026</t>
        </is>
      </c>
      <c r="B5" s="0" t="inlineStr">
        <is>
          <t xml:space="preserve">Q1 2026</t>
        </is>
      </c>
      <c r="C5" s="0" t="inlineStr">
        <is>
          <t xml:space="preserve">Q1 2026</t>
        </is>
      </c>
      <c r="D5" s="4">
        <v>2026</v>
      </c>
      <c r="E5" s="4">
        <v>0</v>
      </c>
      <c r="F5" s="4">
        <v>0</v>
      </c>
    </row>
    <row r="6">
      <c r="A6" s="0" t="inlineStr">
        <is>
          <t xml:space="preserve">q2_2026</t>
        </is>
      </c>
      <c r="B6" s="0" t="inlineStr">
        <is>
          <t xml:space="preserve">Q2 2026</t>
        </is>
      </c>
      <c r="C6" s="0" t="inlineStr">
        <is>
          <t xml:space="preserve">Q2 2026</t>
        </is>
      </c>
      <c r="D6" s="4">
        <v>2026</v>
      </c>
      <c r="E6" s="4">
        <v>0</v>
      </c>
      <c r="F6" s="4">
        <v>0</v>
      </c>
    </row>
    <row r="7">
      <c r="A7" s="0" t="inlineStr">
        <is>
          <t xml:space="preserve">q3_2026</t>
        </is>
      </c>
      <c r="B7" s="0" t="inlineStr">
        <is>
          <t xml:space="preserve">Q3 2026</t>
        </is>
      </c>
      <c r="C7" s="0" t="inlineStr">
        <is>
          <t xml:space="preserve">Q3 2026</t>
        </is>
      </c>
      <c r="D7" s="4">
        <v>2026</v>
      </c>
      <c r="E7" s="4">
        <v>1</v>
      </c>
      <c r="F7" s="4">
        <v>0</v>
      </c>
    </row>
    <row r="8">
      <c r="A8" s="0" t="inlineStr">
        <is>
          <t xml:space="preserve">q4_2026</t>
        </is>
      </c>
      <c r="B8" s="0" t="inlineStr">
        <is>
          <t xml:space="preserve">Q4 2026</t>
        </is>
      </c>
      <c r="C8" s="0" t="inlineStr">
        <is>
          <t xml:space="preserve">Q4 2026</t>
        </is>
      </c>
      <c r="D8" s="4">
        <v>2026</v>
      </c>
      <c r="E8" s="4">
        <v>0</v>
      </c>
      <c r="F8" s="4">
        <v>1</v>
      </c>
    </row>
  </sheetData>
</worksheet>
</file>

<file path=xl/worksheets/sheet2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amer_east</t>
        </is>
      </c>
      <c r="B2" s="0" t="inlineStr">
        <is>
          <t xml:space="preserve">AMER East</t>
        </is>
      </c>
    </row>
    <row r="3">
      <c r="A3" s="0" t="inlineStr">
        <is>
          <t xml:space="preserve">amer_west</t>
        </is>
      </c>
      <c r="B3" s="0" t="inlineStr">
        <is>
          <t xml:space="preserve">AMER West</t>
        </is>
      </c>
    </row>
    <row r="4">
      <c r="A4" s="0" t="inlineStr">
        <is>
          <t xml:space="preserve">emea</t>
        </is>
      </c>
      <c r="B4" s="0" t="inlineStr">
        <is>
          <t xml:space="preserve">EMEA</t>
        </is>
      </c>
    </row>
    <row r="5">
      <c r="A5" s="0" t="inlineStr">
        <is>
          <t xml:space="preserve">apac</t>
        </is>
      </c>
      <c r="B5" s="0" t="inlineStr">
        <is>
          <t xml:space="preserve">APAC</t>
        </is>
      </c>
    </row>
  </sheetData>
</worksheet>
</file>

<file path=xl/worksheets/sheet2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annual_quota</t>
        </is>
      </c>
      <c r="D1" s="1" t="inlineStr">
        <is>
          <t xml:space="preserve">ote</t>
        </is>
      </c>
    </row>
    <row r="2">
      <c r="A2" s="0" t="inlineStr">
        <is>
          <t xml:space="preserve">enterprise</t>
        </is>
      </c>
      <c r="B2" s="0" t="inlineStr">
        <is>
          <t xml:space="preserve">Enterprise</t>
        </is>
      </c>
      <c r="C2" s="4">
        <v>1500000</v>
      </c>
      <c r="D2" s="4">
        <v>300000</v>
      </c>
    </row>
    <row r="3">
      <c r="A3" s="0" t="inlineStr">
        <is>
          <t xml:space="preserve">mid_market</t>
        </is>
      </c>
      <c r="B3" s="0" t="inlineStr">
        <is>
          <t xml:space="preserve">Mid-Market</t>
        </is>
      </c>
      <c r="C3" s="4">
        <v>850000</v>
      </c>
      <c r="D3" s="4">
        <v>220000</v>
      </c>
    </row>
    <row r="4">
      <c r="A4" s="0" t="inlineStr">
        <is>
          <t xml:space="preserve">smb</t>
        </is>
      </c>
      <c r="B4" s="0" t="inlineStr">
        <is>
          <t xml:space="preserve">SMB</t>
        </is>
      </c>
      <c r="C4" s="4">
        <v>450000</v>
      </c>
      <c r="D4" s="4">
        <v>160000</v>
      </c>
    </row>
  </sheetData>
</worksheet>
</file>

<file path=xl/worksheets/sheet2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</cols>
  <sheetData>
    <row r="1">
      <c r="A1" s="1" t="inlineStr">
        <is>
          <t xml:space="preserve">ID</t>
        </is>
      </c>
      <c r="B1" s="1" t="inlineStr">
        <is>
          <t xml:space="preserve">region</t>
        </is>
      </c>
      <c r="C1" s="1" t="inlineStr">
        <is>
          <t xml:space="preserve">name</t>
        </is>
      </c>
      <c r="D1" s="1" t="inlineStr">
        <is>
          <t xml:space="preserve">title</t>
        </is>
      </c>
    </row>
    <row r="2">
      <c r="A2" s="0" t="inlineStr">
        <is>
          <t xml:space="preserve">m_amer_east</t>
        </is>
      </c>
      <c r="B2" s="0" t="inlineStr">
        <is>
          <t xml:space="preserve">amer_east</t>
        </is>
      </c>
      <c r="C2" s="0" t="inlineStr">
        <is>
          <t xml:space="preserve">Fatima Moreau</t>
        </is>
      </c>
      <c r="D2" s="0" t="inlineStr">
        <is>
          <t xml:space="preserve">Regional Director, AMER East</t>
        </is>
      </c>
    </row>
    <row r="3">
      <c r="A3" s="0" t="inlineStr">
        <is>
          <t xml:space="preserve">m_amer_west</t>
        </is>
      </c>
      <c r="B3" s="0" t="inlineStr">
        <is>
          <t xml:space="preserve">amer_west</t>
        </is>
      </c>
      <c r="C3" s="0" t="inlineStr">
        <is>
          <t xml:space="preserve">Sofia Rahman</t>
        </is>
      </c>
      <c r="D3" s="0" t="inlineStr">
        <is>
          <t xml:space="preserve">Regional Director, AMER West</t>
        </is>
      </c>
    </row>
    <row r="4">
      <c r="A4" s="0" t="inlineStr">
        <is>
          <t xml:space="preserve">m_emea</t>
        </is>
      </c>
      <c r="B4" s="0" t="inlineStr">
        <is>
          <t xml:space="preserve">emea</t>
        </is>
      </c>
      <c r="C4" s="0" t="inlineStr">
        <is>
          <t xml:space="preserve">Mateo Schmidt</t>
        </is>
      </c>
      <c r="D4" s="0" t="inlineStr">
        <is>
          <t xml:space="preserve">Regional Director, EMEA</t>
        </is>
      </c>
    </row>
    <row r="5">
      <c r="A5" s="0" t="inlineStr">
        <is>
          <t xml:space="preserve">m_apac</t>
        </is>
      </c>
      <c r="B5" s="0" t="inlineStr">
        <is>
          <t xml:space="preserve">apac</t>
        </is>
      </c>
      <c r="C5" s="0" t="inlineStr">
        <is>
          <t xml:space="preserve">Diego Okafor</t>
        </is>
      </c>
      <c r="D5" s="0" t="inlineStr">
        <is>
          <t xml:space="preserve">Regional Director, APAC</t>
        </is>
      </c>
    </row>
    <row r="6">
      <c r="A6" s="0" t="inlineStr">
        <is>
          <t xml:space="preserve">vp_sales</t>
        </is>
      </c>
      <c r="B6" s="0" t="inlineStr">
        <is>
          <t xml:space="preserve">amer_east</t>
        </is>
      </c>
      <c r="C6" s="0" t="inlineStr">
        <is>
          <t xml:space="preserve">Grace Silva</t>
        </is>
      </c>
      <c r="D6" s="0" t="inlineStr">
        <is>
          <t xml:space="preserve">VP Sales</t>
        </is>
      </c>
    </row>
    <row r="7">
      <c r="A7" s="0" t="inlineStr">
        <is>
          <t xml:space="preserve">cro</t>
        </is>
      </c>
      <c r="B7" s="0" t="inlineStr">
        <is>
          <t xml:space="preserve">amer_east</t>
        </is>
      </c>
      <c r="C7" s="0" t="inlineStr">
        <is>
          <t xml:space="preserve">Marcus Fischer</t>
        </is>
      </c>
      <c r="D7" s="0" t="inlineStr">
        <is>
          <t xml:space="preserve">Chief Revenue Officer</t>
        </is>
      </c>
    </row>
  </sheetData>
</worksheet>
</file>

<file path=xl/worksheets/sheet2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</cols>
  <sheetData>
    <row r="1">
      <c r="A1" s="1" t="inlineStr">
        <is>
          <t xml:space="preserve">ID</t>
        </is>
      </c>
      <c r="B1" s="1" t="inlineStr">
        <is>
          <t xml:space="preserve">region</t>
        </is>
      </c>
      <c r="C1" s="1" t="inlineStr">
        <is>
          <t xml:space="preserve">segment</t>
        </is>
      </c>
      <c r="D1" s="1" t="inlineStr">
        <is>
          <t xml:space="preserve">manager</t>
        </is>
      </c>
      <c r="E1" s="1" t="inlineStr">
        <is>
          <t xml:space="preserve">start</t>
        </is>
      </c>
      <c r="F1" s="1" t="inlineStr">
        <is>
          <t xml:space="preserve">ote</t>
        </is>
      </c>
      <c r="G1" s="1" t="inlineStr">
        <is>
          <t xml:space="preserve">variable</t>
        </is>
      </c>
      <c r="H1" s="1" t="inlineStr">
        <is>
          <t xml:space="preserve">annual_quota</t>
        </is>
      </c>
      <c r="I1" s="1" t="inlineStr">
        <is>
          <t xml:space="preserve">base_rate</t>
        </is>
      </c>
      <c r="J1" s="1" t="inlineStr">
        <is>
          <t xml:space="preserve">name</t>
        </is>
      </c>
    </row>
    <row r="2">
      <c r="A2" s="0" t="inlineStr">
        <is>
          <t xml:space="preserve">r01</t>
        </is>
      </c>
      <c r="B2" s="0" t="inlineStr">
        <is>
          <t xml:space="preserve">amer_east</t>
        </is>
      </c>
      <c r="C2" s="0" t="inlineStr">
        <is>
          <t xml:space="preserve">enterprise</t>
        </is>
      </c>
      <c r="D2" s="0" t="inlineStr">
        <is>
          <t xml:space="preserve">m_amer_east</t>
        </is>
      </c>
      <c r="E2" s="16">
        <v>45200</v>
      </c>
      <c r="F2" s="4">
        <v>300000</v>
      </c>
      <c r="G2" s="4">
        <v>150000</v>
      </c>
      <c r="H2" s="4">
        <v>1500000</v>
      </c>
      <c r="I2" s="8">
        <v>0.1</v>
      </c>
      <c r="J2" s="0" t="inlineStr">
        <is>
          <t xml:space="preserve">Noor Ortiz</t>
        </is>
      </c>
    </row>
    <row r="3">
      <c r="A3" s="0" t="inlineStr">
        <is>
          <t xml:space="preserve">r02</t>
        </is>
      </c>
      <c r="B3" s="0" t="inlineStr">
        <is>
          <t xml:space="preserve">amer_east</t>
        </is>
      </c>
      <c r="C3" s="0" t="inlineStr">
        <is>
          <t xml:space="preserve">enterprise</t>
        </is>
      </c>
      <c r="D3" s="0" t="inlineStr">
        <is>
          <t xml:space="preserve">m_amer_east</t>
        </is>
      </c>
      <c r="E3" s="16">
        <v>46204</v>
      </c>
      <c r="F3" s="4">
        <v>300000</v>
      </c>
      <c r="G3" s="4">
        <v>150000</v>
      </c>
      <c r="H3" s="4">
        <v>1500000</v>
      </c>
      <c r="I3" s="8">
        <v>0.1</v>
      </c>
      <c r="J3" s="0" t="inlineStr">
        <is>
          <t xml:space="preserve">Priya Yilmaz</t>
        </is>
      </c>
    </row>
    <row r="4">
      <c r="A4" s="0" t="inlineStr">
        <is>
          <t xml:space="preserve">r03</t>
        </is>
      </c>
      <c r="B4" s="0" t="inlineStr">
        <is>
          <t xml:space="preserve">amer_east</t>
        </is>
      </c>
      <c r="C4" s="0" t="inlineStr">
        <is>
          <t xml:space="preserve">mid_market</t>
        </is>
      </c>
      <c r="D4" s="0" t="inlineStr">
        <is>
          <t xml:space="preserve">m_amer_east</t>
        </is>
      </c>
      <c r="E4" s="16">
        <v>45809</v>
      </c>
      <c r="F4" s="4">
        <v>220000</v>
      </c>
      <c r="G4" s="4">
        <v>110000</v>
      </c>
      <c r="H4" s="4">
        <v>850000</v>
      </c>
      <c r="I4" s="8">
        <v>0.1294</v>
      </c>
      <c r="J4" s="0" t="inlineStr">
        <is>
          <t xml:space="preserve">Marcus Schmidt</t>
        </is>
      </c>
    </row>
    <row r="5">
      <c r="A5" s="0" t="inlineStr">
        <is>
          <t xml:space="preserve">r04</t>
        </is>
      </c>
      <c r="B5" s="0" t="inlineStr">
        <is>
          <t xml:space="preserve">amer_east</t>
        </is>
      </c>
      <c r="C5" s="0" t="inlineStr">
        <is>
          <t xml:space="preserve">mid_market</t>
        </is>
      </c>
      <c r="D5" s="0" t="inlineStr">
        <is>
          <t xml:space="preserve">m_amer_east</t>
        </is>
      </c>
      <c r="E5" s="16">
        <v>44774</v>
      </c>
      <c r="F5" s="4">
        <v>220000</v>
      </c>
      <c r="G5" s="4">
        <v>110000</v>
      </c>
      <c r="H5" s="4">
        <v>850000</v>
      </c>
      <c r="I5" s="8">
        <v>0.1294</v>
      </c>
      <c r="J5" s="0" t="inlineStr">
        <is>
          <t xml:space="preserve">Amara Haddad</t>
        </is>
      </c>
    </row>
    <row r="6">
      <c r="A6" s="0" t="inlineStr">
        <is>
          <t xml:space="preserve">r05</t>
        </is>
      </c>
      <c r="B6" s="0" t="inlineStr">
        <is>
          <t xml:space="preserve">amer_east</t>
        </is>
      </c>
      <c r="C6" s="0" t="inlineStr">
        <is>
          <t xml:space="preserve">smb</t>
        </is>
      </c>
      <c r="D6" s="0" t="inlineStr">
        <is>
          <t xml:space="preserve">m_amer_east</t>
        </is>
      </c>
      <c r="E6" s="16">
        <v>45078</v>
      </c>
      <c r="F6" s="4">
        <v>160000</v>
      </c>
      <c r="G6" s="4">
        <v>80000</v>
      </c>
      <c r="H6" s="4">
        <v>450000</v>
      </c>
      <c r="I6" s="8">
        <v>0.1778</v>
      </c>
      <c r="J6" s="0" t="inlineStr">
        <is>
          <t xml:space="preserve">Fatima Silva</t>
        </is>
      </c>
    </row>
    <row r="7">
      <c r="A7" s="0" t="inlineStr">
        <is>
          <t xml:space="preserve">r06</t>
        </is>
      </c>
      <c r="B7" s="0" t="inlineStr">
        <is>
          <t xml:space="preserve">amer_east</t>
        </is>
      </c>
      <c r="C7" s="0" t="inlineStr">
        <is>
          <t xml:space="preserve">smb</t>
        </is>
      </c>
      <c r="D7" s="0" t="inlineStr">
        <is>
          <t xml:space="preserve">m_amer_east</t>
        </is>
      </c>
      <c r="E7" s="16">
        <v>45717</v>
      </c>
      <c r="F7" s="4">
        <v>160000</v>
      </c>
      <c r="G7" s="4">
        <v>80000</v>
      </c>
      <c r="H7" s="4">
        <v>450000</v>
      </c>
      <c r="I7" s="8">
        <v>0.1778</v>
      </c>
      <c r="J7" s="0" t="inlineStr">
        <is>
          <t xml:space="preserve">Ana Ortiz</t>
        </is>
      </c>
    </row>
    <row r="8">
      <c r="A8" s="0" t="inlineStr">
        <is>
          <t xml:space="preserve">r07</t>
        </is>
      </c>
      <c r="B8" s="0" t="inlineStr">
        <is>
          <t xml:space="preserve">amer_west</t>
        </is>
      </c>
      <c r="C8" s="0" t="inlineStr">
        <is>
          <t xml:space="preserve">enterprise</t>
        </is>
      </c>
      <c r="D8" s="0" t="inlineStr">
        <is>
          <t xml:space="preserve">m_amer_west</t>
        </is>
      </c>
      <c r="E8" s="16">
        <v>44501</v>
      </c>
      <c r="F8" s="4">
        <v>300000</v>
      </c>
      <c r="G8" s="4">
        <v>150000</v>
      </c>
      <c r="H8" s="4">
        <v>1500000</v>
      </c>
      <c r="I8" s="8">
        <v>0.1</v>
      </c>
      <c r="J8" s="0" t="inlineStr">
        <is>
          <t xml:space="preserve">Tobias Silva</t>
        </is>
      </c>
    </row>
    <row r="9">
      <c r="A9" s="0" t="inlineStr">
        <is>
          <t xml:space="preserve">r08</t>
        </is>
      </c>
      <c r="B9" s="0" t="inlineStr">
        <is>
          <t xml:space="preserve">amer_west</t>
        </is>
      </c>
      <c r="C9" s="0" t="inlineStr">
        <is>
          <t xml:space="preserve">enterprise</t>
        </is>
      </c>
      <c r="D9" s="0" t="inlineStr">
        <is>
          <t xml:space="preserve">m_amer_west</t>
        </is>
      </c>
      <c r="E9" s="16">
        <v>44927</v>
      </c>
      <c r="F9" s="4">
        <v>300000</v>
      </c>
      <c r="G9" s="4">
        <v>150000</v>
      </c>
      <c r="H9" s="4">
        <v>1500000</v>
      </c>
      <c r="I9" s="8">
        <v>0.1</v>
      </c>
      <c r="J9" s="0" t="inlineStr">
        <is>
          <t xml:space="preserve">Leila Osei</t>
        </is>
      </c>
    </row>
    <row r="10">
      <c r="A10" s="0" t="inlineStr">
        <is>
          <t xml:space="preserve">r09</t>
        </is>
      </c>
      <c r="B10" s="0" t="inlineStr">
        <is>
          <t xml:space="preserve">amer_west</t>
        </is>
      </c>
      <c r="C10" s="0" t="inlineStr">
        <is>
          <t xml:space="preserve">mid_market</t>
        </is>
      </c>
      <c r="D10" s="0" t="inlineStr">
        <is>
          <t xml:space="preserve">m_amer_west</t>
        </is>
      </c>
      <c r="E10" s="16">
        <v>45413</v>
      </c>
      <c r="F10" s="4">
        <v>220000</v>
      </c>
      <c r="G10" s="4">
        <v>110000</v>
      </c>
      <c r="H10" s="4">
        <v>850000</v>
      </c>
      <c r="I10" s="8">
        <v>0.1294</v>
      </c>
      <c r="J10" s="0" t="inlineStr">
        <is>
          <t xml:space="preserve">Grace Costa</t>
        </is>
      </c>
    </row>
    <row r="11">
      <c r="A11" s="0" t="inlineStr">
        <is>
          <t xml:space="preserve">r10</t>
        </is>
      </c>
      <c r="B11" s="0" t="inlineStr">
        <is>
          <t xml:space="preserve">amer_west</t>
        </is>
      </c>
      <c r="C11" s="0" t="inlineStr">
        <is>
          <t xml:space="preserve">mid_market</t>
        </is>
      </c>
      <c r="D11" s="0" t="inlineStr">
        <is>
          <t xml:space="preserve">m_amer_west</t>
        </is>
      </c>
      <c r="E11" s="16">
        <v>46054</v>
      </c>
      <c r="F11" s="4">
        <v>220000</v>
      </c>
      <c r="G11" s="4">
        <v>110000</v>
      </c>
      <c r="H11" s="4">
        <v>850000</v>
      </c>
      <c r="I11" s="8">
        <v>0.1294</v>
      </c>
      <c r="J11" s="0" t="inlineStr">
        <is>
          <t xml:space="preserve">Ingrid Müller</t>
        </is>
      </c>
    </row>
    <row r="12">
      <c r="A12" s="0" t="inlineStr">
        <is>
          <t xml:space="preserve">r11</t>
        </is>
      </c>
      <c r="B12" s="0" t="inlineStr">
        <is>
          <t xml:space="preserve">amer_west</t>
        </is>
      </c>
      <c r="C12" s="0" t="inlineStr">
        <is>
          <t xml:space="preserve">smb</t>
        </is>
      </c>
      <c r="D12" s="0" t="inlineStr">
        <is>
          <t xml:space="preserve">m_amer_west</t>
        </is>
      </c>
      <c r="E12" s="16">
        <v>44621</v>
      </c>
      <c r="F12" s="4">
        <v>160000</v>
      </c>
      <c r="G12" s="4">
        <v>80000</v>
      </c>
      <c r="H12" s="4">
        <v>450000</v>
      </c>
      <c r="I12" s="8">
        <v>0.1778</v>
      </c>
      <c r="J12" s="0" t="inlineStr">
        <is>
          <t xml:space="preserve">Ingrid Kim</t>
        </is>
      </c>
    </row>
    <row r="13">
      <c r="A13" s="0" t="inlineStr">
        <is>
          <t xml:space="preserve">r12</t>
        </is>
      </c>
      <c r="B13" s="0" t="inlineStr">
        <is>
          <t xml:space="preserve">amer_west</t>
        </is>
      </c>
      <c r="C13" s="0" t="inlineStr">
        <is>
          <t xml:space="preserve">smb</t>
        </is>
      </c>
      <c r="D13" s="0" t="inlineStr">
        <is>
          <t xml:space="preserve">m_amer_west</t>
        </is>
      </c>
      <c r="E13" s="16">
        <v>45200</v>
      </c>
      <c r="F13" s="4">
        <v>160000</v>
      </c>
      <c r="G13" s="4">
        <v>80000</v>
      </c>
      <c r="H13" s="4">
        <v>450000</v>
      </c>
      <c r="I13" s="8">
        <v>0.1778</v>
      </c>
      <c r="J13" s="0" t="inlineStr">
        <is>
          <t xml:space="preserve">Priya Nair</t>
        </is>
      </c>
    </row>
    <row r="14">
      <c r="A14" s="0" t="inlineStr">
        <is>
          <t xml:space="preserve">r13</t>
        </is>
      </c>
      <c r="B14" s="0" t="inlineStr">
        <is>
          <t xml:space="preserve">emea</t>
        </is>
      </c>
      <c r="C14" s="0" t="inlineStr">
        <is>
          <t xml:space="preserve">enterprise</t>
        </is>
      </c>
      <c r="D14" s="0" t="inlineStr">
        <is>
          <t xml:space="preserve">m_emea</t>
        </is>
      </c>
      <c r="E14" s="16">
        <v>45323</v>
      </c>
      <c r="F14" s="4">
        <v>300000</v>
      </c>
      <c r="G14" s="4">
        <v>150000</v>
      </c>
      <c r="H14" s="4">
        <v>1350000</v>
      </c>
      <c r="I14" s="8">
        <v>0.1111</v>
      </c>
      <c r="J14" s="0" t="inlineStr">
        <is>
          <t xml:space="preserve">Hugo Lindqvist</t>
        </is>
      </c>
    </row>
    <row r="15">
      <c r="A15" s="0" t="inlineStr">
        <is>
          <t xml:space="preserve">r14</t>
        </is>
      </c>
      <c r="B15" s="0" t="inlineStr">
        <is>
          <t xml:space="preserve">emea</t>
        </is>
      </c>
      <c r="C15" s="0" t="inlineStr">
        <is>
          <t xml:space="preserve">enterprise</t>
        </is>
      </c>
      <c r="D15" s="0" t="inlineStr">
        <is>
          <t xml:space="preserve">m_emea</t>
        </is>
      </c>
      <c r="E15" s="16">
        <v>45962</v>
      </c>
      <c r="F15" s="4">
        <v>300000</v>
      </c>
      <c r="G15" s="4">
        <v>150000</v>
      </c>
      <c r="H15" s="4">
        <v>1350000</v>
      </c>
      <c r="I15" s="8">
        <v>0.1111</v>
      </c>
      <c r="J15" s="0" t="inlineStr">
        <is>
          <t xml:space="preserve">Wei Novak</t>
        </is>
      </c>
    </row>
    <row r="16">
      <c r="A16" s="0" t="inlineStr">
        <is>
          <t xml:space="preserve">r15</t>
        </is>
      </c>
      <c r="B16" s="0" t="inlineStr">
        <is>
          <t xml:space="preserve">emea</t>
        </is>
      </c>
      <c r="C16" s="0" t="inlineStr">
        <is>
          <t xml:space="preserve">mid_market</t>
        </is>
      </c>
      <c r="D16" s="0" t="inlineStr">
        <is>
          <t xml:space="preserve">m_emea</t>
        </is>
      </c>
      <c r="E16" s="16">
        <v>44774</v>
      </c>
      <c r="F16" s="4">
        <v>220000</v>
      </c>
      <c r="G16" s="4">
        <v>110000</v>
      </c>
      <c r="H16" s="4">
        <v>760000</v>
      </c>
      <c r="I16" s="8">
        <v>0.1447</v>
      </c>
      <c r="J16" s="0" t="inlineStr">
        <is>
          <t xml:space="preserve">Nikolai Kim</t>
        </is>
      </c>
    </row>
    <row r="17">
      <c r="A17" s="0" t="inlineStr">
        <is>
          <t xml:space="preserve">r16</t>
        </is>
      </c>
      <c r="B17" s="0" t="inlineStr">
        <is>
          <t xml:space="preserve">emea</t>
        </is>
      </c>
      <c r="C17" s="0" t="inlineStr">
        <is>
          <t xml:space="preserve">mid_market</t>
        </is>
      </c>
      <c r="D17" s="0" t="inlineStr">
        <is>
          <t xml:space="preserve">m_emea</t>
        </is>
      </c>
      <c r="E17" s="16">
        <v>45078</v>
      </c>
      <c r="F17" s="4">
        <v>220000</v>
      </c>
      <c r="G17" s="4">
        <v>110000</v>
      </c>
      <c r="H17" s="4">
        <v>760000</v>
      </c>
      <c r="I17" s="8">
        <v>0.1447</v>
      </c>
      <c r="J17" s="0" t="inlineStr">
        <is>
          <t xml:space="preserve">Wei Nair</t>
        </is>
      </c>
    </row>
    <row r="18">
      <c r="A18" s="0" t="inlineStr">
        <is>
          <t xml:space="preserve">r17</t>
        </is>
      </c>
      <c r="B18" s="0" t="inlineStr">
        <is>
          <t xml:space="preserve">emea</t>
        </is>
      </c>
      <c r="C18" s="0" t="inlineStr">
        <is>
          <t xml:space="preserve">smb</t>
        </is>
      </c>
      <c r="D18" s="0" t="inlineStr">
        <is>
          <t xml:space="preserve">m_emea</t>
        </is>
      </c>
      <c r="E18" s="16">
        <v>45717</v>
      </c>
      <c r="F18" s="4">
        <v>160000</v>
      </c>
      <c r="G18" s="4">
        <v>80000</v>
      </c>
      <c r="H18" s="4">
        <v>400000</v>
      </c>
      <c r="I18" s="8">
        <v>0.2</v>
      </c>
      <c r="J18" s="0" t="inlineStr">
        <is>
          <t xml:space="preserve">Liam Silva</t>
        </is>
      </c>
    </row>
    <row r="19">
      <c r="A19" s="0" t="inlineStr">
        <is>
          <t xml:space="preserve">r18</t>
        </is>
      </c>
      <c r="B19" s="0" t="inlineStr">
        <is>
          <t xml:space="preserve">emea</t>
        </is>
      </c>
      <c r="C19" s="0" t="inlineStr">
        <is>
          <t xml:space="preserve">smb</t>
        </is>
      </c>
      <c r="D19" s="0" t="inlineStr">
        <is>
          <t xml:space="preserve">m_emea</t>
        </is>
      </c>
      <c r="E19" s="16">
        <v>44501</v>
      </c>
      <c r="F19" s="4">
        <v>160000</v>
      </c>
      <c r="G19" s="4">
        <v>80000</v>
      </c>
      <c r="H19" s="4">
        <v>400000</v>
      </c>
      <c r="I19" s="8">
        <v>0.2</v>
      </c>
      <c r="J19" s="0" t="inlineStr">
        <is>
          <t xml:space="preserve">Samuel Silva</t>
        </is>
      </c>
    </row>
    <row r="20">
      <c r="A20" s="0" t="inlineStr">
        <is>
          <t xml:space="preserve">r19</t>
        </is>
      </c>
      <c r="B20" s="0" t="inlineStr">
        <is>
          <t xml:space="preserve">apac</t>
        </is>
      </c>
      <c r="C20" s="0" t="inlineStr">
        <is>
          <t xml:space="preserve">enterprise</t>
        </is>
      </c>
      <c r="D20" s="0" t="inlineStr">
        <is>
          <t xml:space="preserve">m_apac</t>
        </is>
      </c>
      <c r="E20" s="16">
        <v>44927</v>
      </c>
      <c r="F20" s="4">
        <v>300000</v>
      </c>
      <c r="G20" s="4">
        <v>150000</v>
      </c>
      <c r="H20" s="4">
        <v>1050000</v>
      </c>
      <c r="I20" s="8">
        <v>0.1429</v>
      </c>
      <c r="J20" s="0" t="inlineStr">
        <is>
          <t xml:space="preserve">Yuki Larsen</t>
        </is>
      </c>
    </row>
    <row r="21">
      <c r="A21" s="0" t="inlineStr">
        <is>
          <t xml:space="preserve">r20</t>
        </is>
      </c>
      <c r="B21" s="0" t="inlineStr">
        <is>
          <t xml:space="preserve">apac</t>
        </is>
      </c>
      <c r="C21" s="0" t="inlineStr">
        <is>
          <t xml:space="preserve">enterprise</t>
        </is>
      </c>
      <c r="D21" s="0" t="inlineStr">
        <is>
          <t xml:space="preserve">m_apac</t>
        </is>
      </c>
      <c r="E21" s="16">
        <v>45413</v>
      </c>
      <c r="F21" s="4">
        <v>300000</v>
      </c>
      <c r="G21" s="4">
        <v>150000</v>
      </c>
      <c r="H21" s="4">
        <v>1050000</v>
      </c>
      <c r="I21" s="8">
        <v>0.1429</v>
      </c>
      <c r="J21" s="0" t="inlineStr">
        <is>
          <t xml:space="preserve">Nikolai Sato</t>
        </is>
      </c>
    </row>
    <row r="22">
      <c r="A22" s="0" t="inlineStr">
        <is>
          <t xml:space="preserve">r21</t>
        </is>
      </c>
      <c r="B22" s="0" t="inlineStr">
        <is>
          <t xml:space="preserve">apac</t>
        </is>
      </c>
      <c r="C22" s="0" t="inlineStr">
        <is>
          <t xml:space="preserve">mid_market</t>
        </is>
      </c>
      <c r="D22" s="0" t="inlineStr">
        <is>
          <t xml:space="preserve">m_apac</t>
        </is>
      </c>
      <c r="E22" s="16">
        <v>45536</v>
      </c>
      <c r="F22" s="4">
        <v>220000</v>
      </c>
      <c r="G22" s="4">
        <v>110000</v>
      </c>
      <c r="H22" s="4">
        <v>600000</v>
      </c>
      <c r="I22" s="8">
        <v>0.1833</v>
      </c>
      <c r="J22" s="0" t="inlineStr">
        <is>
          <t xml:space="preserve">Elena Silva</t>
        </is>
      </c>
    </row>
    <row r="23">
      <c r="A23" s="0" t="inlineStr">
        <is>
          <t xml:space="preserve">r22</t>
        </is>
      </c>
      <c r="B23" s="0" t="inlineStr">
        <is>
          <t xml:space="preserve">apac</t>
        </is>
      </c>
      <c r="C23" s="0" t="inlineStr">
        <is>
          <t xml:space="preserve">mid_market</t>
        </is>
      </c>
      <c r="D23" s="0" t="inlineStr">
        <is>
          <t xml:space="preserve">m_apac</t>
        </is>
      </c>
      <c r="E23" s="16">
        <v>44621</v>
      </c>
      <c r="F23" s="4">
        <v>220000</v>
      </c>
      <c r="G23" s="4">
        <v>110000</v>
      </c>
      <c r="H23" s="4">
        <v>600000</v>
      </c>
      <c r="I23" s="8">
        <v>0.1833</v>
      </c>
      <c r="J23" s="0" t="inlineStr">
        <is>
          <t xml:space="preserve">Arjun Müller</t>
        </is>
      </c>
    </row>
    <row r="24">
      <c r="A24" s="0" t="inlineStr">
        <is>
          <t xml:space="preserve">r23</t>
        </is>
      </c>
      <c r="B24" s="0" t="inlineStr">
        <is>
          <t xml:space="preserve">apac</t>
        </is>
      </c>
      <c r="C24" s="0" t="inlineStr">
        <is>
          <t xml:space="preserve">smb</t>
        </is>
      </c>
      <c r="D24" s="0" t="inlineStr">
        <is>
          <t xml:space="preserve">m_apac</t>
        </is>
      </c>
      <c r="E24" s="16">
        <v>46113</v>
      </c>
      <c r="F24" s="4">
        <v>160000</v>
      </c>
      <c r="G24" s="4">
        <v>80000</v>
      </c>
      <c r="H24" s="4">
        <v>320000</v>
      </c>
      <c r="I24" s="8">
        <v>0.25</v>
      </c>
      <c r="J24" s="0" t="inlineStr">
        <is>
          <t xml:space="preserve">Nikolai Park</t>
        </is>
      </c>
    </row>
    <row r="25">
      <c r="A25" s="0" t="inlineStr">
        <is>
          <t xml:space="preserve">r24</t>
        </is>
      </c>
      <c r="B25" s="0" t="inlineStr">
        <is>
          <t xml:space="preserve">apac</t>
        </is>
      </c>
      <c r="C25" s="0" t="inlineStr">
        <is>
          <t xml:space="preserve">smb</t>
        </is>
      </c>
      <c r="D25" s="0" t="inlineStr">
        <is>
          <t xml:space="preserve">m_apac</t>
        </is>
      </c>
      <c r="E25" s="16">
        <v>45323</v>
      </c>
      <c r="F25" s="4">
        <v>160000</v>
      </c>
      <c r="G25" s="4">
        <v>80000</v>
      </c>
      <c r="H25" s="4">
        <v>320000</v>
      </c>
      <c r="I25" s="8">
        <v>0.25</v>
      </c>
      <c r="J25" s="0" t="inlineStr">
        <is>
          <t xml:space="preserve">Ingrid Dubois</t>
        </is>
      </c>
    </row>
  </sheetData>
</worksheet>
</file>

<file path=xl/worksheets/sheet2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ID</t>
        </is>
      </c>
      <c r="B1" s="1" t="inlineStr">
        <is>
          <t xml:space="preserve">region</t>
        </is>
      </c>
      <c r="C1" s="1" t="inlineStr">
        <is>
          <t xml:space="preserve">manager</t>
        </is>
      </c>
      <c r="D1" s="1" t="inlineStr">
        <is>
          <t xml:space="preserve">sql_quota</t>
        </is>
      </c>
      <c r="E1" s="1" t="inlineStr">
        <is>
          <t xml:space="preserve">name</t>
        </is>
      </c>
      <c r="F1" s="1" t="inlineStr">
        <is>
          <t xml:space="preserve">kind</t>
        </is>
      </c>
    </row>
    <row r="2">
      <c r="A2" s="0" t="inlineStr">
        <is>
          <t xml:space="preserve">s_amer_east_in</t>
        </is>
      </c>
      <c r="B2" s="0" t="inlineStr">
        <is>
          <t xml:space="preserve">amer_east</t>
        </is>
      </c>
      <c r="C2" s="0" t="inlineStr">
        <is>
          <t xml:space="preserve">m_amer_east</t>
        </is>
      </c>
      <c r="D2" s="4">
        <v>10</v>
      </c>
      <c r="E2" s="0" t="inlineStr">
        <is>
          <t xml:space="preserve">Zara Kowalski</t>
        </is>
      </c>
      <c r="F2" s="0" t="inlineStr">
        <is>
          <t xml:space="preserve">SDR (inbound)</t>
        </is>
      </c>
    </row>
    <row r="3">
      <c r="A3" s="0" t="inlineStr">
        <is>
          <t xml:space="preserve">s_amer_east_out</t>
        </is>
      </c>
      <c r="B3" s="0" t="inlineStr">
        <is>
          <t xml:space="preserve">amer_east</t>
        </is>
      </c>
      <c r="C3" s="0" t="inlineStr">
        <is>
          <t xml:space="preserve">m_amer_east</t>
        </is>
      </c>
      <c r="D3" s="4">
        <v>6</v>
      </c>
      <c r="E3" s="0" t="inlineStr">
        <is>
          <t xml:space="preserve">Kenji Kowalski</t>
        </is>
      </c>
      <c r="F3" s="0" t="inlineStr">
        <is>
          <t xml:space="preserve">BDR (outbound)</t>
        </is>
      </c>
    </row>
    <row r="4">
      <c r="A4" s="0" t="inlineStr">
        <is>
          <t xml:space="preserve">s_amer_west_in</t>
        </is>
      </c>
      <c r="B4" s="0" t="inlineStr">
        <is>
          <t xml:space="preserve">amer_west</t>
        </is>
      </c>
      <c r="C4" s="0" t="inlineStr">
        <is>
          <t xml:space="preserve">m_amer_west</t>
        </is>
      </c>
      <c r="D4" s="4">
        <v>10</v>
      </c>
      <c r="E4" s="0" t="inlineStr">
        <is>
          <t xml:space="preserve">Marcus Nair</t>
        </is>
      </c>
      <c r="F4" s="0" t="inlineStr">
        <is>
          <t xml:space="preserve">SDR (inbound)</t>
        </is>
      </c>
    </row>
    <row r="5">
      <c r="A5" s="0" t="inlineStr">
        <is>
          <t xml:space="preserve">s_amer_west_out</t>
        </is>
      </c>
      <c r="B5" s="0" t="inlineStr">
        <is>
          <t xml:space="preserve">amer_west</t>
        </is>
      </c>
      <c r="C5" s="0" t="inlineStr">
        <is>
          <t xml:space="preserve">m_amer_west</t>
        </is>
      </c>
      <c r="D5" s="4">
        <v>6</v>
      </c>
      <c r="E5" s="0" t="inlineStr">
        <is>
          <t xml:space="preserve">Yuki Rahman</t>
        </is>
      </c>
      <c r="F5" s="0" t="inlineStr">
        <is>
          <t xml:space="preserve">BDR (outbound)</t>
        </is>
      </c>
    </row>
    <row r="6">
      <c r="A6" s="0" t="inlineStr">
        <is>
          <t xml:space="preserve">s_emea_in</t>
        </is>
      </c>
      <c r="B6" s="0" t="inlineStr">
        <is>
          <t xml:space="preserve">emea</t>
        </is>
      </c>
      <c r="C6" s="0" t="inlineStr">
        <is>
          <t xml:space="preserve">m_emea</t>
        </is>
      </c>
      <c r="D6" s="4">
        <v>10</v>
      </c>
      <c r="E6" s="0" t="inlineStr">
        <is>
          <t xml:space="preserve">Chloe Patel</t>
        </is>
      </c>
      <c r="F6" s="0" t="inlineStr">
        <is>
          <t xml:space="preserve">SDR (inbound)</t>
        </is>
      </c>
    </row>
    <row r="7">
      <c r="A7" s="0" t="inlineStr">
        <is>
          <t xml:space="preserve">s_emea_out</t>
        </is>
      </c>
      <c r="B7" s="0" t="inlineStr">
        <is>
          <t xml:space="preserve">emea</t>
        </is>
      </c>
      <c r="C7" s="0" t="inlineStr">
        <is>
          <t xml:space="preserve">m_emea</t>
        </is>
      </c>
      <c r="D7" s="4">
        <v>6</v>
      </c>
      <c r="E7" s="0" t="inlineStr">
        <is>
          <t xml:space="preserve">Samuel Kowalski</t>
        </is>
      </c>
      <c r="F7" s="0" t="inlineStr">
        <is>
          <t xml:space="preserve">BDR (outbound)</t>
        </is>
      </c>
    </row>
    <row r="8">
      <c r="A8" s="0" t="inlineStr">
        <is>
          <t xml:space="preserve">s_apac_in</t>
        </is>
      </c>
      <c r="B8" s="0" t="inlineStr">
        <is>
          <t xml:space="preserve">apac</t>
        </is>
      </c>
      <c r="C8" s="0" t="inlineStr">
        <is>
          <t xml:space="preserve">m_apac</t>
        </is>
      </c>
      <c r="D8" s="4">
        <v>10</v>
      </c>
      <c r="E8" s="0" t="inlineStr">
        <is>
          <t xml:space="preserve">Rafael Ivanova</t>
        </is>
      </c>
      <c r="F8" s="0" t="inlineStr">
        <is>
          <t xml:space="preserve">SDR (inbound)</t>
        </is>
      </c>
    </row>
    <row r="9">
      <c r="A9" s="0" t="inlineStr">
        <is>
          <t xml:space="preserve">s_apac_out</t>
        </is>
      </c>
      <c r="B9" s="0" t="inlineStr">
        <is>
          <t xml:space="preserve">apac</t>
        </is>
      </c>
      <c r="C9" s="0" t="inlineStr">
        <is>
          <t xml:space="preserve">m_apac</t>
        </is>
      </c>
      <c r="D9" s="4">
        <v>6</v>
      </c>
      <c r="E9" s="0" t="inlineStr">
        <is>
          <t xml:space="preserve">Wei Kowalski</t>
        </is>
      </c>
      <c r="F9" s="0" t="inlineStr">
        <is>
          <t xml:space="preserve">BDR (outbound)</t>
        </is>
      </c>
    </row>
  </sheetData>
</worksheet>
</file>

<file path=xl/worksheets/sheet2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kind</t>
        </is>
      </c>
    </row>
    <row r="2">
      <c r="A2" s="0" t="inlineStr">
        <is>
          <t xml:space="preserve">inbound</t>
        </is>
      </c>
      <c r="B2" s="0" t="inlineStr">
        <is>
          <t xml:space="preserve">Inbound (web &amp; content)</t>
        </is>
      </c>
      <c r="C2" s="0" t="inlineStr">
        <is>
          <t xml:space="preserve">marketing</t>
        </is>
      </c>
    </row>
    <row r="3">
      <c r="A3" s="0" t="inlineStr">
        <is>
          <t xml:space="preserve">paid</t>
        </is>
      </c>
      <c r="B3" s="0" t="inlineStr">
        <is>
          <t xml:space="preserve">Paid digital</t>
        </is>
      </c>
      <c r="C3" s="0" t="inlineStr">
        <is>
          <t xml:space="preserve">marketing</t>
        </is>
      </c>
    </row>
    <row r="4">
      <c r="A4" s="0" t="inlineStr">
        <is>
          <t xml:space="preserve">events</t>
        </is>
      </c>
      <c r="B4" s="0" t="inlineStr">
        <is>
          <t xml:space="preserve">Events &amp; field</t>
        </is>
      </c>
      <c r="C4" s="0" t="inlineStr">
        <is>
          <t xml:space="preserve">marketing</t>
        </is>
      </c>
    </row>
    <row r="5">
      <c r="A5" s="0" t="inlineStr">
        <is>
          <t xml:space="preserve">partner</t>
        </is>
      </c>
      <c r="B5" s="0" t="inlineStr">
        <is>
          <t xml:space="preserve">Partner</t>
        </is>
      </c>
      <c r="C5" s="0" t="inlineStr">
        <is>
          <t xml:space="preserve">marketing</t>
        </is>
      </c>
    </row>
    <row r="6">
      <c r="A6" s="0" t="inlineStr">
        <is>
          <t xml:space="preserve">outbound</t>
        </is>
      </c>
      <c r="B6" s="0" t="inlineStr">
        <is>
          <t xml:space="preserve">Outbound (BDR)</t>
        </is>
      </c>
      <c r="C6" s="0" t="inlineStr">
        <is>
          <t xml:space="preserve">sales</t>
        </is>
      </c>
    </row>
    <row r="7">
      <c r="A7" s="0" t="inlineStr">
        <is>
          <t xml:space="preserve">referral</t>
        </is>
      </c>
      <c r="B7" s="0" t="inlineStr">
        <is>
          <t xml:space="preserve">Customer referral</t>
        </is>
      </c>
      <c r="C7" s="0" t="inlineStr">
        <is>
          <t xml:space="preserve">sales</t>
        </is>
      </c>
    </row>
  </sheetData>
</worksheet>
</file>

<file path=xl/worksheets/sheet3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software</t>
        </is>
      </c>
      <c r="B2" s="0" t="inlineStr">
        <is>
          <t xml:space="preserve">Software</t>
        </is>
      </c>
    </row>
    <row r="3">
      <c r="A3" s="0" t="inlineStr">
        <is>
          <t xml:space="preserve">financial_services</t>
        </is>
      </c>
      <c r="B3" s="0" t="inlineStr">
        <is>
          <t xml:space="preserve">Financial services</t>
        </is>
      </c>
    </row>
    <row r="4">
      <c r="A4" s="0" t="inlineStr">
        <is>
          <t xml:space="preserve">healthcare</t>
        </is>
      </c>
      <c r="B4" s="0" t="inlineStr">
        <is>
          <t xml:space="preserve">Healthcare</t>
        </is>
      </c>
    </row>
    <row r="5">
      <c r="A5" s="0" t="inlineStr">
        <is>
          <t xml:space="preserve">manufacturing</t>
        </is>
      </c>
      <c r="B5" s="0" t="inlineStr">
        <is>
          <t xml:space="preserve">Manufacturing</t>
        </is>
      </c>
    </row>
    <row r="6">
      <c r="A6" s="0" t="inlineStr">
        <is>
          <t xml:space="preserve">retail</t>
        </is>
      </c>
      <c r="B6" s="0" t="inlineStr">
        <is>
          <t xml:space="preserve">Retail &amp; e-commerce</t>
        </is>
      </c>
    </row>
    <row r="7">
      <c r="A7" s="0" t="inlineStr">
        <is>
          <t xml:space="preserve">logistics</t>
        </is>
      </c>
      <c r="B7" s="0" t="inlineStr">
        <is>
          <t xml:space="preserve">Logistics</t>
        </is>
      </c>
    </row>
    <row r="8">
      <c r="A8" s="0" t="inlineStr">
        <is>
          <t xml:space="preserve">media</t>
        </is>
      </c>
      <c r="B8" s="0" t="inlineStr">
        <is>
          <t xml:space="preserve">Media</t>
        </is>
      </c>
    </row>
    <row r="9">
      <c r="A9" s="0" t="inlineStr">
        <is>
          <t xml:space="preserve">energy</t>
        </is>
      </c>
      <c r="B9" s="0" t="inlineStr">
        <is>
          <t xml:space="preserve">Energy &amp; utilities</t>
        </is>
      </c>
    </row>
    <row r="10">
      <c r="A10" s="0" t="inlineStr">
        <is>
          <t xml:space="preserve">public_sector</t>
        </is>
      </c>
      <c r="B10" s="0" t="inlineStr">
        <is>
          <t xml:space="preserve">Public sector</t>
        </is>
      </c>
    </row>
    <row r="11">
      <c r="A11" s="0" t="inlineStr">
        <is>
          <t xml:space="preserve">education</t>
        </is>
      </c>
      <c r="B11" s="0" t="inlineStr">
        <is>
          <t xml:space="preserve">Education</t>
        </is>
      </c>
    </row>
  </sheetData>
</worksheet>
</file>

<file path=xl/worksheets/sheet3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order</t>
        </is>
      </c>
      <c r="D1" s="1" t="inlineStr">
        <is>
          <t xml:space="preserve">probability</t>
        </is>
      </c>
    </row>
    <row r="2">
      <c r="A2" s="0" t="inlineStr">
        <is>
          <t xml:space="preserve">discovery</t>
        </is>
      </c>
      <c r="B2" s="0" t="inlineStr">
        <is>
          <t xml:space="preserve">Discovery</t>
        </is>
      </c>
      <c r="C2" s="4">
        <v>1</v>
      </c>
      <c r="D2" s="8">
        <v>0.1</v>
      </c>
    </row>
    <row r="3">
      <c r="A3" s="0" t="inlineStr">
        <is>
          <t xml:space="preserve">evaluation</t>
        </is>
      </c>
      <c r="B3" s="0" t="inlineStr">
        <is>
          <t xml:space="preserve">Evaluation</t>
        </is>
      </c>
      <c r="C3" s="4">
        <v>2</v>
      </c>
      <c r="D3" s="8">
        <v>0.25</v>
      </c>
    </row>
    <row r="4">
      <c r="A4" s="0" t="inlineStr">
        <is>
          <t xml:space="preserve">proposal</t>
        </is>
      </c>
      <c r="B4" s="0" t="inlineStr">
        <is>
          <t xml:space="preserve">Proposal</t>
        </is>
      </c>
      <c r="C4" s="4">
        <v>3</v>
      </c>
      <c r="D4" s="8">
        <v>0.5</v>
      </c>
    </row>
    <row r="5">
      <c r="A5" s="0" t="inlineStr">
        <is>
          <t xml:space="preserve">negotiation</t>
        </is>
      </c>
      <c r="B5" s="0" t="inlineStr">
        <is>
          <t xml:space="preserve">Negotiation</t>
        </is>
      </c>
      <c r="C5" s="4">
        <v>4</v>
      </c>
      <c r="D5" s="8">
        <v>0.75</v>
      </c>
    </row>
    <row r="6">
      <c r="A6" s="0" t="inlineStr">
        <is>
          <t xml:space="preserve">closed_won</t>
        </is>
      </c>
      <c r="B6" s="0" t="inlineStr">
        <is>
          <t xml:space="preserve">Closed won</t>
        </is>
      </c>
      <c r="C6" s="4">
        <v>5</v>
      </c>
      <c r="D6" s="8">
        <v>1</v>
      </c>
    </row>
    <row r="7">
      <c r="A7" s="0" t="inlineStr">
        <is>
          <t xml:space="preserve">closed_lost</t>
        </is>
      </c>
      <c r="B7" s="0" t="inlineStr">
        <is>
          <t xml:space="preserve">Closed lost</t>
        </is>
      </c>
      <c r="C7" s="4">
        <v>6</v>
      </c>
      <c r="D7" s="8">
        <v>0</v>
      </c>
    </row>
  </sheetData>
</worksheet>
</file>

<file path=xl/worksheets/sheet3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t1</t>
        </is>
      </c>
      <c r="B2" s="0" t="inlineStr">
        <is>
          <t xml:space="preserve">Below 50%</t>
        </is>
      </c>
    </row>
    <row r="3">
      <c r="A3" s="0" t="inlineStr">
        <is>
          <t xml:space="preserve">t2</t>
        </is>
      </c>
      <c r="B3" s="0" t="inlineStr">
        <is>
          <t xml:space="preserve">50% to 100%</t>
        </is>
      </c>
    </row>
    <row r="4">
      <c r="A4" s="0" t="inlineStr">
        <is>
          <t xml:space="preserve">t3</t>
        </is>
      </c>
      <c r="B4" s="0" t="inlineStr">
        <is>
          <t xml:space="preserve">100% to 125%</t>
        </is>
      </c>
    </row>
    <row r="5">
      <c r="A5" s="0" t="inlineStr">
        <is>
          <t xml:space="preserve">t4</t>
        </is>
      </c>
      <c r="B5" s="0" t="inlineStr">
        <is>
          <t xml:space="preserve">125% to 150%</t>
        </is>
      </c>
    </row>
    <row r="6">
      <c r="A6" s="0" t="inlineStr">
        <is>
          <t xml:space="preserve">t5</t>
        </is>
      </c>
      <c r="B6" s="0" t="inlineStr">
        <is>
          <t xml:space="preserve">Above 150%</t>
        </is>
      </c>
    </row>
    <row r="7">
      <c r="A7" s="0" t="inlineStr">
        <is>
          <t xml:space="preserve">total</t>
        </is>
      </c>
      <c r="B7" s="0" t="inlineStr">
        <is>
          <t xml:space="preserve">Total</t>
        </is>
      </c>
    </row>
  </sheetData>
</worksheet>
</file>

<file path=xl/worksheets/sheet3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ID</t>
        </is>
      </c>
      <c r="B1" s="1" t="inlineStr">
        <is>
          <t xml:space="preserve">industry</t>
        </is>
      </c>
      <c r="C1" s="1" t="inlineStr">
        <is>
          <t xml:space="preserve">region</t>
        </is>
      </c>
      <c r="D1" s="1" t="inlineStr">
        <is>
          <t xml:space="preserve">segment</t>
        </is>
      </c>
      <c r="E1" s="1" t="inlineStr">
        <is>
          <t xml:space="preserve">employees</t>
        </is>
      </c>
      <c r="F1" s="1" t="inlineStr">
        <is>
          <t xml:space="preserve">name</t>
        </is>
      </c>
    </row>
    <row r="2">
      <c r="A2" s="0" t="inlineStr">
        <is>
          <t xml:space="preserve">a0001</t>
        </is>
      </c>
      <c r="B2" s="0" t="inlineStr">
        <is>
          <t xml:space="preserve">financial_services</t>
        </is>
      </c>
      <c r="C2" s="0" t="inlineStr">
        <is>
          <t xml:space="preserve">amer_east</t>
        </is>
      </c>
      <c r="D2" s="0" t="inlineStr">
        <is>
          <t xml:space="preserve">mid_market</t>
        </is>
      </c>
      <c r="E2" s="4">
        <v>674</v>
      </c>
      <c r="F2" s="0" t="inlineStr">
        <is>
          <t xml:space="preserve">Atlas Retail AG</t>
        </is>
      </c>
    </row>
    <row r="3">
      <c r="A3" s="0" t="inlineStr">
        <is>
          <t xml:space="preserve">a0002</t>
        </is>
      </c>
      <c r="B3" s="0" t="inlineStr">
        <is>
          <t xml:space="preserve">manufacturing</t>
        </is>
      </c>
      <c r="C3" s="0" t="inlineStr">
        <is>
          <t xml:space="preserve">amer_east</t>
        </is>
      </c>
      <c r="D3" s="0" t="inlineStr">
        <is>
          <t xml:space="preserve">enterprise</t>
        </is>
      </c>
      <c r="E3" s="4">
        <v>5435</v>
      </c>
      <c r="F3" s="0" t="inlineStr">
        <is>
          <t xml:space="preserve">Summit Mobility Co</t>
        </is>
      </c>
    </row>
    <row r="4">
      <c r="A4" s="0" t="inlineStr">
        <is>
          <t xml:space="preserve">a0003</t>
        </is>
      </c>
      <c r="B4" s="0" t="inlineStr">
        <is>
          <t xml:space="preserve">education</t>
        </is>
      </c>
      <c r="C4" s="0" t="inlineStr">
        <is>
          <t xml:space="preserve">amer_east</t>
        </is>
      </c>
      <c r="D4" s="0" t="inlineStr">
        <is>
          <t xml:space="preserve">enterprise</t>
        </is>
      </c>
      <c r="E4" s="4">
        <v>4131</v>
      </c>
      <c r="F4" s="0" t="inlineStr">
        <is>
          <t xml:space="preserve">Meridian Systems Holdings</t>
        </is>
      </c>
    </row>
    <row r="5">
      <c r="A5" s="0" t="inlineStr">
        <is>
          <t xml:space="preserve">a0004</t>
        </is>
      </c>
      <c r="B5" s="0" t="inlineStr">
        <is>
          <t xml:space="preserve">energy</t>
        </is>
      </c>
      <c r="C5" s="0" t="inlineStr">
        <is>
          <t xml:space="preserve">amer_east</t>
        </is>
      </c>
      <c r="D5" s="0" t="inlineStr">
        <is>
          <t xml:space="preserve">smb</t>
        </is>
      </c>
      <c r="E5" s="4">
        <v>37</v>
      </c>
      <c r="F5" s="0" t="inlineStr">
        <is>
          <t xml:space="preserve">Evergreen Capital SA</t>
        </is>
      </c>
    </row>
    <row r="6">
      <c r="A6" s="0" t="inlineStr">
        <is>
          <t xml:space="preserve">a0005</t>
        </is>
      </c>
      <c r="B6" s="0" t="inlineStr">
        <is>
          <t xml:space="preserve">manufacturing</t>
        </is>
      </c>
      <c r="C6" s="0" t="inlineStr">
        <is>
          <t xml:space="preserve">amer_east</t>
        </is>
      </c>
      <c r="D6" s="0" t="inlineStr">
        <is>
          <t xml:space="preserve">smb</t>
        </is>
      </c>
      <c r="E6" s="4">
        <v>31</v>
      </c>
      <c r="F6" s="0" t="inlineStr">
        <is>
          <t xml:space="preserve">Redwood Manufacturing Partners</t>
        </is>
      </c>
    </row>
    <row r="7">
      <c r="A7" s="0" t="inlineStr">
        <is>
          <t xml:space="preserve">a0006</t>
        </is>
      </c>
      <c r="B7" s="0" t="inlineStr">
        <is>
          <t xml:space="preserve">healthcare</t>
        </is>
      </c>
      <c r="C7" s="0" t="inlineStr">
        <is>
          <t xml:space="preserve">amer_east</t>
        </is>
      </c>
      <c r="D7" s="0" t="inlineStr">
        <is>
          <t xml:space="preserve">mid_market</t>
        </is>
      </c>
      <c r="E7" s="4">
        <v>359</v>
      </c>
      <c r="F7" s="0" t="inlineStr">
        <is>
          <t xml:space="preserve">Cobalt Logistics AG</t>
        </is>
      </c>
    </row>
    <row r="8">
      <c r="A8" s="0" t="inlineStr">
        <is>
          <t xml:space="preserve">a0007</t>
        </is>
      </c>
      <c r="B8" s="0" t="inlineStr">
        <is>
          <t xml:space="preserve">software</t>
        </is>
      </c>
      <c r="C8" s="0" t="inlineStr">
        <is>
          <t xml:space="preserve">amer_east</t>
        </is>
      </c>
      <c r="D8" s="0" t="inlineStr">
        <is>
          <t xml:space="preserve">mid_market</t>
        </is>
      </c>
      <c r="E8" s="4">
        <v>393</v>
      </c>
      <c r="F8" s="0" t="inlineStr">
        <is>
          <t xml:space="preserve">Granite Capital Inc</t>
        </is>
      </c>
    </row>
    <row r="9">
      <c r="A9" s="0" t="inlineStr">
        <is>
          <t xml:space="preserve">a0008</t>
        </is>
      </c>
      <c r="B9" s="0" t="inlineStr">
        <is>
          <t xml:space="preserve">healthcare</t>
        </is>
      </c>
      <c r="C9" s="0" t="inlineStr">
        <is>
          <t xml:space="preserve">amer_east</t>
        </is>
      </c>
      <c r="D9" s="0" t="inlineStr">
        <is>
          <t xml:space="preserve">smb</t>
        </is>
      </c>
      <c r="E9" s="4">
        <v>22</v>
      </c>
      <c r="F9" s="0" t="inlineStr">
        <is>
          <t xml:space="preserve">Juniper Software</t>
        </is>
      </c>
    </row>
    <row r="10">
      <c r="A10" s="0" t="inlineStr">
        <is>
          <t xml:space="preserve">a0009</t>
        </is>
      </c>
      <c r="B10" s="0" t="inlineStr">
        <is>
          <t xml:space="preserve">retail</t>
        </is>
      </c>
      <c r="C10" s="0" t="inlineStr">
        <is>
          <t xml:space="preserve">amer_east</t>
        </is>
      </c>
      <c r="D10" s="0" t="inlineStr">
        <is>
          <t xml:space="preserve">smb</t>
        </is>
      </c>
      <c r="E10" s="4">
        <v>84</v>
      </c>
      <c r="F10" s="0" t="inlineStr">
        <is>
          <t xml:space="preserve">Northwind Capital</t>
        </is>
      </c>
    </row>
    <row r="11">
      <c r="A11" s="0" t="inlineStr">
        <is>
          <t xml:space="preserve">a0010</t>
        </is>
      </c>
      <c r="B11" s="0" t="inlineStr">
        <is>
          <t xml:space="preserve">manufacturing</t>
        </is>
      </c>
      <c r="C11" s="0" t="inlineStr">
        <is>
          <t xml:space="preserve">amer_east</t>
        </is>
      </c>
      <c r="D11" s="0" t="inlineStr">
        <is>
          <t xml:space="preserve">smb</t>
        </is>
      </c>
      <c r="E11" s="4">
        <v>30</v>
      </c>
      <c r="F11" s="0" t="inlineStr">
        <is>
          <t xml:space="preserve">Falcon Logistics</t>
        </is>
      </c>
    </row>
    <row r="12">
      <c r="A12" s="0" t="inlineStr">
        <is>
          <t xml:space="preserve">a0011</t>
        </is>
      </c>
      <c r="B12" s="0" t="inlineStr">
        <is>
          <t xml:space="preserve">manufacturing</t>
        </is>
      </c>
      <c r="C12" s="0" t="inlineStr">
        <is>
          <t xml:space="preserve">amer_east</t>
        </is>
      </c>
      <c r="D12" s="0" t="inlineStr">
        <is>
          <t xml:space="preserve">mid_market</t>
        </is>
      </c>
      <c r="E12" s="4">
        <v>327</v>
      </c>
      <c r="F12" s="0" t="inlineStr">
        <is>
          <t xml:space="preserve">Redwood Biotech Partners</t>
        </is>
      </c>
    </row>
    <row r="13">
      <c r="A13" s="0" t="inlineStr">
        <is>
          <t xml:space="preserve">a0012</t>
        </is>
      </c>
      <c r="B13" s="0" t="inlineStr">
        <is>
          <t xml:space="preserve">software</t>
        </is>
      </c>
      <c r="C13" s="0" t="inlineStr">
        <is>
          <t xml:space="preserve">amer_east</t>
        </is>
      </c>
      <c r="D13" s="0" t="inlineStr">
        <is>
          <t xml:space="preserve">mid_market</t>
        </is>
      </c>
      <c r="E13" s="4">
        <v>1249</v>
      </c>
      <c r="F13" s="0" t="inlineStr">
        <is>
          <t xml:space="preserve">Umber Manufacturing AG</t>
        </is>
      </c>
    </row>
    <row r="14">
      <c r="A14" s="0" t="inlineStr">
        <is>
          <t xml:space="preserve">a0013</t>
        </is>
      </c>
      <c r="B14" s="0" t="inlineStr">
        <is>
          <t xml:space="preserve">software</t>
        </is>
      </c>
      <c r="C14" s="0" t="inlineStr">
        <is>
          <t xml:space="preserve">amer_east</t>
        </is>
      </c>
      <c r="D14" s="0" t="inlineStr">
        <is>
          <t xml:space="preserve">mid_market</t>
        </is>
      </c>
      <c r="E14" s="4">
        <v>293</v>
      </c>
      <c r="F14" s="0" t="inlineStr">
        <is>
          <t xml:space="preserve">Granite Labs AG</t>
        </is>
      </c>
    </row>
    <row r="15">
      <c r="A15" s="0" t="inlineStr">
        <is>
          <t xml:space="preserve">a0014</t>
        </is>
      </c>
      <c r="B15" s="0" t="inlineStr">
        <is>
          <t xml:space="preserve">healthcare</t>
        </is>
      </c>
      <c r="C15" s="0" t="inlineStr">
        <is>
          <t xml:space="preserve">amer_east</t>
        </is>
      </c>
      <c r="D15" s="0" t="inlineStr">
        <is>
          <t xml:space="preserve">smb</t>
        </is>
      </c>
      <c r="E15" s="4">
        <v>25</v>
      </c>
      <c r="F15" s="0" t="inlineStr">
        <is>
          <t xml:space="preserve">Ironbridge Systems Partners</t>
        </is>
      </c>
    </row>
    <row r="16">
      <c r="A16" s="0" t="inlineStr">
        <is>
          <t xml:space="preserve">a0015</t>
        </is>
      </c>
      <c r="B16" s="0" t="inlineStr">
        <is>
          <t xml:space="preserve">public_sector</t>
        </is>
      </c>
      <c r="C16" s="0" t="inlineStr">
        <is>
          <t xml:space="preserve">amer_east</t>
        </is>
      </c>
      <c r="D16" s="0" t="inlineStr">
        <is>
          <t xml:space="preserve">mid_market</t>
        </is>
      </c>
      <c r="E16" s="4">
        <v>292</v>
      </c>
      <c r="F16" s="0" t="inlineStr">
        <is>
          <t xml:space="preserve">Ironbridge Logistics AG</t>
        </is>
      </c>
    </row>
    <row r="17">
      <c r="A17" s="0" t="inlineStr">
        <is>
          <t xml:space="preserve">a0016</t>
        </is>
      </c>
      <c r="B17" s="0" t="inlineStr">
        <is>
          <t xml:space="preserve">software</t>
        </is>
      </c>
      <c r="C17" s="0" t="inlineStr">
        <is>
          <t xml:space="preserve">amer_east</t>
        </is>
      </c>
      <c r="D17" s="0" t="inlineStr">
        <is>
          <t xml:space="preserve">smb</t>
        </is>
      </c>
      <c r="E17" s="4">
        <v>235</v>
      </c>
      <c r="F17" s="0" t="inlineStr">
        <is>
          <t xml:space="preserve">Meridian Health Ltd</t>
        </is>
      </c>
    </row>
    <row r="18">
      <c r="A18" s="0" t="inlineStr">
        <is>
          <t xml:space="preserve">a0017</t>
        </is>
      </c>
      <c r="B18" s="0" t="inlineStr">
        <is>
          <t xml:space="preserve">manufacturing</t>
        </is>
      </c>
      <c r="C18" s="0" t="inlineStr">
        <is>
          <t xml:space="preserve">amer_east</t>
        </is>
      </c>
      <c r="D18" s="0" t="inlineStr">
        <is>
          <t xml:space="preserve">mid_market</t>
        </is>
      </c>
      <c r="E18" s="4">
        <v>488</v>
      </c>
      <c r="F18" s="0" t="inlineStr">
        <is>
          <t xml:space="preserve">Umber Robotics Co</t>
        </is>
      </c>
    </row>
    <row r="19">
      <c r="A19" s="0" t="inlineStr">
        <is>
          <t xml:space="preserve">a0018</t>
        </is>
      </c>
      <c r="B19" s="0" t="inlineStr">
        <is>
          <t xml:space="preserve">financial_services</t>
        </is>
      </c>
      <c r="C19" s="0" t="inlineStr">
        <is>
          <t xml:space="preserve">amer_east</t>
        </is>
      </c>
      <c r="D19" s="0" t="inlineStr">
        <is>
          <t xml:space="preserve">mid_market</t>
        </is>
      </c>
      <c r="E19" s="4">
        <v>359</v>
      </c>
      <c r="F19" s="0" t="inlineStr">
        <is>
          <t xml:space="preserve">Sable Health Inc</t>
        </is>
      </c>
    </row>
    <row r="20">
      <c r="A20" s="0" t="inlineStr">
        <is>
          <t xml:space="preserve">a0019</t>
        </is>
      </c>
      <c r="B20" s="0" t="inlineStr">
        <is>
          <t xml:space="preserve">manufacturing</t>
        </is>
      </c>
      <c r="C20" s="0" t="inlineStr">
        <is>
          <t xml:space="preserve">amer_east</t>
        </is>
      </c>
      <c r="D20" s="0" t="inlineStr">
        <is>
          <t xml:space="preserve">mid_market</t>
        </is>
      </c>
      <c r="E20" s="4">
        <v>521</v>
      </c>
      <c r="F20" s="0" t="inlineStr">
        <is>
          <t xml:space="preserve">Sable Systems</t>
        </is>
      </c>
    </row>
    <row r="21">
      <c r="A21" s="0" t="inlineStr">
        <is>
          <t xml:space="preserve">a0020</t>
        </is>
      </c>
      <c r="B21" s="0" t="inlineStr">
        <is>
          <t xml:space="preserve">financial_services</t>
        </is>
      </c>
      <c r="C21" s="0" t="inlineStr">
        <is>
          <t xml:space="preserve">amer_east</t>
        </is>
      </c>
      <c r="D21" s="0" t="inlineStr">
        <is>
          <t xml:space="preserve">enterprise</t>
        </is>
      </c>
      <c r="E21" s="4">
        <v>3149</v>
      </c>
      <c r="F21" s="0" t="inlineStr">
        <is>
          <t xml:space="preserve">Ironbridge Mobility</t>
        </is>
      </c>
    </row>
    <row r="22">
      <c r="A22" s="0" t="inlineStr">
        <is>
          <t xml:space="preserve">a0021</t>
        </is>
      </c>
      <c r="B22" s="0" t="inlineStr">
        <is>
          <t xml:space="preserve">healthcare</t>
        </is>
      </c>
      <c r="C22" s="0" t="inlineStr">
        <is>
          <t xml:space="preserve">amer_east</t>
        </is>
      </c>
      <c r="D22" s="0" t="inlineStr">
        <is>
          <t xml:space="preserve">enterprise</t>
        </is>
      </c>
      <c r="E22" s="4">
        <v>17418</v>
      </c>
      <c r="F22" s="0" t="inlineStr">
        <is>
          <t xml:space="preserve">Cobalt Media Co</t>
        </is>
      </c>
    </row>
    <row r="23">
      <c r="A23" s="0" t="inlineStr">
        <is>
          <t xml:space="preserve">a0022</t>
        </is>
      </c>
      <c r="B23" s="0" t="inlineStr">
        <is>
          <t xml:space="preserve">software</t>
        </is>
      </c>
      <c r="C23" s="0" t="inlineStr">
        <is>
          <t xml:space="preserve">amer_east</t>
        </is>
      </c>
      <c r="D23" s="0" t="inlineStr">
        <is>
          <t xml:space="preserve">mid_market</t>
        </is>
      </c>
      <c r="E23" s="4">
        <v>2390</v>
      </c>
      <c r="F23" s="0" t="inlineStr">
        <is>
          <t xml:space="preserve">Horizon Robotics SA</t>
        </is>
      </c>
    </row>
    <row r="24">
      <c r="A24" s="0" t="inlineStr">
        <is>
          <t xml:space="preserve">a0023</t>
        </is>
      </c>
      <c r="B24" s="0" t="inlineStr">
        <is>
          <t xml:space="preserve">software</t>
        </is>
      </c>
      <c r="C24" s="0" t="inlineStr">
        <is>
          <t xml:space="preserve">amer_east</t>
        </is>
      </c>
      <c r="D24" s="0" t="inlineStr">
        <is>
          <t xml:space="preserve">smb</t>
        </is>
      </c>
      <c r="E24" s="4">
        <v>28</v>
      </c>
      <c r="F24" s="0" t="inlineStr">
        <is>
          <t xml:space="preserve">Pioneer Software Ltd</t>
        </is>
      </c>
    </row>
    <row r="25">
      <c r="A25" s="0" t="inlineStr">
        <is>
          <t xml:space="preserve">a0024</t>
        </is>
      </c>
      <c r="B25" s="0" t="inlineStr">
        <is>
          <t xml:space="preserve">healthcare</t>
        </is>
      </c>
      <c r="C25" s="0" t="inlineStr">
        <is>
          <t xml:space="preserve">amer_west</t>
        </is>
      </c>
      <c r="D25" s="0" t="inlineStr">
        <is>
          <t xml:space="preserve">smb</t>
        </is>
      </c>
      <c r="E25" s="4">
        <v>40</v>
      </c>
      <c r="F25" s="0" t="inlineStr">
        <is>
          <t xml:space="preserve">Granite Mobility AG</t>
        </is>
      </c>
    </row>
    <row r="26">
      <c r="A26" s="0" t="inlineStr">
        <is>
          <t xml:space="preserve">a0025</t>
        </is>
      </c>
      <c r="B26" s="0" t="inlineStr">
        <is>
          <t xml:space="preserve">logistics</t>
        </is>
      </c>
      <c r="C26" s="0" t="inlineStr">
        <is>
          <t xml:space="preserve">amer_west</t>
        </is>
      </c>
      <c r="D26" s="0" t="inlineStr">
        <is>
          <t xml:space="preserve">smb</t>
        </is>
      </c>
      <c r="E26" s="4">
        <v>27</v>
      </c>
      <c r="F26" s="0" t="inlineStr">
        <is>
          <t xml:space="preserve">Brightwater Financial</t>
        </is>
      </c>
    </row>
    <row r="27">
      <c r="A27" s="0" t="inlineStr">
        <is>
          <t xml:space="preserve">a0026</t>
        </is>
      </c>
      <c r="B27" s="0" t="inlineStr">
        <is>
          <t xml:space="preserve">retail</t>
        </is>
      </c>
      <c r="C27" s="0" t="inlineStr">
        <is>
          <t xml:space="preserve">amer_west</t>
        </is>
      </c>
      <c r="D27" s="0" t="inlineStr">
        <is>
          <t xml:space="preserve">smb</t>
        </is>
      </c>
      <c r="E27" s="4">
        <v>131</v>
      </c>
      <c r="F27" s="0" t="inlineStr">
        <is>
          <t xml:space="preserve">Silverline Robotics Ltd</t>
        </is>
      </c>
    </row>
    <row r="28">
      <c r="A28" s="0" t="inlineStr">
        <is>
          <t xml:space="preserve">a0027</t>
        </is>
      </c>
      <c r="B28" s="0" t="inlineStr">
        <is>
          <t xml:space="preserve">manufacturing</t>
        </is>
      </c>
      <c r="C28" s="0" t="inlineStr">
        <is>
          <t xml:space="preserve">amer_west</t>
        </is>
      </c>
      <c r="D28" s="0" t="inlineStr">
        <is>
          <t xml:space="preserve">mid_market</t>
        </is>
      </c>
      <c r="E28" s="4">
        <v>307</v>
      </c>
      <c r="F28" s="0" t="inlineStr">
        <is>
          <t xml:space="preserve">Aurora Mobility Holdings</t>
        </is>
      </c>
    </row>
    <row r="29">
      <c r="A29" s="0" t="inlineStr">
        <is>
          <t xml:space="preserve">a0028</t>
        </is>
      </c>
      <c r="B29" s="0" t="inlineStr">
        <is>
          <t xml:space="preserve">financial_services</t>
        </is>
      </c>
      <c r="C29" s="0" t="inlineStr">
        <is>
          <t xml:space="preserve">amer_west</t>
        </is>
      </c>
      <c r="D29" s="0" t="inlineStr">
        <is>
          <t xml:space="preserve">enterprise</t>
        </is>
      </c>
      <c r="E29" s="4">
        <v>4284</v>
      </c>
      <c r="F29" s="0" t="inlineStr">
        <is>
          <t xml:space="preserve">Copper Systems AG</t>
        </is>
      </c>
    </row>
    <row r="30">
      <c r="A30" s="0" t="inlineStr">
        <is>
          <t xml:space="preserve">a0029</t>
        </is>
      </c>
      <c r="B30" s="0" t="inlineStr">
        <is>
          <t xml:space="preserve">logistics</t>
        </is>
      </c>
      <c r="C30" s="0" t="inlineStr">
        <is>
          <t xml:space="preserve">amer_west</t>
        </is>
      </c>
      <c r="D30" s="0" t="inlineStr">
        <is>
          <t xml:space="preserve">mid_market</t>
        </is>
      </c>
      <c r="E30" s="4">
        <v>318</v>
      </c>
      <c r="F30" s="0" t="inlineStr">
        <is>
          <t xml:space="preserve">Orchard Logistics Ltd</t>
        </is>
      </c>
    </row>
    <row r="31">
      <c r="A31" s="0" t="inlineStr">
        <is>
          <t xml:space="preserve">a0030</t>
        </is>
      </c>
      <c r="B31" s="0" t="inlineStr">
        <is>
          <t xml:space="preserve">healthcare</t>
        </is>
      </c>
      <c r="C31" s="0" t="inlineStr">
        <is>
          <t xml:space="preserve">amer_west</t>
        </is>
      </c>
      <c r="D31" s="0" t="inlineStr">
        <is>
          <t xml:space="preserve">smb</t>
        </is>
      </c>
      <c r="E31" s="4">
        <v>58</v>
      </c>
      <c r="F31" s="0" t="inlineStr">
        <is>
          <t xml:space="preserve">Beacon Logistics</t>
        </is>
      </c>
    </row>
    <row r="32">
      <c r="A32" s="0" t="inlineStr">
        <is>
          <t xml:space="preserve">a0031</t>
        </is>
      </c>
      <c r="B32" s="0" t="inlineStr">
        <is>
          <t xml:space="preserve">manufacturing</t>
        </is>
      </c>
      <c r="C32" s="0" t="inlineStr">
        <is>
          <t xml:space="preserve">amer_west</t>
        </is>
      </c>
      <c r="D32" s="0" t="inlineStr">
        <is>
          <t xml:space="preserve">smb</t>
        </is>
      </c>
      <c r="E32" s="4">
        <v>65</v>
      </c>
      <c r="F32" s="0" t="inlineStr">
        <is>
          <t xml:space="preserve">Granite Financial AG</t>
        </is>
      </c>
    </row>
    <row r="33">
      <c r="A33" s="0" t="inlineStr">
        <is>
          <t xml:space="preserve">a0032</t>
        </is>
      </c>
      <c r="B33" s="0" t="inlineStr">
        <is>
          <t xml:space="preserve">manufacturing</t>
        </is>
      </c>
      <c r="C33" s="0" t="inlineStr">
        <is>
          <t xml:space="preserve">amer_west</t>
        </is>
      </c>
      <c r="D33" s="0" t="inlineStr">
        <is>
          <t xml:space="preserve">enterprise</t>
        </is>
      </c>
      <c r="E33" s="4">
        <v>21610</v>
      </c>
      <c r="F33" s="0" t="inlineStr">
        <is>
          <t xml:space="preserve">Blue Harbor Logistics</t>
        </is>
      </c>
    </row>
    <row r="34">
      <c r="A34" s="0" t="inlineStr">
        <is>
          <t xml:space="preserve">a0033</t>
        </is>
      </c>
      <c r="B34" s="0" t="inlineStr">
        <is>
          <t xml:space="preserve">education</t>
        </is>
      </c>
      <c r="C34" s="0" t="inlineStr">
        <is>
          <t xml:space="preserve">amer_west</t>
        </is>
      </c>
      <c r="D34" s="0" t="inlineStr">
        <is>
          <t xml:space="preserve">mid_market</t>
        </is>
      </c>
      <c r="E34" s="4">
        <v>585</v>
      </c>
      <c r="F34" s="0" t="inlineStr">
        <is>
          <t xml:space="preserve">Summit Systems Partners</t>
        </is>
      </c>
    </row>
    <row r="35">
      <c r="A35" s="0" t="inlineStr">
        <is>
          <t xml:space="preserve">a0034</t>
        </is>
      </c>
      <c r="B35" s="0" t="inlineStr">
        <is>
          <t xml:space="preserve">media</t>
        </is>
      </c>
      <c r="C35" s="0" t="inlineStr">
        <is>
          <t xml:space="preserve">amer_west</t>
        </is>
      </c>
      <c r="D35" s="0" t="inlineStr">
        <is>
          <t xml:space="preserve">smb</t>
        </is>
      </c>
      <c r="E35" s="4">
        <v>66</v>
      </c>
      <c r="F35" s="0" t="inlineStr">
        <is>
          <t xml:space="preserve">Quantum Labs SA</t>
        </is>
      </c>
    </row>
    <row r="36">
      <c r="A36" s="0" t="inlineStr">
        <is>
          <t xml:space="preserve">a0035</t>
        </is>
      </c>
      <c r="B36" s="0" t="inlineStr">
        <is>
          <t xml:space="preserve">manufacturing</t>
        </is>
      </c>
      <c r="C36" s="0" t="inlineStr">
        <is>
          <t xml:space="preserve">amer_west</t>
        </is>
      </c>
      <c r="D36" s="0" t="inlineStr">
        <is>
          <t xml:space="preserve">smb</t>
        </is>
      </c>
      <c r="E36" s="4">
        <v>27</v>
      </c>
      <c r="F36" s="0" t="inlineStr">
        <is>
          <t xml:space="preserve">Beacon Financial Partners</t>
        </is>
      </c>
    </row>
    <row r="37">
      <c r="A37" s="0" t="inlineStr">
        <is>
          <t xml:space="preserve">a0036</t>
        </is>
      </c>
      <c r="B37" s="0" t="inlineStr">
        <is>
          <t xml:space="preserve">manufacturing</t>
        </is>
      </c>
      <c r="C37" s="0" t="inlineStr">
        <is>
          <t xml:space="preserve">amer_west</t>
        </is>
      </c>
      <c r="D37" s="0" t="inlineStr">
        <is>
          <t xml:space="preserve">enterprise</t>
        </is>
      </c>
      <c r="E37" s="4">
        <v>2665</v>
      </c>
      <c r="F37" s="0" t="inlineStr">
        <is>
          <t xml:space="preserve">Vertex Retail</t>
        </is>
      </c>
    </row>
    <row r="38">
      <c r="A38" s="0" t="inlineStr">
        <is>
          <t xml:space="preserve">a0037</t>
        </is>
      </c>
      <c r="B38" s="0" t="inlineStr">
        <is>
          <t xml:space="preserve">retail</t>
        </is>
      </c>
      <c r="C38" s="0" t="inlineStr">
        <is>
          <t xml:space="preserve">amer_west</t>
        </is>
      </c>
      <c r="D38" s="0" t="inlineStr">
        <is>
          <t xml:space="preserve">smb</t>
        </is>
      </c>
      <c r="E38" s="4">
        <v>27</v>
      </c>
      <c r="F38" s="0" t="inlineStr">
        <is>
          <t xml:space="preserve">Pioneer Labs Co</t>
        </is>
      </c>
    </row>
    <row r="39">
      <c r="A39" s="0" t="inlineStr">
        <is>
          <t xml:space="preserve">a0038</t>
        </is>
      </c>
      <c r="B39" s="0" t="inlineStr">
        <is>
          <t xml:space="preserve">financial_services</t>
        </is>
      </c>
      <c r="C39" s="0" t="inlineStr">
        <is>
          <t xml:space="preserve">amer_west</t>
        </is>
      </c>
      <c r="D39" s="0" t="inlineStr">
        <is>
          <t xml:space="preserve">mid_market</t>
        </is>
      </c>
      <c r="E39" s="4">
        <v>317</v>
      </c>
      <c r="F39" s="0" t="inlineStr">
        <is>
          <t xml:space="preserve">Silverline Health SA</t>
        </is>
      </c>
    </row>
    <row r="40">
      <c r="A40" s="0" t="inlineStr">
        <is>
          <t xml:space="preserve">a0039</t>
        </is>
      </c>
      <c r="B40" s="0" t="inlineStr">
        <is>
          <t xml:space="preserve">financial_services</t>
        </is>
      </c>
      <c r="C40" s="0" t="inlineStr">
        <is>
          <t xml:space="preserve">amer_west</t>
        </is>
      </c>
      <c r="D40" s="0" t="inlineStr">
        <is>
          <t xml:space="preserve">enterprise</t>
        </is>
      </c>
      <c r="E40" s="4">
        <v>4772</v>
      </c>
      <c r="F40" s="0" t="inlineStr">
        <is>
          <t xml:space="preserve">Atlas Insurance Partners</t>
        </is>
      </c>
    </row>
    <row r="41">
      <c r="A41" s="0" t="inlineStr">
        <is>
          <t xml:space="preserve">a0040</t>
        </is>
      </c>
      <c r="B41" s="0" t="inlineStr">
        <is>
          <t xml:space="preserve">financial_services</t>
        </is>
      </c>
      <c r="C41" s="0" t="inlineStr">
        <is>
          <t xml:space="preserve">emea</t>
        </is>
      </c>
      <c r="D41" s="0" t="inlineStr">
        <is>
          <t xml:space="preserve">smb</t>
        </is>
      </c>
      <c r="E41" s="4">
        <v>25</v>
      </c>
      <c r="F41" s="0" t="inlineStr">
        <is>
          <t xml:space="preserve">Summit Insurance Inc</t>
        </is>
      </c>
    </row>
    <row r="42">
      <c r="A42" s="0" t="inlineStr">
        <is>
          <t xml:space="preserve">a0041</t>
        </is>
      </c>
      <c r="B42" s="0" t="inlineStr">
        <is>
          <t xml:space="preserve">retail</t>
        </is>
      </c>
      <c r="C42" s="0" t="inlineStr">
        <is>
          <t xml:space="preserve">emea</t>
        </is>
      </c>
      <c r="D42" s="0" t="inlineStr">
        <is>
          <t xml:space="preserve">smb</t>
        </is>
      </c>
      <c r="E42" s="4">
        <v>61</v>
      </c>
      <c r="F42" s="0" t="inlineStr">
        <is>
          <t xml:space="preserve">Beacon Learning Holdings</t>
        </is>
      </c>
    </row>
    <row r="43">
      <c r="A43" s="0" t="inlineStr">
        <is>
          <t xml:space="preserve">a0042</t>
        </is>
      </c>
      <c r="B43" s="0" t="inlineStr">
        <is>
          <t xml:space="preserve">healthcare</t>
        </is>
      </c>
      <c r="C43" s="0" t="inlineStr">
        <is>
          <t xml:space="preserve">emea</t>
        </is>
      </c>
      <c r="D43" s="0" t="inlineStr">
        <is>
          <t xml:space="preserve">smb</t>
        </is>
      </c>
      <c r="E43" s="4">
        <v>70</v>
      </c>
      <c r="F43" s="0" t="inlineStr">
        <is>
          <t xml:space="preserve">Juniper Biotech</t>
        </is>
      </c>
    </row>
    <row r="44">
      <c r="A44" s="0" t="inlineStr">
        <is>
          <t xml:space="preserve">a0043</t>
        </is>
      </c>
      <c r="B44" s="0" t="inlineStr">
        <is>
          <t xml:space="preserve">energy</t>
        </is>
      </c>
      <c r="C44" s="0" t="inlineStr">
        <is>
          <t xml:space="preserve">emea</t>
        </is>
      </c>
      <c r="D44" s="0" t="inlineStr">
        <is>
          <t xml:space="preserve">mid_market</t>
        </is>
      </c>
      <c r="E44" s="4">
        <v>279</v>
      </c>
      <c r="F44" s="0" t="inlineStr">
        <is>
          <t xml:space="preserve">Granite Media Inc</t>
        </is>
      </c>
    </row>
    <row r="45">
      <c r="A45" s="0" t="inlineStr">
        <is>
          <t xml:space="preserve">a0044</t>
        </is>
      </c>
      <c r="B45" s="0" t="inlineStr">
        <is>
          <t xml:space="preserve">healthcare</t>
        </is>
      </c>
      <c r="C45" s="0" t="inlineStr">
        <is>
          <t xml:space="preserve">emea</t>
        </is>
      </c>
      <c r="D45" s="0" t="inlineStr">
        <is>
          <t xml:space="preserve">mid_market</t>
        </is>
      </c>
      <c r="E45" s="4">
        <v>798</v>
      </c>
      <c r="F45" s="0" t="inlineStr">
        <is>
          <t xml:space="preserve">Nimbus Software Partners</t>
        </is>
      </c>
    </row>
    <row r="46">
      <c r="A46" s="0" t="inlineStr">
        <is>
          <t xml:space="preserve">a0045</t>
        </is>
      </c>
      <c r="B46" s="0" t="inlineStr">
        <is>
          <t xml:space="preserve">software</t>
        </is>
      </c>
      <c r="C46" s="0" t="inlineStr">
        <is>
          <t xml:space="preserve">emea</t>
        </is>
      </c>
      <c r="D46" s="0" t="inlineStr">
        <is>
          <t xml:space="preserve">mid_market</t>
        </is>
      </c>
      <c r="E46" s="4">
        <v>400</v>
      </c>
      <c r="F46" s="0" t="inlineStr">
        <is>
          <t xml:space="preserve">Vertex Robotics</t>
        </is>
      </c>
    </row>
    <row r="47">
      <c r="A47" s="0" t="inlineStr">
        <is>
          <t xml:space="preserve">a0046</t>
        </is>
      </c>
      <c r="B47" s="0" t="inlineStr">
        <is>
          <t xml:space="preserve">manufacturing</t>
        </is>
      </c>
      <c r="C47" s="0" t="inlineStr">
        <is>
          <t xml:space="preserve">emea</t>
        </is>
      </c>
      <c r="D47" s="0" t="inlineStr">
        <is>
          <t xml:space="preserve">smb</t>
        </is>
      </c>
      <c r="E47" s="4">
        <v>27</v>
      </c>
      <c r="F47" s="0" t="inlineStr">
        <is>
          <t xml:space="preserve">Lakeside Learning Partners</t>
        </is>
      </c>
    </row>
    <row r="48">
      <c r="A48" s="0" t="inlineStr">
        <is>
          <t xml:space="preserve">a0047</t>
        </is>
      </c>
      <c r="B48" s="0" t="inlineStr">
        <is>
          <t xml:space="preserve">logistics</t>
        </is>
      </c>
      <c r="C48" s="0" t="inlineStr">
        <is>
          <t xml:space="preserve">emea</t>
        </is>
      </c>
      <c r="D48" s="0" t="inlineStr">
        <is>
          <t xml:space="preserve">smb</t>
        </is>
      </c>
      <c r="E48" s="4">
        <v>52</v>
      </c>
      <c r="F48" s="0" t="inlineStr">
        <is>
          <t xml:space="preserve">Copper Energy</t>
        </is>
      </c>
    </row>
    <row r="49">
      <c r="A49" s="0" t="inlineStr">
        <is>
          <t xml:space="preserve">a0048</t>
        </is>
      </c>
      <c r="B49" s="0" t="inlineStr">
        <is>
          <t xml:space="preserve">software</t>
        </is>
      </c>
      <c r="C49" s="0" t="inlineStr">
        <is>
          <t xml:space="preserve">emea</t>
        </is>
      </c>
      <c r="D49" s="0" t="inlineStr">
        <is>
          <t xml:space="preserve">enterprise</t>
        </is>
      </c>
      <c r="E49" s="4">
        <v>2669</v>
      </c>
      <c r="F49" s="0" t="inlineStr">
        <is>
          <t xml:space="preserve">Sable Energy Co</t>
        </is>
      </c>
    </row>
    <row r="50">
      <c r="A50" s="0" t="inlineStr">
        <is>
          <t xml:space="preserve">a0049</t>
        </is>
      </c>
      <c r="B50" s="0" t="inlineStr">
        <is>
          <t xml:space="preserve">financial_services</t>
        </is>
      </c>
      <c r="C50" s="0" t="inlineStr">
        <is>
          <t xml:space="preserve">emea</t>
        </is>
      </c>
      <c r="D50" s="0" t="inlineStr">
        <is>
          <t xml:space="preserve">smb</t>
        </is>
      </c>
      <c r="E50" s="4">
        <v>65</v>
      </c>
      <c r="F50" s="0" t="inlineStr">
        <is>
          <t xml:space="preserve">Falcon Retail Partners</t>
        </is>
      </c>
    </row>
    <row r="51">
      <c r="A51" s="0" t="inlineStr">
        <is>
          <t xml:space="preserve">a0050</t>
        </is>
      </c>
      <c r="B51" s="0" t="inlineStr">
        <is>
          <t xml:space="preserve">healthcare</t>
        </is>
      </c>
      <c r="C51" s="0" t="inlineStr">
        <is>
          <t xml:space="preserve">emea</t>
        </is>
      </c>
      <c r="D51" s="0" t="inlineStr">
        <is>
          <t xml:space="preserve">mid_market</t>
        </is>
      </c>
      <c r="E51" s="4">
        <v>371</v>
      </c>
      <c r="F51" s="0" t="inlineStr">
        <is>
          <t xml:space="preserve">Quantum Insurance Group</t>
        </is>
      </c>
    </row>
    <row r="52">
      <c r="A52" s="0" t="inlineStr">
        <is>
          <t xml:space="preserve">a0051</t>
        </is>
      </c>
      <c r="B52" s="0" t="inlineStr">
        <is>
          <t xml:space="preserve">retail</t>
        </is>
      </c>
      <c r="C52" s="0" t="inlineStr">
        <is>
          <t xml:space="preserve">emea</t>
        </is>
      </c>
      <c r="D52" s="0" t="inlineStr">
        <is>
          <t xml:space="preserve">mid_market</t>
        </is>
      </c>
      <c r="E52" s="4">
        <v>288</v>
      </c>
      <c r="F52" s="0" t="inlineStr">
        <is>
          <t xml:space="preserve">Redwood Insurance</t>
        </is>
      </c>
    </row>
    <row r="53">
      <c r="A53" s="0" t="inlineStr">
        <is>
          <t xml:space="preserve">a0052</t>
        </is>
      </c>
      <c r="B53" s="0" t="inlineStr">
        <is>
          <t xml:space="preserve">software</t>
        </is>
      </c>
      <c r="C53" s="0" t="inlineStr">
        <is>
          <t xml:space="preserve">emea</t>
        </is>
      </c>
      <c r="D53" s="0" t="inlineStr">
        <is>
          <t xml:space="preserve">mid_market</t>
        </is>
      </c>
      <c r="E53" s="4">
        <v>308</v>
      </c>
      <c r="F53" s="0" t="inlineStr">
        <is>
          <t xml:space="preserve">Falcon Logistics AG</t>
        </is>
      </c>
    </row>
    <row r="54">
      <c r="A54" s="0" t="inlineStr">
        <is>
          <t xml:space="preserve">a0053</t>
        </is>
      </c>
      <c r="B54" s="0" t="inlineStr">
        <is>
          <t xml:space="preserve">media</t>
        </is>
      </c>
      <c r="C54" s="0" t="inlineStr">
        <is>
          <t xml:space="preserve">emea</t>
        </is>
      </c>
      <c r="D54" s="0" t="inlineStr">
        <is>
          <t xml:space="preserve">mid_market</t>
        </is>
      </c>
      <c r="E54" s="4">
        <v>255</v>
      </c>
      <c r="F54" s="0" t="inlineStr">
        <is>
          <t xml:space="preserve">Blue Harbor Analytics SA</t>
        </is>
      </c>
    </row>
    <row r="55">
      <c r="A55" s="0" t="inlineStr">
        <is>
          <t xml:space="preserve">a0054</t>
        </is>
      </c>
      <c r="B55" s="0" t="inlineStr">
        <is>
          <t xml:space="preserve">software</t>
        </is>
      </c>
      <c r="C55" s="0" t="inlineStr">
        <is>
          <t xml:space="preserve">emea</t>
        </is>
      </c>
      <c r="D55" s="0" t="inlineStr">
        <is>
          <t xml:space="preserve">mid_market</t>
        </is>
      </c>
      <c r="E55" s="4">
        <v>283</v>
      </c>
      <c r="F55" s="0" t="inlineStr">
        <is>
          <t xml:space="preserve">Cobalt Mobility Group</t>
        </is>
      </c>
    </row>
    <row r="56">
      <c r="A56" s="0" t="inlineStr">
        <is>
          <t xml:space="preserve">a0055</t>
        </is>
      </c>
      <c r="B56" s="0" t="inlineStr">
        <is>
          <t xml:space="preserve">software</t>
        </is>
      </c>
      <c r="C56" s="0" t="inlineStr">
        <is>
          <t xml:space="preserve">emea</t>
        </is>
      </c>
      <c r="D56" s="0" t="inlineStr">
        <is>
          <t xml:space="preserve">mid_market</t>
        </is>
      </c>
      <c r="E56" s="4">
        <v>283</v>
      </c>
      <c r="F56" s="0" t="inlineStr">
        <is>
          <t xml:space="preserve">Sable Insurance Holdings</t>
        </is>
      </c>
    </row>
    <row r="57">
      <c r="A57" s="0" t="inlineStr">
        <is>
          <t xml:space="preserve">a0056</t>
        </is>
      </c>
      <c r="B57" s="0" t="inlineStr">
        <is>
          <t xml:space="preserve">software</t>
        </is>
      </c>
      <c r="C57" s="0" t="inlineStr">
        <is>
          <t xml:space="preserve">apac</t>
        </is>
      </c>
      <c r="D57" s="0" t="inlineStr">
        <is>
          <t xml:space="preserve">smb</t>
        </is>
      </c>
      <c r="E57" s="4">
        <v>41</v>
      </c>
      <c r="F57" s="0" t="inlineStr">
        <is>
          <t xml:space="preserve">Tidewater Foods SA</t>
        </is>
      </c>
    </row>
    <row r="58">
      <c r="A58" s="0" t="inlineStr">
        <is>
          <t xml:space="preserve">a0057</t>
        </is>
      </c>
      <c r="B58" s="0" t="inlineStr">
        <is>
          <t xml:space="preserve">financial_services</t>
        </is>
      </c>
      <c r="C58" s="0" t="inlineStr">
        <is>
          <t xml:space="preserve">apac</t>
        </is>
      </c>
      <c r="D58" s="0" t="inlineStr">
        <is>
          <t xml:space="preserve">mid_market</t>
        </is>
      </c>
      <c r="E58" s="4">
        <v>1379</v>
      </c>
      <c r="F58" s="0" t="inlineStr">
        <is>
          <t xml:space="preserve">Redwood Labs</t>
        </is>
      </c>
    </row>
    <row r="59">
      <c r="A59" s="0" t="inlineStr">
        <is>
          <t xml:space="preserve">a0058</t>
        </is>
      </c>
      <c r="B59" s="0" t="inlineStr">
        <is>
          <t xml:space="preserve">logistics</t>
        </is>
      </c>
      <c r="C59" s="0" t="inlineStr">
        <is>
          <t xml:space="preserve">apac</t>
        </is>
      </c>
      <c r="D59" s="0" t="inlineStr">
        <is>
          <t xml:space="preserve">enterprise</t>
        </is>
      </c>
      <c r="E59" s="4">
        <v>6546</v>
      </c>
      <c r="F59" s="0" t="inlineStr">
        <is>
          <t xml:space="preserve">Lakeside Mobility</t>
        </is>
      </c>
    </row>
    <row r="60">
      <c r="A60" s="0" t="inlineStr">
        <is>
          <t xml:space="preserve">a0059</t>
        </is>
      </c>
      <c r="B60" s="0" t="inlineStr">
        <is>
          <t xml:space="preserve">healthcare</t>
        </is>
      </c>
      <c r="C60" s="0" t="inlineStr">
        <is>
          <t xml:space="preserve">apac</t>
        </is>
      </c>
      <c r="D60" s="0" t="inlineStr">
        <is>
          <t xml:space="preserve">smb</t>
        </is>
      </c>
      <c r="E60" s="4">
        <v>23</v>
      </c>
      <c r="F60" s="0" t="inlineStr">
        <is>
          <t xml:space="preserve">Meridian Systems</t>
        </is>
      </c>
    </row>
    <row r="61">
      <c r="A61" s="0" t="inlineStr">
        <is>
          <t xml:space="preserve">a0060</t>
        </is>
      </c>
      <c r="B61" s="0" t="inlineStr">
        <is>
          <t xml:space="preserve">financial_services</t>
        </is>
      </c>
      <c r="C61" s="0" t="inlineStr">
        <is>
          <t xml:space="preserve">apac</t>
        </is>
      </c>
      <c r="D61" s="0" t="inlineStr">
        <is>
          <t xml:space="preserve">smb</t>
        </is>
      </c>
      <c r="E61" s="4">
        <v>31</v>
      </c>
      <c r="F61" s="0" t="inlineStr">
        <is>
          <t xml:space="preserve">Juniper Networks AG</t>
        </is>
      </c>
    </row>
    <row r="62">
      <c r="A62" s="0" t="inlineStr">
        <is>
          <t xml:space="preserve">a0061</t>
        </is>
      </c>
      <c r="B62" s="0" t="inlineStr">
        <is>
          <t xml:space="preserve">manufacturing</t>
        </is>
      </c>
      <c r="C62" s="0" t="inlineStr">
        <is>
          <t xml:space="preserve">apac</t>
        </is>
      </c>
      <c r="D62" s="0" t="inlineStr">
        <is>
          <t xml:space="preserve">enterprise</t>
        </is>
      </c>
      <c r="E62" s="4">
        <v>11353</v>
      </c>
      <c r="F62" s="0" t="inlineStr">
        <is>
          <t xml:space="preserve">Juniper Biotech SA</t>
        </is>
      </c>
    </row>
    <row r="63">
      <c r="A63" s="0" t="inlineStr">
        <is>
          <t xml:space="preserve">a0062</t>
        </is>
      </c>
      <c r="B63" s="0" t="inlineStr">
        <is>
          <t xml:space="preserve">energy</t>
        </is>
      </c>
      <c r="C63" s="0" t="inlineStr">
        <is>
          <t xml:space="preserve">amer_east</t>
        </is>
      </c>
      <c r="D63" s="0" t="inlineStr">
        <is>
          <t xml:space="preserve">smb</t>
        </is>
      </c>
      <c r="E63" s="4">
        <v>29</v>
      </c>
      <c r="F63" s="0" t="inlineStr">
        <is>
          <t xml:space="preserve">Atlas Systems Co</t>
        </is>
      </c>
    </row>
    <row r="64">
      <c r="A64" s="0" t="inlineStr">
        <is>
          <t xml:space="preserve">a0063</t>
        </is>
      </c>
      <c r="B64" s="0" t="inlineStr">
        <is>
          <t xml:space="preserve">media</t>
        </is>
      </c>
      <c r="C64" s="0" t="inlineStr">
        <is>
          <t xml:space="preserve">amer_east</t>
        </is>
      </c>
      <c r="D64" s="0" t="inlineStr">
        <is>
          <t xml:space="preserve">smb</t>
        </is>
      </c>
      <c r="E64" s="4">
        <v>20</v>
      </c>
      <c r="F64" s="0" t="inlineStr">
        <is>
          <t xml:space="preserve">Redwood Foods Group</t>
        </is>
      </c>
    </row>
    <row r="65">
      <c r="A65" s="0" t="inlineStr">
        <is>
          <t xml:space="preserve">a0064</t>
        </is>
      </c>
      <c r="B65" s="0" t="inlineStr">
        <is>
          <t xml:space="preserve">software</t>
        </is>
      </c>
      <c r="C65" s="0" t="inlineStr">
        <is>
          <t xml:space="preserve">amer_east</t>
        </is>
      </c>
      <c r="D65" s="0" t="inlineStr">
        <is>
          <t xml:space="preserve">smb</t>
        </is>
      </c>
      <c r="E65" s="4">
        <v>63</v>
      </c>
      <c r="F65" s="0" t="inlineStr">
        <is>
          <t xml:space="preserve">Northwind Energy Inc</t>
        </is>
      </c>
    </row>
    <row r="66">
      <c r="A66" s="0" t="inlineStr">
        <is>
          <t xml:space="preserve">a0065</t>
        </is>
      </c>
      <c r="B66" s="0" t="inlineStr">
        <is>
          <t xml:space="preserve">logistics</t>
        </is>
      </c>
      <c r="C66" s="0" t="inlineStr">
        <is>
          <t xml:space="preserve">amer_east</t>
        </is>
      </c>
      <c r="D66" s="0" t="inlineStr">
        <is>
          <t xml:space="preserve">smb</t>
        </is>
      </c>
      <c r="E66" s="4">
        <v>38</v>
      </c>
      <c r="F66" s="0" t="inlineStr">
        <is>
          <t xml:space="preserve">Vertex Logistics Partners</t>
        </is>
      </c>
    </row>
    <row r="67">
      <c r="A67" s="0" t="inlineStr">
        <is>
          <t xml:space="preserve">a0066</t>
        </is>
      </c>
      <c r="B67" s="0" t="inlineStr">
        <is>
          <t xml:space="preserve">healthcare</t>
        </is>
      </c>
      <c r="C67" s="0" t="inlineStr">
        <is>
          <t xml:space="preserve">amer_east</t>
        </is>
      </c>
      <c r="D67" s="0" t="inlineStr">
        <is>
          <t xml:space="preserve">smb</t>
        </is>
      </c>
      <c r="E67" s="4">
        <v>32</v>
      </c>
      <c r="F67" s="0" t="inlineStr">
        <is>
          <t xml:space="preserve">Falcon Capital</t>
        </is>
      </c>
    </row>
    <row r="68">
      <c r="A68" s="0" t="inlineStr">
        <is>
          <t xml:space="preserve">a0067</t>
        </is>
      </c>
      <c r="B68" s="0" t="inlineStr">
        <is>
          <t xml:space="preserve">software</t>
        </is>
      </c>
      <c r="C68" s="0" t="inlineStr">
        <is>
          <t xml:space="preserve">amer_east</t>
        </is>
      </c>
      <c r="D68" s="0" t="inlineStr">
        <is>
          <t xml:space="preserve">smb</t>
        </is>
      </c>
      <c r="E68" s="4">
        <v>36</v>
      </c>
      <c r="F68" s="0" t="inlineStr">
        <is>
          <t xml:space="preserve">Nimbus Manufacturing Partners</t>
        </is>
      </c>
    </row>
    <row r="69">
      <c r="A69" s="0" t="inlineStr">
        <is>
          <t xml:space="preserve">a0068</t>
        </is>
      </c>
      <c r="B69" s="0" t="inlineStr">
        <is>
          <t xml:space="preserve">software</t>
        </is>
      </c>
      <c r="C69" s="0" t="inlineStr">
        <is>
          <t xml:space="preserve">amer_east</t>
        </is>
      </c>
      <c r="D69" s="0" t="inlineStr">
        <is>
          <t xml:space="preserve">mid_market</t>
        </is>
      </c>
      <c r="E69" s="4">
        <v>417</v>
      </c>
      <c r="F69" s="0" t="inlineStr">
        <is>
          <t xml:space="preserve">Juniper Labs Partners</t>
        </is>
      </c>
    </row>
    <row r="70">
      <c r="A70" s="0" t="inlineStr">
        <is>
          <t xml:space="preserve">a0069</t>
        </is>
      </c>
      <c r="B70" s="0" t="inlineStr">
        <is>
          <t xml:space="preserve">healthcare</t>
        </is>
      </c>
      <c r="C70" s="0" t="inlineStr">
        <is>
          <t xml:space="preserve">amer_east</t>
        </is>
      </c>
      <c r="D70" s="0" t="inlineStr">
        <is>
          <t xml:space="preserve">smb</t>
        </is>
      </c>
      <c r="E70" s="4">
        <v>45</v>
      </c>
      <c r="F70" s="0" t="inlineStr">
        <is>
          <t xml:space="preserve">Falcon Robotics Inc</t>
        </is>
      </c>
    </row>
    <row r="71">
      <c r="A71" s="0" t="inlineStr">
        <is>
          <t xml:space="preserve">a0070</t>
        </is>
      </c>
      <c r="B71" s="0" t="inlineStr">
        <is>
          <t xml:space="preserve">financial_services</t>
        </is>
      </c>
      <c r="C71" s="0" t="inlineStr">
        <is>
          <t xml:space="preserve">amer_east</t>
        </is>
      </c>
      <c r="D71" s="0" t="inlineStr">
        <is>
          <t xml:space="preserve">mid_market</t>
        </is>
      </c>
      <c r="E71" s="4">
        <v>262</v>
      </c>
      <c r="F71" s="0" t="inlineStr">
        <is>
          <t xml:space="preserve">Evergreen Software</t>
        </is>
      </c>
    </row>
    <row r="72">
      <c r="A72" s="0" t="inlineStr">
        <is>
          <t xml:space="preserve">a0071</t>
        </is>
      </c>
      <c r="B72" s="0" t="inlineStr">
        <is>
          <t xml:space="preserve">public_sector</t>
        </is>
      </c>
      <c r="C72" s="0" t="inlineStr">
        <is>
          <t xml:space="preserve">amer_east</t>
        </is>
      </c>
      <c r="D72" s="0" t="inlineStr">
        <is>
          <t xml:space="preserve">smb</t>
        </is>
      </c>
      <c r="E72" s="4">
        <v>130</v>
      </c>
      <c r="F72" s="0" t="inlineStr">
        <is>
          <t xml:space="preserve">Harbor Analytics Group</t>
        </is>
      </c>
    </row>
    <row r="73">
      <c r="A73" s="0" t="inlineStr">
        <is>
          <t xml:space="preserve">a0072</t>
        </is>
      </c>
      <c r="B73" s="0" t="inlineStr">
        <is>
          <t xml:space="preserve">logistics</t>
        </is>
      </c>
      <c r="C73" s="0" t="inlineStr">
        <is>
          <t xml:space="preserve">amer_east</t>
        </is>
      </c>
      <c r="D73" s="0" t="inlineStr">
        <is>
          <t xml:space="preserve">mid_market</t>
        </is>
      </c>
      <c r="E73" s="4">
        <v>325</v>
      </c>
      <c r="F73" s="0" t="inlineStr">
        <is>
          <t xml:space="preserve">Lakeside Software Inc</t>
        </is>
      </c>
    </row>
    <row r="74">
      <c r="A74" s="0" t="inlineStr">
        <is>
          <t xml:space="preserve">a0073</t>
        </is>
      </c>
      <c r="B74" s="0" t="inlineStr">
        <is>
          <t xml:space="preserve">software</t>
        </is>
      </c>
      <c r="C74" s="0" t="inlineStr">
        <is>
          <t xml:space="preserve">amer_east</t>
        </is>
      </c>
      <c r="D74" s="0" t="inlineStr">
        <is>
          <t xml:space="preserve">smb</t>
        </is>
      </c>
      <c r="E74" s="4">
        <v>141</v>
      </c>
      <c r="F74" s="0" t="inlineStr">
        <is>
          <t xml:space="preserve">Pioneer Health Co</t>
        </is>
      </c>
    </row>
    <row r="75">
      <c r="A75" s="0" t="inlineStr">
        <is>
          <t xml:space="preserve">a0074</t>
        </is>
      </c>
      <c r="B75" s="0" t="inlineStr">
        <is>
          <t xml:space="preserve">education</t>
        </is>
      </c>
      <c r="C75" s="0" t="inlineStr">
        <is>
          <t xml:space="preserve">amer_east</t>
        </is>
      </c>
      <c r="D75" s="0" t="inlineStr">
        <is>
          <t xml:space="preserve">smb</t>
        </is>
      </c>
      <c r="E75" s="4">
        <v>25</v>
      </c>
      <c r="F75" s="0" t="inlineStr">
        <is>
          <t xml:space="preserve">Cobalt Financial Group</t>
        </is>
      </c>
    </row>
    <row r="76">
      <c r="A76" s="0" t="inlineStr">
        <is>
          <t xml:space="preserve">a0075</t>
        </is>
      </c>
      <c r="B76" s="0" t="inlineStr">
        <is>
          <t xml:space="preserve">retail</t>
        </is>
      </c>
      <c r="C76" s="0" t="inlineStr">
        <is>
          <t xml:space="preserve">amer_east</t>
        </is>
      </c>
      <c r="D76" s="0" t="inlineStr">
        <is>
          <t xml:space="preserve">smb</t>
        </is>
      </c>
      <c r="E76" s="4">
        <v>24</v>
      </c>
      <c r="F76" s="0" t="inlineStr">
        <is>
          <t xml:space="preserve">Tidewater Software Ltd</t>
        </is>
      </c>
    </row>
    <row r="77">
      <c r="A77" s="0" t="inlineStr">
        <is>
          <t xml:space="preserve">a0076</t>
        </is>
      </c>
      <c r="B77" s="0" t="inlineStr">
        <is>
          <t xml:space="preserve">software</t>
        </is>
      </c>
      <c r="C77" s="0" t="inlineStr">
        <is>
          <t xml:space="preserve">amer_east</t>
        </is>
      </c>
      <c r="D77" s="0" t="inlineStr">
        <is>
          <t xml:space="preserve">smb</t>
        </is>
      </c>
      <c r="E77" s="4">
        <v>78</v>
      </c>
      <c r="F77" s="0" t="inlineStr">
        <is>
          <t xml:space="preserve">Redwood Mobility Holdings</t>
        </is>
      </c>
    </row>
    <row r="78">
      <c r="A78" s="0" t="inlineStr">
        <is>
          <t xml:space="preserve">a0077</t>
        </is>
      </c>
      <c r="B78" s="0" t="inlineStr">
        <is>
          <t xml:space="preserve">manufacturing</t>
        </is>
      </c>
      <c r="C78" s="0" t="inlineStr">
        <is>
          <t xml:space="preserve">amer_east</t>
        </is>
      </c>
      <c r="D78" s="0" t="inlineStr">
        <is>
          <t xml:space="preserve">enterprise</t>
        </is>
      </c>
      <c r="E78" s="4">
        <v>4569</v>
      </c>
      <c r="F78" s="0" t="inlineStr">
        <is>
          <t xml:space="preserve">Copper Insurance SA</t>
        </is>
      </c>
    </row>
    <row r="79">
      <c r="A79" s="0" t="inlineStr">
        <is>
          <t xml:space="preserve">a0078</t>
        </is>
      </c>
      <c r="B79" s="0" t="inlineStr">
        <is>
          <t xml:space="preserve">media</t>
        </is>
      </c>
      <c r="C79" s="0" t="inlineStr">
        <is>
          <t xml:space="preserve">amer_east</t>
        </is>
      </c>
      <c r="D79" s="0" t="inlineStr">
        <is>
          <t xml:space="preserve">mid_market</t>
        </is>
      </c>
      <c r="E79" s="4">
        <v>524</v>
      </c>
      <c r="F79" s="0" t="inlineStr">
        <is>
          <t xml:space="preserve">Cascade Labs SA</t>
        </is>
      </c>
    </row>
    <row r="80">
      <c r="A80" s="0" t="inlineStr">
        <is>
          <t xml:space="preserve">a0079</t>
        </is>
      </c>
      <c r="B80" s="0" t="inlineStr">
        <is>
          <t xml:space="preserve">financial_services</t>
        </is>
      </c>
      <c r="C80" s="0" t="inlineStr">
        <is>
          <t xml:space="preserve">amer_east</t>
        </is>
      </c>
      <c r="D80" s="0" t="inlineStr">
        <is>
          <t xml:space="preserve">enterprise</t>
        </is>
      </c>
      <c r="E80" s="4">
        <v>2847</v>
      </c>
      <c r="F80" s="0" t="inlineStr">
        <is>
          <t xml:space="preserve">Horizon Networks Group</t>
        </is>
      </c>
    </row>
    <row r="81">
      <c r="A81" s="0" t="inlineStr">
        <is>
          <t xml:space="preserve">a0080</t>
        </is>
      </c>
      <c r="B81" s="0" t="inlineStr">
        <is>
          <t xml:space="preserve">financial_services</t>
        </is>
      </c>
      <c r="C81" s="0" t="inlineStr">
        <is>
          <t xml:space="preserve">amer_east</t>
        </is>
      </c>
      <c r="D81" s="0" t="inlineStr">
        <is>
          <t xml:space="preserve">smb</t>
        </is>
      </c>
      <c r="E81" s="4">
        <v>32</v>
      </c>
      <c r="F81" s="0" t="inlineStr">
        <is>
          <t xml:space="preserve">Evergreen Robotics Inc</t>
        </is>
      </c>
    </row>
    <row r="82">
      <c r="A82" s="0" t="inlineStr">
        <is>
          <t xml:space="preserve">a0081</t>
        </is>
      </c>
      <c r="B82" s="0" t="inlineStr">
        <is>
          <t xml:space="preserve">software</t>
        </is>
      </c>
      <c r="C82" s="0" t="inlineStr">
        <is>
          <t xml:space="preserve">amer_east</t>
        </is>
      </c>
      <c r="D82" s="0" t="inlineStr">
        <is>
          <t xml:space="preserve">smb</t>
        </is>
      </c>
      <c r="E82" s="4">
        <v>38</v>
      </c>
      <c r="F82" s="0" t="inlineStr">
        <is>
          <t xml:space="preserve">Nimbus Foods</t>
        </is>
      </c>
    </row>
    <row r="83">
      <c r="A83" s="0" t="inlineStr">
        <is>
          <t xml:space="preserve">a0082</t>
        </is>
      </c>
      <c r="B83" s="0" t="inlineStr">
        <is>
          <t xml:space="preserve">media</t>
        </is>
      </c>
      <c r="C83" s="0" t="inlineStr">
        <is>
          <t xml:space="preserve">amer_east</t>
        </is>
      </c>
      <c r="D83" s="0" t="inlineStr">
        <is>
          <t xml:space="preserve">mid_market</t>
        </is>
      </c>
      <c r="E83" s="4">
        <v>374</v>
      </c>
      <c r="F83" s="0" t="inlineStr">
        <is>
          <t xml:space="preserve">Meridian Foods Holdings</t>
        </is>
      </c>
    </row>
    <row r="84">
      <c r="A84" s="0" t="inlineStr">
        <is>
          <t xml:space="preserve">a0083</t>
        </is>
      </c>
      <c r="B84" s="0" t="inlineStr">
        <is>
          <t xml:space="preserve">software</t>
        </is>
      </c>
      <c r="C84" s="0" t="inlineStr">
        <is>
          <t xml:space="preserve">amer_east</t>
        </is>
      </c>
      <c r="D84" s="0" t="inlineStr">
        <is>
          <t xml:space="preserve">mid_market</t>
        </is>
      </c>
      <c r="E84" s="4">
        <v>265</v>
      </c>
      <c r="F84" s="0" t="inlineStr">
        <is>
          <t xml:space="preserve">Copper Mobility Holdings</t>
        </is>
      </c>
    </row>
    <row r="85">
      <c r="A85" s="0" t="inlineStr">
        <is>
          <t xml:space="preserve">a0084</t>
        </is>
      </c>
      <c r="B85" s="0" t="inlineStr">
        <is>
          <t xml:space="preserve">retail</t>
        </is>
      </c>
      <c r="C85" s="0" t="inlineStr">
        <is>
          <t xml:space="preserve">amer_east</t>
        </is>
      </c>
      <c r="D85" s="0" t="inlineStr">
        <is>
          <t xml:space="preserve">mid_market</t>
        </is>
      </c>
      <c r="E85" s="4">
        <v>430</v>
      </c>
      <c r="F85" s="0" t="inlineStr">
        <is>
          <t xml:space="preserve">Pioneer Mobility</t>
        </is>
      </c>
    </row>
    <row r="86">
      <c r="A86" s="0" t="inlineStr">
        <is>
          <t xml:space="preserve">a0085</t>
        </is>
      </c>
      <c r="B86" s="0" t="inlineStr">
        <is>
          <t xml:space="preserve">financial_services</t>
        </is>
      </c>
      <c r="C86" s="0" t="inlineStr">
        <is>
          <t xml:space="preserve">amer_east</t>
        </is>
      </c>
      <c r="D86" s="0" t="inlineStr">
        <is>
          <t xml:space="preserve">smb</t>
        </is>
      </c>
      <c r="E86" s="4">
        <v>24</v>
      </c>
      <c r="F86" s="0" t="inlineStr">
        <is>
          <t xml:space="preserve">Aurora Financial Holdings</t>
        </is>
      </c>
    </row>
    <row r="87">
      <c r="A87" s="0" t="inlineStr">
        <is>
          <t xml:space="preserve">a0086</t>
        </is>
      </c>
      <c r="B87" s="0" t="inlineStr">
        <is>
          <t xml:space="preserve">financial_services</t>
        </is>
      </c>
      <c r="C87" s="0" t="inlineStr">
        <is>
          <t xml:space="preserve">amer_east</t>
        </is>
      </c>
      <c r="D87" s="0" t="inlineStr">
        <is>
          <t xml:space="preserve">smb</t>
        </is>
      </c>
      <c r="E87" s="4">
        <v>41</v>
      </c>
      <c r="F87" s="0" t="inlineStr">
        <is>
          <t xml:space="preserve">Beacon Labs</t>
        </is>
      </c>
    </row>
    <row r="88">
      <c r="A88" s="0" t="inlineStr">
        <is>
          <t xml:space="preserve">a0087</t>
        </is>
      </c>
      <c r="B88" s="0" t="inlineStr">
        <is>
          <t xml:space="preserve">media</t>
        </is>
      </c>
      <c r="C88" s="0" t="inlineStr">
        <is>
          <t xml:space="preserve">amer_east</t>
        </is>
      </c>
      <c r="D88" s="0" t="inlineStr">
        <is>
          <t xml:space="preserve">mid_market</t>
        </is>
      </c>
      <c r="E88" s="4">
        <v>1015</v>
      </c>
      <c r="F88" s="0" t="inlineStr">
        <is>
          <t xml:space="preserve">Tidewater Mobility SA</t>
        </is>
      </c>
    </row>
    <row r="89">
      <c r="A89" s="0" t="inlineStr">
        <is>
          <t xml:space="preserve">a0088</t>
        </is>
      </c>
      <c r="B89" s="0" t="inlineStr">
        <is>
          <t xml:space="preserve">manufacturing</t>
        </is>
      </c>
      <c r="C89" s="0" t="inlineStr">
        <is>
          <t xml:space="preserve">amer_east</t>
        </is>
      </c>
      <c r="D89" s="0" t="inlineStr">
        <is>
          <t xml:space="preserve">mid_market</t>
        </is>
      </c>
      <c r="E89" s="4">
        <v>484</v>
      </c>
      <c r="F89" s="0" t="inlineStr">
        <is>
          <t xml:space="preserve">Evergreen Foods Holdings</t>
        </is>
      </c>
    </row>
    <row r="90">
      <c r="A90" s="0" t="inlineStr">
        <is>
          <t xml:space="preserve">a0089</t>
        </is>
      </c>
      <c r="B90" s="0" t="inlineStr">
        <is>
          <t xml:space="preserve">education</t>
        </is>
      </c>
      <c r="C90" s="0" t="inlineStr">
        <is>
          <t xml:space="preserve">amer_east</t>
        </is>
      </c>
      <c r="D90" s="0" t="inlineStr">
        <is>
          <t xml:space="preserve">smb</t>
        </is>
      </c>
      <c r="E90" s="4">
        <v>24</v>
      </c>
      <c r="F90" s="0" t="inlineStr">
        <is>
          <t xml:space="preserve">Redwood Media Ltd</t>
        </is>
      </c>
    </row>
    <row r="91">
      <c r="A91" s="0" t="inlineStr">
        <is>
          <t xml:space="preserve">a0090</t>
        </is>
      </c>
      <c r="B91" s="0" t="inlineStr">
        <is>
          <t xml:space="preserve">manufacturing</t>
        </is>
      </c>
      <c r="C91" s="0" t="inlineStr">
        <is>
          <t xml:space="preserve">amer_east</t>
        </is>
      </c>
      <c r="D91" s="0" t="inlineStr">
        <is>
          <t xml:space="preserve">enterprise</t>
        </is>
      </c>
      <c r="E91" s="4">
        <v>4269</v>
      </c>
      <c r="F91" s="0" t="inlineStr">
        <is>
          <t xml:space="preserve">Redwood Networks</t>
        </is>
      </c>
    </row>
    <row r="92">
      <c r="A92" s="0" t="inlineStr">
        <is>
          <t xml:space="preserve">a0091</t>
        </is>
      </c>
      <c r="B92" s="0" t="inlineStr">
        <is>
          <t xml:space="preserve">education</t>
        </is>
      </c>
      <c r="C92" s="0" t="inlineStr">
        <is>
          <t xml:space="preserve">amer_west</t>
        </is>
      </c>
      <c r="D92" s="0" t="inlineStr">
        <is>
          <t xml:space="preserve">smb</t>
        </is>
      </c>
      <c r="E92" s="4">
        <v>67</v>
      </c>
      <c r="F92" s="0" t="inlineStr">
        <is>
          <t xml:space="preserve">Cascade Mobility Inc</t>
        </is>
      </c>
    </row>
    <row r="93">
      <c r="A93" s="0" t="inlineStr">
        <is>
          <t xml:space="preserve">a0092</t>
        </is>
      </c>
      <c r="B93" s="0" t="inlineStr">
        <is>
          <t xml:space="preserve">financial_services</t>
        </is>
      </c>
      <c r="C93" s="0" t="inlineStr">
        <is>
          <t xml:space="preserve">amer_west</t>
        </is>
      </c>
      <c r="D93" s="0" t="inlineStr">
        <is>
          <t xml:space="preserve">mid_market</t>
        </is>
      </c>
      <c r="E93" s="4">
        <v>257</v>
      </c>
      <c r="F93" s="0" t="inlineStr">
        <is>
          <t xml:space="preserve">Juniper Learning</t>
        </is>
      </c>
    </row>
    <row r="94">
      <c r="A94" s="0" t="inlineStr">
        <is>
          <t xml:space="preserve">a0093</t>
        </is>
      </c>
      <c r="B94" s="0" t="inlineStr">
        <is>
          <t xml:space="preserve">logistics</t>
        </is>
      </c>
      <c r="C94" s="0" t="inlineStr">
        <is>
          <t xml:space="preserve">amer_west</t>
        </is>
      </c>
      <c r="D94" s="0" t="inlineStr">
        <is>
          <t xml:space="preserve">smb</t>
        </is>
      </c>
      <c r="E94" s="4">
        <v>139</v>
      </c>
      <c r="F94" s="0" t="inlineStr">
        <is>
          <t xml:space="preserve">Silverline Mobility Partners</t>
        </is>
      </c>
    </row>
    <row r="95">
      <c r="A95" s="0" t="inlineStr">
        <is>
          <t xml:space="preserve">a0094</t>
        </is>
      </c>
      <c r="B95" s="0" t="inlineStr">
        <is>
          <t xml:space="preserve">media</t>
        </is>
      </c>
      <c r="C95" s="0" t="inlineStr">
        <is>
          <t xml:space="preserve">amer_west</t>
        </is>
      </c>
      <c r="D95" s="0" t="inlineStr">
        <is>
          <t xml:space="preserve">smb</t>
        </is>
      </c>
      <c r="E95" s="4">
        <v>36</v>
      </c>
      <c r="F95" s="0" t="inlineStr">
        <is>
          <t xml:space="preserve">Tidewater Manufacturing Group</t>
        </is>
      </c>
    </row>
    <row r="96">
      <c r="A96" s="0" t="inlineStr">
        <is>
          <t xml:space="preserve">a0095</t>
        </is>
      </c>
      <c r="B96" s="0" t="inlineStr">
        <is>
          <t xml:space="preserve">logistics</t>
        </is>
      </c>
      <c r="C96" s="0" t="inlineStr">
        <is>
          <t xml:space="preserve">amer_west</t>
        </is>
      </c>
      <c r="D96" s="0" t="inlineStr">
        <is>
          <t xml:space="preserve">mid_market</t>
        </is>
      </c>
      <c r="E96" s="4">
        <v>2245</v>
      </c>
      <c r="F96" s="0" t="inlineStr">
        <is>
          <t xml:space="preserve">Umber Analytics SA</t>
        </is>
      </c>
    </row>
    <row r="97">
      <c r="A97" s="0" t="inlineStr">
        <is>
          <t xml:space="preserve">a0096</t>
        </is>
      </c>
      <c r="B97" s="0" t="inlineStr">
        <is>
          <t xml:space="preserve">public_sector</t>
        </is>
      </c>
      <c r="C97" s="0" t="inlineStr">
        <is>
          <t xml:space="preserve">amer_west</t>
        </is>
      </c>
      <c r="D97" s="0" t="inlineStr">
        <is>
          <t xml:space="preserve">smb</t>
        </is>
      </c>
      <c r="E97" s="4">
        <v>51</v>
      </c>
      <c r="F97" s="0" t="inlineStr">
        <is>
          <t xml:space="preserve">Ironbridge Retail Co</t>
        </is>
      </c>
    </row>
    <row r="98">
      <c r="A98" s="0" t="inlineStr">
        <is>
          <t xml:space="preserve">a0097</t>
        </is>
      </c>
      <c r="B98" s="0" t="inlineStr">
        <is>
          <t xml:space="preserve">manufacturing</t>
        </is>
      </c>
      <c r="C98" s="0" t="inlineStr">
        <is>
          <t xml:space="preserve">amer_west</t>
        </is>
      </c>
      <c r="D98" s="0" t="inlineStr">
        <is>
          <t xml:space="preserve">mid_market</t>
        </is>
      </c>
      <c r="E98" s="4">
        <v>352</v>
      </c>
      <c r="F98" s="0" t="inlineStr">
        <is>
          <t xml:space="preserve">Atlas Retail</t>
        </is>
      </c>
    </row>
    <row r="99">
      <c r="A99" s="0" t="inlineStr">
        <is>
          <t xml:space="preserve">a0098</t>
        </is>
      </c>
      <c r="B99" s="0" t="inlineStr">
        <is>
          <t xml:space="preserve">healthcare</t>
        </is>
      </c>
      <c r="C99" s="0" t="inlineStr">
        <is>
          <t xml:space="preserve">amer_west</t>
        </is>
      </c>
      <c r="D99" s="0" t="inlineStr">
        <is>
          <t xml:space="preserve">smb</t>
        </is>
      </c>
      <c r="E99" s="4">
        <v>53</v>
      </c>
      <c r="F99" s="0" t="inlineStr">
        <is>
          <t xml:space="preserve">Silverline Software Group</t>
        </is>
      </c>
    </row>
    <row r="100">
      <c r="A100" s="0" t="inlineStr">
        <is>
          <t xml:space="preserve">a0099</t>
        </is>
      </c>
      <c r="B100" s="0" t="inlineStr">
        <is>
          <t xml:space="preserve">financial_services</t>
        </is>
      </c>
      <c r="C100" s="0" t="inlineStr">
        <is>
          <t xml:space="preserve">amer_west</t>
        </is>
      </c>
      <c r="D100" s="0" t="inlineStr">
        <is>
          <t xml:space="preserve">mid_market</t>
        </is>
      </c>
      <c r="E100" s="4">
        <v>334</v>
      </c>
      <c r="F100" s="0" t="inlineStr">
        <is>
          <t xml:space="preserve">Keystone Software Group</t>
        </is>
      </c>
    </row>
    <row r="101">
      <c r="A101" s="0" t="inlineStr">
        <is>
          <t xml:space="preserve">a0100</t>
        </is>
      </c>
      <c r="B101" s="0" t="inlineStr">
        <is>
          <t xml:space="preserve">software</t>
        </is>
      </c>
      <c r="C101" s="0" t="inlineStr">
        <is>
          <t xml:space="preserve">amer_west</t>
        </is>
      </c>
      <c r="D101" s="0" t="inlineStr">
        <is>
          <t xml:space="preserve">mid_market</t>
        </is>
      </c>
      <c r="E101" s="4">
        <v>287</v>
      </c>
      <c r="F101" s="0" t="inlineStr">
        <is>
          <t xml:space="preserve">Sable Mobility Ltd</t>
        </is>
      </c>
    </row>
    <row r="102">
      <c r="A102" s="0" t="inlineStr">
        <is>
          <t xml:space="preserve">a0101</t>
        </is>
      </c>
      <c r="B102" s="0" t="inlineStr">
        <is>
          <t xml:space="preserve">media</t>
        </is>
      </c>
      <c r="C102" s="0" t="inlineStr">
        <is>
          <t xml:space="preserve">amer_west</t>
        </is>
      </c>
      <c r="D102" s="0" t="inlineStr">
        <is>
          <t xml:space="preserve">smb</t>
        </is>
      </c>
      <c r="E102" s="4">
        <v>42</v>
      </c>
      <c r="F102" s="0" t="inlineStr">
        <is>
          <t xml:space="preserve">Orchard Analytics Co</t>
        </is>
      </c>
    </row>
    <row r="103">
      <c r="A103" s="0" t="inlineStr">
        <is>
          <t xml:space="preserve">a0102</t>
        </is>
      </c>
      <c r="B103" s="0" t="inlineStr">
        <is>
          <t xml:space="preserve">retail</t>
        </is>
      </c>
      <c r="C103" s="0" t="inlineStr">
        <is>
          <t xml:space="preserve">amer_west</t>
        </is>
      </c>
      <c r="D103" s="0" t="inlineStr">
        <is>
          <t xml:space="preserve">mid_market</t>
        </is>
      </c>
      <c r="E103" s="4">
        <v>2203</v>
      </c>
      <c r="F103" s="0" t="inlineStr">
        <is>
          <t xml:space="preserve">Umber Analytics Inc</t>
        </is>
      </c>
    </row>
    <row r="104">
      <c r="A104" s="0" t="inlineStr">
        <is>
          <t xml:space="preserve">a0103</t>
        </is>
      </c>
      <c r="B104" s="0" t="inlineStr">
        <is>
          <t xml:space="preserve">financial_services</t>
        </is>
      </c>
      <c r="C104" s="0" t="inlineStr">
        <is>
          <t xml:space="preserve">amer_west</t>
        </is>
      </c>
      <c r="D104" s="0" t="inlineStr">
        <is>
          <t xml:space="preserve">enterprise</t>
        </is>
      </c>
      <c r="E104" s="4">
        <v>5377</v>
      </c>
      <c r="F104" s="0" t="inlineStr">
        <is>
          <t xml:space="preserve">Silverline Foods</t>
        </is>
      </c>
    </row>
    <row r="105">
      <c r="A105" s="0" t="inlineStr">
        <is>
          <t xml:space="preserve">a0104</t>
        </is>
      </c>
      <c r="B105" s="0" t="inlineStr">
        <is>
          <t xml:space="preserve">financial_services</t>
        </is>
      </c>
      <c r="C105" s="0" t="inlineStr">
        <is>
          <t xml:space="preserve">amer_west</t>
        </is>
      </c>
      <c r="D105" s="0" t="inlineStr">
        <is>
          <t xml:space="preserve">mid_market</t>
        </is>
      </c>
      <c r="E105" s="4">
        <v>272</v>
      </c>
      <c r="F105" s="0" t="inlineStr">
        <is>
          <t xml:space="preserve">Brightwater Learning</t>
        </is>
      </c>
    </row>
    <row r="106">
      <c r="A106" s="0" t="inlineStr">
        <is>
          <t xml:space="preserve">a0105</t>
        </is>
      </c>
      <c r="B106" s="0" t="inlineStr">
        <is>
          <t xml:space="preserve">healthcare</t>
        </is>
      </c>
      <c r="C106" s="0" t="inlineStr">
        <is>
          <t xml:space="preserve">amer_west</t>
        </is>
      </c>
      <c r="D106" s="0" t="inlineStr">
        <is>
          <t xml:space="preserve">smb</t>
        </is>
      </c>
      <c r="E106" s="4">
        <v>27</v>
      </c>
      <c r="F106" s="0" t="inlineStr">
        <is>
          <t xml:space="preserve">Evergreen Manufacturing Holdings</t>
        </is>
      </c>
    </row>
    <row r="107">
      <c r="A107" s="0" t="inlineStr">
        <is>
          <t xml:space="preserve">a0106</t>
        </is>
      </c>
      <c r="B107" s="0" t="inlineStr">
        <is>
          <t xml:space="preserve">manufacturing</t>
        </is>
      </c>
      <c r="C107" s="0" t="inlineStr">
        <is>
          <t xml:space="preserve">amer_west</t>
        </is>
      </c>
      <c r="D107" s="0" t="inlineStr">
        <is>
          <t xml:space="preserve">smb</t>
        </is>
      </c>
      <c r="E107" s="4">
        <v>37</v>
      </c>
      <c r="F107" s="0" t="inlineStr">
        <is>
          <t xml:space="preserve">Blue Harbor Financial Ltd</t>
        </is>
      </c>
    </row>
    <row r="108">
      <c r="A108" s="0" t="inlineStr">
        <is>
          <t xml:space="preserve">a0107</t>
        </is>
      </c>
      <c r="B108" s="0" t="inlineStr">
        <is>
          <t xml:space="preserve">healthcare</t>
        </is>
      </c>
      <c r="C108" s="0" t="inlineStr">
        <is>
          <t xml:space="preserve">amer_west</t>
        </is>
      </c>
      <c r="D108" s="0" t="inlineStr">
        <is>
          <t xml:space="preserve">smb</t>
        </is>
      </c>
      <c r="E108" s="4">
        <v>51</v>
      </c>
      <c r="F108" s="0" t="inlineStr">
        <is>
          <t xml:space="preserve">Ironbridge Health Inc</t>
        </is>
      </c>
    </row>
    <row r="109">
      <c r="A109" s="0" t="inlineStr">
        <is>
          <t xml:space="preserve">a0108</t>
        </is>
      </c>
      <c r="B109" s="0" t="inlineStr">
        <is>
          <t xml:space="preserve">public_sector</t>
        </is>
      </c>
      <c r="C109" s="0" t="inlineStr">
        <is>
          <t xml:space="preserve">amer_west</t>
        </is>
      </c>
      <c r="D109" s="0" t="inlineStr">
        <is>
          <t xml:space="preserve">smb</t>
        </is>
      </c>
      <c r="E109" s="4">
        <v>76</v>
      </c>
      <c r="F109" s="0" t="inlineStr">
        <is>
          <t xml:space="preserve">Summit Analytics Ltd</t>
        </is>
      </c>
    </row>
    <row r="110">
      <c r="A110" s="0" t="inlineStr">
        <is>
          <t xml:space="preserve">a0109</t>
        </is>
      </c>
      <c r="B110" s="0" t="inlineStr">
        <is>
          <t xml:space="preserve">retail</t>
        </is>
      </c>
      <c r="C110" s="0" t="inlineStr">
        <is>
          <t xml:space="preserve">amer_west</t>
        </is>
      </c>
      <c r="D110" s="0" t="inlineStr">
        <is>
          <t xml:space="preserve">smb</t>
        </is>
      </c>
      <c r="E110" s="4">
        <v>27</v>
      </c>
      <c r="F110" s="0" t="inlineStr">
        <is>
          <t xml:space="preserve">Cascade Capital Holdings</t>
        </is>
      </c>
    </row>
    <row r="111">
      <c r="A111" s="0" t="inlineStr">
        <is>
          <t xml:space="preserve">a0110</t>
        </is>
      </c>
      <c r="B111" s="0" t="inlineStr">
        <is>
          <t xml:space="preserve">retail</t>
        </is>
      </c>
      <c r="C111" s="0" t="inlineStr">
        <is>
          <t xml:space="preserve">amer_west</t>
        </is>
      </c>
      <c r="D111" s="0" t="inlineStr">
        <is>
          <t xml:space="preserve">mid_market</t>
        </is>
      </c>
      <c r="E111" s="4">
        <v>1222</v>
      </c>
      <c r="F111" s="0" t="inlineStr">
        <is>
          <t xml:space="preserve">Ironbridge Foods Co</t>
        </is>
      </c>
    </row>
    <row r="112">
      <c r="A112" s="0" t="inlineStr">
        <is>
          <t xml:space="preserve">a0111</t>
        </is>
      </c>
      <c r="B112" s="0" t="inlineStr">
        <is>
          <t xml:space="preserve">software</t>
        </is>
      </c>
      <c r="C112" s="0" t="inlineStr">
        <is>
          <t xml:space="preserve">amer_west</t>
        </is>
      </c>
      <c r="D112" s="0" t="inlineStr">
        <is>
          <t xml:space="preserve">smb</t>
        </is>
      </c>
      <c r="E112" s="4">
        <v>29</v>
      </c>
      <c r="F112" s="0" t="inlineStr">
        <is>
          <t xml:space="preserve">Beacon Biotech</t>
        </is>
      </c>
    </row>
    <row r="113">
      <c r="A113" s="0" t="inlineStr">
        <is>
          <t xml:space="preserve">a0112</t>
        </is>
      </c>
      <c r="B113" s="0" t="inlineStr">
        <is>
          <t xml:space="preserve">manufacturing</t>
        </is>
      </c>
      <c r="C113" s="0" t="inlineStr">
        <is>
          <t xml:space="preserve">amer_west</t>
        </is>
      </c>
      <c r="D113" s="0" t="inlineStr">
        <is>
          <t xml:space="preserve">mid_market</t>
        </is>
      </c>
      <c r="E113" s="4">
        <v>423</v>
      </c>
      <c r="F113" s="0" t="inlineStr">
        <is>
          <t xml:space="preserve">Vertex Financial AG</t>
        </is>
      </c>
    </row>
    <row r="114">
      <c r="A114" s="0" t="inlineStr">
        <is>
          <t xml:space="preserve">a0113</t>
        </is>
      </c>
      <c r="B114" s="0" t="inlineStr">
        <is>
          <t xml:space="preserve">logistics</t>
        </is>
      </c>
      <c r="C114" s="0" t="inlineStr">
        <is>
          <t xml:space="preserve">amer_west</t>
        </is>
      </c>
      <c r="D114" s="0" t="inlineStr">
        <is>
          <t xml:space="preserve">smb</t>
        </is>
      </c>
      <c r="E114" s="4">
        <v>22</v>
      </c>
      <c r="F114" s="0" t="inlineStr">
        <is>
          <t xml:space="preserve">Blue Harbor Biotech Holdings</t>
        </is>
      </c>
    </row>
    <row r="115">
      <c r="A115" s="0" t="inlineStr">
        <is>
          <t xml:space="preserve">a0114</t>
        </is>
      </c>
      <c r="B115" s="0" t="inlineStr">
        <is>
          <t xml:space="preserve">financial_services</t>
        </is>
      </c>
      <c r="C115" s="0" t="inlineStr">
        <is>
          <t xml:space="preserve">emea</t>
        </is>
      </c>
      <c r="D115" s="0" t="inlineStr">
        <is>
          <t xml:space="preserve">enterprise</t>
        </is>
      </c>
      <c r="E115" s="4">
        <v>3639</v>
      </c>
      <c r="F115" s="0" t="inlineStr">
        <is>
          <t xml:space="preserve">Quantum Capital</t>
        </is>
      </c>
    </row>
    <row r="116">
      <c r="A116" s="0" t="inlineStr">
        <is>
          <t xml:space="preserve">a0115</t>
        </is>
      </c>
      <c r="B116" s="0" t="inlineStr">
        <is>
          <t xml:space="preserve">education</t>
        </is>
      </c>
      <c r="C116" s="0" t="inlineStr">
        <is>
          <t xml:space="preserve">emea</t>
        </is>
      </c>
      <c r="D116" s="0" t="inlineStr">
        <is>
          <t xml:space="preserve">smb</t>
        </is>
      </c>
      <c r="E116" s="4">
        <v>24</v>
      </c>
      <c r="F116" s="0" t="inlineStr">
        <is>
          <t xml:space="preserve">Lakeside Capital</t>
        </is>
      </c>
    </row>
    <row r="117">
      <c r="A117" s="0" t="inlineStr">
        <is>
          <t xml:space="preserve">a0116</t>
        </is>
      </c>
      <c r="B117" s="0" t="inlineStr">
        <is>
          <t xml:space="preserve">software</t>
        </is>
      </c>
      <c r="C117" s="0" t="inlineStr">
        <is>
          <t xml:space="preserve">emea</t>
        </is>
      </c>
      <c r="D117" s="0" t="inlineStr">
        <is>
          <t xml:space="preserve">smb</t>
        </is>
      </c>
      <c r="E117" s="4">
        <v>40</v>
      </c>
      <c r="F117" s="0" t="inlineStr">
        <is>
          <t xml:space="preserve">Cobalt Networks Group</t>
        </is>
      </c>
    </row>
    <row r="118">
      <c r="A118" s="0" t="inlineStr">
        <is>
          <t xml:space="preserve">a0117</t>
        </is>
      </c>
      <c r="B118" s="0" t="inlineStr">
        <is>
          <t xml:space="preserve">energy</t>
        </is>
      </c>
      <c r="C118" s="0" t="inlineStr">
        <is>
          <t xml:space="preserve">emea</t>
        </is>
      </c>
      <c r="D118" s="0" t="inlineStr">
        <is>
          <t xml:space="preserve">mid_market</t>
        </is>
      </c>
      <c r="E118" s="4">
        <v>809</v>
      </c>
      <c r="F118" s="0" t="inlineStr">
        <is>
          <t xml:space="preserve">Atlas Media Holdings</t>
        </is>
      </c>
    </row>
    <row r="119">
      <c r="A119" s="0" t="inlineStr">
        <is>
          <t xml:space="preserve">a0118</t>
        </is>
      </c>
      <c r="B119" s="0" t="inlineStr">
        <is>
          <t xml:space="preserve">software</t>
        </is>
      </c>
      <c r="C119" s="0" t="inlineStr">
        <is>
          <t xml:space="preserve">emea</t>
        </is>
      </c>
      <c r="D119" s="0" t="inlineStr">
        <is>
          <t xml:space="preserve">mid_market</t>
        </is>
      </c>
      <c r="E119" s="4">
        <v>284</v>
      </c>
      <c r="F119" s="0" t="inlineStr">
        <is>
          <t xml:space="preserve">Meridian Materials Holdings</t>
        </is>
      </c>
    </row>
    <row r="120">
      <c r="A120" s="0" t="inlineStr">
        <is>
          <t xml:space="preserve">a0119</t>
        </is>
      </c>
      <c r="B120" s="0" t="inlineStr">
        <is>
          <t xml:space="preserve">manufacturing</t>
        </is>
      </c>
      <c r="C120" s="0" t="inlineStr">
        <is>
          <t xml:space="preserve">emea</t>
        </is>
      </c>
      <c r="D120" s="0" t="inlineStr">
        <is>
          <t xml:space="preserve">mid_market</t>
        </is>
      </c>
      <c r="E120" s="4">
        <v>719</v>
      </c>
      <c r="F120" s="0" t="inlineStr">
        <is>
          <t xml:space="preserve">Ironbridge Software AG</t>
        </is>
      </c>
    </row>
    <row r="121">
      <c r="A121" s="0" t="inlineStr">
        <is>
          <t xml:space="preserve">a0120</t>
        </is>
      </c>
      <c r="B121" s="0" t="inlineStr">
        <is>
          <t xml:space="preserve">retail</t>
        </is>
      </c>
      <c r="C121" s="0" t="inlineStr">
        <is>
          <t xml:space="preserve">emea</t>
        </is>
      </c>
      <c r="D121" s="0" t="inlineStr">
        <is>
          <t xml:space="preserve">enterprise</t>
        </is>
      </c>
      <c r="E121" s="4">
        <v>5433</v>
      </c>
      <c r="F121" s="0" t="inlineStr">
        <is>
          <t xml:space="preserve">Vertex Biotech Partners</t>
        </is>
      </c>
    </row>
    <row r="122">
      <c r="A122" s="0" t="inlineStr">
        <is>
          <t xml:space="preserve">a0121</t>
        </is>
      </c>
      <c r="B122" s="0" t="inlineStr">
        <is>
          <t xml:space="preserve">software</t>
        </is>
      </c>
      <c r="C122" s="0" t="inlineStr">
        <is>
          <t xml:space="preserve">emea</t>
        </is>
      </c>
      <c r="D122" s="0" t="inlineStr">
        <is>
          <t xml:space="preserve">smb</t>
        </is>
      </c>
      <c r="E122" s="4">
        <v>29</v>
      </c>
      <c r="F122" s="0" t="inlineStr">
        <is>
          <t xml:space="preserve">Ironbridge Financial</t>
        </is>
      </c>
    </row>
    <row r="123">
      <c r="A123" s="0" t="inlineStr">
        <is>
          <t xml:space="preserve">a0122</t>
        </is>
      </c>
      <c r="B123" s="0" t="inlineStr">
        <is>
          <t xml:space="preserve">healthcare</t>
        </is>
      </c>
      <c r="C123" s="0" t="inlineStr">
        <is>
          <t xml:space="preserve">emea</t>
        </is>
      </c>
      <c r="D123" s="0" t="inlineStr">
        <is>
          <t xml:space="preserve">smb</t>
        </is>
      </c>
      <c r="E123" s="4">
        <v>31</v>
      </c>
      <c r="F123" s="0" t="inlineStr">
        <is>
          <t xml:space="preserve">Horizon Media SA</t>
        </is>
      </c>
    </row>
    <row r="124">
      <c r="A124" s="0" t="inlineStr">
        <is>
          <t xml:space="preserve">a0123</t>
        </is>
      </c>
      <c r="B124" s="0" t="inlineStr">
        <is>
          <t xml:space="preserve">financial_services</t>
        </is>
      </c>
      <c r="C124" s="0" t="inlineStr">
        <is>
          <t xml:space="preserve">emea</t>
        </is>
      </c>
      <c r="D124" s="0" t="inlineStr">
        <is>
          <t xml:space="preserve">mid_market</t>
        </is>
      </c>
      <c r="E124" s="4">
        <v>291</v>
      </c>
      <c r="F124" s="0" t="inlineStr">
        <is>
          <t xml:space="preserve">Umber Learning</t>
        </is>
      </c>
    </row>
    <row r="125">
      <c r="A125" s="0" t="inlineStr">
        <is>
          <t xml:space="preserve">a0124</t>
        </is>
      </c>
      <c r="B125" s="0" t="inlineStr">
        <is>
          <t xml:space="preserve">retail</t>
        </is>
      </c>
      <c r="C125" s="0" t="inlineStr">
        <is>
          <t xml:space="preserve">emea</t>
        </is>
      </c>
      <c r="D125" s="0" t="inlineStr">
        <is>
          <t xml:space="preserve">enterprise</t>
        </is>
      </c>
      <c r="E125" s="4">
        <v>33170</v>
      </c>
      <c r="F125" s="0" t="inlineStr">
        <is>
          <t xml:space="preserve">Vertex Systems Group</t>
        </is>
      </c>
    </row>
    <row r="126">
      <c r="A126" s="0" t="inlineStr">
        <is>
          <t xml:space="preserve">a0125</t>
        </is>
      </c>
      <c r="B126" s="0" t="inlineStr">
        <is>
          <t xml:space="preserve">software</t>
        </is>
      </c>
      <c r="C126" s="0" t="inlineStr">
        <is>
          <t xml:space="preserve">emea</t>
        </is>
      </c>
      <c r="D126" s="0" t="inlineStr">
        <is>
          <t xml:space="preserve">smb</t>
        </is>
      </c>
      <c r="E126" s="4">
        <v>32</v>
      </c>
      <c r="F126" s="0" t="inlineStr">
        <is>
          <t xml:space="preserve">Lakeside Labs</t>
        </is>
      </c>
    </row>
    <row r="127">
      <c r="A127" s="0" t="inlineStr">
        <is>
          <t xml:space="preserve">a0126</t>
        </is>
      </c>
      <c r="B127" s="0" t="inlineStr">
        <is>
          <t xml:space="preserve">public_sector</t>
        </is>
      </c>
      <c r="C127" s="0" t="inlineStr">
        <is>
          <t xml:space="preserve">emea</t>
        </is>
      </c>
      <c r="D127" s="0" t="inlineStr">
        <is>
          <t xml:space="preserve">mid_market</t>
        </is>
      </c>
      <c r="E127" s="4">
        <v>341</v>
      </c>
      <c r="F127" s="0" t="inlineStr">
        <is>
          <t xml:space="preserve">Blue Harbor Materials</t>
        </is>
      </c>
    </row>
    <row r="128">
      <c r="A128" s="0" t="inlineStr">
        <is>
          <t xml:space="preserve">a0127</t>
        </is>
      </c>
      <c r="B128" s="0" t="inlineStr">
        <is>
          <t xml:space="preserve">education</t>
        </is>
      </c>
      <c r="C128" s="0" t="inlineStr">
        <is>
          <t xml:space="preserve">emea</t>
        </is>
      </c>
      <c r="D128" s="0" t="inlineStr">
        <is>
          <t xml:space="preserve">smb</t>
        </is>
      </c>
      <c r="E128" s="4">
        <v>24</v>
      </c>
      <c r="F128" s="0" t="inlineStr">
        <is>
          <t xml:space="preserve">Lakeside Logistics SA</t>
        </is>
      </c>
    </row>
    <row r="129">
      <c r="A129" s="0" t="inlineStr">
        <is>
          <t xml:space="preserve">a0128</t>
        </is>
      </c>
      <c r="B129" s="0" t="inlineStr">
        <is>
          <t xml:space="preserve">healthcare</t>
        </is>
      </c>
      <c r="C129" s="0" t="inlineStr">
        <is>
          <t xml:space="preserve">emea</t>
        </is>
      </c>
      <c r="D129" s="0" t="inlineStr">
        <is>
          <t xml:space="preserve">smb</t>
        </is>
      </c>
      <c r="E129" s="4">
        <v>74</v>
      </c>
      <c r="F129" s="0" t="inlineStr">
        <is>
          <t xml:space="preserve">Tidewater Manufacturing AG</t>
        </is>
      </c>
    </row>
    <row r="130">
      <c r="A130" s="0" t="inlineStr">
        <is>
          <t xml:space="preserve">a0129</t>
        </is>
      </c>
      <c r="B130" s="0" t="inlineStr">
        <is>
          <t xml:space="preserve">software</t>
        </is>
      </c>
      <c r="C130" s="0" t="inlineStr">
        <is>
          <t xml:space="preserve">emea</t>
        </is>
      </c>
      <c r="D130" s="0" t="inlineStr">
        <is>
          <t xml:space="preserve">mid_market</t>
        </is>
      </c>
      <c r="E130" s="4">
        <v>1884</v>
      </c>
      <c r="F130" s="0" t="inlineStr">
        <is>
          <t xml:space="preserve">Keystone Logistics Partners</t>
        </is>
      </c>
    </row>
    <row r="131">
      <c r="A131" s="0" t="inlineStr">
        <is>
          <t xml:space="preserve">a0130</t>
        </is>
      </c>
      <c r="B131" s="0" t="inlineStr">
        <is>
          <t xml:space="preserve">energy</t>
        </is>
      </c>
      <c r="C131" s="0" t="inlineStr">
        <is>
          <t xml:space="preserve">emea</t>
        </is>
      </c>
      <c r="D131" s="0" t="inlineStr">
        <is>
          <t xml:space="preserve">smb</t>
        </is>
      </c>
      <c r="E131" s="4">
        <v>95</v>
      </c>
      <c r="F131" s="0" t="inlineStr">
        <is>
          <t xml:space="preserve">Atlas Energy Ltd</t>
        </is>
      </c>
    </row>
    <row r="132">
      <c r="A132" s="0" t="inlineStr">
        <is>
          <t xml:space="preserve">a0131</t>
        </is>
      </c>
      <c r="B132" s="0" t="inlineStr">
        <is>
          <t xml:space="preserve">logistics</t>
        </is>
      </c>
      <c r="C132" s="0" t="inlineStr">
        <is>
          <t xml:space="preserve">emea</t>
        </is>
      </c>
      <c r="D132" s="0" t="inlineStr">
        <is>
          <t xml:space="preserve">enterprise</t>
        </is>
      </c>
      <c r="E132" s="4">
        <v>3095</v>
      </c>
      <c r="F132" s="0" t="inlineStr">
        <is>
          <t xml:space="preserve">Ironbridge Learning</t>
        </is>
      </c>
    </row>
    <row r="133">
      <c r="A133" s="0" t="inlineStr">
        <is>
          <t xml:space="preserve">a0132</t>
        </is>
      </c>
      <c r="B133" s="0" t="inlineStr">
        <is>
          <t xml:space="preserve">software</t>
        </is>
      </c>
      <c r="C133" s="0" t="inlineStr">
        <is>
          <t xml:space="preserve">emea</t>
        </is>
      </c>
      <c r="D133" s="0" t="inlineStr">
        <is>
          <t xml:space="preserve">mid_market</t>
        </is>
      </c>
      <c r="E133" s="4">
        <v>280</v>
      </c>
      <c r="F133" s="0" t="inlineStr">
        <is>
          <t xml:space="preserve">Quantum Energy Inc</t>
        </is>
      </c>
    </row>
    <row r="134">
      <c r="A134" s="0" t="inlineStr">
        <is>
          <t xml:space="preserve">a0133</t>
        </is>
      </c>
      <c r="B134" s="0" t="inlineStr">
        <is>
          <t xml:space="preserve">healthcare</t>
        </is>
      </c>
      <c r="C134" s="0" t="inlineStr">
        <is>
          <t xml:space="preserve">emea</t>
        </is>
      </c>
      <c r="D134" s="0" t="inlineStr">
        <is>
          <t xml:space="preserve">mid_market</t>
        </is>
      </c>
      <c r="E134" s="4">
        <v>2227</v>
      </c>
      <c r="F134" s="0" t="inlineStr">
        <is>
          <t xml:space="preserve">Brightwater Materials</t>
        </is>
      </c>
    </row>
    <row r="135">
      <c r="A135" s="0" t="inlineStr">
        <is>
          <t xml:space="preserve">a0134</t>
        </is>
      </c>
      <c r="B135" s="0" t="inlineStr">
        <is>
          <t xml:space="preserve">manufacturing</t>
        </is>
      </c>
      <c r="C135" s="0" t="inlineStr">
        <is>
          <t xml:space="preserve">emea</t>
        </is>
      </c>
      <c r="D135" s="0" t="inlineStr">
        <is>
          <t xml:space="preserve">mid_market</t>
        </is>
      </c>
      <c r="E135" s="4">
        <v>257</v>
      </c>
      <c r="F135" s="0" t="inlineStr">
        <is>
          <t xml:space="preserve">Aurora Labs</t>
        </is>
      </c>
    </row>
    <row r="136">
      <c r="A136" s="0" t="inlineStr">
        <is>
          <t xml:space="preserve">a0135</t>
        </is>
      </c>
      <c r="B136" s="0" t="inlineStr">
        <is>
          <t xml:space="preserve">healthcare</t>
        </is>
      </c>
      <c r="C136" s="0" t="inlineStr">
        <is>
          <t xml:space="preserve">emea</t>
        </is>
      </c>
      <c r="D136" s="0" t="inlineStr">
        <is>
          <t xml:space="preserve">mid_market</t>
        </is>
      </c>
      <c r="E136" s="4">
        <v>276</v>
      </c>
      <c r="F136" s="0" t="inlineStr">
        <is>
          <t xml:space="preserve">Silverline Software Inc</t>
        </is>
      </c>
    </row>
    <row r="137">
      <c r="A137" s="0" t="inlineStr">
        <is>
          <t xml:space="preserve">a0136</t>
        </is>
      </c>
      <c r="B137" s="0" t="inlineStr">
        <is>
          <t xml:space="preserve">software</t>
        </is>
      </c>
      <c r="C137" s="0" t="inlineStr">
        <is>
          <t xml:space="preserve">emea</t>
        </is>
      </c>
      <c r="D137" s="0" t="inlineStr">
        <is>
          <t xml:space="preserve">smb</t>
        </is>
      </c>
      <c r="E137" s="4">
        <v>48</v>
      </c>
      <c r="F137" s="0" t="inlineStr">
        <is>
          <t xml:space="preserve">Beacon Insurance</t>
        </is>
      </c>
    </row>
    <row r="138">
      <c r="A138" s="0" t="inlineStr">
        <is>
          <t xml:space="preserve">a0137</t>
        </is>
      </c>
      <c r="B138" s="0" t="inlineStr">
        <is>
          <t xml:space="preserve">media</t>
        </is>
      </c>
      <c r="C138" s="0" t="inlineStr">
        <is>
          <t xml:space="preserve">emea</t>
        </is>
      </c>
      <c r="D138" s="0" t="inlineStr">
        <is>
          <t xml:space="preserve">mid_market</t>
        </is>
      </c>
      <c r="E138" s="4">
        <v>421</v>
      </c>
      <c r="F138" s="0" t="inlineStr">
        <is>
          <t xml:space="preserve">Pioneer Learning</t>
        </is>
      </c>
    </row>
    <row r="139">
      <c r="A139" s="0" t="inlineStr">
        <is>
          <t xml:space="preserve">a0138</t>
        </is>
      </c>
      <c r="B139" s="0" t="inlineStr">
        <is>
          <t xml:space="preserve">retail</t>
        </is>
      </c>
      <c r="C139" s="0" t="inlineStr">
        <is>
          <t xml:space="preserve">emea</t>
        </is>
      </c>
      <c r="D139" s="0" t="inlineStr">
        <is>
          <t xml:space="preserve">enterprise</t>
        </is>
      </c>
      <c r="E139" s="4">
        <v>4102</v>
      </c>
      <c r="F139" s="0" t="inlineStr">
        <is>
          <t xml:space="preserve">Silverline Labs Holdings</t>
        </is>
      </c>
    </row>
    <row r="140">
      <c r="A140" s="0" t="inlineStr">
        <is>
          <t xml:space="preserve">a0139</t>
        </is>
      </c>
      <c r="B140" s="0" t="inlineStr">
        <is>
          <t xml:space="preserve">manufacturing</t>
        </is>
      </c>
      <c r="C140" s="0" t="inlineStr">
        <is>
          <t xml:space="preserve">emea</t>
        </is>
      </c>
      <c r="D140" s="0" t="inlineStr">
        <is>
          <t xml:space="preserve">smb</t>
        </is>
      </c>
      <c r="E140" s="4">
        <v>41</v>
      </c>
      <c r="F140" s="0" t="inlineStr">
        <is>
          <t xml:space="preserve">Harbor Mobility Ltd</t>
        </is>
      </c>
    </row>
    <row r="141">
      <c r="A141" s="0" t="inlineStr">
        <is>
          <t xml:space="preserve">a0140</t>
        </is>
      </c>
      <c r="B141" s="0" t="inlineStr">
        <is>
          <t xml:space="preserve">software</t>
        </is>
      </c>
      <c r="C141" s="0" t="inlineStr">
        <is>
          <t xml:space="preserve">emea</t>
        </is>
      </c>
      <c r="D141" s="0" t="inlineStr">
        <is>
          <t xml:space="preserve">mid_market</t>
        </is>
      </c>
      <c r="E141" s="4">
        <v>1583</v>
      </c>
      <c r="F141" s="0" t="inlineStr">
        <is>
          <t xml:space="preserve">Brightwater Manufacturing</t>
        </is>
      </c>
    </row>
    <row r="142">
      <c r="A142" s="0" t="inlineStr">
        <is>
          <t xml:space="preserve">a0141</t>
        </is>
      </c>
      <c r="B142" s="0" t="inlineStr">
        <is>
          <t xml:space="preserve">software</t>
        </is>
      </c>
      <c r="C142" s="0" t="inlineStr">
        <is>
          <t xml:space="preserve">emea</t>
        </is>
      </c>
      <c r="D142" s="0" t="inlineStr">
        <is>
          <t xml:space="preserve">enterprise</t>
        </is>
      </c>
      <c r="E142" s="4">
        <v>5962</v>
      </c>
      <c r="F142" s="0" t="inlineStr">
        <is>
          <t xml:space="preserve">Cobalt Manufacturing Inc</t>
        </is>
      </c>
    </row>
    <row r="143">
      <c r="A143" s="0" t="inlineStr">
        <is>
          <t xml:space="preserve">a0142</t>
        </is>
      </c>
      <c r="B143" s="0" t="inlineStr">
        <is>
          <t xml:space="preserve">manufacturing</t>
        </is>
      </c>
      <c r="C143" s="0" t="inlineStr">
        <is>
          <t xml:space="preserve">apac</t>
        </is>
      </c>
      <c r="D143" s="0" t="inlineStr">
        <is>
          <t xml:space="preserve">smb</t>
        </is>
      </c>
      <c r="E143" s="4">
        <v>23</v>
      </c>
      <c r="F143" s="0" t="inlineStr">
        <is>
          <t xml:space="preserve">Northwind Learning</t>
        </is>
      </c>
    </row>
    <row r="144">
      <c r="A144" s="0" t="inlineStr">
        <is>
          <t xml:space="preserve">a0143</t>
        </is>
      </c>
      <c r="B144" s="0" t="inlineStr">
        <is>
          <t xml:space="preserve">logistics</t>
        </is>
      </c>
      <c r="C144" s="0" t="inlineStr">
        <is>
          <t xml:space="preserve">apac</t>
        </is>
      </c>
      <c r="D144" s="0" t="inlineStr">
        <is>
          <t xml:space="preserve">enterprise</t>
        </is>
      </c>
      <c r="E144" s="4">
        <v>8526</v>
      </c>
      <c r="F144" s="0" t="inlineStr">
        <is>
          <t xml:space="preserve">Ironbridge Materials</t>
        </is>
      </c>
    </row>
    <row r="145">
      <c r="A145" s="0" t="inlineStr">
        <is>
          <t xml:space="preserve">a0144</t>
        </is>
      </c>
      <c r="B145" s="0" t="inlineStr">
        <is>
          <t xml:space="preserve">software</t>
        </is>
      </c>
      <c r="C145" s="0" t="inlineStr">
        <is>
          <t xml:space="preserve">apac</t>
        </is>
      </c>
      <c r="D145" s="0" t="inlineStr">
        <is>
          <t xml:space="preserve">enterprise</t>
        </is>
      </c>
      <c r="E145" s="4">
        <v>3148</v>
      </c>
      <c r="F145" s="0" t="inlineStr">
        <is>
          <t xml:space="preserve">Lakeside Financial</t>
        </is>
      </c>
    </row>
    <row r="146">
      <c r="A146" s="0" t="inlineStr">
        <is>
          <t xml:space="preserve">a0145</t>
        </is>
      </c>
      <c r="B146" s="0" t="inlineStr">
        <is>
          <t xml:space="preserve">healthcare</t>
        </is>
      </c>
      <c r="C146" s="0" t="inlineStr">
        <is>
          <t xml:space="preserve">apac</t>
        </is>
      </c>
      <c r="D146" s="0" t="inlineStr">
        <is>
          <t xml:space="preserve">smb</t>
        </is>
      </c>
      <c r="E146" s="4">
        <v>49</v>
      </c>
      <c r="F146" s="0" t="inlineStr">
        <is>
          <t xml:space="preserve">Sable Retail SA</t>
        </is>
      </c>
    </row>
    <row r="147">
      <c r="A147" s="0" t="inlineStr">
        <is>
          <t xml:space="preserve">a0146</t>
        </is>
      </c>
      <c r="B147" s="0" t="inlineStr">
        <is>
          <t xml:space="preserve">software</t>
        </is>
      </c>
      <c r="C147" s="0" t="inlineStr">
        <is>
          <t xml:space="preserve">apac</t>
        </is>
      </c>
      <c r="D147" s="0" t="inlineStr">
        <is>
          <t xml:space="preserve">enterprise</t>
        </is>
      </c>
      <c r="E147" s="4">
        <v>2841</v>
      </c>
      <c r="F147" s="0" t="inlineStr">
        <is>
          <t xml:space="preserve">Falcon Health Holdings</t>
        </is>
      </c>
    </row>
    <row r="148">
      <c r="A148" s="0" t="inlineStr">
        <is>
          <t xml:space="preserve">a0147</t>
        </is>
      </c>
      <c r="B148" s="0" t="inlineStr">
        <is>
          <t xml:space="preserve">manufacturing</t>
        </is>
      </c>
      <c r="C148" s="0" t="inlineStr">
        <is>
          <t xml:space="preserve">apac</t>
        </is>
      </c>
      <c r="D148" s="0" t="inlineStr">
        <is>
          <t xml:space="preserve">smb</t>
        </is>
      </c>
      <c r="E148" s="4">
        <v>22</v>
      </c>
      <c r="F148" s="0" t="inlineStr">
        <is>
          <t xml:space="preserve">Granite Systems Inc</t>
        </is>
      </c>
    </row>
    <row r="149">
      <c r="A149" s="0" t="inlineStr">
        <is>
          <t xml:space="preserve">a0148</t>
        </is>
      </c>
      <c r="B149" s="0" t="inlineStr">
        <is>
          <t xml:space="preserve">media</t>
        </is>
      </c>
      <c r="C149" s="0" t="inlineStr">
        <is>
          <t xml:space="preserve">apac</t>
        </is>
      </c>
      <c r="D149" s="0" t="inlineStr">
        <is>
          <t xml:space="preserve">enterprise</t>
        </is>
      </c>
      <c r="E149" s="4">
        <v>3717</v>
      </c>
      <c r="F149" s="0" t="inlineStr">
        <is>
          <t xml:space="preserve">Cascade Software Partners</t>
        </is>
      </c>
    </row>
    <row r="150">
      <c r="A150" s="0" t="inlineStr">
        <is>
          <t xml:space="preserve">a0149</t>
        </is>
      </c>
      <c r="B150" s="0" t="inlineStr">
        <is>
          <t xml:space="preserve">education</t>
        </is>
      </c>
      <c r="C150" s="0" t="inlineStr">
        <is>
          <t xml:space="preserve">apac</t>
        </is>
      </c>
      <c r="D150" s="0" t="inlineStr">
        <is>
          <t xml:space="preserve">mid_market</t>
        </is>
      </c>
      <c r="E150" s="4">
        <v>491</v>
      </c>
      <c r="F150" s="0" t="inlineStr">
        <is>
          <t xml:space="preserve">Cascade Software Group</t>
        </is>
      </c>
    </row>
    <row r="151">
      <c r="A151" s="0" t="inlineStr">
        <is>
          <t xml:space="preserve">a0150</t>
        </is>
      </c>
      <c r="B151" s="0" t="inlineStr">
        <is>
          <t xml:space="preserve">retail</t>
        </is>
      </c>
      <c r="C151" s="0" t="inlineStr">
        <is>
          <t xml:space="preserve">apac</t>
        </is>
      </c>
      <c r="D151" s="0" t="inlineStr">
        <is>
          <t xml:space="preserve">enterprise</t>
        </is>
      </c>
      <c r="E151" s="4">
        <v>5522</v>
      </c>
      <c r="F151" s="0" t="inlineStr">
        <is>
          <t xml:space="preserve">Sable Energy Holdings</t>
        </is>
      </c>
    </row>
    <row r="152">
      <c r="A152" s="0" t="inlineStr">
        <is>
          <t xml:space="preserve">a0151</t>
        </is>
      </c>
      <c r="B152" s="0" t="inlineStr">
        <is>
          <t xml:space="preserve">logistics</t>
        </is>
      </c>
      <c r="C152" s="0" t="inlineStr">
        <is>
          <t xml:space="preserve">apac</t>
        </is>
      </c>
      <c r="D152" s="0" t="inlineStr">
        <is>
          <t xml:space="preserve">smb</t>
        </is>
      </c>
      <c r="E152" s="4">
        <v>78</v>
      </c>
      <c r="F152" s="0" t="inlineStr">
        <is>
          <t xml:space="preserve">Summit Retail SA</t>
        </is>
      </c>
    </row>
    <row r="153">
      <c r="A153" s="0" t="inlineStr">
        <is>
          <t xml:space="preserve">a0152</t>
        </is>
      </c>
      <c r="B153" s="0" t="inlineStr">
        <is>
          <t xml:space="preserve">software</t>
        </is>
      </c>
      <c r="C153" s="0" t="inlineStr">
        <is>
          <t xml:space="preserve">apac</t>
        </is>
      </c>
      <c r="D153" s="0" t="inlineStr">
        <is>
          <t xml:space="preserve">mid_market</t>
        </is>
      </c>
      <c r="E153" s="4">
        <v>351</v>
      </c>
      <c r="F153" s="0" t="inlineStr">
        <is>
          <t xml:space="preserve">Juniper Health Inc</t>
        </is>
      </c>
    </row>
    <row r="154">
      <c r="A154" s="0" t="inlineStr">
        <is>
          <t xml:space="preserve">a0153</t>
        </is>
      </c>
      <c r="B154" s="0" t="inlineStr">
        <is>
          <t xml:space="preserve">retail</t>
        </is>
      </c>
      <c r="C154" s="0" t="inlineStr">
        <is>
          <t xml:space="preserve">apac</t>
        </is>
      </c>
      <c r="D154" s="0" t="inlineStr">
        <is>
          <t xml:space="preserve">mid_market</t>
        </is>
      </c>
      <c r="E154" s="4">
        <v>420</v>
      </c>
      <c r="F154" s="0" t="inlineStr">
        <is>
          <t xml:space="preserve">Orchard Manufacturing SA</t>
        </is>
      </c>
    </row>
    <row r="155">
      <c r="A155" s="0" t="inlineStr">
        <is>
          <t xml:space="preserve">a0154</t>
        </is>
      </c>
      <c r="B155" s="0" t="inlineStr">
        <is>
          <t xml:space="preserve">software</t>
        </is>
      </c>
      <c r="C155" s="0" t="inlineStr">
        <is>
          <t xml:space="preserve">apac</t>
        </is>
      </c>
      <c r="D155" s="0" t="inlineStr">
        <is>
          <t xml:space="preserve">mid_market</t>
        </is>
      </c>
      <c r="E155" s="4">
        <v>337</v>
      </c>
      <c r="F155" s="0" t="inlineStr">
        <is>
          <t xml:space="preserve">Sable Health Ltd</t>
        </is>
      </c>
    </row>
    <row r="156">
      <c r="A156" s="0" t="inlineStr">
        <is>
          <t xml:space="preserve">a0155</t>
        </is>
      </c>
      <c r="B156" s="0" t="inlineStr">
        <is>
          <t xml:space="preserve">software</t>
        </is>
      </c>
      <c r="C156" s="0" t="inlineStr">
        <is>
          <t xml:space="preserve">amer_east</t>
        </is>
      </c>
      <c r="D156" s="0" t="inlineStr">
        <is>
          <t xml:space="preserve">smb</t>
        </is>
      </c>
      <c r="E156" s="4">
        <v>24</v>
      </c>
      <c r="F156" s="0" t="inlineStr">
        <is>
          <t xml:space="preserve">Copper Foods Ltd</t>
        </is>
      </c>
    </row>
    <row r="157">
      <c r="A157" s="0" t="inlineStr">
        <is>
          <t xml:space="preserve">a0156</t>
        </is>
      </c>
      <c r="B157" s="0" t="inlineStr">
        <is>
          <t xml:space="preserve">energy</t>
        </is>
      </c>
      <c r="C157" s="0" t="inlineStr">
        <is>
          <t xml:space="preserve">amer_east</t>
        </is>
      </c>
      <c r="D157" s="0" t="inlineStr">
        <is>
          <t xml:space="preserve">enterprise</t>
        </is>
      </c>
      <c r="E157" s="4">
        <v>4370</v>
      </c>
      <c r="F157" s="0" t="inlineStr">
        <is>
          <t xml:space="preserve">Blue Harbor Robotics Inc</t>
        </is>
      </c>
    </row>
    <row r="158">
      <c r="A158" s="0" t="inlineStr">
        <is>
          <t xml:space="preserve">a0157</t>
        </is>
      </c>
      <c r="B158" s="0" t="inlineStr">
        <is>
          <t xml:space="preserve">education</t>
        </is>
      </c>
      <c r="C158" s="0" t="inlineStr">
        <is>
          <t xml:space="preserve">amer_east</t>
        </is>
      </c>
      <c r="D158" s="0" t="inlineStr">
        <is>
          <t xml:space="preserve">mid_market</t>
        </is>
      </c>
      <c r="E158" s="4">
        <v>823</v>
      </c>
      <c r="F158" s="0" t="inlineStr">
        <is>
          <t xml:space="preserve">Keystone Labs Group</t>
        </is>
      </c>
    </row>
    <row r="159">
      <c r="A159" s="0" t="inlineStr">
        <is>
          <t xml:space="preserve">a0158</t>
        </is>
      </c>
      <c r="B159" s="0" t="inlineStr">
        <is>
          <t xml:space="preserve">media</t>
        </is>
      </c>
      <c r="C159" s="0" t="inlineStr">
        <is>
          <t xml:space="preserve">amer_east</t>
        </is>
      </c>
      <c r="D159" s="0" t="inlineStr">
        <is>
          <t xml:space="preserve">smb</t>
        </is>
      </c>
      <c r="E159" s="4">
        <v>47</v>
      </c>
      <c r="F159" s="0" t="inlineStr">
        <is>
          <t xml:space="preserve">Juniper Manufacturing Inc</t>
        </is>
      </c>
    </row>
    <row r="160">
      <c r="A160" s="0" t="inlineStr">
        <is>
          <t xml:space="preserve">a0159</t>
        </is>
      </c>
      <c r="B160" s="0" t="inlineStr">
        <is>
          <t xml:space="preserve">financial_services</t>
        </is>
      </c>
      <c r="C160" s="0" t="inlineStr">
        <is>
          <t xml:space="preserve">amer_east</t>
        </is>
      </c>
      <c r="D160" s="0" t="inlineStr">
        <is>
          <t xml:space="preserve">enterprise</t>
        </is>
      </c>
      <c r="E160" s="4">
        <v>5355</v>
      </c>
      <c r="F160" s="0" t="inlineStr">
        <is>
          <t xml:space="preserve">Brightwater Robotics Inc</t>
        </is>
      </c>
    </row>
    <row r="161">
      <c r="A161" s="0" t="inlineStr">
        <is>
          <t xml:space="preserve">a0160</t>
        </is>
      </c>
      <c r="B161" s="0" t="inlineStr">
        <is>
          <t xml:space="preserve">software</t>
        </is>
      </c>
      <c r="C161" s="0" t="inlineStr">
        <is>
          <t xml:space="preserve">amer_east</t>
        </is>
      </c>
      <c r="D161" s="0" t="inlineStr">
        <is>
          <t xml:space="preserve">smb</t>
        </is>
      </c>
      <c r="E161" s="4">
        <v>30</v>
      </c>
      <c r="F161" s="0" t="inlineStr">
        <is>
          <t xml:space="preserve">Granite Networks Co</t>
        </is>
      </c>
    </row>
    <row r="162">
      <c r="A162" s="0" t="inlineStr">
        <is>
          <t xml:space="preserve">a0161</t>
        </is>
      </c>
      <c r="B162" s="0" t="inlineStr">
        <is>
          <t xml:space="preserve">financial_services</t>
        </is>
      </c>
      <c r="C162" s="0" t="inlineStr">
        <is>
          <t xml:space="preserve">amer_east</t>
        </is>
      </c>
      <c r="D162" s="0" t="inlineStr">
        <is>
          <t xml:space="preserve">mid_market</t>
        </is>
      </c>
      <c r="E162" s="4">
        <v>322</v>
      </c>
      <c r="F162" s="0" t="inlineStr">
        <is>
          <t xml:space="preserve">Ironbridge Logistics Inc</t>
        </is>
      </c>
    </row>
    <row r="163">
      <c r="A163" s="0" t="inlineStr">
        <is>
          <t xml:space="preserve">a0162</t>
        </is>
      </c>
      <c r="B163" s="0" t="inlineStr">
        <is>
          <t xml:space="preserve">healthcare</t>
        </is>
      </c>
      <c r="C163" s="0" t="inlineStr">
        <is>
          <t xml:space="preserve">amer_east</t>
        </is>
      </c>
      <c r="D163" s="0" t="inlineStr">
        <is>
          <t xml:space="preserve">smb</t>
        </is>
      </c>
      <c r="E163" s="4">
        <v>23</v>
      </c>
      <c r="F163" s="0" t="inlineStr">
        <is>
          <t xml:space="preserve">Granite Materials Group</t>
        </is>
      </c>
    </row>
    <row r="164">
      <c r="A164" s="0" t="inlineStr">
        <is>
          <t xml:space="preserve">a0163</t>
        </is>
      </c>
      <c r="B164" s="0" t="inlineStr">
        <is>
          <t xml:space="preserve">manufacturing</t>
        </is>
      </c>
      <c r="C164" s="0" t="inlineStr">
        <is>
          <t xml:space="preserve">amer_east</t>
        </is>
      </c>
      <c r="D164" s="0" t="inlineStr">
        <is>
          <t xml:space="preserve">mid_market</t>
        </is>
      </c>
      <c r="E164" s="4">
        <v>387</v>
      </c>
      <c r="F164" s="0" t="inlineStr">
        <is>
          <t xml:space="preserve">Keystone Networks Co</t>
        </is>
      </c>
    </row>
    <row r="165">
      <c r="A165" s="0" t="inlineStr">
        <is>
          <t xml:space="preserve">a0164</t>
        </is>
      </c>
      <c r="B165" s="0" t="inlineStr">
        <is>
          <t xml:space="preserve">healthcare</t>
        </is>
      </c>
      <c r="C165" s="0" t="inlineStr">
        <is>
          <t xml:space="preserve">amer_east</t>
        </is>
      </c>
      <c r="D165" s="0" t="inlineStr">
        <is>
          <t xml:space="preserve">smb</t>
        </is>
      </c>
      <c r="E165" s="4">
        <v>55</v>
      </c>
      <c r="F165" s="0" t="inlineStr">
        <is>
          <t xml:space="preserve">Redwood Analytics Holdings</t>
        </is>
      </c>
    </row>
    <row r="166">
      <c r="A166" s="0" t="inlineStr">
        <is>
          <t xml:space="preserve">a0165</t>
        </is>
      </c>
      <c r="B166" s="0" t="inlineStr">
        <is>
          <t xml:space="preserve">public_sector</t>
        </is>
      </c>
      <c r="C166" s="0" t="inlineStr">
        <is>
          <t xml:space="preserve">amer_east</t>
        </is>
      </c>
      <c r="D166" s="0" t="inlineStr">
        <is>
          <t xml:space="preserve">enterprise</t>
        </is>
      </c>
      <c r="E166" s="4">
        <v>7288</v>
      </c>
      <c r="F166" s="0" t="inlineStr">
        <is>
          <t xml:space="preserve">Atlas Biotech AG</t>
        </is>
      </c>
    </row>
    <row r="167">
      <c r="A167" s="0" t="inlineStr">
        <is>
          <t xml:space="preserve">a0166</t>
        </is>
      </c>
      <c r="B167" s="0" t="inlineStr">
        <is>
          <t xml:space="preserve">education</t>
        </is>
      </c>
      <c r="C167" s="0" t="inlineStr">
        <is>
          <t xml:space="preserve">amer_east</t>
        </is>
      </c>
      <c r="D167" s="0" t="inlineStr">
        <is>
          <t xml:space="preserve">smb</t>
        </is>
      </c>
      <c r="E167" s="4">
        <v>21</v>
      </c>
      <c r="F167" s="0" t="inlineStr">
        <is>
          <t xml:space="preserve">Northwind Learning Partners</t>
        </is>
      </c>
    </row>
    <row r="168">
      <c r="A168" s="0" t="inlineStr">
        <is>
          <t xml:space="preserve">a0167</t>
        </is>
      </c>
      <c r="B168" s="0" t="inlineStr">
        <is>
          <t xml:space="preserve">retail</t>
        </is>
      </c>
      <c r="C168" s="0" t="inlineStr">
        <is>
          <t xml:space="preserve">amer_east</t>
        </is>
      </c>
      <c r="D168" s="0" t="inlineStr">
        <is>
          <t xml:space="preserve">enterprise</t>
        </is>
      </c>
      <c r="E168" s="4">
        <v>3045</v>
      </c>
      <c r="F168" s="0" t="inlineStr">
        <is>
          <t xml:space="preserve">Vertex Mobility Co</t>
        </is>
      </c>
    </row>
    <row r="169">
      <c r="A169" s="0" t="inlineStr">
        <is>
          <t xml:space="preserve">a0168</t>
        </is>
      </c>
      <c r="B169" s="0" t="inlineStr">
        <is>
          <t xml:space="preserve">retail</t>
        </is>
      </c>
      <c r="C169" s="0" t="inlineStr">
        <is>
          <t xml:space="preserve">amer_east</t>
        </is>
      </c>
      <c r="D169" s="0" t="inlineStr">
        <is>
          <t xml:space="preserve">mid_market</t>
        </is>
      </c>
      <c r="E169" s="4">
        <v>455</v>
      </c>
      <c r="F169" s="0" t="inlineStr">
        <is>
          <t xml:space="preserve">Juniper Learning Holdings</t>
        </is>
      </c>
    </row>
    <row r="170">
      <c r="A170" s="0" t="inlineStr">
        <is>
          <t xml:space="preserve">a0169</t>
        </is>
      </c>
      <c r="B170" s="0" t="inlineStr">
        <is>
          <t xml:space="preserve">energy</t>
        </is>
      </c>
      <c r="C170" s="0" t="inlineStr">
        <is>
          <t xml:space="preserve">amer_east</t>
        </is>
      </c>
      <c r="D170" s="0" t="inlineStr">
        <is>
          <t xml:space="preserve">enterprise</t>
        </is>
      </c>
      <c r="E170" s="4">
        <v>4029</v>
      </c>
      <c r="F170" s="0" t="inlineStr">
        <is>
          <t xml:space="preserve">Orchard Analytics</t>
        </is>
      </c>
    </row>
    <row r="171">
      <c r="A171" s="0" t="inlineStr">
        <is>
          <t xml:space="preserve">a0170</t>
        </is>
      </c>
      <c r="B171" s="0" t="inlineStr">
        <is>
          <t xml:space="preserve">logistics</t>
        </is>
      </c>
      <c r="C171" s="0" t="inlineStr">
        <is>
          <t xml:space="preserve">amer_east</t>
        </is>
      </c>
      <c r="D171" s="0" t="inlineStr">
        <is>
          <t xml:space="preserve">smb</t>
        </is>
      </c>
      <c r="E171" s="4">
        <v>33</v>
      </c>
      <c r="F171" s="0" t="inlineStr">
        <is>
          <t xml:space="preserve">Nimbus Mobility AG</t>
        </is>
      </c>
    </row>
    <row r="172">
      <c r="A172" s="0" t="inlineStr">
        <is>
          <t xml:space="preserve">a0171</t>
        </is>
      </c>
      <c r="B172" s="0" t="inlineStr">
        <is>
          <t xml:space="preserve">software</t>
        </is>
      </c>
      <c r="C172" s="0" t="inlineStr">
        <is>
          <t xml:space="preserve">amer_east</t>
        </is>
      </c>
      <c r="D172" s="0" t="inlineStr">
        <is>
          <t xml:space="preserve">smb</t>
        </is>
      </c>
      <c r="E172" s="4">
        <v>71</v>
      </c>
      <c r="F172" s="0" t="inlineStr">
        <is>
          <t xml:space="preserve">Summit Manufacturing</t>
        </is>
      </c>
    </row>
    <row r="173">
      <c r="A173" s="0" t="inlineStr">
        <is>
          <t xml:space="preserve">a0172</t>
        </is>
      </c>
      <c r="B173" s="0" t="inlineStr">
        <is>
          <t xml:space="preserve">retail</t>
        </is>
      </c>
      <c r="C173" s="0" t="inlineStr">
        <is>
          <t xml:space="preserve">amer_east</t>
        </is>
      </c>
      <c r="D173" s="0" t="inlineStr">
        <is>
          <t xml:space="preserve">enterprise</t>
        </is>
      </c>
      <c r="E173" s="4">
        <v>4495</v>
      </c>
      <c r="F173" s="0" t="inlineStr">
        <is>
          <t xml:space="preserve">Falcon Foods AG</t>
        </is>
      </c>
    </row>
    <row r="174">
      <c r="A174" s="0" t="inlineStr">
        <is>
          <t xml:space="preserve">a0173</t>
        </is>
      </c>
      <c r="B174" s="0" t="inlineStr">
        <is>
          <t xml:space="preserve">manufacturing</t>
        </is>
      </c>
      <c r="C174" s="0" t="inlineStr">
        <is>
          <t xml:space="preserve">amer_east</t>
        </is>
      </c>
      <c r="D174" s="0" t="inlineStr">
        <is>
          <t xml:space="preserve">smb</t>
        </is>
      </c>
      <c r="E174" s="4">
        <v>28</v>
      </c>
      <c r="F174" s="0" t="inlineStr">
        <is>
          <t xml:space="preserve">Umber Manufacturing Partners</t>
        </is>
      </c>
    </row>
    <row r="175">
      <c r="A175" s="0" t="inlineStr">
        <is>
          <t xml:space="preserve">a0174</t>
        </is>
      </c>
      <c r="B175" s="0" t="inlineStr">
        <is>
          <t xml:space="preserve">retail</t>
        </is>
      </c>
      <c r="C175" s="0" t="inlineStr">
        <is>
          <t xml:space="preserve">amer_east</t>
        </is>
      </c>
      <c r="D175" s="0" t="inlineStr">
        <is>
          <t xml:space="preserve">smb</t>
        </is>
      </c>
      <c r="E175" s="4">
        <v>20</v>
      </c>
      <c r="F175" s="0" t="inlineStr">
        <is>
          <t xml:space="preserve">Blue Harbor Capital AG</t>
        </is>
      </c>
    </row>
    <row r="176">
      <c r="A176" s="0" t="inlineStr">
        <is>
          <t xml:space="preserve">a0175</t>
        </is>
      </c>
      <c r="B176" s="0" t="inlineStr">
        <is>
          <t xml:space="preserve">education</t>
        </is>
      </c>
      <c r="C176" s="0" t="inlineStr">
        <is>
          <t xml:space="preserve">amer_east</t>
        </is>
      </c>
      <c r="D176" s="0" t="inlineStr">
        <is>
          <t xml:space="preserve">mid_market</t>
        </is>
      </c>
      <c r="E176" s="4">
        <v>269</v>
      </c>
      <c r="F176" s="0" t="inlineStr">
        <is>
          <t xml:space="preserve">Nimbus Logistics Partners</t>
        </is>
      </c>
    </row>
    <row r="177">
      <c r="A177" s="0" t="inlineStr">
        <is>
          <t xml:space="preserve">a0176</t>
        </is>
      </c>
      <c r="B177" s="0" t="inlineStr">
        <is>
          <t xml:space="preserve">software</t>
        </is>
      </c>
      <c r="C177" s="0" t="inlineStr">
        <is>
          <t xml:space="preserve">amer_east</t>
        </is>
      </c>
      <c r="D177" s="0" t="inlineStr">
        <is>
          <t xml:space="preserve">smb</t>
        </is>
      </c>
      <c r="E177" s="4">
        <v>25</v>
      </c>
      <c r="F177" s="0" t="inlineStr">
        <is>
          <t xml:space="preserve">Nimbus Logistics SA</t>
        </is>
      </c>
    </row>
    <row r="178">
      <c r="A178" s="0" t="inlineStr">
        <is>
          <t xml:space="preserve">a0177</t>
        </is>
      </c>
      <c r="B178" s="0" t="inlineStr">
        <is>
          <t xml:space="preserve">energy</t>
        </is>
      </c>
      <c r="C178" s="0" t="inlineStr">
        <is>
          <t xml:space="preserve">amer_east</t>
        </is>
      </c>
      <c r="D178" s="0" t="inlineStr">
        <is>
          <t xml:space="preserve">enterprise</t>
        </is>
      </c>
      <c r="E178" s="4">
        <v>3032</v>
      </c>
      <c r="F178" s="0" t="inlineStr">
        <is>
          <t xml:space="preserve">Sable Media Holdings</t>
        </is>
      </c>
    </row>
    <row r="179">
      <c r="A179" s="0" t="inlineStr">
        <is>
          <t xml:space="preserve">a0178</t>
        </is>
      </c>
      <c r="B179" s="0" t="inlineStr">
        <is>
          <t xml:space="preserve">software</t>
        </is>
      </c>
      <c r="C179" s="0" t="inlineStr">
        <is>
          <t xml:space="preserve">amer_east</t>
        </is>
      </c>
      <c r="D179" s="0" t="inlineStr">
        <is>
          <t xml:space="preserve">smb</t>
        </is>
      </c>
      <c r="E179" s="4">
        <v>40</v>
      </c>
      <c r="F179" s="0" t="inlineStr">
        <is>
          <t xml:space="preserve">Sable Biotech Inc</t>
        </is>
      </c>
    </row>
    <row r="180">
      <c r="A180" s="0" t="inlineStr">
        <is>
          <t xml:space="preserve">a0179</t>
        </is>
      </c>
      <c r="B180" s="0" t="inlineStr">
        <is>
          <t xml:space="preserve">financial_services</t>
        </is>
      </c>
      <c r="C180" s="0" t="inlineStr">
        <is>
          <t xml:space="preserve">amer_east</t>
        </is>
      </c>
      <c r="D180" s="0" t="inlineStr">
        <is>
          <t xml:space="preserve">smb</t>
        </is>
      </c>
      <c r="E180" s="4">
        <v>112</v>
      </c>
      <c r="F180" s="0" t="inlineStr">
        <is>
          <t xml:space="preserve">Umber Materials Ltd</t>
        </is>
      </c>
    </row>
    <row r="181">
      <c r="A181" s="0" t="inlineStr">
        <is>
          <t xml:space="preserve">a0180</t>
        </is>
      </c>
      <c r="B181" s="0" t="inlineStr">
        <is>
          <t xml:space="preserve">manufacturing</t>
        </is>
      </c>
      <c r="C181" s="0" t="inlineStr">
        <is>
          <t xml:space="preserve">amer_east</t>
        </is>
      </c>
      <c r="D181" s="0" t="inlineStr">
        <is>
          <t xml:space="preserve">mid_market</t>
        </is>
      </c>
      <c r="E181" s="4">
        <v>392</v>
      </c>
      <c r="F181" s="0" t="inlineStr">
        <is>
          <t xml:space="preserve">Nimbus Media Group</t>
        </is>
      </c>
    </row>
    <row r="182">
      <c r="A182" s="0" t="inlineStr">
        <is>
          <t xml:space="preserve">a0181</t>
        </is>
      </c>
      <c r="B182" s="0" t="inlineStr">
        <is>
          <t xml:space="preserve">financial_services</t>
        </is>
      </c>
      <c r="C182" s="0" t="inlineStr">
        <is>
          <t xml:space="preserve">amer_east</t>
        </is>
      </c>
      <c r="D182" s="0" t="inlineStr">
        <is>
          <t xml:space="preserve">smb</t>
        </is>
      </c>
      <c r="E182" s="4">
        <v>31</v>
      </c>
      <c r="F182" s="0" t="inlineStr">
        <is>
          <t xml:space="preserve">Northwind Retail</t>
        </is>
      </c>
    </row>
    <row r="183">
      <c r="A183" s="0" t="inlineStr">
        <is>
          <t xml:space="preserve">a0182</t>
        </is>
      </c>
      <c r="B183" s="0" t="inlineStr">
        <is>
          <t xml:space="preserve">software</t>
        </is>
      </c>
      <c r="C183" s="0" t="inlineStr">
        <is>
          <t xml:space="preserve">amer_east</t>
        </is>
      </c>
      <c r="D183" s="0" t="inlineStr">
        <is>
          <t xml:space="preserve">smb</t>
        </is>
      </c>
      <c r="E183" s="4">
        <v>34</v>
      </c>
      <c r="F183" s="0" t="inlineStr">
        <is>
          <t xml:space="preserve">Granite Learning</t>
        </is>
      </c>
    </row>
    <row r="184">
      <c r="A184" s="0" t="inlineStr">
        <is>
          <t xml:space="preserve">a0183</t>
        </is>
      </c>
      <c r="B184" s="0" t="inlineStr">
        <is>
          <t xml:space="preserve">energy</t>
        </is>
      </c>
      <c r="C184" s="0" t="inlineStr">
        <is>
          <t xml:space="preserve">amer_east</t>
        </is>
      </c>
      <c r="D184" s="0" t="inlineStr">
        <is>
          <t xml:space="preserve">smb</t>
        </is>
      </c>
      <c r="E184" s="4">
        <v>148</v>
      </c>
      <c r="F184" s="0" t="inlineStr">
        <is>
          <t xml:space="preserve">Copper Logistics</t>
        </is>
      </c>
    </row>
    <row r="185">
      <c r="A185" s="0" t="inlineStr">
        <is>
          <t xml:space="preserve">a0184</t>
        </is>
      </c>
      <c r="B185" s="0" t="inlineStr">
        <is>
          <t xml:space="preserve">healthcare</t>
        </is>
      </c>
      <c r="C185" s="0" t="inlineStr">
        <is>
          <t xml:space="preserve">amer_east</t>
        </is>
      </c>
      <c r="D185" s="0" t="inlineStr">
        <is>
          <t xml:space="preserve">smb</t>
        </is>
      </c>
      <c r="E185" s="4">
        <v>24</v>
      </c>
      <c r="F185" s="0" t="inlineStr">
        <is>
          <t xml:space="preserve">Brightwater Biotech Inc</t>
        </is>
      </c>
    </row>
    <row r="186">
      <c r="A186" s="0" t="inlineStr">
        <is>
          <t xml:space="preserve">a0185</t>
        </is>
      </c>
      <c r="B186" s="0" t="inlineStr">
        <is>
          <t xml:space="preserve">retail</t>
        </is>
      </c>
      <c r="C186" s="0" t="inlineStr">
        <is>
          <t xml:space="preserve">amer_east</t>
        </is>
      </c>
      <c r="D186" s="0" t="inlineStr">
        <is>
          <t xml:space="preserve">smb</t>
        </is>
      </c>
      <c r="E186" s="4">
        <v>36</v>
      </c>
      <c r="F186" s="0" t="inlineStr">
        <is>
          <t xml:space="preserve">Orchard Networks</t>
        </is>
      </c>
    </row>
    <row r="187">
      <c r="A187" s="0" t="inlineStr">
        <is>
          <t xml:space="preserve">a0186</t>
        </is>
      </c>
      <c r="B187" s="0" t="inlineStr">
        <is>
          <t xml:space="preserve">healthcare</t>
        </is>
      </c>
      <c r="C187" s="0" t="inlineStr">
        <is>
          <t xml:space="preserve">amer_east</t>
        </is>
      </c>
      <c r="D187" s="0" t="inlineStr">
        <is>
          <t xml:space="preserve">smb</t>
        </is>
      </c>
      <c r="E187" s="4">
        <v>20</v>
      </c>
      <c r="F187" s="0" t="inlineStr">
        <is>
          <t xml:space="preserve">Nimbus Retail SA</t>
        </is>
      </c>
    </row>
    <row r="188">
      <c r="A188" s="0" t="inlineStr">
        <is>
          <t xml:space="preserve">a0187</t>
        </is>
      </c>
      <c r="B188" s="0" t="inlineStr">
        <is>
          <t xml:space="preserve">retail</t>
        </is>
      </c>
      <c r="C188" s="0" t="inlineStr">
        <is>
          <t xml:space="preserve">amer_west</t>
        </is>
      </c>
      <c r="D188" s="0" t="inlineStr">
        <is>
          <t xml:space="preserve">smb</t>
        </is>
      </c>
      <c r="E188" s="4">
        <v>63</v>
      </c>
      <c r="F188" s="0" t="inlineStr">
        <is>
          <t xml:space="preserve">Blue Harbor Mobility Co</t>
        </is>
      </c>
    </row>
    <row r="189">
      <c r="A189" s="0" t="inlineStr">
        <is>
          <t xml:space="preserve">a0188</t>
        </is>
      </c>
      <c r="B189" s="0" t="inlineStr">
        <is>
          <t xml:space="preserve">software</t>
        </is>
      </c>
      <c r="C189" s="0" t="inlineStr">
        <is>
          <t xml:space="preserve">amer_west</t>
        </is>
      </c>
      <c r="D189" s="0" t="inlineStr">
        <is>
          <t xml:space="preserve">smb</t>
        </is>
      </c>
      <c r="E189" s="4">
        <v>61</v>
      </c>
      <c r="F189" s="0" t="inlineStr">
        <is>
          <t xml:space="preserve">Copper Media</t>
        </is>
      </c>
    </row>
    <row r="190">
      <c r="A190" s="0" t="inlineStr">
        <is>
          <t xml:space="preserve">a0189</t>
        </is>
      </c>
      <c r="B190" s="0" t="inlineStr">
        <is>
          <t xml:space="preserve">logistics</t>
        </is>
      </c>
      <c r="C190" s="0" t="inlineStr">
        <is>
          <t xml:space="preserve">amer_west</t>
        </is>
      </c>
      <c r="D190" s="0" t="inlineStr">
        <is>
          <t xml:space="preserve">mid_market</t>
        </is>
      </c>
      <c r="E190" s="4">
        <v>770</v>
      </c>
      <c r="F190" s="0" t="inlineStr">
        <is>
          <t xml:space="preserve">Tidewater Mobility Holdings</t>
        </is>
      </c>
    </row>
    <row r="191">
      <c r="A191" s="0" t="inlineStr">
        <is>
          <t xml:space="preserve">a0190</t>
        </is>
      </c>
      <c r="B191" s="0" t="inlineStr">
        <is>
          <t xml:space="preserve">software</t>
        </is>
      </c>
      <c r="C191" s="0" t="inlineStr">
        <is>
          <t xml:space="preserve">amer_west</t>
        </is>
      </c>
      <c r="D191" s="0" t="inlineStr">
        <is>
          <t xml:space="preserve">smb</t>
        </is>
      </c>
      <c r="E191" s="4">
        <v>86</v>
      </c>
      <c r="F191" s="0" t="inlineStr">
        <is>
          <t xml:space="preserve">Evergreen Networks</t>
        </is>
      </c>
    </row>
    <row r="192">
      <c r="A192" s="0" t="inlineStr">
        <is>
          <t xml:space="preserve">a0191</t>
        </is>
      </c>
      <c r="B192" s="0" t="inlineStr">
        <is>
          <t xml:space="preserve">media</t>
        </is>
      </c>
      <c r="C192" s="0" t="inlineStr">
        <is>
          <t xml:space="preserve">amer_west</t>
        </is>
      </c>
      <c r="D192" s="0" t="inlineStr">
        <is>
          <t xml:space="preserve">smb</t>
        </is>
      </c>
      <c r="E192" s="4">
        <v>73</v>
      </c>
      <c r="F192" s="0" t="inlineStr">
        <is>
          <t xml:space="preserve">Nimbus Retail Inc</t>
        </is>
      </c>
    </row>
    <row r="193">
      <c r="A193" s="0" t="inlineStr">
        <is>
          <t xml:space="preserve">a0192</t>
        </is>
      </c>
      <c r="B193" s="0" t="inlineStr">
        <is>
          <t xml:space="preserve">media</t>
        </is>
      </c>
      <c r="C193" s="0" t="inlineStr">
        <is>
          <t xml:space="preserve">amer_west</t>
        </is>
      </c>
      <c r="D193" s="0" t="inlineStr">
        <is>
          <t xml:space="preserve">mid_market</t>
        </is>
      </c>
      <c r="E193" s="4">
        <v>2270</v>
      </c>
      <c r="F193" s="0" t="inlineStr">
        <is>
          <t xml:space="preserve">Cascade Insurance</t>
        </is>
      </c>
    </row>
    <row r="194">
      <c r="A194" s="0" t="inlineStr">
        <is>
          <t xml:space="preserve">a0193</t>
        </is>
      </c>
      <c r="B194" s="0" t="inlineStr">
        <is>
          <t xml:space="preserve">software</t>
        </is>
      </c>
      <c r="C194" s="0" t="inlineStr">
        <is>
          <t xml:space="preserve">amer_west</t>
        </is>
      </c>
      <c r="D194" s="0" t="inlineStr">
        <is>
          <t xml:space="preserve">enterprise</t>
        </is>
      </c>
      <c r="E194" s="4">
        <v>115586</v>
      </c>
      <c r="F194" s="0" t="inlineStr">
        <is>
          <t xml:space="preserve">Falcon Biotech Ltd</t>
        </is>
      </c>
    </row>
    <row r="195">
      <c r="A195" s="0" t="inlineStr">
        <is>
          <t xml:space="preserve">a0194</t>
        </is>
      </c>
      <c r="B195" s="0" t="inlineStr">
        <is>
          <t xml:space="preserve">financial_services</t>
        </is>
      </c>
      <c r="C195" s="0" t="inlineStr">
        <is>
          <t xml:space="preserve">amer_west</t>
        </is>
      </c>
      <c r="D195" s="0" t="inlineStr">
        <is>
          <t xml:space="preserve">mid_market</t>
        </is>
      </c>
      <c r="E195" s="4">
        <v>1617</v>
      </c>
      <c r="F195" s="0" t="inlineStr">
        <is>
          <t xml:space="preserve">Aurora Software SA</t>
        </is>
      </c>
    </row>
    <row r="196">
      <c r="A196" s="0" t="inlineStr">
        <is>
          <t xml:space="preserve">a0195</t>
        </is>
      </c>
      <c r="B196" s="0" t="inlineStr">
        <is>
          <t xml:space="preserve">manufacturing</t>
        </is>
      </c>
      <c r="C196" s="0" t="inlineStr">
        <is>
          <t xml:space="preserve">amer_west</t>
        </is>
      </c>
      <c r="D196" s="0" t="inlineStr">
        <is>
          <t xml:space="preserve">mid_market</t>
        </is>
      </c>
      <c r="E196" s="4">
        <v>653</v>
      </c>
      <c r="F196" s="0" t="inlineStr">
        <is>
          <t xml:space="preserve">Aurora Materials</t>
        </is>
      </c>
    </row>
    <row r="197">
      <c r="A197" s="0" t="inlineStr">
        <is>
          <t xml:space="preserve">a0196</t>
        </is>
      </c>
      <c r="B197" s="0" t="inlineStr">
        <is>
          <t xml:space="preserve">financial_services</t>
        </is>
      </c>
      <c r="C197" s="0" t="inlineStr">
        <is>
          <t xml:space="preserve">amer_west</t>
        </is>
      </c>
      <c r="D197" s="0" t="inlineStr">
        <is>
          <t xml:space="preserve">smb</t>
        </is>
      </c>
      <c r="E197" s="4">
        <v>101</v>
      </c>
      <c r="F197" s="0" t="inlineStr">
        <is>
          <t xml:space="preserve">Tidewater Health SA</t>
        </is>
      </c>
    </row>
    <row r="198">
      <c r="A198" s="0" t="inlineStr">
        <is>
          <t xml:space="preserve">a0197</t>
        </is>
      </c>
      <c r="B198" s="0" t="inlineStr">
        <is>
          <t xml:space="preserve">financial_services</t>
        </is>
      </c>
      <c r="C198" s="0" t="inlineStr">
        <is>
          <t xml:space="preserve">amer_west</t>
        </is>
      </c>
      <c r="D198" s="0" t="inlineStr">
        <is>
          <t xml:space="preserve">smb</t>
        </is>
      </c>
      <c r="E198" s="4">
        <v>21</v>
      </c>
      <c r="F198" s="0" t="inlineStr">
        <is>
          <t xml:space="preserve">Lakeside Insurance Holdings</t>
        </is>
      </c>
    </row>
    <row r="199">
      <c r="A199" s="0" t="inlineStr">
        <is>
          <t xml:space="preserve">a0198</t>
        </is>
      </c>
      <c r="B199" s="0" t="inlineStr">
        <is>
          <t xml:space="preserve">software</t>
        </is>
      </c>
      <c r="C199" s="0" t="inlineStr">
        <is>
          <t xml:space="preserve">amer_west</t>
        </is>
      </c>
      <c r="D199" s="0" t="inlineStr">
        <is>
          <t xml:space="preserve">mid_market</t>
        </is>
      </c>
      <c r="E199" s="4">
        <v>854</v>
      </c>
      <c r="F199" s="0" t="inlineStr">
        <is>
          <t xml:space="preserve">Northwind Systems Holdings</t>
        </is>
      </c>
    </row>
    <row r="200">
      <c r="A200" s="0" t="inlineStr">
        <is>
          <t xml:space="preserve">a0199</t>
        </is>
      </c>
      <c r="B200" s="0" t="inlineStr">
        <is>
          <t xml:space="preserve">media</t>
        </is>
      </c>
      <c r="C200" s="0" t="inlineStr">
        <is>
          <t xml:space="preserve">amer_west</t>
        </is>
      </c>
      <c r="D200" s="0" t="inlineStr">
        <is>
          <t xml:space="preserve">mid_market</t>
        </is>
      </c>
      <c r="E200" s="4">
        <v>271</v>
      </c>
      <c r="F200" s="0" t="inlineStr">
        <is>
          <t xml:space="preserve">Redwood Networks Group</t>
        </is>
      </c>
    </row>
    <row r="201">
      <c r="A201" s="0" t="inlineStr">
        <is>
          <t xml:space="preserve">a0200</t>
        </is>
      </c>
      <c r="B201" s="0" t="inlineStr">
        <is>
          <t xml:space="preserve">media</t>
        </is>
      </c>
      <c r="C201" s="0" t="inlineStr">
        <is>
          <t xml:space="preserve">amer_west</t>
        </is>
      </c>
      <c r="D201" s="0" t="inlineStr">
        <is>
          <t xml:space="preserve">mid_market</t>
        </is>
      </c>
      <c r="E201" s="4">
        <v>258</v>
      </c>
      <c r="F201" s="0" t="inlineStr">
        <is>
          <t xml:space="preserve">Redwood Robotics</t>
        </is>
      </c>
    </row>
    <row r="202">
      <c r="A202" s="0" t="inlineStr">
        <is>
          <t xml:space="preserve">a0201</t>
        </is>
      </c>
      <c r="B202" s="0" t="inlineStr">
        <is>
          <t xml:space="preserve">healthcare</t>
        </is>
      </c>
      <c r="C202" s="0" t="inlineStr">
        <is>
          <t xml:space="preserve">amer_west</t>
        </is>
      </c>
      <c r="D202" s="0" t="inlineStr">
        <is>
          <t xml:space="preserve">smb</t>
        </is>
      </c>
      <c r="E202" s="4">
        <v>35</v>
      </c>
      <c r="F202" s="0" t="inlineStr">
        <is>
          <t xml:space="preserve">Quantum Logistics Co</t>
        </is>
      </c>
    </row>
    <row r="203">
      <c r="A203" s="0" t="inlineStr">
        <is>
          <t xml:space="preserve">a0202</t>
        </is>
      </c>
      <c r="B203" s="0" t="inlineStr">
        <is>
          <t xml:space="preserve">manufacturing</t>
        </is>
      </c>
      <c r="C203" s="0" t="inlineStr">
        <is>
          <t xml:space="preserve">amer_west</t>
        </is>
      </c>
      <c r="D203" s="0" t="inlineStr">
        <is>
          <t xml:space="preserve">mid_market</t>
        </is>
      </c>
      <c r="E203" s="4">
        <v>567</v>
      </c>
      <c r="F203" s="0" t="inlineStr">
        <is>
          <t xml:space="preserve">Ironbridge Robotics AG</t>
        </is>
      </c>
    </row>
    <row r="204">
      <c r="A204" s="0" t="inlineStr">
        <is>
          <t xml:space="preserve">a0203</t>
        </is>
      </c>
      <c r="B204" s="0" t="inlineStr">
        <is>
          <t xml:space="preserve">energy</t>
        </is>
      </c>
      <c r="C204" s="0" t="inlineStr">
        <is>
          <t xml:space="preserve">amer_west</t>
        </is>
      </c>
      <c r="D204" s="0" t="inlineStr">
        <is>
          <t xml:space="preserve">smb</t>
        </is>
      </c>
      <c r="E204" s="4">
        <v>28</v>
      </c>
      <c r="F204" s="0" t="inlineStr">
        <is>
          <t xml:space="preserve">Northwind Networks</t>
        </is>
      </c>
    </row>
    <row r="205">
      <c r="A205" s="0" t="inlineStr">
        <is>
          <t xml:space="preserve">a0204</t>
        </is>
      </c>
      <c r="B205" s="0" t="inlineStr">
        <is>
          <t xml:space="preserve">software</t>
        </is>
      </c>
      <c r="C205" s="0" t="inlineStr">
        <is>
          <t xml:space="preserve">emea</t>
        </is>
      </c>
      <c r="D205" s="0" t="inlineStr">
        <is>
          <t xml:space="preserve">smb</t>
        </is>
      </c>
      <c r="E205" s="4">
        <v>26</v>
      </c>
      <c r="F205" s="0" t="inlineStr">
        <is>
          <t xml:space="preserve">Cascade Labs Inc</t>
        </is>
      </c>
    </row>
    <row r="206">
      <c r="A206" s="0" t="inlineStr">
        <is>
          <t xml:space="preserve">a0205</t>
        </is>
      </c>
      <c r="B206" s="0" t="inlineStr">
        <is>
          <t xml:space="preserve">energy</t>
        </is>
      </c>
      <c r="C206" s="0" t="inlineStr">
        <is>
          <t xml:space="preserve">emea</t>
        </is>
      </c>
      <c r="D206" s="0" t="inlineStr">
        <is>
          <t xml:space="preserve">smb</t>
        </is>
      </c>
      <c r="E206" s="4">
        <v>25</v>
      </c>
      <c r="F206" s="0" t="inlineStr">
        <is>
          <t xml:space="preserve">Tidewater Learning</t>
        </is>
      </c>
    </row>
    <row r="207">
      <c r="A207" s="0" t="inlineStr">
        <is>
          <t xml:space="preserve">a0206</t>
        </is>
      </c>
      <c r="B207" s="0" t="inlineStr">
        <is>
          <t xml:space="preserve">software</t>
        </is>
      </c>
      <c r="C207" s="0" t="inlineStr">
        <is>
          <t xml:space="preserve">emea</t>
        </is>
      </c>
      <c r="D207" s="0" t="inlineStr">
        <is>
          <t xml:space="preserve">mid_market</t>
        </is>
      </c>
      <c r="E207" s="4">
        <v>621</v>
      </c>
      <c r="F207" s="0" t="inlineStr">
        <is>
          <t xml:space="preserve">Tidewater Mobility Partners</t>
        </is>
      </c>
    </row>
    <row r="208">
      <c r="A208" s="0" t="inlineStr">
        <is>
          <t xml:space="preserve">a0207</t>
        </is>
      </c>
      <c r="B208" s="0" t="inlineStr">
        <is>
          <t xml:space="preserve">energy</t>
        </is>
      </c>
      <c r="C208" s="0" t="inlineStr">
        <is>
          <t xml:space="preserve">emea</t>
        </is>
      </c>
      <c r="D208" s="0" t="inlineStr">
        <is>
          <t xml:space="preserve">mid_market</t>
        </is>
      </c>
      <c r="E208" s="4">
        <v>254</v>
      </c>
      <c r="F208" s="0" t="inlineStr">
        <is>
          <t xml:space="preserve">Beacon Materials Partners</t>
        </is>
      </c>
    </row>
    <row r="209">
      <c r="A209" s="0" t="inlineStr">
        <is>
          <t xml:space="preserve">a0208</t>
        </is>
      </c>
      <c r="B209" s="0" t="inlineStr">
        <is>
          <t xml:space="preserve">education</t>
        </is>
      </c>
      <c r="C209" s="0" t="inlineStr">
        <is>
          <t xml:space="preserve">emea</t>
        </is>
      </c>
      <c r="D209" s="0" t="inlineStr">
        <is>
          <t xml:space="preserve">mid_market</t>
        </is>
      </c>
      <c r="E209" s="4">
        <v>290</v>
      </c>
      <c r="F209" s="0" t="inlineStr">
        <is>
          <t xml:space="preserve">Cobalt Manufacturing Group</t>
        </is>
      </c>
    </row>
    <row r="210">
      <c r="A210" s="0" t="inlineStr">
        <is>
          <t xml:space="preserve">a0209</t>
        </is>
      </c>
      <c r="B210" s="0" t="inlineStr">
        <is>
          <t xml:space="preserve">software</t>
        </is>
      </c>
      <c r="C210" s="0" t="inlineStr">
        <is>
          <t xml:space="preserve">emea</t>
        </is>
      </c>
      <c r="D210" s="0" t="inlineStr">
        <is>
          <t xml:space="preserve">mid_market</t>
        </is>
      </c>
      <c r="E210" s="4">
        <v>1876</v>
      </c>
      <c r="F210" s="0" t="inlineStr">
        <is>
          <t xml:space="preserve">Granite Mobility Partners</t>
        </is>
      </c>
    </row>
    <row r="211">
      <c r="A211" s="0" t="inlineStr">
        <is>
          <t xml:space="preserve">a0210</t>
        </is>
      </c>
      <c r="B211" s="0" t="inlineStr">
        <is>
          <t xml:space="preserve">manufacturing</t>
        </is>
      </c>
      <c r="C211" s="0" t="inlineStr">
        <is>
          <t xml:space="preserve">emea</t>
        </is>
      </c>
      <c r="D211" s="0" t="inlineStr">
        <is>
          <t xml:space="preserve">enterprise</t>
        </is>
      </c>
      <c r="E211" s="4">
        <v>23404</v>
      </c>
      <c r="F211" s="0" t="inlineStr">
        <is>
          <t xml:space="preserve">Quantum Biotech Holdings</t>
        </is>
      </c>
    </row>
    <row r="212">
      <c r="A212" s="0" t="inlineStr">
        <is>
          <t xml:space="preserve">a0211</t>
        </is>
      </c>
      <c r="B212" s="0" t="inlineStr">
        <is>
          <t xml:space="preserve">software</t>
        </is>
      </c>
      <c r="C212" s="0" t="inlineStr">
        <is>
          <t xml:space="preserve">emea</t>
        </is>
      </c>
      <c r="D212" s="0" t="inlineStr">
        <is>
          <t xml:space="preserve">smb</t>
        </is>
      </c>
      <c r="E212" s="4">
        <v>146</v>
      </c>
      <c r="F212" s="0" t="inlineStr">
        <is>
          <t xml:space="preserve">Northwind Energy Ltd</t>
        </is>
      </c>
    </row>
    <row r="213">
      <c r="A213" s="0" t="inlineStr">
        <is>
          <t xml:space="preserve">a0212</t>
        </is>
      </c>
      <c r="B213" s="0" t="inlineStr">
        <is>
          <t xml:space="preserve">financial_services</t>
        </is>
      </c>
      <c r="C213" s="0" t="inlineStr">
        <is>
          <t xml:space="preserve">emea</t>
        </is>
      </c>
      <c r="D213" s="0" t="inlineStr">
        <is>
          <t xml:space="preserve">mid_market</t>
        </is>
      </c>
      <c r="E213" s="4">
        <v>553</v>
      </c>
      <c r="F213" s="0" t="inlineStr">
        <is>
          <t xml:space="preserve">Copper Learning</t>
        </is>
      </c>
    </row>
    <row r="214">
      <c r="A214" s="0" t="inlineStr">
        <is>
          <t xml:space="preserve">a0213</t>
        </is>
      </c>
      <c r="B214" s="0" t="inlineStr">
        <is>
          <t xml:space="preserve">retail</t>
        </is>
      </c>
      <c r="C214" s="0" t="inlineStr">
        <is>
          <t xml:space="preserve">emea</t>
        </is>
      </c>
      <c r="D214" s="0" t="inlineStr">
        <is>
          <t xml:space="preserve">enterprise</t>
        </is>
      </c>
      <c r="E214" s="4">
        <v>4127</v>
      </c>
      <c r="F214" s="0" t="inlineStr">
        <is>
          <t xml:space="preserve">Redwood Foods Partners</t>
        </is>
      </c>
    </row>
    <row r="215">
      <c r="A215" s="0" t="inlineStr">
        <is>
          <t xml:space="preserve">a0214</t>
        </is>
      </c>
      <c r="B215" s="0" t="inlineStr">
        <is>
          <t xml:space="preserve">financial_services</t>
        </is>
      </c>
      <c r="C215" s="0" t="inlineStr">
        <is>
          <t xml:space="preserve">emea</t>
        </is>
      </c>
      <c r="D215" s="0" t="inlineStr">
        <is>
          <t xml:space="preserve">smb</t>
        </is>
      </c>
      <c r="E215" s="4">
        <v>158</v>
      </c>
      <c r="F215" s="0" t="inlineStr">
        <is>
          <t xml:space="preserve">Vertex Robotics Inc</t>
        </is>
      </c>
    </row>
    <row r="216">
      <c r="A216" s="0" t="inlineStr">
        <is>
          <t xml:space="preserve">a0215</t>
        </is>
      </c>
      <c r="B216" s="0" t="inlineStr">
        <is>
          <t xml:space="preserve">healthcare</t>
        </is>
      </c>
      <c r="C216" s="0" t="inlineStr">
        <is>
          <t xml:space="preserve">emea</t>
        </is>
      </c>
      <c r="D216" s="0" t="inlineStr">
        <is>
          <t xml:space="preserve">smb</t>
        </is>
      </c>
      <c r="E216" s="4">
        <v>26</v>
      </c>
      <c r="F216" s="0" t="inlineStr">
        <is>
          <t xml:space="preserve">Juniper Labs Inc</t>
        </is>
      </c>
    </row>
    <row r="217">
      <c r="A217" s="0" t="inlineStr">
        <is>
          <t xml:space="preserve">a0216</t>
        </is>
      </c>
      <c r="B217" s="0" t="inlineStr">
        <is>
          <t xml:space="preserve">software</t>
        </is>
      </c>
      <c r="C217" s="0" t="inlineStr">
        <is>
          <t xml:space="preserve">emea</t>
        </is>
      </c>
      <c r="D217" s="0" t="inlineStr">
        <is>
          <t xml:space="preserve">smb</t>
        </is>
      </c>
      <c r="E217" s="4">
        <v>117</v>
      </c>
      <c r="F217" s="0" t="inlineStr">
        <is>
          <t xml:space="preserve">Atlas Financial AG</t>
        </is>
      </c>
    </row>
    <row r="218">
      <c r="A218" s="0" t="inlineStr">
        <is>
          <t xml:space="preserve">a0217</t>
        </is>
      </c>
      <c r="B218" s="0" t="inlineStr">
        <is>
          <t xml:space="preserve">software</t>
        </is>
      </c>
      <c r="C218" s="0" t="inlineStr">
        <is>
          <t xml:space="preserve">emea</t>
        </is>
      </c>
      <c r="D218" s="0" t="inlineStr">
        <is>
          <t xml:space="preserve">enterprise</t>
        </is>
      </c>
      <c r="E218" s="4">
        <v>2918</v>
      </c>
      <c r="F218" s="0" t="inlineStr">
        <is>
          <t xml:space="preserve">Meridian Insurance Holdings</t>
        </is>
      </c>
    </row>
    <row r="219">
      <c r="A219" s="0" t="inlineStr">
        <is>
          <t xml:space="preserve">a0218</t>
        </is>
      </c>
      <c r="B219" s="0" t="inlineStr">
        <is>
          <t xml:space="preserve">software</t>
        </is>
      </c>
      <c r="C219" s="0" t="inlineStr">
        <is>
          <t xml:space="preserve">emea</t>
        </is>
      </c>
      <c r="D219" s="0" t="inlineStr">
        <is>
          <t xml:space="preserve">enterprise</t>
        </is>
      </c>
      <c r="E219" s="4">
        <v>6678</v>
      </c>
      <c r="F219" s="0" t="inlineStr">
        <is>
          <t xml:space="preserve">Sable Robotics Group</t>
        </is>
      </c>
    </row>
    <row r="220">
      <c r="A220" s="0" t="inlineStr">
        <is>
          <t xml:space="preserve">a0219</t>
        </is>
      </c>
      <c r="B220" s="0" t="inlineStr">
        <is>
          <t xml:space="preserve">education</t>
        </is>
      </c>
      <c r="C220" s="0" t="inlineStr">
        <is>
          <t xml:space="preserve">emea</t>
        </is>
      </c>
      <c r="D220" s="0" t="inlineStr">
        <is>
          <t xml:space="preserve">smb</t>
        </is>
      </c>
      <c r="E220" s="4">
        <v>31</v>
      </c>
      <c r="F220" s="0" t="inlineStr">
        <is>
          <t xml:space="preserve">Aurora Manufacturing Holdings</t>
        </is>
      </c>
    </row>
    <row r="221">
      <c r="A221" s="0" t="inlineStr">
        <is>
          <t xml:space="preserve">a0220</t>
        </is>
      </c>
      <c r="B221" s="0" t="inlineStr">
        <is>
          <t xml:space="preserve">logistics</t>
        </is>
      </c>
      <c r="C221" s="0" t="inlineStr">
        <is>
          <t xml:space="preserve">emea</t>
        </is>
      </c>
      <c r="D221" s="0" t="inlineStr">
        <is>
          <t xml:space="preserve">mid_market</t>
        </is>
      </c>
      <c r="E221" s="4">
        <v>287</v>
      </c>
      <c r="F221" s="0" t="inlineStr">
        <is>
          <t xml:space="preserve">Pioneer Media Group</t>
        </is>
      </c>
    </row>
    <row r="222">
      <c r="A222" s="0" t="inlineStr">
        <is>
          <t xml:space="preserve">a0221</t>
        </is>
      </c>
      <c r="B222" s="0" t="inlineStr">
        <is>
          <t xml:space="preserve">software</t>
        </is>
      </c>
      <c r="C222" s="0" t="inlineStr">
        <is>
          <t xml:space="preserve">emea</t>
        </is>
      </c>
      <c r="D222" s="0" t="inlineStr">
        <is>
          <t xml:space="preserve">smb</t>
        </is>
      </c>
      <c r="E222" s="4">
        <v>21</v>
      </c>
      <c r="F222" s="0" t="inlineStr">
        <is>
          <t xml:space="preserve">Redwood Logistics SA</t>
        </is>
      </c>
    </row>
    <row r="223">
      <c r="A223" s="0" t="inlineStr">
        <is>
          <t xml:space="preserve">a0222</t>
        </is>
      </c>
      <c r="B223" s="0" t="inlineStr">
        <is>
          <t xml:space="preserve">financial_services</t>
        </is>
      </c>
      <c r="C223" s="0" t="inlineStr">
        <is>
          <t xml:space="preserve">emea</t>
        </is>
      </c>
      <c r="D223" s="0" t="inlineStr">
        <is>
          <t xml:space="preserve">smb</t>
        </is>
      </c>
      <c r="E223" s="4">
        <v>57</v>
      </c>
      <c r="F223" s="0" t="inlineStr">
        <is>
          <t xml:space="preserve">Brightwater Analytics Holdings</t>
        </is>
      </c>
    </row>
    <row r="224">
      <c r="A224" s="0" t="inlineStr">
        <is>
          <t xml:space="preserve">a0223</t>
        </is>
      </c>
      <c r="B224" s="0" t="inlineStr">
        <is>
          <t xml:space="preserve">manufacturing</t>
        </is>
      </c>
      <c r="C224" s="0" t="inlineStr">
        <is>
          <t xml:space="preserve">apac</t>
        </is>
      </c>
      <c r="D224" s="0" t="inlineStr">
        <is>
          <t xml:space="preserve">mid_market</t>
        </is>
      </c>
      <c r="E224" s="4">
        <v>388</v>
      </c>
      <c r="F224" s="0" t="inlineStr">
        <is>
          <t xml:space="preserve">Umber Media Group</t>
        </is>
      </c>
    </row>
    <row r="225">
      <c r="A225" s="0" t="inlineStr">
        <is>
          <t xml:space="preserve">a0224</t>
        </is>
      </c>
      <c r="B225" s="0" t="inlineStr">
        <is>
          <t xml:space="preserve">financial_services</t>
        </is>
      </c>
      <c r="C225" s="0" t="inlineStr">
        <is>
          <t xml:space="preserve">apac</t>
        </is>
      </c>
      <c r="D225" s="0" t="inlineStr">
        <is>
          <t xml:space="preserve">mid_market</t>
        </is>
      </c>
      <c r="E225" s="4">
        <v>301</v>
      </c>
      <c r="F225" s="0" t="inlineStr">
        <is>
          <t xml:space="preserve">Beacon Foods AG</t>
        </is>
      </c>
    </row>
    <row r="226">
      <c r="A226" s="0" t="inlineStr">
        <is>
          <t xml:space="preserve">a0225</t>
        </is>
      </c>
      <c r="B226" s="0" t="inlineStr">
        <is>
          <t xml:space="preserve">retail</t>
        </is>
      </c>
      <c r="C226" s="0" t="inlineStr">
        <is>
          <t xml:space="preserve">apac</t>
        </is>
      </c>
      <c r="D226" s="0" t="inlineStr">
        <is>
          <t xml:space="preserve">mid_market</t>
        </is>
      </c>
      <c r="E226" s="4">
        <v>548</v>
      </c>
      <c r="F226" s="0" t="inlineStr">
        <is>
          <t xml:space="preserve">Beacon Systems Co</t>
        </is>
      </c>
    </row>
    <row r="227">
      <c r="A227" s="0" t="inlineStr">
        <is>
          <t xml:space="preserve">a0226</t>
        </is>
      </c>
      <c r="B227" s="0" t="inlineStr">
        <is>
          <t xml:space="preserve">manufacturing</t>
        </is>
      </c>
      <c r="C227" s="0" t="inlineStr">
        <is>
          <t xml:space="preserve">apac</t>
        </is>
      </c>
      <c r="D227" s="0" t="inlineStr">
        <is>
          <t xml:space="preserve">smb</t>
        </is>
      </c>
      <c r="E227" s="4">
        <v>25</v>
      </c>
      <c r="F227" s="0" t="inlineStr">
        <is>
          <t xml:space="preserve">Meridian Networks</t>
        </is>
      </c>
    </row>
    <row r="228">
      <c r="A228" s="0" t="inlineStr">
        <is>
          <t xml:space="preserve">a0227</t>
        </is>
      </c>
      <c r="B228" s="0" t="inlineStr">
        <is>
          <t xml:space="preserve">retail</t>
        </is>
      </c>
      <c r="C228" s="0" t="inlineStr">
        <is>
          <t xml:space="preserve">apac</t>
        </is>
      </c>
      <c r="D228" s="0" t="inlineStr">
        <is>
          <t xml:space="preserve">mid_market</t>
        </is>
      </c>
      <c r="E228" s="4">
        <v>434</v>
      </c>
      <c r="F228" s="0" t="inlineStr">
        <is>
          <t xml:space="preserve">Falcon Robotics</t>
        </is>
      </c>
    </row>
    <row r="229">
      <c r="A229" s="0" t="inlineStr">
        <is>
          <t xml:space="preserve">a0228</t>
        </is>
      </c>
      <c r="B229" s="0" t="inlineStr">
        <is>
          <t xml:space="preserve">healthcare</t>
        </is>
      </c>
      <c r="C229" s="0" t="inlineStr">
        <is>
          <t xml:space="preserve">apac</t>
        </is>
      </c>
      <c r="D229" s="0" t="inlineStr">
        <is>
          <t xml:space="preserve">mid_market</t>
        </is>
      </c>
      <c r="E229" s="4">
        <v>251</v>
      </c>
      <c r="F229" s="0" t="inlineStr">
        <is>
          <t xml:space="preserve">Northwind Analytics Inc</t>
        </is>
      </c>
    </row>
    <row r="230">
      <c r="A230" s="0" t="inlineStr">
        <is>
          <t xml:space="preserve">a0229</t>
        </is>
      </c>
      <c r="B230" s="0" t="inlineStr">
        <is>
          <t xml:space="preserve">financial_services</t>
        </is>
      </c>
      <c r="C230" s="0" t="inlineStr">
        <is>
          <t xml:space="preserve">apac</t>
        </is>
      </c>
      <c r="D230" s="0" t="inlineStr">
        <is>
          <t xml:space="preserve">mid_market</t>
        </is>
      </c>
      <c r="E230" s="4">
        <v>275</v>
      </c>
      <c r="F230" s="0" t="inlineStr">
        <is>
          <t xml:space="preserve">Umber Mobility Group</t>
        </is>
      </c>
    </row>
    <row r="231">
      <c r="A231" s="0" t="inlineStr">
        <is>
          <t xml:space="preserve">a0230</t>
        </is>
      </c>
      <c r="B231" s="0" t="inlineStr">
        <is>
          <t xml:space="preserve">healthcare</t>
        </is>
      </c>
      <c r="C231" s="0" t="inlineStr">
        <is>
          <t xml:space="preserve">apac</t>
        </is>
      </c>
      <c r="D231" s="0" t="inlineStr">
        <is>
          <t xml:space="preserve">smb</t>
        </is>
      </c>
      <c r="E231" s="4">
        <v>28</v>
      </c>
      <c r="F231" s="0" t="inlineStr">
        <is>
          <t xml:space="preserve">Silverline Analytics Partners</t>
        </is>
      </c>
    </row>
    <row r="232">
      <c r="A232" s="0" t="inlineStr">
        <is>
          <t xml:space="preserve">a0231</t>
        </is>
      </c>
      <c r="B232" s="0" t="inlineStr">
        <is>
          <t xml:space="preserve">healthcare</t>
        </is>
      </c>
      <c r="C232" s="0" t="inlineStr">
        <is>
          <t xml:space="preserve">apac</t>
        </is>
      </c>
      <c r="D232" s="0" t="inlineStr">
        <is>
          <t xml:space="preserve">smb</t>
        </is>
      </c>
      <c r="E232" s="4">
        <v>24</v>
      </c>
      <c r="F232" s="0" t="inlineStr">
        <is>
          <t xml:space="preserve">Evergreen Media Holdings</t>
        </is>
      </c>
    </row>
    <row r="233">
      <c r="A233" s="0" t="inlineStr">
        <is>
          <t xml:space="preserve">a0232</t>
        </is>
      </c>
      <c r="B233" s="0" t="inlineStr">
        <is>
          <t xml:space="preserve">manufacturing</t>
        </is>
      </c>
      <c r="C233" s="0" t="inlineStr">
        <is>
          <t xml:space="preserve">amer_east</t>
        </is>
      </c>
      <c r="D233" s="0" t="inlineStr">
        <is>
          <t xml:space="preserve">smb</t>
        </is>
      </c>
      <c r="E233" s="4">
        <v>33</v>
      </c>
      <c r="F233" s="0" t="inlineStr">
        <is>
          <t xml:space="preserve">Cascade Media Ltd</t>
        </is>
      </c>
    </row>
    <row r="234">
      <c r="A234" s="0" t="inlineStr">
        <is>
          <t xml:space="preserve">a0233</t>
        </is>
      </c>
      <c r="B234" s="0" t="inlineStr">
        <is>
          <t xml:space="preserve">financial_services</t>
        </is>
      </c>
      <c r="C234" s="0" t="inlineStr">
        <is>
          <t xml:space="preserve">amer_east</t>
        </is>
      </c>
      <c r="D234" s="0" t="inlineStr">
        <is>
          <t xml:space="preserve">smb</t>
        </is>
      </c>
      <c r="E234" s="4">
        <v>20</v>
      </c>
      <c r="F234" s="0" t="inlineStr">
        <is>
          <t xml:space="preserve">Umber Financial SA</t>
        </is>
      </c>
    </row>
    <row r="235">
      <c r="A235" s="0" t="inlineStr">
        <is>
          <t xml:space="preserve">a0234</t>
        </is>
      </c>
      <c r="B235" s="0" t="inlineStr">
        <is>
          <t xml:space="preserve">software</t>
        </is>
      </c>
      <c r="C235" s="0" t="inlineStr">
        <is>
          <t xml:space="preserve">amer_east</t>
        </is>
      </c>
      <c r="D235" s="0" t="inlineStr">
        <is>
          <t xml:space="preserve">smb</t>
        </is>
      </c>
      <c r="E235" s="4">
        <v>110</v>
      </c>
      <c r="F235" s="0" t="inlineStr">
        <is>
          <t xml:space="preserve">Cascade Biotech Inc</t>
        </is>
      </c>
    </row>
    <row r="236">
      <c r="A236" s="0" t="inlineStr">
        <is>
          <t xml:space="preserve">a0235</t>
        </is>
      </c>
      <c r="B236" s="0" t="inlineStr">
        <is>
          <t xml:space="preserve">software</t>
        </is>
      </c>
      <c r="C236" s="0" t="inlineStr">
        <is>
          <t xml:space="preserve">amer_east</t>
        </is>
      </c>
      <c r="D236" s="0" t="inlineStr">
        <is>
          <t xml:space="preserve">mid_market</t>
        </is>
      </c>
      <c r="E236" s="4">
        <v>253</v>
      </c>
      <c r="F236" s="0" t="inlineStr">
        <is>
          <t xml:space="preserve">Aurora Health</t>
        </is>
      </c>
    </row>
    <row r="237">
      <c r="A237" s="0" t="inlineStr">
        <is>
          <t xml:space="preserve">a0236</t>
        </is>
      </c>
      <c r="B237" s="0" t="inlineStr">
        <is>
          <t xml:space="preserve">education</t>
        </is>
      </c>
      <c r="C237" s="0" t="inlineStr">
        <is>
          <t xml:space="preserve">amer_east</t>
        </is>
      </c>
      <c r="D237" s="0" t="inlineStr">
        <is>
          <t xml:space="preserve">mid_market</t>
        </is>
      </c>
      <c r="E237" s="4">
        <v>366</v>
      </c>
      <c r="F237" s="0" t="inlineStr">
        <is>
          <t xml:space="preserve">Blue Harbor Mobility SA</t>
        </is>
      </c>
    </row>
    <row r="238">
      <c r="A238" s="0" t="inlineStr">
        <is>
          <t xml:space="preserve">a0237</t>
        </is>
      </c>
      <c r="B238" s="0" t="inlineStr">
        <is>
          <t xml:space="preserve">education</t>
        </is>
      </c>
      <c r="C238" s="0" t="inlineStr">
        <is>
          <t xml:space="preserve">amer_east</t>
        </is>
      </c>
      <c r="D238" s="0" t="inlineStr">
        <is>
          <t xml:space="preserve">smb</t>
        </is>
      </c>
      <c r="E238" s="4">
        <v>38</v>
      </c>
      <c r="F238" s="0" t="inlineStr">
        <is>
          <t xml:space="preserve">Summit Retail Partners</t>
        </is>
      </c>
    </row>
    <row r="239">
      <c r="A239" s="0" t="inlineStr">
        <is>
          <t xml:space="preserve">a0238</t>
        </is>
      </c>
      <c r="B239" s="0" t="inlineStr">
        <is>
          <t xml:space="preserve">financial_services</t>
        </is>
      </c>
      <c r="C239" s="0" t="inlineStr">
        <is>
          <t xml:space="preserve">amer_east</t>
        </is>
      </c>
      <c r="D239" s="0" t="inlineStr">
        <is>
          <t xml:space="preserve">smb</t>
        </is>
      </c>
      <c r="E239" s="4">
        <v>29</v>
      </c>
      <c r="F239" s="0" t="inlineStr">
        <is>
          <t xml:space="preserve">Pioneer Health Group</t>
        </is>
      </c>
    </row>
    <row r="240">
      <c r="A240" s="0" t="inlineStr">
        <is>
          <t xml:space="preserve">a0239</t>
        </is>
      </c>
      <c r="B240" s="0" t="inlineStr">
        <is>
          <t xml:space="preserve">manufacturing</t>
        </is>
      </c>
      <c r="C240" s="0" t="inlineStr">
        <is>
          <t xml:space="preserve">amer_east</t>
        </is>
      </c>
      <c r="D240" s="0" t="inlineStr">
        <is>
          <t xml:space="preserve">smb</t>
        </is>
      </c>
      <c r="E240" s="4">
        <v>20</v>
      </c>
      <c r="F240" s="0" t="inlineStr">
        <is>
          <t xml:space="preserve">Juniper Analytics SA</t>
        </is>
      </c>
    </row>
    <row r="241">
      <c r="A241" s="0" t="inlineStr">
        <is>
          <t xml:space="preserve">a0240</t>
        </is>
      </c>
      <c r="B241" s="0" t="inlineStr">
        <is>
          <t xml:space="preserve">manufacturing</t>
        </is>
      </c>
      <c r="C241" s="0" t="inlineStr">
        <is>
          <t xml:space="preserve">amer_east</t>
        </is>
      </c>
      <c r="D241" s="0" t="inlineStr">
        <is>
          <t xml:space="preserve">smb</t>
        </is>
      </c>
      <c r="E241" s="4">
        <v>44</v>
      </c>
      <c r="F241" s="0" t="inlineStr">
        <is>
          <t xml:space="preserve">Horizon Financial Partners</t>
        </is>
      </c>
    </row>
    <row r="242">
      <c r="A242" s="0" t="inlineStr">
        <is>
          <t xml:space="preserve">a0241</t>
        </is>
      </c>
      <c r="B242" s="0" t="inlineStr">
        <is>
          <t xml:space="preserve">logistics</t>
        </is>
      </c>
      <c r="C242" s="0" t="inlineStr">
        <is>
          <t xml:space="preserve">amer_east</t>
        </is>
      </c>
      <c r="D242" s="0" t="inlineStr">
        <is>
          <t xml:space="preserve">enterprise</t>
        </is>
      </c>
      <c r="E242" s="4">
        <v>9056</v>
      </c>
      <c r="F242" s="0" t="inlineStr">
        <is>
          <t xml:space="preserve">Keystone Materials</t>
        </is>
      </c>
    </row>
    <row r="243">
      <c r="A243" s="0" t="inlineStr">
        <is>
          <t xml:space="preserve">a0242</t>
        </is>
      </c>
      <c r="B243" s="0" t="inlineStr">
        <is>
          <t xml:space="preserve">energy</t>
        </is>
      </c>
      <c r="C243" s="0" t="inlineStr">
        <is>
          <t xml:space="preserve">amer_east</t>
        </is>
      </c>
      <c r="D243" s="0" t="inlineStr">
        <is>
          <t xml:space="preserve">enterprise</t>
        </is>
      </c>
      <c r="E243" s="4">
        <v>3559</v>
      </c>
      <c r="F243" s="0" t="inlineStr">
        <is>
          <t xml:space="preserve">Keystone Financial Inc</t>
        </is>
      </c>
    </row>
    <row r="244">
      <c r="A244" s="0" t="inlineStr">
        <is>
          <t xml:space="preserve">a0243</t>
        </is>
      </c>
      <c r="B244" s="0" t="inlineStr">
        <is>
          <t xml:space="preserve">healthcare</t>
        </is>
      </c>
      <c r="C244" s="0" t="inlineStr">
        <is>
          <t xml:space="preserve">amer_east</t>
        </is>
      </c>
      <c r="D244" s="0" t="inlineStr">
        <is>
          <t xml:space="preserve">smb</t>
        </is>
      </c>
      <c r="E244" s="4">
        <v>26</v>
      </c>
      <c r="F244" s="0" t="inlineStr">
        <is>
          <t xml:space="preserve">Atlas Robotics AG</t>
        </is>
      </c>
    </row>
    <row r="245">
      <c r="A245" s="0" t="inlineStr">
        <is>
          <t xml:space="preserve">a0244</t>
        </is>
      </c>
      <c r="B245" s="0" t="inlineStr">
        <is>
          <t xml:space="preserve">financial_services</t>
        </is>
      </c>
      <c r="C245" s="0" t="inlineStr">
        <is>
          <t xml:space="preserve">amer_east</t>
        </is>
      </c>
      <c r="D245" s="0" t="inlineStr">
        <is>
          <t xml:space="preserve">smb</t>
        </is>
      </c>
      <c r="E245" s="4">
        <v>40</v>
      </c>
      <c r="F245" s="0" t="inlineStr">
        <is>
          <t xml:space="preserve">Granite Materials</t>
        </is>
      </c>
    </row>
    <row r="246">
      <c r="A246" s="0" t="inlineStr">
        <is>
          <t xml:space="preserve">a0245</t>
        </is>
      </c>
      <c r="B246" s="0" t="inlineStr">
        <is>
          <t xml:space="preserve">retail</t>
        </is>
      </c>
      <c r="C246" s="0" t="inlineStr">
        <is>
          <t xml:space="preserve">amer_east</t>
        </is>
      </c>
      <c r="D246" s="0" t="inlineStr">
        <is>
          <t xml:space="preserve">mid_market</t>
        </is>
      </c>
      <c r="E246" s="4">
        <v>258</v>
      </c>
      <c r="F246" s="0" t="inlineStr">
        <is>
          <t xml:space="preserve">Northwind Systems SA</t>
        </is>
      </c>
    </row>
    <row r="247">
      <c r="A247" s="0" t="inlineStr">
        <is>
          <t xml:space="preserve">a0246</t>
        </is>
      </c>
      <c r="B247" s="0" t="inlineStr">
        <is>
          <t xml:space="preserve">financial_services</t>
        </is>
      </c>
      <c r="C247" s="0" t="inlineStr">
        <is>
          <t xml:space="preserve">amer_east</t>
        </is>
      </c>
      <c r="D247" s="0" t="inlineStr">
        <is>
          <t xml:space="preserve">smb</t>
        </is>
      </c>
      <c r="E247" s="4">
        <v>21</v>
      </c>
      <c r="F247" s="0" t="inlineStr">
        <is>
          <t xml:space="preserve">Nimbus Retail</t>
        </is>
      </c>
    </row>
    <row r="248">
      <c r="A248" s="0" t="inlineStr">
        <is>
          <t xml:space="preserve">a0247</t>
        </is>
      </c>
      <c r="B248" s="0" t="inlineStr">
        <is>
          <t xml:space="preserve">software</t>
        </is>
      </c>
      <c r="C248" s="0" t="inlineStr">
        <is>
          <t xml:space="preserve">amer_east</t>
        </is>
      </c>
      <c r="D248" s="0" t="inlineStr">
        <is>
          <t xml:space="preserve">smb</t>
        </is>
      </c>
      <c r="E248" s="4">
        <v>154</v>
      </c>
      <c r="F248" s="0" t="inlineStr">
        <is>
          <t xml:space="preserve">Blue Harbor Energy Co</t>
        </is>
      </c>
    </row>
    <row r="249">
      <c r="A249" s="0" t="inlineStr">
        <is>
          <t xml:space="preserve">a0248</t>
        </is>
      </c>
      <c r="B249" s="0" t="inlineStr">
        <is>
          <t xml:space="preserve">software</t>
        </is>
      </c>
      <c r="C249" s="0" t="inlineStr">
        <is>
          <t xml:space="preserve">amer_east</t>
        </is>
      </c>
      <c r="D249" s="0" t="inlineStr">
        <is>
          <t xml:space="preserve">mid_market</t>
        </is>
      </c>
      <c r="E249" s="4">
        <v>453</v>
      </c>
      <c r="F249" s="0" t="inlineStr">
        <is>
          <t xml:space="preserve">Blue Harbor Labs</t>
        </is>
      </c>
    </row>
    <row r="250">
      <c r="A250" s="0" t="inlineStr">
        <is>
          <t xml:space="preserve">a0249</t>
        </is>
      </c>
      <c r="B250" s="0" t="inlineStr">
        <is>
          <t xml:space="preserve">logistics</t>
        </is>
      </c>
      <c r="C250" s="0" t="inlineStr">
        <is>
          <t xml:space="preserve">amer_east</t>
        </is>
      </c>
      <c r="D250" s="0" t="inlineStr">
        <is>
          <t xml:space="preserve">mid_market</t>
        </is>
      </c>
      <c r="E250" s="4">
        <v>382</v>
      </c>
      <c r="F250" s="0" t="inlineStr">
        <is>
          <t xml:space="preserve">Orchard Labs Ltd</t>
        </is>
      </c>
    </row>
    <row r="251">
      <c r="A251" s="0" t="inlineStr">
        <is>
          <t xml:space="preserve">a0250</t>
        </is>
      </c>
      <c r="B251" s="0" t="inlineStr">
        <is>
          <t xml:space="preserve">healthcare</t>
        </is>
      </c>
      <c r="C251" s="0" t="inlineStr">
        <is>
          <t xml:space="preserve">amer_east</t>
        </is>
      </c>
      <c r="D251" s="0" t="inlineStr">
        <is>
          <t xml:space="preserve">mid_market</t>
        </is>
      </c>
      <c r="E251" s="4">
        <v>537</v>
      </c>
      <c r="F251" s="0" t="inlineStr">
        <is>
          <t xml:space="preserve">Silverline Capital Co</t>
        </is>
      </c>
    </row>
    <row r="252">
      <c r="A252" s="0" t="inlineStr">
        <is>
          <t xml:space="preserve">a0251</t>
        </is>
      </c>
      <c r="B252" s="0" t="inlineStr">
        <is>
          <t xml:space="preserve">software</t>
        </is>
      </c>
      <c r="C252" s="0" t="inlineStr">
        <is>
          <t xml:space="preserve">amer_east</t>
        </is>
      </c>
      <c r="D252" s="0" t="inlineStr">
        <is>
          <t xml:space="preserve">smb</t>
        </is>
      </c>
      <c r="E252" s="4">
        <v>21</v>
      </c>
      <c r="F252" s="0" t="inlineStr">
        <is>
          <t xml:space="preserve">Granite Networks AG</t>
        </is>
      </c>
    </row>
    <row r="253">
      <c r="A253" s="0" t="inlineStr">
        <is>
          <t xml:space="preserve">a0252</t>
        </is>
      </c>
      <c r="B253" s="0" t="inlineStr">
        <is>
          <t xml:space="preserve">healthcare</t>
        </is>
      </c>
      <c r="C253" s="0" t="inlineStr">
        <is>
          <t xml:space="preserve">amer_east</t>
        </is>
      </c>
      <c r="D253" s="0" t="inlineStr">
        <is>
          <t xml:space="preserve">enterprise</t>
        </is>
      </c>
      <c r="E253" s="4">
        <v>17095</v>
      </c>
      <c r="F253" s="0" t="inlineStr">
        <is>
          <t xml:space="preserve">Redwood Systems Group</t>
        </is>
      </c>
    </row>
    <row r="254">
      <c r="A254" s="0" t="inlineStr">
        <is>
          <t xml:space="preserve">a0253</t>
        </is>
      </c>
      <c r="B254" s="0" t="inlineStr">
        <is>
          <t xml:space="preserve">financial_services</t>
        </is>
      </c>
      <c r="C254" s="0" t="inlineStr">
        <is>
          <t xml:space="preserve">amer_east</t>
        </is>
      </c>
      <c r="D254" s="0" t="inlineStr">
        <is>
          <t xml:space="preserve">mid_market</t>
        </is>
      </c>
      <c r="E254" s="4">
        <v>427</v>
      </c>
      <c r="F254" s="0" t="inlineStr">
        <is>
          <t xml:space="preserve">Pioneer Manufacturing SA</t>
        </is>
      </c>
    </row>
    <row r="255">
      <c r="A255" s="0" t="inlineStr">
        <is>
          <t xml:space="preserve">a0254</t>
        </is>
      </c>
      <c r="B255" s="0" t="inlineStr">
        <is>
          <t xml:space="preserve">healthcare</t>
        </is>
      </c>
      <c r="C255" s="0" t="inlineStr">
        <is>
          <t xml:space="preserve">amer_west</t>
        </is>
      </c>
      <c r="D255" s="0" t="inlineStr">
        <is>
          <t xml:space="preserve">smb</t>
        </is>
      </c>
      <c r="E255" s="4">
        <v>25</v>
      </c>
      <c r="F255" s="0" t="inlineStr">
        <is>
          <t xml:space="preserve">Tidewater Energy Partners</t>
        </is>
      </c>
    </row>
    <row r="256">
      <c r="A256" s="0" t="inlineStr">
        <is>
          <t xml:space="preserve">a0255</t>
        </is>
      </c>
      <c r="B256" s="0" t="inlineStr">
        <is>
          <t xml:space="preserve">media</t>
        </is>
      </c>
      <c r="C256" s="0" t="inlineStr">
        <is>
          <t xml:space="preserve">amer_west</t>
        </is>
      </c>
      <c r="D256" s="0" t="inlineStr">
        <is>
          <t xml:space="preserve">smb</t>
        </is>
      </c>
      <c r="E256" s="4">
        <v>57</v>
      </c>
      <c r="F256" s="0" t="inlineStr">
        <is>
          <t xml:space="preserve">Umber Learning Holdings</t>
        </is>
      </c>
    </row>
    <row r="257">
      <c r="A257" s="0" t="inlineStr">
        <is>
          <t xml:space="preserve">a0256</t>
        </is>
      </c>
      <c r="B257" s="0" t="inlineStr">
        <is>
          <t xml:space="preserve">retail</t>
        </is>
      </c>
      <c r="C257" s="0" t="inlineStr">
        <is>
          <t xml:space="preserve">amer_west</t>
        </is>
      </c>
      <c r="D257" s="0" t="inlineStr">
        <is>
          <t xml:space="preserve">smb</t>
        </is>
      </c>
      <c r="E257" s="4">
        <v>77</v>
      </c>
      <c r="F257" s="0" t="inlineStr">
        <is>
          <t xml:space="preserve">Falcon Labs</t>
        </is>
      </c>
    </row>
    <row r="258">
      <c r="A258" s="0" t="inlineStr">
        <is>
          <t xml:space="preserve">a0257</t>
        </is>
      </c>
      <c r="B258" s="0" t="inlineStr">
        <is>
          <t xml:space="preserve">retail</t>
        </is>
      </c>
      <c r="C258" s="0" t="inlineStr">
        <is>
          <t xml:space="preserve">amer_west</t>
        </is>
      </c>
      <c r="D258" s="0" t="inlineStr">
        <is>
          <t xml:space="preserve">mid_market</t>
        </is>
      </c>
      <c r="E258" s="4">
        <v>316</v>
      </c>
      <c r="F258" s="0" t="inlineStr">
        <is>
          <t xml:space="preserve">Blue Harbor Media SA</t>
        </is>
      </c>
    </row>
    <row r="259">
      <c r="A259" s="0" t="inlineStr">
        <is>
          <t xml:space="preserve">a0258</t>
        </is>
      </c>
      <c r="B259" s="0" t="inlineStr">
        <is>
          <t xml:space="preserve">media</t>
        </is>
      </c>
      <c r="C259" s="0" t="inlineStr">
        <is>
          <t xml:space="preserve">amer_west</t>
        </is>
      </c>
      <c r="D259" s="0" t="inlineStr">
        <is>
          <t xml:space="preserve">smb</t>
        </is>
      </c>
      <c r="E259" s="4">
        <v>244</v>
      </c>
      <c r="F259" s="0" t="inlineStr">
        <is>
          <t xml:space="preserve">Keystone Learning Ltd</t>
        </is>
      </c>
    </row>
    <row r="260">
      <c r="A260" s="0" t="inlineStr">
        <is>
          <t xml:space="preserve">a0259</t>
        </is>
      </c>
      <c r="B260" s="0" t="inlineStr">
        <is>
          <t xml:space="preserve">financial_services</t>
        </is>
      </c>
      <c r="C260" s="0" t="inlineStr">
        <is>
          <t xml:space="preserve">amer_west</t>
        </is>
      </c>
      <c r="D260" s="0" t="inlineStr">
        <is>
          <t xml:space="preserve">smb</t>
        </is>
      </c>
      <c r="E260" s="4">
        <v>23</v>
      </c>
      <c r="F260" s="0" t="inlineStr">
        <is>
          <t xml:space="preserve">Beacon Media Holdings</t>
        </is>
      </c>
    </row>
    <row r="261">
      <c r="A261" s="0" t="inlineStr">
        <is>
          <t xml:space="preserve">a0260</t>
        </is>
      </c>
      <c r="B261" s="0" t="inlineStr">
        <is>
          <t xml:space="preserve">software</t>
        </is>
      </c>
      <c r="C261" s="0" t="inlineStr">
        <is>
          <t xml:space="preserve">amer_west</t>
        </is>
      </c>
      <c r="D261" s="0" t="inlineStr">
        <is>
          <t xml:space="preserve">smb</t>
        </is>
      </c>
      <c r="E261" s="4">
        <v>32</v>
      </c>
      <c r="F261" s="0" t="inlineStr">
        <is>
          <t xml:space="preserve">Harbor Retail AG</t>
        </is>
      </c>
    </row>
    <row r="262">
      <c r="A262" s="0" t="inlineStr">
        <is>
          <t xml:space="preserve">a0261</t>
        </is>
      </c>
      <c r="B262" s="0" t="inlineStr">
        <is>
          <t xml:space="preserve">manufacturing</t>
        </is>
      </c>
      <c r="C262" s="0" t="inlineStr">
        <is>
          <t xml:space="preserve">amer_west</t>
        </is>
      </c>
      <c r="D262" s="0" t="inlineStr">
        <is>
          <t xml:space="preserve">smb</t>
        </is>
      </c>
      <c r="E262" s="4">
        <v>29</v>
      </c>
      <c r="F262" s="0" t="inlineStr">
        <is>
          <t xml:space="preserve">Ironbridge Media Co</t>
        </is>
      </c>
    </row>
    <row r="263">
      <c r="A263" s="0" t="inlineStr">
        <is>
          <t xml:space="preserve">a0262</t>
        </is>
      </c>
      <c r="B263" s="0" t="inlineStr">
        <is>
          <t xml:space="preserve">software</t>
        </is>
      </c>
      <c r="C263" s="0" t="inlineStr">
        <is>
          <t xml:space="preserve">amer_west</t>
        </is>
      </c>
      <c r="D263" s="0" t="inlineStr">
        <is>
          <t xml:space="preserve">enterprise</t>
        </is>
      </c>
      <c r="E263" s="4">
        <v>30994</v>
      </c>
      <c r="F263" s="0" t="inlineStr">
        <is>
          <t xml:space="preserve">Aurora Learning</t>
        </is>
      </c>
    </row>
    <row r="264">
      <c r="A264" s="0" t="inlineStr">
        <is>
          <t xml:space="preserve">a0263</t>
        </is>
      </c>
      <c r="B264" s="0" t="inlineStr">
        <is>
          <t xml:space="preserve">healthcare</t>
        </is>
      </c>
      <c r="C264" s="0" t="inlineStr">
        <is>
          <t xml:space="preserve">amer_west</t>
        </is>
      </c>
      <c r="D264" s="0" t="inlineStr">
        <is>
          <t xml:space="preserve">smb</t>
        </is>
      </c>
      <c r="E264" s="4">
        <v>25</v>
      </c>
      <c r="F264" s="0" t="inlineStr">
        <is>
          <t xml:space="preserve">Vertex Media Holdings</t>
        </is>
      </c>
    </row>
    <row r="265">
      <c r="A265" s="0" t="inlineStr">
        <is>
          <t xml:space="preserve">a0264</t>
        </is>
      </c>
      <c r="B265" s="0" t="inlineStr">
        <is>
          <t xml:space="preserve">healthcare</t>
        </is>
      </c>
      <c r="C265" s="0" t="inlineStr">
        <is>
          <t xml:space="preserve">amer_west</t>
        </is>
      </c>
      <c r="D265" s="0" t="inlineStr">
        <is>
          <t xml:space="preserve">smb</t>
        </is>
      </c>
      <c r="E265" s="4">
        <v>160</v>
      </c>
      <c r="F265" s="0" t="inlineStr">
        <is>
          <t xml:space="preserve">Copper Robotics Co</t>
        </is>
      </c>
    </row>
    <row r="266">
      <c r="A266" s="0" t="inlineStr">
        <is>
          <t xml:space="preserve">a0265</t>
        </is>
      </c>
      <c r="B266" s="0" t="inlineStr">
        <is>
          <t xml:space="preserve">financial_services</t>
        </is>
      </c>
      <c r="C266" s="0" t="inlineStr">
        <is>
          <t xml:space="preserve">amer_west</t>
        </is>
      </c>
      <c r="D266" s="0" t="inlineStr">
        <is>
          <t xml:space="preserve">mid_market</t>
        </is>
      </c>
      <c r="E266" s="4">
        <v>486</v>
      </c>
      <c r="F266" s="0" t="inlineStr">
        <is>
          <t xml:space="preserve">Quantum Health Inc</t>
        </is>
      </c>
    </row>
    <row r="267">
      <c r="A267" s="0" t="inlineStr">
        <is>
          <t xml:space="preserve">a0266</t>
        </is>
      </c>
      <c r="B267" s="0" t="inlineStr">
        <is>
          <t xml:space="preserve">software</t>
        </is>
      </c>
      <c r="C267" s="0" t="inlineStr">
        <is>
          <t xml:space="preserve">amer_west</t>
        </is>
      </c>
      <c r="D267" s="0" t="inlineStr">
        <is>
          <t xml:space="preserve">mid_market</t>
        </is>
      </c>
      <c r="E267" s="4">
        <v>592</v>
      </c>
      <c r="F267" s="0" t="inlineStr">
        <is>
          <t xml:space="preserve">Evergreen Energy SA</t>
        </is>
      </c>
    </row>
    <row r="268">
      <c r="A268" s="0" t="inlineStr">
        <is>
          <t xml:space="preserve">a0267</t>
        </is>
      </c>
      <c r="B268" s="0" t="inlineStr">
        <is>
          <t xml:space="preserve">retail</t>
        </is>
      </c>
      <c r="C268" s="0" t="inlineStr">
        <is>
          <t xml:space="preserve">amer_west</t>
        </is>
      </c>
      <c r="D268" s="0" t="inlineStr">
        <is>
          <t xml:space="preserve">enterprise</t>
        </is>
      </c>
      <c r="E268" s="4">
        <v>4028</v>
      </c>
      <c r="F268" s="0" t="inlineStr">
        <is>
          <t xml:space="preserve">Cobalt Software Co</t>
        </is>
      </c>
    </row>
    <row r="269">
      <c r="A269" s="0" t="inlineStr">
        <is>
          <t xml:space="preserve">a0268</t>
        </is>
      </c>
      <c r="B269" s="0" t="inlineStr">
        <is>
          <t xml:space="preserve">public_sector</t>
        </is>
      </c>
      <c r="C269" s="0" t="inlineStr">
        <is>
          <t xml:space="preserve">amer_west</t>
        </is>
      </c>
      <c r="D269" s="0" t="inlineStr">
        <is>
          <t xml:space="preserve">smb</t>
        </is>
      </c>
      <c r="E269" s="4">
        <v>24</v>
      </c>
      <c r="F269" s="0" t="inlineStr">
        <is>
          <t xml:space="preserve">Lakeside Software Co</t>
        </is>
      </c>
    </row>
    <row r="270">
      <c r="A270" s="0" t="inlineStr">
        <is>
          <t xml:space="preserve">a0269</t>
        </is>
      </c>
      <c r="B270" s="0" t="inlineStr">
        <is>
          <t xml:space="preserve">retail</t>
        </is>
      </c>
      <c r="C270" s="0" t="inlineStr">
        <is>
          <t xml:space="preserve">amer_west</t>
        </is>
      </c>
      <c r="D270" s="0" t="inlineStr">
        <is>
          <t xml:space="preserve">smb</t>
        </is>
      </c>
      <c r="E270" s="4">
        <v>25</v>
      </c>
      <c r="F270" s="0" t="inlineStr">
        <is>
          <t xml:space="preserve">Copper Analytics Partners</t>
        </is>
      </c>
    </row>
    <row r="271">
      <c r="A271" s="0" t="inlineStr">
        <is>
          <t xml:space="preserve">a0270</t>
        </is>
      </c>
      <c r="B271" s="0" t="inlineStr">
        <is>
          <t xml:space="preserve">software</t>
        </is>
      </c>
      <c r="C271" s="0" t="inlineStr">
        <is>
          <t xml:space="preserve">amer_west</t>
        </is>
      </c>
      <c r="D271" s="0" t="inlineStr">
        <is>
          <t xml:space="preserve">smb</t>
        </is>
      </c>
      <c r="E271" s="4">
        <v>25</v>
      </c>
      <c r="F271" s="0" t="inlineStr">
        <is>
          <t xml:space="preserve">Brightwater Foods AG</t>
        </is>
      </c>
    </row>
    <row r="272">
      <c r="A272" s="0" t="inlineStr">
        <is>
          <t xml:space="preserve">a0271</t>
        </is>
      </c>
      <c r="B272" s="0" t="inlineStr">
        <is>
          <t xml:space="preserve">education</t>
        </is>
      </c>
      <c r="C272" s="0" t="inlineStr">
        <is>
          <t xml:space="preserve">amer_west</t>
        </is>
      </c>
      <c r="D272" s="0" t="inlineStr">
        <is>
          <t xml:space="preserve">smb</t>
        </is>
      </c>
      <c r="E272" s="4">
        <v>199</v>
      </c>
      <c r="F272" s="0" t="inlineStr">
        <is>
          <t xml:space="preserve">Juniper Labs</t>
        </is>
      </c>
    </row>
    <row r="273">
      <c r="A273" s="0" t="inlineStr">
        <is>
          <t xml:space="preserve">a0272</t>
        </is>
      </c>
      <c r="B273" s="0" t="inlineStr">
        <is>
          <t xml:space="preserve">manufacturing</t>
        </is>
      </c>
      <c r="C273" s="0" t="inlineStr">
        <is>
          <t xml:space="preserve">emea</t>
        </is>
      </c>
      <c r="D273" s="0" t="inlineStr">
        <is>
          <t xml:space="preserve">smb</t>
        </is>
      </c>
      <c r="E273" s="4">
        <v>81</v>
      </c>
      <c r="F273" s="0" t="inlineStr">
        <is>
          <t xml:space="preserve">Granite Retail</t>
        </is>
      </c>
    </row>
    <row r="274">
      <c r="A274" s="0" t="inlineStr">
        <is>
          <t xml:space="preserve">a0273</t>
        </is>
      </c>
      <c r="B274" s="0" t="inlineStr">
        <is>
          <t xml:space="preserve">software</t>
        </is>
      </c>
      <c r="C274" s="0" t="inlineStr">
        <is>
          <t xml:space="preserve">emea</t>
        </is>
      </c>
      <c r="D274" s="0" t="inlineStr">
        <is>
          <t xml:space="preserve">enterprise</t>
        </is>
      </c>
      <c r="E274" s="4">
        <v>4148</v>
      </c>
      <c r="F274" s="0" t="inlineStr">
        <is>
          <t xml:space="preserve">Nimbus Media Ltd</t>
        </is>
      </c>
    </row>
    <row r="275">
      <c r="A275" s="0" t="inlineStr">
        <is>
          <t xml:space="preserve">a0274</t>
        </is>
      </c>
      <c r="B275" s="0" t="inlineStr">
        <is>
          <t xml:space="preserve">software</t>
        </is>
      </c>
      <c r="C275" s="0" t="inlineStr">
        <is>
          <t xml:space="preserve">emea</t>
        </is>
      </c>
      <c r="D275" s="0" t="inlineStr">
        <is>
          <t xml:space="preserve">enterprise</t>
        </is>
      </c>
      <c r="E275" s="4">
        <v>5341</v>
      </c>
      <c r="F275" s="0" t="inlineStr">
        <is>
          <t xml:space="preserve">Tidewater Mobility Group</t>
        </is>
      </c>
    </row>
    <row r="276">
      <c r="A276" s="0" t="inlineStr">
        <is>
          <t xml:space="preserve">a0275</t>
        </is>
      </c>
      <c r="B276" s="0" t="inlineStr">
        <is>
          <t xml:space="preserve">manufacturing</t>
        </is>
      </c>
      <c r="C276" s="0" t="inlineStr">
        <is>
          <t xml:space="preserve">emea</t>
        </is>
      </c>
      <c r="D276" s="0" t="inlineStr">
        <is>
          <t xml:space="preserve">smb</t>
        </is>
      </c>
      <c r="E276" s="4">
        <v>33</v>
      </c>
      <c r="F276" s="0" t="inlineStr">
        <is>
          <t xml:space="preserve">Redwood Software Ltd</t>
        </is>
      </c>
    </row>
    <row r="277">
      <c r="A277" s="0" t="inlineStr">
        <is>
          <t xml:space="preserve">a0276</t>
        </is>
      </c>
      <c r="B277" s="0" t="inlineStr">
        <is>
          <t xml:space="preserve">education</t>
        </is>
      </c>
      <c r="C277" s="0" t="inlineStr">
        <is>
          <t xml:space="preserve">emea</t>
        </is>
      </c>
      <c r="D277" s="0" t="inlineStr">
        <is>
          <t xml:space="preserve">enterprise</t>
        </is>
      </c>
      <c r="E277" s="4">
        <v>2902</v>
      </c>
      <c r="F277" s="0" t="inlineStr">
        <is>
          <t xml:space="preserve">Redwood Energy Ltd</t>
        </is>
      </c>
    </row>
    <row r="278">
      <c r="A278" s="0" t="inlineStr">
        <is>
          <t xml:space="preserve">a0277</t>
        </is>
      </c>
      <c r="B278" s="0" t="inlineStr">
        <is>
          <t xml:space="preserve">manufacturing</t>
        </is>
      </c>
      <c r="C278" s="0" t="inlineStr">
        <is>
          <t xml:space="preserve">emea</t>
        </is>
      </c>
      <c r="D278" s="0" t="inlineStr">
        <is>
          <t xml:space="preserve">smb</t>
        </is>
      </c>
      <c r="E278" s="4">
        <v>24</v>
      </c>
      <c r="F278" s="0" t="inlineStr">
        <is>
          <t xml:space="preserve">Evergreen Systems Ltd</t>
        </is>
      </c>
    </row>
    <row r="279">
      <c r="A279" s="0" t="inlineStr">
        <is>
          <t xml:space="preserve">a0278</t>
        </is>
      </c>
      <c r="B279" s="0" t="inlineStr">
        <is>
          <t xml:space="preserve">financial_services</t>
        </is>
      </c>
      <c r="C279" s="0" t="inlineStr">
        <is>
          <t xml:space="preserve">emea</t>
        </is>
      </c>
      <c r="D279" s="0" t="inlineStr">
        <is>
          <t xml:space="preserve">smb</t>
        </is>
      </c>
      <c r="E279" s="4">
        <v>21</v>
      </c>
      <c r="F279" s="0" t="inlineStr">
        <is>
          <t xml:space="preserve">Silverline Logistics Holdings</t>
        </is>
      </c>
    </row>
    <row r="280">
      <c r="A280" s="0" t="inlineStr">
        <is>
          <t xml:space="preserve">a0279</t>
        </is>
      </c>
      <c r="B280" s="0" t="inlineStr">
        <is>
          <t xml:space="preserve">financial_services</t>
        </is>
      </c>
      <c r="C280" s="0" t="inlineStr">
        <is>
          <t xml:space="preserve">emea</t>
        </is>
      </c>
      <c r="D280" s="0" t="inlineStr">
        <is>
          <t xml:space="preserve">smb</t>
        </is>
      </c>
      <c r="E280" s="4">
        <v>140</v>
      </c>
      <c r="F280" s="0" t="inlineStr">
        <is>
          <t xml:space="preserve">Meridian Media</t>
        </is>
      </c>
    </row>
    <row r="281">
      <c r="A281" s="0" t="inlineStr">
        <is>
          <t xml:space="preserve">a0280</t>
        </is>
      </c>
      <c r="B281" s="0" t="inlineStr">
        <is>
          <t xml:space="preserve">retail</t>
        </is>
      </c>
      <c r="C281" s="0" t="inlineStr">
        <is>
          <t xml:space="preserve">emea</t>
        </is>
      </c>
      <c r="D281" s="0" t="inlineStr">
        <is>
          <t xml:space="preserve">mid_market</t>
        </is>
      </c>
      <c r="E281" s="4">
        <v>281</v>
      </c>
      <c r="F281" s="0" t="inlineStr">
        <is>
          <t xml:space="preserve">Copper Capital</t>
        </is>
      </c>
    </row>
    <row r="282">
      <c r="A282" s="0" t="inlineStr">
        <is>
          <t xml:space="preserve">a0281</t>
        </is>
      </c>
      <c r="B282" s="0" t="inlineStr">
        <is>
          <t xml:space="preserve">financial_services</t>
        </is>
      </c>
      <c r="C282" s="0" t="inlineStr">
        <is>
          <t xml:space="preserve">emea</t>
        </is>
      </c>
      <c r="D282" s="0" t="inlineStr">
        <is>
          <t xml:space="preserve">mid_market</t>
        </is>
      </c>
      <c r="E282" s="4">
        <v>532</v>
      </c>
      <c r="F282" s="0" t="inlineStr">
        <is>
          <t xml:space="preserve">Harbor Media</t>
        </is>
      </c>
    </row>
    <row r="283">
      <c r="A283" s="0" t="inlineStr">
        <is>
          <t xml:space="preserve">a0282</t>
        </is>
      </c>
      <c r="B283" s="0" t="inlineStr">
        <is>
          <t xml:space="preserve">software</t>
        </is>
      </c>
      <c r="C283" s="0" t="inlineStr">
        <is>
          <t xml:space="preserve">emea</t>
        </is>
      </c>
      <c r="D283" s="0" t="inlineStr">
        <is>
          <t xml:space="preserve">smb</t>
        </is>
      </c>
      <c r="E283" s="4">
        <v>62</v>
      </c>
      <c r="F283" s="0" t="inlineStr">
        <is>
          <t xml:space="preserve">Horizon Analytics Partners</t>
        </is>
      </c>
    </row>
    <row r="284">
      <c r="A284" s="0" t="inlineStr">
        <is>
          <t xml:space="preserve">a0283</t>
        </is>
      </c>
      <c r="B284" s="0" t="inlineStr">
        <is>
          <t xml:space="preserve">manufacturing</t>
        </is>
      </c>
      <c r="C284" s="0" t="inlineStr">
        <is>
          <t xml:space="preserve">emea</t>
        </is>
      </c>
      <c r="D284" s="0" t="inlineStr">
        <is>
          <t xml:space="preserve">smb</t>
        </is>
      </c>
      <c r="E284" s="4">
        <v>166</v>
      </c>
      <c r="F284" s="0" t="inlineStr">
        <is>
          <t xml:space="preserve">Sable Mobility Co</t>
        </is>
      </c>
    </row>
    <row r="285">
      <c r="A285" s="0" t="inlineStr">
        <is>
          <t xml:space="preserve">a0284</t>
        </is>
      </c>
      <c r="B285" s="0" t="inlineStr">
        <is>
          <t xml:space="preserve">healthcare</t>
        </is>
      </c>
      <c r="C285" s="0" t="inlineStr">
        <is>
          <t xml:space="preserve">emea</t>
        </is>
      </c>
      <c r="D285" s="0" t="inlineStr">
        <is>
          <t xml:space="preserve">mid_market</t>
        </is>
      </c>
      <c r="E285" s="4">
        <v>600</v>
      </c>
      <c r="F285" s="0" t="inlineStr">
        <is>
          <t xml:space="preserve">Ironbridge Mobility Co</t>
        </is>
      </c>
    </row>
    <row r="286">
      <c r="A286" s="0" t="inlineStr">
        <is>
          <t xml:space="preserve">a0285</t>
        </is>
      </c>
      <c r="B286" s="0" t="inlineStr">
        <is>
          <t xml:space="preserve">software</t>
        </is>
      </c>
      <c r="C286" s="0" t="inlineStr">
        <is>
          <t xml:space="preserve">emea</t>
        </is>
      </c>
      <c r="D286" s="0" t="inlineStr">
        <is>
          <t xml:space="preserve">mid_market</t>
        </is>
      </c>
      <c r="E286" s="4">
        <v>455</v>
      </c>
      <c r="F286" s="0" t="inlineStr">
        <is>
          <t xml:space="preserve">Northwind Financial</t>
        </is>
      </c>
    </row>
    <row r="287">
      <c r="A287" s="0" t="inlineStr">
        <is>
          <t xml:space="preserve">a0286</t>
        </is>
      </c>
      <c r="B287" s="0" t="inlineStr">
        <is>
          <t xml:space="preserve">healthcare</t>
        </is>
      </c>
      <c r="C287" s="0" t="inlineStr">
        <is>
          <t xml:space="preserve">emea</t>
        </is>
      </c>
      <c r="D287" s="0" t="inlineStr">
        <is>
          <t xml:space="preserve">smb</t>
        </is>
      </c>
      <c r="E287" s="4">
        <v>46</v>
      </c>
      <c r="F287" s="0" t="inlineStr">
        <is>
          <t xml:space="preserve">Lakeside Mobility Co</t>
        </is>
      </c>
    </row>
    <row r="288">
      <c r="A288" s="0" t="inlineStr">
        <is>
          <t xml:space="preserve">a0287</t>
        </is>
      </c>
      <c r="B288" s="0" t="inlineStr">
        <is>
          <t xml:space="preserve">healthcare</t>
        </is>
      </c>
      <c r="C288" s="0" t="inlineStr">
        <is>
          <t xml:space="preserve">emea</t>
        </is>
      </c>
      <c r="D288" s="0" t="inlineStr">
        <is>
          <t xml:space="preserve">enterprise</t>
        </is>
      </c>
      <c r="E288" s="4">
        <v>9699</v>
      </c>
      <c r="F288" s="0" t="inlineStr">
        <is>
          <t xml:space="preserve">Copper Insurance AG</t>
        </is>
      </c>
    </row>
    <row r="289">
      <c r="A289" s="0" t="inlineStr">
        <is>
          <t xml:space="preserve">a0288</t>
        </is>
      </c>
      <c r="B289" s="0" t="inlineStr">
        <is>
          <t xml:space="preserve">software</t>
        </is>
      </c>
      <c r="C289" s="0" t="inlineStr">
        <is>
          <t xml:space="preserve">emea</t>
        </is>
      </c>
      <c r="D289" s="0" t="inlineStr">
        <is>
          <t xml:space="preserve">smb</t>
        </is>
      </c>
      <c r="E289" s="4">
        <v>61</v>
      </c>
      <c r="F289" s="0" t="inlineStr">
        <is>
          <t xml:space="preserve">Pioneer Analytics</t>
        </is>
      </c>
    </row>
    <row r="290">
      <c r="A290" s="0" t="inlineStr">
        <is>
          <t xml:space="preserve">a0289</t>
        </is>
      </c>
      <c r="B290" s="0" t="inlineStr">
        <is>
          <t xml:space="preserve">software</t>
        </is>
      </c>
      <c r="C290" s="0" t="inlineStr">
        <is>
          <t xml:space="preserve">emea</t>
        </is>
      </c>
      <c r="D290" s="0" t="inlineStr">
        <is>
          <t xml:space="preserve">enterprise</t>
        </is>
      </c>
      <c r="E290" s="4">
        <v>3154</v>
      </c>
      <c r="F290" s="0" t="inlineStr">
        <is>
          <t xml:space="preserve">Cascade Media</t>
        </is>
      </c>
    </row>
    <row r="291">
      <c r="A291" s="0" t="inlineStr">
        <is>
          <t xml:space="preserve">a0290</t>
        </is>
      </c>
      <c r="B291" s="0" t="inlineStr">
        <is>
          <t xml:space="preserve">retail</t>
        </is>
      </c>
      <c r="C291" s="0" t="inlineStr">
        <is>
          <t xml:space="preserve">emea</t>
        </is>
      </c>
      <c r="D291" s="0" t="inlineStr">
        <is>
          <t xml:space="preserve">enterprise</t>
        </is>
      </c>
      <c r="E291" s="4">
        <v>3532</v>
      </c>
      <c r="F291" s="0" t="inlineStr">
        <is>
          <t xml:space="preserve">Copper Networks</t>
        </is>
      </c>
    </row>
    <row r="292">
      <c r="A292" s="0" t="inlineStr">
        <is>
          <t xml:space="preserve">a0291</t>
        </is>
      </c>
      <c r="B292" s="0" t="inlineStr">
        <is>
          <t xml:space="preserve">retail</t>
        </is>
      </c>
      <c r="C292" s="0" t="inlineStr">
        <is>
          <t xml:space="preserve">emea</t>
        </is>
      </c>
      <c r="D292" s="0" t="inlineStr">
        <is>
          <t xml:space="preserve">mid_market</t>
        </is>
      </c>
      <c r="E292" s="4">
        <v>443</v>
      </c>
      <c r="F292" s="0" t="inlineStr">
        <is>
          <t xml:space="preserve">Nimbus Learning SA</t>
        </is>
      </c>
    </row>
    <row r="293">
      <c r="A293" s="0" t="inlineStr">
        <is>
          <t xml:space="preserve">a0292</t>
        </is>
      </c>
      <c r="B293" s="0" t="inlineStr">
        <is>
          <t xml:space="preserve">retail</t>
        </is>
      </c>
      <c r="C293" s="0" t="inlineStr">
        <is>
          <t xml:space="preserve">emea</t>
        </is>
      </c>
      <c r="D293" s="0" t="inlineStr">
        <is>
          <t xml:space="preserve">smb</t>
        </is>
      </c>
      <c r="E293" s="4">
        <v>62</v>
      </c>
      <c r="F293" s="0" t="inlineStr">
        <is>
          <t xml:space="preserve">Nimbus Logistics Co</t>
        </is>
      </c>
    </row>
    <row r="294">
      <c r="A294" s="0" t="inlineStr">
        <is>
          <t xml:space="preserve">a0293</t>
        </is>
      </c>
      <c r="B294" s="0" t="inlineStr">
        <is>
          <t xml:space="preserve">retail</t>
        </is>
      </c>
      <c r="C294" s="0" t="inlineStr">
        <is>
          <t xml:space="preserve">emea</t>
        </is>
      </c>
      <c r="D294" s="0" t="inlineStr">
        <is>
          <t xml:space="preserve">mid_market</t>
        </is>
      </c>
      <c r="E294" s="4">
        <v>354</v>
      </c>
      <c r="F294" s="0" t="inlineStr">
        <is>
          <t xml:space="preserve">Umber Mobility Holdings</t>
        </is>
      </c>
    </row>
    <row r="295">
      <c r="A295" s="0" t="inlineStr">
        <is>
          <t xml:space="preserve">a0294</t>
        </is>
      </c>
      <c r="B295" s="0" t="inlineStr">
        <is>
          <t xml:space="preserve">manufacturing</t>
        </is>
      </c>
      <c r="C295" s="0" t="inlineStr">
        <is>
          <t xml:space="preserve">emea</t>
        </is>
      </c>
      <c r="D295" s="0" t="inlineStr">
        <is>
          <t xml:space="preserve">smb</t>
        </is>
      </c>
      <c r="E295" s="4">
        <v>29</v>
      </c>
      <c r="F295" s="0" t="inlineStr">
        <is>
          <t xml:space="preserve">Granite Robotics Inc</t>
        </is>
      </c>
    </row>
    <row r="296">
      <c r="A296" s="0" t="inlineStr">
        <is>
          <t xml:space="preserve">a0295</t>
        </is>
      </c>
      <c r="B296" s="0" t="inlineStr">
        <is>
          <t xml:space="preserve">healthcare</t>
        </is>
      </c>
      <c r="C296" s="0" t="inlineStr">
        <is>
          <t xml:space="preserve">emea</t>
        </is>
      </c>
      <c r="D296" s="0" t="inlineStr">
        <is>
          <t xml:space="preserve">smb</t>
        </is>
      </c>
      <c r="E296" s="4">
        <v>27</v>
      </c>
      <c r="F296" s="0" t="inlineStr">
        <is>
          <t xml:space="preserve">Lakeside Analytics AG</t>
        </is>
      </c>
    </row>
    <row r="297">
      <c r="A297" s="0" t="inlineStr">
        <is>
          <t xml:space="preserve">a0296</t>
        </is>
      </c>
      <c r="B297" s="0" t="inlineStr">
        <is>
          <t xml:space="preserve">energy</t>
        </is>
      </c>
      <c r="C297" s="0" t="inlineStr">
        <is>
          <t xml:space="preserve">apac</t>
        </is>
      </c>
      <c r="D297" s="0" t="inlineStr">
        <is>
          <t xml:space="preserve">mid_market</t>
        </is>
      </c>
      <c r="E297" s="4">
        <v>344</v>
      </c>
      <c r="F297" s="0" t="inlineStr">
        <is>
          <t xml:space="preserve">Redwood Analytics Ltd</t>
        </is>
      </c>
    </row>
    <row r="298">
      <c r="A298" s="0" t="inlineStr">
        <is>
          <t xml:space="preserve">a0297</t>
        </is>
      </c>
      <c r="B298" s="0" t="inlineStr">
        <is>
          <t xml:space="preserve">software</t>
        </is>
      </c>
      <c r="C298" s="0" t="inlineStr">
        <is>
          <t xml:space="preserve">apac</t>
        </is>
      </c>
      <c r="D298" s="0" t="inlineStr">
        <is>
          <t xml:space="preserve">mid_market</t>
        </is>
      </c>
      <c r="E298" s="4">
        <v>638</v>
      </c>
      <c r="F298" s="0" t="inlineStr">
        <is>
          <t xml:space="preserve">Juniper Materials Inc</t>
        </is>
      </c>
    </row>
    <row r="299">
      <c r="A299" s="0" t="inlineStr">
        <is>
          <t xml:space="preserve">a0298</t>
        </is>
      </c>
      <c r="B299" s="0" t="inlineStr">
        <is>
          <t xml:space="preserve">logistics</t>
        </is>
      </c>
      <c r="C299" s="0" t="inlineStr">
        <is>
          <t xml:space="preserve">apac</t>
        </is>
      </c>
      <c r="D299" s="0" t="inlineStr">
        <is>
          <t xml:space="preserve">mid_market</t>
        </is>
      </c>
      <c r="E299" s="4">
        <v>412</v>
      </c>
      <c r="F299" s="0" t="inlineStr">
        <is>
          <t xml:space="preserve">Northwind Financial Partners</t>
        </is>
      </c>
    </row>
    <row r="300">
      <c r="A300" s="0" t="inlineStr">
        <is>
          <t xml:space="preserve">a0299</t>
        </is>
      </c>
      <c r="B300" s="0" t="inlineStr">
        <is>
          <t xml:space="preserve">healthcare</t>
        </is>
      </c>
      <c r="C300" s="0" t="inlineStr">
        <is>
          <t xml:space="preserve">apac</t>
        </is>
      </c>
      <c r="D300" s="0" t="inlineStr">
        <is>
          <t xml:space="preserve">smb</t>
        </is>
      </c>
      <c r="E300" s="4">
        <v>24</v>
      </c>
      <c r="F300" s="0" t="inlineStr">
        <is>
          <t xml:space="preserve">Silverline Retail Partners</t>
        </is>
      </c>
    </row>
    <row r="301">
      <c r="A301" s="0" t="inlineStr">
        <is>
          <t xml:space="preserve">a0300</t>
        </is>
      </c>
      <c r="B301" s="0" t="inlineStr">
        <is>
          <t xml:space="preserve">logistics</t>
        </is>
      </c>
      <c r="C301" s="0" t="inlineStr">
        <is>
          <t xml:space="preserve">apac</t>
        </is>
      </c>
      <c r="D301" s="0" t="inlineStr">
        <is>
          <t xml:space="preserve">mid_market</t>
        </is>
      </c>
      <c r="E301" s="4">
        <v>296</v>
      </c>
      <c r="F301" s="0" t="inlineStr">
        <is>
          <t xml:space="preserve">Nimbus Biotech Partners</t>
        </is>
      </c>
    </row>
    <row r="302">
      <c r="A302" s="0" t="inlineStr">
        <is>
          <t xml:space="preserve">a0301</t>
        </is>
      </c>
      <c r="B302" s="0" t="inlineStr">
        <is>
          <t xml:space="preserve">financial_services</t>
        </is>
      </c>
      <c r="C302" s="0" t="inlineStr">
        <is>
          <t xml:space="preserve">apac</t>
        </is>
      </c>
      <c r="D302" s="0" t="inlineStr">
        <is>
          <t xml:space="preserve">smb</t>
        </is>
      </c>
      <c r="E302" s="4">
        <v>38</v>
      </c>
      <c r="F302" s="0" t="inlineStr">
        <is>
          <t xml:space="preserve">Meridian Health Group</t>
        </is>
      </c>
    </row>
    <row r="303">
      <c r="A303" s="0" t="inlineStr">
        <is>
          <t xml:space="preserve">a0302</t>
        </is>
      </c>
      <c r="B303" s="0" t="inlineStr">
        <is>
          <t xml:space="preserve">software</t>
        </is>
      </c>
      <c r="C303" s="0" t="inlineStr">
        <is>
          <t xml:space="preserve">apac</t>
        </is>
      </c>
      <c r="D303" s="0" t="inlineStr">
        <is>
          <t xml:space="preserve">smb</t>
        </is>
      </c>
      <c r="E303" s="4">
        <v>55</v>
      </c>
      <c r="F303" s="0" t="inlineStr">
        <is>
          <t xml:space="preserve">Quantum Systems SA</t>
        </is>
      </c>
    </row>
    <row r="304">
      <c r="A304" s="0" t="inlineStr">
        <is>
          <t xml:space="preserve">a0303</t>
        </is>
      </c>
      <c r="B304" s="0" t="inlineStr">
        <is>
          <t xml:space="preserve">software</t>
        </is>
      </c>
      <c r="C304" s="0" t="inlineStr">
        <is>
          <t xml:space="preserve">apac</t>
        </is>
      </c>
      <c r="D304" s="0" t="inlineStr">
        <is>
          <t xml:space="preserve">mid_market</t>
        </is>
      </c>
      <c r="E304" s="4">
        <v>533</v>
      </c>
      <c r="F304" s="0" t="inlineStr">
        <is>
          <t xml:space="preserve">Beacon Networks</t>
        </is>
      </c>
    </row>
    <row r="305">
      <c r="A305" s="0" t="inlineStr">
        <is>
          <t xml:space="preserve">a0304</t>
        </is>
      </c>
      <c r="B305" s="0" t="inlineStr">
        <is>
          <t xml:space="preserve">financial_services</t>
        </is>
      </c>
      <c r="C305" s="0" t="inlineStr">
        <is>
          <t xml:space="preserve">apac</t>
        </is>
      </c>
      <c r="D305" s="0" t="inlineStr">
        <is>
          <t xml:space="preserve">mid_market</t>
        </is>
      </c>
      <c r="E305" s="4">
        <v>302</v>
      </c>
      <c r="F305" s="0" t="inlineStr">
        <is>
          <t xml:space="preserve">Atlas Networks Holdings</t>
        </is>
      </c>
    </row>
    <row r="306">
      <c r="A306" s="0" t="inlineStr">
        <is>
          <t xml:space="preserve">a0305</t>
        </is>
      </c>
      <c r="B306" s="0" t="inlineStr">
        <is>
          <t xml:space="preserve">software</t>
        </is>
      </c>
      <c r="C306" s="0" t="inlineStr">
        <is>
          <t xml:space="preserve">apac</t>
        </is>
      </c>
      <c r="D306" s="0" t="inlineStr">
        <is>
          <t xml:space="preserve">smb</t>
        </is>
      </c>
      <c r="E306" s="4">
        <v>34</v>
      </c>
      <c r="F306" s="0" t="inlineStr">
        <is>
          <t xml:space="preserve">Sable Labs</t>
        </is>
      </c>
    </row>
    <row r="307">
      <c r="A307" s="0" t="inlineStr">
        <is>
          <t xml:space="preserve">a0306</t>
        </is>
      </c>
      <c r="B307" s="0" t="inlineStr">
        <is>
          <t xml:space="preserve">public_sector</t>
        </is>
      </c>
      <c r="C307" s="0" t="inlineStr">
        <is>
          <t xml:space="preserve">apac</t>
        </is>
      </c>
      <c r="D307" s="0" t="inlineStr">
        <is>
          <t xml:space="preserve">mid_market</t>
        </is>
      </c>
      <c r="E307" s="4">
        <v>319</v>
      </c>
      <c r="F307" s="0" t="inlineStr">
        <is>
          <t xml:space="preserve">Lakeside Insurance SA</t>
        </is>
      </c>
    </row>
    <row r="308">
      <c r="A308" s="0" t="inlineStr">
        <is>
          <t xml:space="preserve">a0307</t>
        </is>
      </c>
      <c r="B308" s="0" t="inlineStr">
        <is>
          <t xml:space="preserve">financial_services</t>
        </is>
      </c>
      <c r="C308" s="0" t="inlineStr">
        <is>
          <t xml:space="preserve">amer_east</t>
        </is>
      </c>
      <c r="D308" s="0" t="inlineStr">
        <is>
          <t xml:space="preserve">enterprise</t>
        </is>
      </c>
      <c r="E308" s="4">
        <v>7838</v>
      </c>
      <c r="F308" s="0" t="inlineStr">
        <is>
          <t xml:space="preserve">Nimbus Health</t>
        </is>
      </c>
    </row>
    <row r="309">
      <c r="A309" s="0" t="inlineStr">
        <is>
          <t xml:space="preserve">a0308</t>
        </is>
      </c>
      <c r="B309" s="0" t="inlineStr">
        <is>
          <t xml:space="preserve">logistics</t>
        </is>
      </c>
      <c r="C309" s="0" t="inlineStr">
        <is>
          <t xml:space="preserve">amer_east</t>
        </is>
      </c>
      <c r="D309" s="0" t="inlineStr">
        <is>
          <t xml:space="preserve">smb</t>
        </is>
      </c>
      <c r="E309" s="4">
        <v>24</v>
      </c>
      <c r="F309" s="0" t="inlineStr">
        <is>
          <t xml:space="preserve">Evergreen Insurance Holdings</t>
        </is>
      </c>
    </row>
    <row r="310">
      <c r="A310" s="0" t="inlineStr">
        <is>
          <t xml:space="preserve">a0309</t>
        </is>
      </c>
      <c r="B310" s="0" t="inlineStr">
        <is>
          <t xml:space="preserve">software</t>
        </is>
      </c>
      <c r="C310" s="0" t="inlineStr">
        <is>
          <t xml:space="preserve">amer_east</t>
        </is>
      </c>
      <c r="D310" s="0" t="inlineStr">
        <is>
          <t xml:space="preserve">smb</t>
        </is>
      </c>
      <c r="E310" s="4">
        <v>21</v>
      </c>
      <c r="F310" s="0" t="inlineStr">
        <is>
          <t xml:space="preserve">Tidewater Retail SA</t>
        </is>
      </c>
    </row>
    <row r="311">
      <c r="A311" s="0" t="inlineStr">
        <is>
          <t xml:space="preserve">a0310</t>
        </is>
      </c>
      <c r="B311" s="0" t="inlineStr">
        <is>
          <t xml:space="preserve">software</t>
        </is>
      </c>
      <c r="C311" s="0" t="inlineStr">
        <is>
          <t xml:space="preserve">amer_east</t>
        </is>
      </c>
      <c r="D311" s="0" t="inlineStr">
        <is>
          <t xml:space="preserve">smb</t>
        </is>
      </c>
      <c r="E311" s="4">
        <v>29</v>
      </c>
      <c r="F311" s="0" t="inlineStr">
        <is>
          <t xml:space="preserve">Aurora Analytics Co</t>
        </is>
      </c>
    </row>
    <row r="312">
      <c r="A312" s="0" t="inlineStr">
        <is>
          <t xml:space="preserve">a0311</t>
        </is>
      </c>
      <c r="B312" s="0" t="inlineStr">
        <is>
          <t xml:space="preserve">logistics</t>
        </is>
      </c>
      <c r="C312" s="0" t="inlineStr">
        <is>
          <t xml:space="preserve">amer_east</t>
        </is>
      </c>
      <c r="D312" s="0" t="inlineStr">
        <is>
          <t xml:space="preserve">mid_market</t>
        </is>
      </c>
      <c r="E312" s="4">
        <v>256</v>
      </c>
      <c r="F312" s="0" t="inlineStr">
        <is>
          <t xml:space="preserve">Quantum Robotics Holdings</t>
        </is>
      </c>
    </row>
    <row r="313">
      <c r="A313" s="0" t="inlineStr">
        <is>
          <t xml:space="preserve">a0312</t>
        </is>
      </c>
      <c r="B313" s="0" t="inlineStr">
        <is>
          <t xml:space="preserve">manufacturing</t>
        </is>
      </c>
      <c r="C313" s="0" t="inlineStr">
        <is>
          <t xml:space="preserve">amer_east</t>
        </is>
      </c>
      <c r="D313" s="0" t="inlineStr">
        <is>
          <t xml:space="preserve">enterprise</t>
        </is>
      </c>
      <c r="E313" s="4">
        <v>3330</v>
      </c>
      <c r="F313" s="0" t="inlineStr">
        <is>
          <t xml:space="preserve">Granite Energy</t>
        </is>
      </c>
    </row>
    <row r="314">
      <c r="A314" s="0" t="inlineStr">
        <is>
          <t xml:space="preserve">a0313</t>
        </is>
      </c>
      <c r="B314" s="0" t="inlineStr">
        <is>
          <t xml:space="preserve">financial_services</t>
        </is>
      </c>
      <c r="C314" s="0" t="inlineStr">
        <is>
          <t xml:space="preserve">amer_east</t>
        </is>
      </c>
      <c r="D314" s="0" t="inlineStr">
        <is>
          <t xml:space="preserve">mid_market</t>
        </is>
      </c>
      <c r="E314" s="4">
        <v>279</v>
      </c>
      <c r="F314" s="0" t="inlineStr">
        <is>
          <t xml:space="preserve">Harbor Retail</t>
        </is>
      </c>
    </row>
    <row r="315">
      <c r="A315" s="0" t="inlineStr">
        <is>
          <t xml:space="preserve">a0314</t>
        </is>
      </c>
      <c r="B315" s="0" t="inlineStr">
        <is>
          <t xml:space="preserve">financial_services</t>
        </is>
      </c>
      <c r="C315" s="0" t="inlineStr">
        <is>
          <t xml:space="preserve">amer_east</t>
        </is>
      </c>
      <c r="D315" s="0" t="inlineStr">
        <is>
          <t xml:space="preserve">mid_market</t>
        </is>
      </c>
      <c r="E315" s="4">
        <v>303</v>
      </c>
      <c r="F315" s="0" t="inlineStr">
        <is>
          <t xml:space="preserve">Copper Financial</t>
        </is>
      </c>
    </row>
    <row r="316">
      <c r="A316" s="0" t="inlineStr">
        <is>
          <t xml:space="preserve">a0315</t>
        </is>
      </c>
      <c r="B316" s="0" t="inlineStr">
        <is>
          <t xml:space="preserve">software</t>
        </is>
      </c>
      <c r="C316" s="0" t="inlineStr">
        <is>
          <t xml:space="preserve">amer_east</t>
        </is>
      </c>
      <c r="D316" s="0" t="inlineStr">
        <is>
          <t xml:space="preserve">mid_market</t>
        </is>
      </c>
      <c r="E316" s="4">
        <v>285</v>
      </c>
      <c r="F316" s="0" t="inlineStr">
        <is>
          <t xml:space="preserve">Summit Materials</t>
        </is>
      </c>
    </row>
    <row r="317">
      <c r="A317" s="0" t="inlineStr">
        <is>
          <t xml:space="preserve">a0316</t>
        </is>
      </c>
      <c r="B317" s="0" t="inlineStr">
        <is>
          <t xml:space="preserve">software</t>
        </is>
      </c>
      <c r="C317" s="0" t="inlineStr">
        <is>
          <t xml:space="preserve">amer_east</t>
        </is>
      </c>
      <c r="D317" s="0" t="inlineStr">
        <is>
          <t xml:space="preserve">smb</t>
        </is>
      </c>
      <c r="E317" s="4">
        <v>41</v>
      </c>
      <c r="F317" s="0" t="inlineStr">
        <is>
          <t xml:space="preserve">Beacon Financial SA</t>
        </is>
      </c>
    </row>
    <row r="318">
      <c r="A318" s="0" t="inlineStr">
        <is>
          <t xml:space="preserve">a0317</t>
        </is>
      </c>
      <c r="B318" s="0" t="inlineStr">
        <is>
          <t xml:space="preserve">public_sector</t>
        </is>
      </c>
      <c r="C318" s="0" t="inlineStr">
        <is>
          <t xml:space="preserve">amer_east</t>
        </is>
      </c>
      <c r="D318" s="0" t="inlineStr">
        <is>
          <t xml:space="preserve">smb</t>
        </is>
      </c>
      <c r="E318" s="4">
        <v>20</v>
      </c>
      <c r="F318" s="0" t="inlineStr">
        <is>
          <t xml:space="preserve">Northwind Logistics Holdings</t>
        </is>
      </c>
    </row>
    <row r="319">
      <c r="A319" s="0" t="inlineStr">
        <is>
          <t xml:space="preserve">a0318</t>
        </is>
      </c>
      <c r="B319" s="0" t="inlineStr">
        <is>
          <t xml:space="preserve">manufacturing</t>
        </is>
      </c>
      <c r="C319" s="0" t="inlineStr">
        <is>
          <t xml:space="preserve">amer_east</t>
        </is>
      </c>
      <c r="D319" s="0" t="inlineStr">
        <is>
          <t xml:space="preserve">mid_market</t>
        </is>
      </c>
      <c r="E319" s="4">
        <v>270</v>
      </c>
      <c r="F319" s="0" t="inlineStr">
        <is>
          <t xml:space="preserve">Summit Labs AG</t>
        </is>
      </c>
    </row>
    <row r="320">
      <c r="A320" s="0" t="inlineStr">
        <is>
          <t xml:space="preserve">a0319</t>
        </is>
      </c>
      <c r="B320" s="0" t="inlineStr">
        <is>
          <t xml:space="preserve">healthcare</t>
        </is>
      </c>
      <c r="C320" s="0" t="inlineStr">
        <is>
          <t xml:space="preserve">amer_east</t>
        </is>
      </c>
      <c r="D320" s="0" t="inlineStr">
        <is>
          <t xml:space="preserve">smb</t>
        </is>
      </c>
      <c r="E320" s="4">
        <v>29</v>
      </c>
      <c r="F320" s="0" t="inlineStr">
        <is>
          <t xml:space="preserve">Meridian Health</t>
        </is>
      </c>
    </row>
    <row r="321">
      <c r="A321" s="0" t="inlineStr">
        <is>
          <t xml:space="preserve">a0320</t>
        </is>
      </c>
      <c r="B321" s="0" t="inlineStr">
        <is>
          <t xml:space="preserve">retail</t>
        </is>
      </c>
      <c r="C321" s="0" t="inlineStr">
        <is>
          <t xml:space="preserve">amer_east</t>
        </is>
      </c>
      <c r="D321" s="0" t="inlineStr">
        <is>
          <t xml:space="preserve">smb</t>
        </is>
      </c>
      <c r="E321" s="4">
        <v>24</v>
      </c>
      <c r="F321" s="0" t="inlineStr">
        <is>
          <t xml:space="preserve">Quantum Systems</t>
        </is>
      </c>
    </row>
    <row r="322">
      <c r="A322" s="0" t="inlineStr">
        <is>
          <t xml:space="preserve">a0321</t>
        </is>
      </c>
      <c r="B322" s="0" t="inlineStr">
        <is>
          <t xml:space="preserve">software</t>
        </is>
      </c>
      <c r="C322" s="0" t="inlineStr">
        <is>
          <t xml:space="preserve">amer_east</t>
        </is>
      </c>
      <c r="D322" s="0" t="inlineStr">
        <is>
          <t xml:space="preserve">smb</t>
        </is>
      </c>
      <c r="E322" s="4">
        <v>24</v>
      </c>
      <c r="F322" s="0" t="inlineStr">
        <is>
          <t xml:space="preserve">Summit Robotics Co</t>
        </is>
      </c>
    </row>
    <row r="323">
      <c r="A323" s="0" t="inlineStr">
        <is>
          <t xml:space="preserve">a0322</t>
        </is>
      </c>
      <c r="B323" s="0" t="inlineStr">
        <is>
          <t xml:space="preserve">manufacturing</t>
        </is>
      </c>
      <c r="C323" s="0" t="inlineStr">
        <is>
          <t xml:space="preserve">amer_east</t>
        </is>
      </c>
      <c r="D323" s="0" t="inlineStr">
        <is>
          <t xml:space="preserve">smb</t>
        </is>
      </c>
      <c r="E323" s="4">
        <v>37</v>
      </c>
      <c r="F323" s="0" t="inlineStr">
        <is>
          <t xml:space="preserve">Falcon Labs Group</t>
        </is>
      </c>
    </row>
    <row r="324">
      <c r="A324" s="0" t="inlineStr">
        <is>
          <t xml:space="preserve">a0323</t>
        </is>
      </c>
      <c r="B324" s="0" t="inlineStr">
        <is>
          <t xml:space="preserve">software</t>
        </is>
      </c>
      <c r="C324" s="0" t="inlineStr">
        <is>
          <t xml:space="preserve">amer_east</t>
        </is>
      </c>
      <c r="D324" s="0" t="inlineStr">
        <is>
          <t xml:space="preserve">mid_market</t>
        </is>
      </c>
      <c r="E324" s="4">
        <v>650</v>
      </c>
      <c r="F324" s="0" t="inlineStr">
        <is>
          <t xml:space="preserve">Keystone Mobility AG</t>
        </is>
      </c>
    </row>
    <row r="325">
      <c r="A325" s="0" t="inlineStr">
        <is>
          <t xml:space="preserve">a0324</t>
        </is>
      </c>
      <c r="B325" s="0" t="inlineStr">
        <is>
          <t xml:space="preserve">software</t>
        </is>
      </c>
      <c r="C325" s="0" t="inlineStr">
        <is>
          <t xml:space="preserve">amer_west</t>
        </is>
      </c>
      <c r="D325" s="0" t="inlineStr">
        <is>
          <t xml:space="preserve">enterprise</t>
        </is>
      </c>
      <c r="E325" s="4">
        <v>2995</v>
      </c>
      <c r="F325" s="0" t="inlineStr">
        <is>
          <t xml:space="preserve">Vertex Financial Partners</t>
        </is>
      </c>
    </row>
    <row r="326">
      <c r="A326" s="0" t="inlineStr">
        <is>
          <t xml:space="preserve">a0325</t>
        </is>
      </c>
      <c r="B326" s="0" t="inlineStr">
        <is>
          <t xml:space="preserve">education</t>
        </is>
      </c>
      <c r="C326" s="0" t="inlineStr">
        <is>
          <t xml:space="preserve">amer_west</t>
        </is>
      </c>
      <c r="D326" s="0" t="inlineStr">
        <is>
          <t xml:space="preserve">mid_market</t>
        </is>
      </c>
      <c r="E326" s="4">
        <v>1249</v>
      </c>
      <c r="F326" s="0" t="inlineStr">
        <is>
          <t xml:space="preserve">Lakeside Networks</t>
        </is>
      </c>
    </row>
    <row r="327">
      <c r="A327" s="0" t="inlineStr">
        <is>
          <t xml:space="preserve">a0326</t>
        </is>
      </c>
      <c r="B327" s="0" t="inlineStr">
        <is>
          <t xml:space="preserve">media</t>
        </is>
      </c>
      <c r="C327" s="0" t="inlineStr">
        <is>
          <t xml:space="preserve">amer_west</t>
        </is>
      </c>
      <c r="D327" s="0" t="inlineStr">
        <is>
          <t xml:space="preserve">smb</t>
        </is>
      </c>
      <c r="E327" s="4">
        <v>130</v>
      </c>
      <c r="F327" s="0" t="inlineStr">
        <is>
          <t xml:space="preserve">Silverline Insurance</t>
        </is>
      </c>
    </row>
    <row r="328">
      <c r="A328" s="0" t="inlineStr">
        <is>
          <t xml:space="preserve">a0327</t>
        </is>
      </c>
      <c r="B328" s="0" t="inlineStr">
        <is>
          <t xml:space="preserve">public_sector</t>
        </is>
      </c>
      <c r="C328" s="0" t="inlineStr">
        <is>
          <t xml:space="preserve">amer_west</t>
        </is>
      </c>
      <c r="D328" s="0" t="inlineStr">
        <is>
          <t xml:space="preserve">mid_market</t>
        </is>
      </c>
      <c r="E328" s="4">
        <v>2309</v>
      </c>
      <c r="F328" s="0" t="inlineStr">
        <is>
          <t xml:space="preserve">Lakeside Retail Group</t>
        </is>
      </c>
    </row>
    <row r="329">
      <c r="A329" s="0" t="inlineStr">
        <is>
          <t xml:space="preserve">a0328</t>
        </is>
      </c>
      <c r="B329" s="0" t="inlineStr">
        <is>
          <t xml:space="preserve">energy</t>
        </is>
      </c>
      <c r="C329" s="0" t="inlineStr">
        <is>
          <t xml:space="preserve">amer_west</t>
        </is>
      </c>
      <c r="D329" s="0" t="inlineStr">
        <is>
          <t xml:space="preserve">smb</t>
        </is>
      </c>
      <c r="E329" s="4">
        <v>70</v>
      </c>
      <c r="F329" s="0" t="inlineStr">
        <is>
          <t xml:space="preserve">Copper Manufacturing Inc</t>
        </is>
      </c>
    </row>
    <row r="330">
      <c r="A330" s="0" t="inlineStr">
        <is>
          <t xml:space="preserve">a0329</t>
        </is>
      </c>
      <c r="B330" s="0" t="inlineStr">
        <is>
          <t xml:space="preserve">software</t>
        </is>
      </c>
      <c r="C330" s="0" t="inlineStr">
        <is>
          <t xml:space="preserve">amer_west</t>
        </is>
      </c>
      <c r="D330" s="0" t="inlineStr">
        <is>
          <t xml:space="preserve">mid_market</t>
        </is>
      </c>
      <c r="E330" s="4">
        <v>452</v>
      </c>
      <c r="F330" s="0" t="inlineStr">
        <is>
          <t xml:space="preserve">Quantum Retail Inc</t>
        </is>
      </c>
    </row>
    <row r="331">
      <c r="A331" s="0" t="inlineStr">
        <is>
          <t xml:space="preserve">a0330</t>
        </is>
      </c>
      <c r="B331" s="0" t="inlineStr">
        <is>
          <t xml:space="preserve">public_sector</t>
        </is>
      </c>
      <c r="C331" s="0" t="inlineStr">
        <is>
          <t xml:space="preserve">amer_west</t>
        </is>
      </c>
      <c r="D331" s="0" t="inlineStr">
        <is>
          <t xml:space="preserve">mid_market</t>
        </is>
      </c>
      <c r="E331" s="4">
        <v>657</v>
      </c>
      <c r="F331" s="0" t="inlineStr">
        <is>
          <t xml:space="preserve">Keystone Logistics Group</t>
        </is>
      </c>
    </row>
    <row r="332">
      <c r="A332" s="0" t="inlineStr">
        <is>
          <t xml:space="preserve">a0331</t>
        </is>
      </c>
      <c r="B332" s="0" t="inlineStr">
        <is>
          <t xml:space="preserve">software</t>
        </is>
      </c>
      <c r="C332" s="0" t="inlineStr">
        <is>
          <t xml:space="preserve">amer_west</t>
        </is>
      </c>
      <c r="D332" s="0" t="inlineStr">
        <is>
          <t xml:space="preserve">mid_market</t>
        </is>
      </c>
      <c r="E332" s="4">
        <v>303</v>
      </c>
      <c r="F332" s="0" t="inlineStr">
        <is>
          <t xml:space="preserve">Brightwater Energy AG</t>
        </is>
      </c>
    </row>
    <row r="333">
      <c r="A333" s="0" t="inlineStr">
        <is>
          <t xml:space="preserve">a0332</t>
        </is>
      </c>
      <c r="B333" s="0" t="inlineStr">
        <is>
          <t xml:space="preserve">media</t>
        </is>
      </c>
      <c r="C333" s="0" t="inlineStr">
        <is>
          <t xml:space="preserve">amer_west</t>
        </is>
      </c>
      <c r="D333" s="0" t="inlineStr">
        <is>
          <t xml:space="preserve">smb</t>
        </is>
      </c>
      <c r="E333" s="4">
        <v>84</v>
      </c>
      <c r="F333" s="0" t="inlineStr">
        <is>
          <t xml:space="preserve">Ironbridge Media Group</t>
        </is>
      </c>
    </row>
    <row r="334">
      <c r="A334" s="0" t="inlineStr">
        <is>
          <t xml:space="preserve">a0333</t>
        </is>
      </c>
      <c r="B334" s="0" t="inlineStr">
        <is>
          <t xml:space="preserve">financial_services</t>
        </is>
      </c>
      <c r="C334" s="0" t="inlineStr">
        <is>
          <t xml:space="preserve">amer_west</t>
        </is>
      </c>
      <c r="D334" s="0" t="inlineStr">
        <is>
          <t xml:space="preserve">smb</t>
        </is>
      </c>
      <c r="E334" s="4">
        <v>21</v>
      </c>
      <c r="F334" s="0" t="inlineStr">
        <is>
          <t xml:space="preserve">Juniper Retail Co</t>
        </is>
      </c>
    </row>
    <row r="335">
      <c r="A335" s="0" t="inlineStr">
        <is>
          <t xml:space="preserve">a0334</t>
        </is>
      </c>
      <c r="B335" s="0" t="inlineStr">
        <is>
          <t xml:space="preserve">software</t>
        </is>
      </c>
      <c r="C335" s="0" t="inlineStr">
        <is>
          <t xml:space="preserve">amer_west</t>
        </is>
      </c>
      <c r="D335" s="0" t="inlineStr">
        <is>
          <t xml:space="preserve">smb</t>
        </is>
      </c>
      <c r="E335" s="4">
        <v>30</v>
      </c>
      <c r="F335" s="0" t="inlineStr">
        <is>
          <t xml:space="preserve">Keystone Software</t>
        </is>
      </c>
    </row>
    <row r="336">
      <c r="A336" s="0" t="inlineStr">
        <is>
          <t xml:space="preserve">a0335</t>
        </is>
      </c>
      <c r="B336" s="0" t="inlineStr">
        <is>
          <t xml:space="preserve">financial_services</t>
        </is>
      </c>
      <c r="C336" s="0" t="inlineStr">
        <is>
          <t xml:space="preserve">amer_west</t>
        </is>
      </c>
      <c r="D336" s="0" t="inlineStr">
        <is>
          <t xml:space="preserve">mid_market</t>
        </is>
      </c>
      <c r="E336" s="4">
        <v>328</v>
      </c>
      <c r="F336" s="0" t="inlineStr">
        <is>
          <t xml:space="preserve">Silverline Learning</t>
        </is>
      </c>
    </row>
    <row r="337">
      <c r="A337" s="0" t="inlineStr">
        <is>
          <t xml:space="preserve">a0336</t>
        </is>
      </c>
      <c r="B337" s="0" t="inlineStr">
        <is>
          <t xml:space="preserve">manufacturing</t>
        </is>
      </c>
      <c r="C337" s="0" t="inlineStr">
        <is>
          <t xml:space="preserve">emea</t>
        </is>
      </c>
      <c r="D337" s="0" t="inlineStr">
        <is>
          <t xml:space="preserve">mid_market</t>
        </is>
      </c>
      <c r="E337" s="4">
        <v>343</v>
      </c>
      <c r="F337" s="0" t="inlineStr">
        <is>
          <t xml:space="preserve">Quantum Insurance Co</t>
        </is>
      </c>
    </row>
    <row r="338">
      <c r="A338" s="0" t="inlineStr">
        <is>
          <t xml:space="preserve">a0337</t>
        </is>
      </c>
      <c r="B338" s="0" t="inlineStr">
        <is>
          <t xml:space="preserve">financial_services</t>
        </is>
      </c>
      <c r="C338" s="0" t="inlineStr">
        <is>
          <t xml:space="preserve">emea</t>
        </is>
      </c>
      <c r="D338" s="0" t="inlineStr">
        <is>
          <t xml:space="preserve">mid_market</t>
        </is>
      </c>
      <c r="E338" s="4">
        <v>253</v>
      </c>
      <c r="F338" s="0" t="inlineStr">
        <is>
          <t xml:space="preserve">Pioneer Learning Holdings</t>
        </is>
      </c>
    </row>
    <row r="339">
      <c r="A339" s="0" t="inlineStr">
        <is>
          <t xml:space="preserve">a0338</t>
        </is>
      </c>
      <c r="B339" s="0" t="inlineStr">
        <is>
          <t xml:space="preserve">healthcare</t>
        </is>
      </c>
      <c r="C339" s="0" t="inlineStr">
        <is>
          <t xml:space="preserve">emea</t>
        </is>
      </c>
      <c r="D339" s="0" t="inlineStr">
        <is>
          <t xml:space="preserve">mid_market</t>
        </is>
      </c>
      <c r="E339" s="4">
        <v>386</v>
      </c>
      <c r="F339" s="0" t="inlineStr">
        <is>
          <t xml:space="preserve">Copper Networks Ltd</t>
        </is>
      </c>
    </row>
    <row r="340">
      <c r="A340" s="0" t="inlineStr">
        <is>
          <t xml:space="preserve">a0339</t>
        </is>
      </c>
      <c r="B340" s="0" t="inlineStr">
        <is>
          <t xml:space="preserve">software</t>
        </is>
      </c>
      <c r="C340" s="0" t="inlineStr">
        <is>
          <t xml:space="preserve">emea</t>
        </is>
      </c>
      <c r="D340" s="0" t="inlineStr">
        <is>
          <t xml:space="preserve">enterprise</t>
        </is>
      </c>
      <c r="E340" s="4">
        <v>20862</v>
      </c>
      <c r="F340" s="0" t="inlineStr">
        <is>
          <t xml:space="preserve">Keystone Health Group</t>
        </is>
      </c>
    </row>
    <row r="341">
      <c r="A341" s="0" t="inlineStr">
        <is>
          <t xml:space="preserve">a0340</t>
        </is>
      </c>
      <c r="B341" s="0" t="inlineStr">
        <is>
          <t xml:space="preserve">media</t>
        </is>
      </c>
      <c r="C341" s="0" t="inlineStr">
        <is>
          <t xml:space="preserve">emea</t>
        </is>
      </c>
      <c r="D341" s="0" t="inlineStr">
        <is>
          <t xml:space="preserve">smb</t>
        </is>
      </c>
      <c r="E341" s="4">
        <v>35</v>
      </c>
      <c r="F341" s="0" t="inlineStr">
        <is>
          <t xml:space="preserve">Falcon Robotics Partners</t>
        </is>
      </c>
    </row>
    <row r="342">
      <c r="A342" s="0" t="inlineStr">
        <is>
          <t xml:space="preserve">a0341</t>
        </is>
      </c>
      <c r="B342" s="0" t="inlineStr">
        <is>
          <t xml:space="preserve">energy</t>
        </is>
      </c>
      <c r="C342" s="0" t="inlineStr">
        <is>
          <t xml:space="preserve">emea</t>
        </is>
      </c>
      <c r="D342" s="0" t="inlineStr">
        <is>
          <t xml:space="preserve">mid_market</t>
        </is>
      </c>
      <c r="E342" s="4">
        <v>432</v>
      </c>
      <c r="F342" s="0" t="inlineStr">
        <is>
          <t xml:space="preserve">Beacon Media SA</t>
        </is>
      </c>
    </row>
    <row r="343">
      <c r="A343" s="0" t="inlineStr">
        <is>
          <t xml:space="preserve">a0342</t>
        </is>
      </c>
      <c r="B343" s="0" t="inlineStr">
        <is>
          <t xml:space="preserve">financial_services</t>
        </is>
      </c>
      <c r="C343" s="0" t="inlineStr">
        <is>
          <t xml:space="preserve">emea</t>
        </is>
      </c>
      <c r="D343" s="0" t="inlineStr">
        <is>
          <t xml:space="preserve">smb</t>
        </is>
      </c>
      <c r="E343" s="4">
        <v>28</v>
      </c>
      <c r="F343" s="0" t="inlineStr">
        <is>
          <t xml:space="preserve">Nimbus Capital Co</t>
        </is>
      </c>
    </row>
    <row r="344">
      <c r="A344" s="0" t="inlineStr">
        <is>
          <t xml:space="preserve">a0343</t>
        </is>
      </c>
      <c r="B344" s="0" t="inlineStr">
        <is>
          <t xml:space="preserve">healthcare</t>
        </is>
      </c>
      <c r="C344" s="0" t="inlineStr">
        <is>
          <t xml:space="preserve">emea</t>
        </is>
      </c>
      <c r="D344" s="0" t="inlineStr">
        <is>
          <t xml:space="preserve">enterprise</t>
        </is>
      </c>
      <c r="E344" s="4">
        <v>4125</v>
      </c>
      <c r="F344" s="0" t="inlineStr">
        <is>
          <t xml:space="preserve">Blue Harbor Health Partners</t>
        </is>
      </c>
    </row>
    <row r="345">
      <c r="A345" s="0" t="inlineStr">
        <is>
          <t xml:space="preserve">a0344</t>
        </is>
      </c>
      <c r="B345" s="0" t="inlineStr">
        <is>
          <t xml:space="preserve">software</t>
        </is>
      </c>
      <c r="C345" s="0" t="inlineStr">
        <is>
          <t xml:space="preserve">emea</t>
        </is>
      </c>
      <c r="D345" s="0" t="inlineStr">
        <is>
          <t xml:space="preserve">smb</t>
        </is>
      </c>
      <c r="E345" s="4">
        <v>166</v>
      </c>
      <c r="F345" s="0" t="inlineStr">
        <is>
          <t xml:space="preserve">Redwood Networks Ltd</t>
        </is>
      </c>
    </row>
    <row r="346">
      <c r="A346" s="0" t="inlineStr">
        <is>
          <t xml:space="preserve">a0345</t>
        </is>
      </c>
      <c r="B346" s="0" t="inlineStr">
        <is>
          <t xml:space="preserve">energy</t>
        </is>
      </c>
      <c r="C346" s="0" t="inlineStr">
        <is>
          <t xml:space="preserve">emea</t>
        </is>
      </c>
      <c r="D346" s="0" t="inlineStr">
        <is>
          <t xml:space="preserve">smb</t>
        </is>
      </c>
      <c r="E346" s="4">
        <v>20</v>
      </c>
      <c r="F346" s="0" t="inlineStr">
        <is>
          <t xml:space="preserve">Ironbridge Mobility AG</t>
        </is>
      </c>
    </row>
    <row r="347">
      <c r="A347" s="0" t="inlineStr">
        <is>
          <t xml:space="preserve">a0346</t>
        </is>
      </c>
      <c r="B347" s="0" t="inlineStr">
        <is>
          <t xml:space="preserve">manufacturing</t>
        </is>
      </c>
      <c r="C347" s="0" t="inlineStr">
        <is>
          <t xml:space="preserve">emea</t>
        </is>
      </c>
      <c r="D347" s="0" t="inlineStr">
        <is>
          <t xml:space="preserve">smb</t>
        </is>
      </c>
      <c r="E347" s="4">
        <v>44</v>
      </c>
      <c r="F347" s="0" t="inlineStr">
        <is>
          <t xml:space="preserve">Summit Foods AG</t>
        </is>
      </c>
    </row>
    <row r="348">
      <c r="A348" s="0" t="inlineStr">
        <is>
          <t xml:space="preserve">a0347</t>
        </is>
      </c>
      <c r="B348" s="0" t="inlineStr">
        <is>
          <t xml:space="preserve">financial_services</t>
        </is>
      </c>
      <c r="C348" s="0" t="inlineStr">
        <is>
          <t xml:space="preserve">emea</t>
        </is>
      </c>
      <c r="D348" s="0" t="inlineStr">
        <is>
          <t xml:space="preserve">mid_market</t>
        </is>
      </c>
      <c r="E348" s="4">
        <v>258</v>
      </c>
      <c r="F348" s="0" t="inlineStr">
        <is>
          <t xml:space="preserve">Beacon Materials Holdings</t>
        </is>
      </c>
    </row>
    <row r="349">
      <c r="A349" s="0" t="inlineStr">
        <is>
          <t xml:space="preserve">a0348</t>
        </is>
      </c>
      <c r="B349" s="0" t="inlineStr">
        <is>
          <t xml:space="preserve">software</t>
        </is>
      </c>
      <c r="C349" s="0" t="inlineStr">
        <is>
          <t xml:space="preserve">apac</t>
        </is>
      </c>
      <c r="D349" s="0" t="inlineStr">
        <is>
          <t xml:space="preserve">smb</t>
        </is>
      </c>
      <c r="E349" s="4">
        <v>197</v>
      </c>
      <c r="F349" s="0" t="inlineStr">
        <is>
          <t xml:space="preserve">Nimbus Capital Partners</t>
        </is>
      </c>
    </row>
    <row r="350">
      <c r="A350" s="0" t="inlineStr">
        <is>
          <t xml:space="preserve">a0349</t>
        </is>
      </c>
      <c r="B350" s="0" t="inlineStr">
        <is>
          <t xml:space="preserve">public_sector</t>
        </is>
      </c>
      <c r="C350" s="0" t="inlineStr">
        <is>
          <t xml:space="preserve">apac</t>
        </is>
      </c>
      <c r="D350" s="0" t="inlineStr">
        <is>
          <t xml:space="preserve">smb</t>
        </is>
      </c>
      <c r="E350" s="4">
        <v>22</v>
      </c>
      <c r="F350" s="0" t="inlineStr">
        <is>
          <t xml:space="preserve">Vertex Learning Holdings</t>
        </is>
      </c>
    </row>
    <row r="351">
      <c r="A351" s="0" t="inlineStr">
        <is>
          <t xml:space="preserve">a0350</t>
        </is>
      </c>
      <c r="B351" s="0" t="inlineStr">
        <is>
          <t xml:space="preserve">logistics</t>
        </is>
      </c>
      <c r="C351" s="0" t="inlineStr">
        <is>
          <t xml:space="preserve">apac</t>
        </is>
      </c>
      <c r="D351" s="0" t="inlineStr">
        <is>
          <t xml:space="preserve">mid_market</t>
        </is>
      </c>
      <c r="E351" s="4">
        <v>265</v>
      </c>
      <c r="F351" s="0" t="inlineStr">
        <is>
          <t xml:space="preserve">Lakeside Logistics AG</t>
        </is>
      </c>
    </row>
    <row r="352">
      <c r="A352" s="0" t="inlineStr">
        <is>
          <t xml:space="preserve">a0351</t>
        </is>
      </c>
      <c r="B352" s="0" t="inlineStr">
        <is>
          <t xml:space="preserve">manufacturing</t>
        </is>
      </c>
      <c r="C352" s="0" t="inlineStr">
        <is>
          <t xml:space="preserve">apac</t>
        </is>
      </c>
      <c r="D352" s="0" t="inlineStr">
        <is>
          <t xml:space="preserve">smb</t>
        </is>
      </c>
      <c r="E352" s="4">
        <v>238</v>
      </c>
      <c r="F352" s="0" t="inlineStr">
        <is>
          <t xml:space="preserve">Tidewater Media Ltd</t>
        </is>
      </c>
    </row>
    <row r="353">
      <c r="A353" s="0" t="inlineStr">
        <is>
          <t xml:space="preserve">a0352</t>
        </is>
      </c>
      <c r="B353" s="0" t="inlineStr">
        <is>
          <t xml:space="preserve">manufacturing</t>
        </is>
      </c>
      <c r="C353" s="0" t="inlineStr">
        <is>
          <t xml:space="preserve">apac</t>
        </is>
      </c>
      <c r="D353" s="0" t="inlineStr">
        <is>
          <t xml:space="preserve">mid_market</t>
        </is>
      </c>
      <c r="E353" s="4">
        <v>508</v>
      </c>
      <c r="F353" s="0" t="inlineStr">
        <is>
          <t xml:space="preserve">Horizon Energy Inc</t>
        </is>
      </c>
    </row>
    <row r="354">
      <c r="A354" s="0" t="inlineStr">
        <is>
          <t xml:space="preserve">a0353</t>
        </is>
      </c>
      <c r="B354" s="0" t="inlineStr">
        <is>
          <t xml:space="preserve">public_sector</t>
        </is>
      </c>
      <c r="C354" s="0" t="inlineStr">
        <is>
          <t xml:space="preserve">apac</t>
        </is>
      </c>
      <c r="D354" s="0" t="inlineStr">
        <is>
          <t xml:space="preserve">smb</t>
        </is>
      </c>
      <c r="E354" s="4">
        <v>27</v>
      </c>
      <c r="F354" s="0" t="inlineStr">
        <is>
          <t xml:space="preserve">Brightwater Health Co</t>
        </is>
      </c>
    </row>
    <row r="355">
      <c r="A355" s="0" t="inlineStr">
        <is>
          <t xml:space="preserve">a0354</t>
        </is>
      </c>
      <c r="B355" s="0" t="inlineStr">
        <is>
          <t xml:space="preserve">software</t>
        </is>
      </c>
      <c r="C355" s="0" t="inlineStr">
        <is>
          <t xml:space="preserve">apac</t>
        </is>
      </c>
      <c r="D355" s="0" t="inlineStr">
        <is>
          <t xml:space="preserve">mid_market</t>
        </is>
      </c>
      <c r="E355" s="4">
        <v>361</v>
      </c>
      <c r="F355" s="0" t="inlineStr">
        <is>
          <t xml:space="preserve">Pioneer Mobility Partners</t>
        </is>
      </c>
    </row>
    <row r="356">
      <c r="A356" s="0" t="inlineStr">
        <is>
          <t xml:space="preserve">a0355</t>
        </is>
      </c>
      <c r="B356" s="0" t="inlineStr">
        <is>
          <t xml:space="preserve">financial_services</t>
        </is>
      </c>
      <c r="C356" s="0" t="inlineStr">
        <is>
          <t xml:space="preserve">apac</t>
        </is>
      </c>
      <c r="D356" s="0" t="inlineStr">
        <is>
          <t xml:space="preserve">mid_market</t>
        </is>
      </c>
      <c r="E356" s="4">
        <v>645</v>
      </c>
      <c r="F356" s="0" t="inlineStr">
        <is>
          <t xml:space="preserve">Cascade Foods Partners</t>
        </is>
      </c>
    </row>
    <row r="357">
      <c r="A357" s="0" t="inlineStr">
        <is>
          <t xml:space="preserve">a0356</t>
        </is>
      </c>
      <c r="B357" s="0" t="inlineStr">
        <is>
          <t xml:space="preserve">software</t>
        </is>
      </c>
      <c r="C357" s="0" t="inlineStr">
        <is>
          <t xml:space="preserve">apac</t>
        </is>
      </c>
      <c r="D357" s="0" t="inlineStr">
        <is>
          <t xml:space="preserve">smb</t>
        </is>
      </c>
      <c r="E357" s="4">
        <v>34</v>
      </c>
      <c r="F357" s="0" t="inlineStr">
        <is>
          <t xml:space="preserve">Granite Media SA</t>
        </is>
      </c>
    </row>
    <row r="358">
      <c r="A358" s="0" t="inlineStr">
        <is>
          <t xml:space="preserve">a0357</t>
        </is>
      </c>
      <c r="B358" s="0" t="inlineStr">
        <is>
          <t xml:space="preserve">public_sector</t>
        </is>
      </c>
      <c r="C358" s="0" t="inlineStr">
        <is>
          <t xml:space="preserve">apac</t>
        </is>
      </c>
      <c r="D358" s="0" t="inlineStr">
        <is>
          <t xml:space="preserve">smb</t>
        </is>
      </c>
      <c r="E358" s="4">
        <v>34</v>
      </c>
      <c r="F358" s="0" t="inlineStr">
        <is>
          <t xml:space="preserve">Evergreen Media</t>
        </is>
      </c>
    </row>
    <row r="359">
      <c r="A359" s="0" t="inlineStr">
        <is>
          <t xml:space="preserve">a0358</t>
        </is>
      </c>
      <c r="B359" s="0" t="inlineStr">
        <is>
          <t xml:space="preserve">software</t>
        </is>
      </c>
      <c r="C359" s="0" t="inlineStr">
        <is>
          <t xml:space="preserve">apac</t>
        </is>
      </c>
      <c r="D359" s="0" t="inlineStr">
        <is>
          <t xml:space="preserve">enterprise</t>
        </is>
      </c>
      <c r="E359" s="4">
        <v>7819</v>
      </c>
      <c r="F359" s="0" t="inlineStr">
        <is>
          <t xml:space="preserve">Summit Energy Co</t>
        </is>
      </c>
    </row>
    <row r="360">
      <c r="A360" s="0" t="inlineStr">
        <is>
          <t xml:space="preserve">a0359</t>
        </is>
      </c>
      <c r="B360" s="0" t="inlineStr">
        <is>
          <t xml:space="preserve">logistics</t>
        </is>
      </c>
      <c r="C360" s="0" t="inlineStr">
        <is>
          <t xml:space="preserve">apac</t>
        </is>
      </c>
      <c r="D360" s="0" t="inlineStr">
        <is>
          <t xml:space="preserve">smb</t>
        </is>
      </c>
      <c r="E360" s="4">
        <v>53</v>
      </c>
      <c r="F360" s="0" t="inlineStr">
        <is>
          <t xml:space="preserve">Blue Harbor Media AG</t>
        </is>
      </c>
    </row>
    <row r="361">
      <c r="A361" s="0" t="inlineStr">
        <is>
          <t xml:space="preserve">a0360</t>
        </is>
      </c>
      <c r="B361" s="0" t="inlineStr">
        <is>
          <t xml:space="preserve">retail</t>
        </is>
      </c>
      <c r="C361" s="0" t="inlineStr">
        <is>
          <t xml:space="preserve">amer_east</t>
        </is>
      </c>
      <c r="D361" s="0" t="inlineStr">
        <is>
          <t xml:space="preserve">smb</t>
        </is>
      </c>
      <c r="E361" s="4">
        <v>21</v>
      </c>
      <c r="F361" s="0" t="inlineStr">
        <is>
          <t xml:space="preserve">Granite Manufacturing Partners</t>
        </is>
      </c>
    </row>
    <row r="362">
      <c r="A362" s="0" t="inlineStr">
        <is>
          <t xml:space="preserve">a0361</t>
        </is>
      </c>
      <c r="B362" s="0" t="inlineStr">
        <is>
          <t xml:space="preserve">software</t>
        </is>
      </c>
      <c r="C362" s="0" t="inlineStr">
        <is>
          <t xml:space="preserve">amer_east</t>
        </is>
      </c>
      <c r="D362" s="0" t="inlineStr">
        <is>
          <t xml:space="preserve">mid_market</t>
        </is>
      </c>
      <c r="E362" s="4">
        <v>570</v>
      </c>
      <c r="F362" s="0" t="inlineStr">
        <is>
          <t xml:space="preserve">Harbor Systems SA</t>
        </is>
      </c>
    </row>
    <row r="363">
      <c r="A363" s="0" t="inlineStr">
        <is>
          <t xml:space="preserve">a0362</t>
        </is>
      </c>
      <c r="B363" s="0" t="inlineStr">
        <is>
          <t xml:space="preserve">retail</t>
        </is>
      </c>
      <c r="C363" s="0" t="inlineStr">
        <is>
          <t xml:space="preserve">amer_east</t>
        </is>
      </c>
      <c r="D363" s="0" t="inlineStr">
        <is>
          <t xml:space="preserve">enterprise</t>
        </is>
      </c>
      <c r="E363" s="4">
        <v>3794</v>
      </c>
      <c r="F363" s="0" t="inlineStr">
        <is>
          <t xml:space="preserve">Keystone Energy Holdings</t>
        </is>
      </c>
    </row>
    <row r="364">
      <c r="A364" s="0" t="inlineStr">
        <is>
          <t xml:space="preserve">a0363</t>
        </is>
      </c>
      <c r="B364" s="0" t="inlineStr">
        <is>
          <t xml:space="preserve">software</t>
        </is>
      </c>
      <c r="C364" s="0" t="inlineStr">
        <is>
          <t xml:space="preserve">amer_east</t>
        </is>
      </c>
      <c r="D364" s="0" t="inlineStr">
        <is>
          <t xml:space="preserve">smb</t>
        </is>
      </c>
      <c r="E364" s="4">
        <v>44</v>
      </c>
      <c r="F364" s="0" t="inlineStr">
        <is>
          <t xml:space="preserve">Beacon Software Ltd</t>
        </is>
      </c>
    </row>
    <row r="365">
      <c r="A365" s="0" t="inlineStr">
        <is>
          <t xml:space="preserve">a0364</t>
        </is>
      </c>
      <c r="B365" s="0" t="inlineStr">
        <is>
          <t xml:space="preserve">healthcare</t>
        </is>
      </c>
      <c r="C365" s="0" t="inlineStr">
        <is>
          <t xml:space="preserve">amer_east</t>
        </is>
      </c>
      <c r="D365" s="0" t="inlineStr">
        <is>
          <t xml:space="preserve">enterprise</t>
        </is>
      </c>
      <c r="E365" s="4">
        <v>21605</v>
      </c>
      <c r="F365" s="0" t="inlineStr">
        <is>
          <t xml:space="preserve">Tidewater Capital Co</t>
        </is>
      </c>
    </row>
    <row r="366">
      <c r="A366" s="0" t="inlineStr">
        <is>
          <t xml:space="preserve">a0365</t>
        </is>
      </c>
      <c r="B366" s="0" t="inlineStr">
        <is>
          <t xml:space="preserve">financial_services</t>
        </is>
      </c>
      <c r="C366" s="0" t="inlineStr">
        <is>
          <t xml:space="preserve">amer_east</t>
        </is>
      </c>
      <c r="D366" s="0" t="inlineStr">
        <is>
          <t xml:space="preserve">mid_market</t>
        </is>
      </c>
      <c r="E366" s="4">
        <v>261</v>
      </c>
      <c r="F366" s="0" t="inlineStr">
        <is>
          <t xml:space="preserve">Tidewater Media AG</t>
        </is>
      </c>
    </row>
    <row r="367">
      <c r="A367" s="0" t="inlineStr">
        <is>
          <t xml:space="preserve">a0366</t>
        </is>
      </c>
      <c r="B367" s="0" t="inlineStr">
        <is>
          <t xml:space="preserve">healthcare</t>
        </is>
      </c>
      <c r="C367" s="0" t="inlineStr">
        <is>
          <t xml:space="preserve">amer_east</t>
        </is>
      </c>
      <c r="D367" s="0" t="inlineStr">
        <is>
          <t xml:space="preserve">mid_market</t>
        </is>
      </c>
      <c r="E367" s="4">
        <v>256</v>
      </c>
      <c r="F367" s="0" t="inlineStr">
        <is>
          <t xml:space="preserve">Quantum Foods SA</t>
        </is>
      </c>
    </row>
    <row r="368">
      <c r="A368" s="0" t="inlineStr">
        <is>
          <t xml:space="preserve">a0367</t>
        </is>
      </c>
      <c r="B368" s="0" t="inlineStr">
        <is>
          <t xml:space="preserve">public_sector</t>
        </is>
      </c>
      <c r="C368" s="0" t="inlineStr">
        <is>
          <t xml:space="preserve">amer_east</t>
        </is>
      </c>
      <c r="D368" s="0" t="inlineStr">
        <is>
          <t xml:space="preserve">mid_market</t>
        </is>
      </c>
      <c r="E368" s="4">
        <v>284</v>
      </c>
      <c r="F368" s="0" t="inlineStr">
        <is>
          <t xml:space="preserve">Aurora Robotics Co</t>
        </is>
      </c>
    </row>
    <row r="369">
      <c r="A369" s="0" t="inlineStr">
        <is>
          <t xml:space="preserve">a0368</t>
        </is>
      </c>
      <c r="B369" s="0" t="inlineStr">
        <is>
          <t xml:space="preserve">education</t>
        </is>
      </c>
      <c r="C369" s="0" t="inlineStr">
        <is>
          <t xml:space="preserve">amer_east</t>
        </is>
      </c>
      <c r="D369" s="0" t="inlineStr">
        <is>
          <t xml:space="preserve">enterprise</t>
        </is>
      </c>
      <c r="E369" s="4">
        <v>3231</v>
      </c>
      <c r="F369" s="0" t="inlineStr">
        <is>
          <t xml:space="preserve">Harbor Software</t>
        </is>
      </c>
    </row>
    <row r="370">
      <c r="A370" s="0" t="inlineStr">
        <is>
          <t xml:space="preserve">a0369</t>
        </is>
      </c>
      <c r="B370" s="0" t="inlineStr">
        <is>
          <t xml:space="preserve">education</t>
        </is>
      </c>
      <c r="C370" s="0" t="inlineStr">
        <is>
          <t xml:space="preserve">amer_east</t>
        </is>
      </c>
      <c r="D370" s="0" t="inlineStr">
        <is>
          <t xml:space="preserve">enterprise</t>
        </is>
      </c>
      <c r="E370" s="4">
        <v>13421</v>
      </c>
      <c r="F370" s="0" t="inlineStr">
        <is>
          <t xml:space="preserve">Redwood Mobility Co</t>
        </is>
      </c>
    </row>
    <row r="371">
      <c r="A371" s="0" t="inlineStr">
        <is>
          <t xml:space="preserve">a0370</t>
        </is>
      </c>
      <c r="B371" s="0" t="inlineStr">
        <is>
          <t xml:space="preserve">media</t>
        </is>
      </c>
      <c r="C371" s="0" t="inlineStr">
        <is>
          <t xml:space="preserve">amer_east</t>
        </is>
      </c>
      <c r="D371" s="0" t="inlineStr">
        <is>
          <t xml:space="preserve">mid_market</t>
        </is>
      </c>
      <c r="E371" s="4">
        <v>341</v>
      </c>
      <c r="F371" s="0" t="inlineStr">
        <is>
          <t xml:space="preserve">Harbor Software Co</t>
        </is>
      </c>
    </row>
    <row r="372">
      <c r="A372" s="0" t="inlineStr">
        <is>
          <t xml:space="preserve">a0371</t>
        </is>
      </c>
      <c r="B372" s="0" t="inlineStr">
        <is>
          <t xml:space="preserve">software</t>
        </is>
      </c>
      <c r="C372" s="0" t="inlineStr">
        <is>
          <t xml:space="preserve">amer_east</t>
        </is>
      </c>
      <c r="D372" s="0" t="inlineStr">
        <is>
          <t xml:space="preserve">enterprise</t>
        </is>
      </c>
      <c r="E372" s="4">
        <v>8139</v>
      </c>
      <c r="F372" s="0" t="inlineStr">
        <is>
          <t xml:space="preserve">Meridian Analytics</t>
        </is>
      </c>
    </row>
    <row r="373">
      <c r="A373" s="0" t="inlineStr">
        <is>
          <t xml:space="preserve">a0372</t>
        </is>
      </c>
      <c r="B373" s="0" t="inlineStr">
        <is>
          <t xml:space="preserve">software</t>
        </is>
      </c>
      <c r="C373" s="0" t="inlineStr">
        <is>
          <t xml:space="preserve">amer_east</t>
        </is>
      </c>
      <c r="D373" s="0" t="inlineStr">
        <is>
          <t xml:space="preserve">enterprise</t>
        </is>
      </c>
      <c r="E373" s="4">
        <v>8135</v>
      </c>
      <c r="F373" s="0" t="inlineStr">
        <is>
          <t xml:space="preserve">Nimbus Insurance AG</t>
        </is>
      </c>
    </row>
    <row r="374">
      <c r="A374" s="0" t="inlineStr">
        <is>
          <t xml:space="preserve">a0373</t>
        </is>
      </c>
      <c r="B374" s="0" t="inlineStr">
        <is>
          <t xml:space="preserve">software</t>
        </is>
      </c>
      <c r="C374" s="0" t="inlineStr">
        <is>
          <t xml:space="preserve">amer_west</t>
        </is>
      </c>
      <c r="D374" s="0" t="inlineStr">
        <is>
          <t xml:space="preserve">smb</t>
        </is>
      </c>
      <c r="E374" s="4">
        <v>123</v>
      </c>
      <c r="F374" s="0" t="inlineStr">
        <is>
          <t xml:space="preserve">Pioneer Logistics AG</t>
        </is>
      </c>
    </row>
    <row r="375">
      <c r="A375" s="0" t="inlineStr">
        <is>
          <t xml:space="preserve">a0374</t>
        </is>
      </c>
      <c r="B375" s="0" t="inlineStr">
        <is>
          <t xml:space="preserve">healthcare</t>
        </is>
      </c>
      <c r="C375" s="0" t="inlineStr">
        <is>
          <t xml:space="preserve">amer_west</t>
        </is>
      </c>
      <c r="D375" s="0" t="inlineStr">
        <is>
          <t xml:space="preserve">smb</t>
        </is>
      </c>
      <c r="E375" s="4">
        <v>201</v>
      </c>
      <c r="F375" s="0" t="inlineStr">
        <is>
          <t xml:space="preserve">Cobalt Foods Group</t>
        </is>
      </c>
    </row>
    <row r="376">
      <c r="A376" s="0" t="inlineStr">
        <is>
          <t xml:space="preserve">a0375</t>
        </is>
      </c>
      <c r="B376" s="0" t="inlineStr">
        <is>
          <t xml:space="preserve">retail</t>
        </is>
      </c>
      <c r="C376" s="0" t="inlineStr">
        <is>
          <t xml:space="preserve">amer_west</t>
        </is>
      </c>
      <c r="D376" s="0" t="inlineStr">
        <is>
          <t xml:space="preserve">smb</t>
        </is>
      </c>
      <c r="E376" s="4">
        <v>103</v>
      </c>
      <c r="F376" s="0" t="inlineStr">
        <is>
          <t xml:space="preserve">Aurora Manufacturing Group</t>
        </is>
      </c>
    </row>
    <row r="377">
      <c r="A377" s="0" t="inlineStr">
        <is>
          <t xml:space="preserve">a0376</t>
        </is>
      </c>
      <c r="B377" s="0" t="inlineStr">
        <is>
          <t xml:space="preserve">manufacturing</t>
        </is>
      </c>
      <c r="C377" s="0" t="inlineStr">
        <is>
          <t xml:space="preserve">amer_west</t>
        </is>
      </c>
      <c r="D377" s="0" t="inlineStr">
        <is>
          <t xml:space="preserve">mid_market</t>
        </is>
      </c>
      <c r="E377" s="4">
        <v>585</v>
      </c>
      <c r="F377" s="0" t="inlineStr">
        <is>
          <t xml:space="preserve">Brightwater Mobility</t>
        </is>
      </c>
    </row>
    <row r="378">
      <c r="A378" s="0" t="inlineStr">
        <is>
          <t xml:space="preserve">a0377</t>
        </is>
      </c>
      <c r="B378" s="0" t="inlineStr">
        <is>
          <t xml:space="preserve">healthcare</t>
        </is>
      </c>
      <c r="C378" s="0" t="inlineStr">
        <is>
          <t xml:space="preserve">amer_west</t>
        </is>
      </c>
      <c r="D378" s="0" t="inlineStr">
        <is>
          <t xml:space="preserve">smb</t>
        </is>
      </c>
      <c r="E378" s="4">
        <v>119</v>
      </c>
      <c r="F378" s="0" t="inlineStr">
        <is>
          <t xml:space="preserve">Northwind Logistics Co</t>
        </is>
      </c>
    </row>
    <row r="379">
      <c r="A379" s="0" t="inlineStr">
        <is>
          <t xml:space="preserve">a0378</t>
        </is>
      </c>
      <c r="B379" s="0" t="inlineStr">
        <is>
          <t xml:space="preserve">healthcare</t>
        </is>
      </c>
      <c r="C379" s="0" t="inlineStr">
        <is>
          <t xml:space="preserve">amer_west</t>
        </is>
      </c>
      <c r="D379" s="0" t="inlineStr">
        <is>
          <t xml:space="preserve">smb</t>
        </is>
      </c>
      <c r="E379" s="4">
        <v>35</v>
      </c>
      <c r="F379" s="0" t="inlineStr">
        <is>
          <t xml:space="preserve">Falcon Networks</t>
        </is>
      </c>
    </row>
    <row r="380">
      <c r="A380" s="0" t="inlineStr">
        <is>
          <t xml:space="preserve">a0379</t>
        </is>
      </c>
      <c r="B380" s="0" t="inlineStr">
        <is>
          <t xml:space="preserve">retail</t>
        </is>
      </c>
      <c r="C380" s="0" t="inlineStr">
        <is>
          <t xml:space="preserve">amer_west</t>
        </is>
      </c>
      <c r="D380" s="0" t="inlineStr">
        <is>
          <t xml:space="preserve">smb</t>
        </is>
      </c>
      <c r="E380" s="4">
        <v>48</v>
      </c>
      <c r="F380" s="0" t="inlineStr">
        <is>
          <t xml:space="preserve">Ironbridge Financial Co</t>
        </is>
      </c>
    </row>
    <row r="381">
      <c r="A381" s="0" t="inlineStr">
        <is>
          <t xml:space="preserve">a0380</t>
        </is>
      </c>
      <c r="B381" s="0" t="inlineStr">
        <is>
          <t xml:space="preserve">logistics</t>
        </is>
      </c>
      <c r="C381" s="0" t="inlineStr">
        <is>
          <t xml:space="preserve">amer_west</t>
        </is>
      </c>
      <c r="D381" s="0" t="inlineStr">
        <is>
          <t xml:space="preserve">mid_market</t>
        </is>
      </c>
      <c r="E381" s="4">
        <v>271</v>
      </c>
      <c r="F381" s="0" t="inlineStr">
        <is>
          <t xml:space="preserve">Horizon Financial AG</t>
        </is>
      </c>
    </row>
    <row r="382">
      <c r="A382" s="0" t="inlineStr">
        <is>
          <t xml:space="preserve">a0381</t>
        </is>
      </c>
      <c r="B382" s="0" t="inlineStr">
        <is>
          <t xml:space="preserve">retail</t>
        </is>
      </c>
      <c r="C382" s="0" t="inlineStr">
        <is>
          <t xml:space="preserve">amer_west</t>
        </is>
      </c>
      <c r="D382" s="0" t="inlineStr">
        <is>
          <t xml:space="preserve">mid_market</t>
        </is>
      </c>
      <c r="E382" s="4">
        <v>414</v>
      </c>
      <c r="F382" s="0" t="inlineStr">
        <is>
          <t xml:space="preserve">Pioneer Logistics</t>
        </is>
      </c>
    </row>
    <row r="383">
      <c r="A383" s="0" t="inlineStr">
        <is>
          <t xml:space="preserve">a0382</t>
        </is>
      </c>
      <c r="B383" s="0" t="inlineStr">
        <is>
          <t xml:space="preserve">energy</t>
        </is>
      </c>
      <c r="C383" s="0" t="inlineStr">
        <is>
          <t xml:space="preserve">amer_west</t>
        </is>
      </c>
      <c r="D383" s="0" t="inlineStr">
        <is>
          <t xml:space="preserve">smb</t>
        </is>
      </c>
      <c r="E383" s="4">
        <v>64</v>
      </c>
      <c r="F383" s="0" t="inlineStr">
        <is>
          <t xml:space="preserve">Atlas Media SA</t>
        </is>
      </c>
    </row>
    <row r="384">
      <c r="A384" s="0" t="inlineStr">
        <is>
          <t xml:space="preserve">a0383</t>
        </is>
      </c>
      <c r="B384" s="0" t="inlineStr">
        <is>
          <t xml:space="preserve">software</t>
        </is>
      </c>
      <c r="C384" s="0" t="inlineStr">
        <is>
          <t xml:space="preserve">amer_west</t>
        </is>
      </c>
      <c r="D384" s="0" t="inlineStr">
        <is>
          <t xml:space="preserve">smb</t>
        </is>
      </c>
      <c r="E384" s="4">
        <v>32</v>
      </c>
      <c r="F384" s="0" t="inlineStr">
        <is>
          <t xml:space="preserve">Summit Health Co</t>
        </is>
      </c>
    </row>
    <row r="385">
      <c r="A385" s="0" t="inlineStr">
        <is>
          <t xml:space="preserve">a0384</t>
        </is>
      </c>
      <c r="B385" s="0" t="inlineStr">
        <is>
          <t xml:space="preserve">retail</t>
        </is>
      </c>
      <c r="C385" s="0" t="inlineStr">
        <is>
          <t xml:space="preserve">amer_west</t>
        </is>
      </c>
      <c r="D385" s="0" t="inlineStr">
        <is>
          <t xml:space="preserve">smb</t>
        </is>
      </c>
      <c r="E385" s="4">
        <v>28</v>
      </c>
      <c r="F385" s="0" t="inlineStr">
        <is>
          <t xml:space="preserve">Brightwater Learning Group</t>
        </is>
      </c>
    </row>
    <row r="386">
      <c r="A386" s="0" t="inlineStr">
        <is>
          <t xml:space="preserve">a0385</t>
        </is>
      </c>
      <c r="B386" s="0" t="inlineStr">
        <is>
          <t xml:space="preserve">software</t>
        </is>
      </c>
      <c r="C386" s="0" t="inlineStr">
        <is>
          <t xml:space="preserve">amer_west</t>
        </is>
      </c>
      <c r="D386" s="0" t="inlineStr">
        <is>
          <t xml:space="preserve">mid_market</t>
        </is>
      </c>
      <c r="E386" s="4">
        <v>562</v>
      </c>
      <c r="F386" s="0" t="inlineStr">
        <is>
          <t xml:space="preserve">Atlas Software</t>
        </is>
      </c>
    </row>
    <row r="387">
      <c r="A387" s="0" t="inlineStr">
        <is>
          <t xml:space="preserve">a0386</t>
        </is>
      </c>
      <c r="B387" s="0" t="inlineStr">
        <is>
          <t xml:space="preserve">software</t>
        </is>
      </c>
      <c r="C387" s="0" t="inlineStr">
        <is>
          <t xml:space="preserve">amer_west</t>
        </is>
      </c>
      <c r="D387" s="0" t="inlineStr">
        <is>
          <t xml:space="preserve">enterprise</t>
        </is>
      </c>
      <c r="E387" s="4">
        <v>3230</v>
      </c>
      <c r="F387" s="0" t="inlineStr">
        <is>
          <t xml:space="preserve">Meridian Insurance Inc</t>
        </is>
      </c>
    </row>
    <row r="388">
      <c r="A388" s="0" t="inlineStr">
        <is>
          <t xml:space="preserve">a0387</t>
        </is>
      </c>
      <c r="B388" s="0" t="inlineStr">
        <is>
          <t xml:space="preserve">retail</t>
        </is>
      </c>
      <c r="C388" s="0" t="inlineStr">
        <is>
          <t xml:space="preserve">amer_west</t>
        </is>
      </c>
      <c r="D388" s="0" t="inlineStr">
        <is>
          <t xml:space="preserve">mid_market</t>
        </is>
      </c>
      <c r="E388" s="4">
        <v>806</v>
      </c>
      <c r="F388" s="0" t="inlineStr">
        <is>
          <t xml:space="preserve">Beacon Media Ltd</t>
        </is>
      </c>
    </row>
    <row r="389">
      <c r="A389" s="0" t="inlineStr">
        <is>
          <t xml:space="preserve">a0388</t>
        </is>
      </c>
      <c r="B389" s="0" t="inlineStr">
        <is>
          <t xml:space="preserve">logistics</t>
        </is>
      </c>
      <c r="C389" s="0" t="inlineStr">
        <is>
          <t xml:space="preserve">amer_west</t>
        </is>
      </c>
      <c r="D389" s="0" t="inlineStr">
        <is>
          <t xml:space="preserve">mid_market</t>
        </is>
      </c>
      <c r="E389" s="4">
        <v>412</v>
      </c>
      <c r="F389" s="0" t="inlineStr">
        <is>
          <t xml:space="preserve">Aurora Manufacturing Partners</t>
        </is>
      </c>
    </row>
    <row r="390">
      <c r="A390" s="0" t="inlineStr">
        <is>
          <t xml:space="preserve">a0389</t>
        </is>
      </c>
      <c r="B390" s="0" t="inlineStr">
        <is>
          <t xml:space="preserve">manufacturing</t>
        </is>
      </c>
      <c r="C390" s="0" t="inlineStr">
        <is>
          <t xml:space="preserve">amer_west</t>
        </is>
      </c>
      <c r="D390" s="0" t="inlineStr">
        <is>
          <t xml:space="preserve">mid_market</t>
        </is>
      </c>
      <c r="E390" s="4">
        <v>1887</v>
      </c>
      <c r="F390" s="0" t="inlineStr">
        <is>
          <t xml:space="preserve">Cobalt Media Group</t>
        </is>
      </c>
    </row>
    <row r="391">
      <c r="A391" s="0" t="inlineStr">
        <is>
          <t xml:space="preserve">a0390</t>
        </is>
      </c>
      <c r="B391" s="0" t="inlineStr">
        <is>
          <t xml:space="preserve">financial_services</t>
        </is>
      </c>
      <c r="C391" s="0" t="inlineStr">
        <is>
          <t xml:space="preserve">amer_west</t>
        </is>
      </c>
      <c r="D391" s="0" t="inlineStr">
        <is>
          <t xml:space="preserve">mid_market</t>
        </is>
      </c>
      <c r="E391" s="4">
        <v>1468</v>
      </c>
      <c r="F391" s="0" t="inlineStr">
        <is>
          <t xml:space="preserve">Redwood Financial Ltd</t>
        </is>
      </c>
    </row>
    <row r="392">
      <c r="A392" s="0" t="inlineStr">
        <is>
          <t xml:space="preserve">a0391</t>
        </is>
      </c>
      <c r="B392" s="0" t="inlineStr">
        <is>
          <t xml:space="preserve">healthcare</t>
        </is>
      </c>
      <c r="C392" s="0" t="inlineStr">
        <is>
          <t xml:space="preserve">emea</t>
        </is>
      </c>
      <c r="D392" s="0" t="inlineStr">
        <is>
          <t xml:space="preserve">smb</t>
        </is>
      </c>
      <c r="E392" s="4">
        <v>115</v>
      </c>
      <c r="F392" s="0" t="inlineStr">
        <is>
          <t xml:space="preserve">Vertex Analytics Partners</t>
        </is>
      </c>
    </row>
    <row r="393">
      <c r="A393" s="0" t="inlineStr">
        <is>
          <t xml:space="preserve">a0392</t>
        </is>
      </c>
      <c r="B393" s="0" t="inlineStr">
        <is>
          <t xml:space="preserve">retail</t>
        </is>
      </c>
      <c r="C393" s="0" t="inlineStr">
        <is>
          <t xml:space="preserve">emea</t>
        </is>
      </c>
      <c r="D393" s="0" t="inlineStr">
        <is>
          <t xml:space="preserve">mid_market</t>
        </is>
      </c>
      <c r="E393" s="4">
        <v>259</v>
      </c>
      <c r="F393" s="0" t="inlineStr">
        <is>
          <t xml:space="preserve">Meridian Robotics</t>
        </is>
      </c>
    </row>
    <row r="394">
      <c r="A394" s="0" t="inlineStr">
        <is>
          <t xml:space="preserve">a0393</t>
        </is>
      </c>
      <c r="B394" s="0" t="inlineStr">
        <is>
          <t xml:space="preserve">public_sector</t>
        </is>
      </c>
      <c r="C394" s="0" t="inlineStr">
        <is>
          <t xml:space="preserve">emea</t>
        </is>
      </c>
      <c r="D394" s="0" t="inlineStr">
        <is>
          <t xml:space="preserve">mid_market</t>
        </is>
      </c>
      <c r="E394" s="4">
        <v>298</v>
      </c>
      <c r="F394" s="0" t="inlineStr">
        <is>
          <t xml:space="preserve">Silverline Media Inc</t>
        </is>
      </c>
    </row>
    <row r="395">
      <c r="A395" s="0" t="inlineStr">
        <is>
          <t xml:space="preserve">a0394</t>
        </is>
      </c>
      <c r="B395" s="0" t="inlineStr">
        <is>
          <t xml:space="preserve">healthcare</t>
        </is>
      </c>
      <c r="C395" s="0" t="inlineStr">
        <is>
          <t xml:space="preserve">emea</t>
        </is>
      </c>
      <c r="D395" s="0" t="inlineStr">
        <is>
          <t xml:space="preserve">smb</t>
        </is>
      </c>
      <c r="E395" s="4">
        <v>22</v>
      </c>
      <c r="F395" s="0" t="inlineStr">
        <is>
          <t xml:space="preserve">Beacon Mobility</t>
        </is>
      </c>
    </row>
    <row r="396">
      <c r="A396" s="0" t="inlineStr">
        <is>
          <t xml:space="preserve">a0395</t>
        </is>
      </c>
      <c r="B396" s="0" t="inlineStr">
        <is>
          <t xml:space="preserve">software</t>
        </is>
      </c>
      <c r="C396" s="0" t="inlineStr">
        <is>
          <t xml:space="preserve">emea</t>
        </is>
      </c>
      <c r="D396" s="0" t="inlineStr">
        <is>
          <t xml:space="preserve">smb</t>
        </is>
      </c>
      <c r="E396" s="4">
        <v>21</v>
      </c>
      <c r="F396" s="0" t="inlineStr">
        <is>
          <t xml:space="preserve">Evergreen Foods SA</t>
        </is>
      </c>
    </row>
    <row r="397">
      <c r="A397" s="0" t="inlineStr">
        <is>
          <t xml:space="preserve">a0396</t>
        </is>
      </c>
      <c r="B397" s="0" t="inlineStr">
        <is>
          <t xml:space="preserve">software</t>
        </is>
      </c>
      <c r="C397" s="0" t="inlineStr">
        <is>
          <t xml:space="preserve">emea</t>
        </is>
      </c>
      <c r="D397" s="0" t="inlineStr">
        <is>
          <t xml:space="preserve">smb</t>
        </is>
      </c>
      <c r="E397" s="4">
        <v>24</v>
      </c>
      <c r="F397" s="0" t="inlineStr">
        <is>
          <t xml:space="preserve">Juniper Robotics Partners</t>
        </is>
      </c>
    </row>
    <row r="398">
      <c r="A398" s="0" t="inlineStr">
        <is>
          <t xml:space="preserve">a0397</t>
        </is>
      </c>
      <c r="B398" s="0" t="inlineStr">
        <is>
          <t xml:space="preserve">software</t>
        </is>
      </c>
      <c r="C398" s="0" t="inlineStr">
        <is>
          <t xml:space="preserve">emea</t>
        </is>
      </c>
      <c r="D398" s="0" t="inlineStr">
        <is>
          <t xml:space="preserve">smb</t>
        </is>
      </c>
      <c r="E398" s="4">
        <v>63</v>
      </c>
      <c r="F398" s="0" t="inlineStr">
        <is>
          <t xml:space="preserve">Umber Materials SA</t>
        </is>
      </c>
    </row>
    <row r="399">
      <c r="A399" s="0" t="inlineStr">
        <is>
          <t xml:space="preserve">a0398</t>
        </is>
      </c>
      <c r="B399" s="0" t="inlineStr">
        <is>
          <t xml:space="preserve">software</t>
        </is>
      </c>
      <c r="C399" s="0" t="inlineStr">
        <is>
          <t xml:space="preserve">emea</t>
        </is>
      </c>
      <c r="D399" s="0" t="inlineStr">
        <is>
          <t xml:space="preserve">smb</t>
        </is>
      </c>
      <c r="E399" s="4">
        <v>68</v>
      </c>
      <c r="F399" s="0" t="inlineStr">
        <is>
          <t xml:space="preserve">Keystone Energy Co</t>
        </is>
      </c>
    </row>
    <row r="400">
      <c r="A400" s="0" t="inlineStr">
        <is>
          <t xml:space="preserve">a0399</t>
        </is>
      </c>
      <c r="B400" s="0" t="inlineStr">
        <is>
          <t xml:space="preserve">retail</t>
        </is>
      </c>
      <c r="C400" s="0" t="inlineStr">
        <is>
          <t xml:space="preserve">emea</t>
        </is>
      </c>
      <c r="D400" s="0" t="inlineStr">
        <is>
          <t xml:space="preserve">mid_market</t>
        </is>
      </c>
      <c r="E400" s="4">
        <v>274</v>
      </c>
      <c r="F400" s="0" t="inlineStr">
        <is>
          <t xml:space="preserve">Cobalt Financial Holdings</t>
        </is>
      </c>
    </row>
    <row r="401">
      <c r="A401" s="0" t="inlineStr">
        <is>
          <t xml:space="preserve">a0400</t>
        </is>
      </c>
      <c r="B401" s="0" t="inlineStr">
        <is>
          <t xml:space="preserve">manufacturing</t>
        </is>
      </c>
      <c r="C401" s="0" t="inlineStr">
        <is>
          <t xml:space="preserve">emea</t>
        </is>
      </c>
      <c r="D401" s="0" t="inlineStr">
        <is>
          <t xml:space="preserve">enterprise</t>
        </is>
      </c>
      <c r="E401" s="4">
        <v>5328</v>
      </c>
      <c r="F401" s="0" t="inlineStr">
        <is>
          <t xml:space="preserve">Silverline Analytics</t>
        </is>
      </c>
    </row>
    <row r="402">
      <c r="A402" s="0" t="inlineStr">
        <is>
          <t xml:space="preserve">a0401</t>
        </is>
      </c>
      <c r="B402" s="0" t="inlineStr">
        <is>
          <t xml:space="preserve">media</t>
        </is>
      </c>
      <c r="C402" s="0" t="inlineStr">
        <is>
          <t xml:space="preserve">emea</t>
        </is>
      </c>
      <c r="D402" s="0" t="inlineStr">
        <is>
          <t xml:space="preserve">mid_market</t>
        </is>
      </c>
      <c r="E402" s="4">
        <v>278</v>
      </c>
      <c r="F402" s="0" t="inlineStr">
        <is>
          <t xml:space="preserve">Cascade Learning Partners</t>
        </is>
      </c>
    </row>
    <row r="403">
      <c r="A403" s="0" t="inlineStr">
        <is>
          <t xml:space="preserve">a0402</t>
        </is>
      </c>
      <c r="B403" s="0" t="inlineStr">
        <is>
          <t xml:space="preserve">software</t>
        </is>
      </c>
      <c r="C403" s="0" t="inlineStr">
        <is>
          <t xml:space="preserve">emea</t>
        </is>
      </c>
      <c r="D403" s="0" t="inlineStr">
        <is>
          <t xml:space="preserve">enterprise</t>
        </is>
      </c>
      <c r="E403" s="4">
        <v>3129</v>
      </c>
      <c r="F403" s="0" t="inlineStr">
        <is>
          <t xml:space="preserve">Pioneer Materials SA</t>
        </is>
      </c>
    </row>
    <row r="404">
      <c r="A404" s="0" t="inlineStr">
        <is>
          <t xml:space="preserve">a0403</t>
        </is>
      </c>
      <c r="B404" s="0" t="inlineStr">
        <is>
          <t xml:space="preserve">software</t>
        </is>
      </c>
      <c r="C404" s="0" t="inlineStr">
        <is>
          <t xml:space="preserve">emea</t>
        </is>
      </c>
      <c r="D404" s="0" t="inlineStr">
        <is>
          <t xml:space="preserve">smb</t>
        </is>
      </c>
      <c r="E404" s="4">
        <v>21</v>
      </c>
      <c r="F404" s="0" t="inlineStr">
        <is>
          <t xml:space="preserve">Harbor Materials</t>
        </is>
      </c>
    </row>
    <row r="405">
      <c r="A405" s="0" t="inlineStr">
        <is>
          <t xml:space="preserve">a0404</t>
        </is>
      </c>
      <c r="B405" s="0" t="inlineStr">
        <is>
          <t xml:space="preserve">logistics</t>
        </is>
      </c>
      <c r="C405" s="0" t="inlineStr">
        <is>
          <t xml:space="preserve">emea</t>
        </is>
      </c>
      <c r="D405" s="0" t="inlineStr">
        <is>
          <t xml:space="preserve">mid_market</t>
        </is>
      </c>
      <c r="E405" s="4">
        <v>284</v>
      </c>
      <c r="F405" s="0" t="inlineStr">
        <is>
          <t xml:space="preserve">Beacon Labs Ltd</t>
        </is>
      </c>
    </row>
    <row r="406">
      <c r="A406" s="0" t="inlineStr">
        <is>
          <t xml:space="preserve">a0405</t>
        </is>
      </c>
      <c r="B406" s="0" t="inlineStr">
        <is>
          <t xml:space="preserve">software</t>
        </is>
      </c>
      <c r="C406" s="0" t="inlineStr">
        <is>
          <t xml:space="preserve">apac</t>
        </is>
      </c>
      <c r="D406" s="0" t="inlineStr">
        <is>
          <t xml:space="preserve">smb</t>
        </is>
      </c>
      <c r="E406" s="4">
        <v>123</v>
      </c>
      <c r="F406" s="0" t="inlineStr">
        <is>
          <t xml:space="preserve">Summit Analytics Partners</t>
        </is>
      </c>
    </row>
    <row r="407">
      <c r="A407" s="0" t="inlineStr">
        <is>
          <t xml:space="preserve">a0406</t>
        </is>
      </c>
      <c r="B407" s="0" t="inlineStr">
        <is>
          <t xml:space="preserve">retail</t>
        </is>
      </c>
      <c r="C407" s="0" t="inlineStr">
        <is>
          <t xml:space="preserve">apac</t>
        </is>
      </c>
      <c r="D407" s="0" t="inlineStr">
        <is>
          <t xml:space="preserve">smb</t>
        </is>
      </c>
      <c r="E407" s="4">
        <v>59</v>
      </c>
      <c r="F407" s="0" t="inlineStr">
        <is>
          <t xml:space="preserve">Meridian Mobility Inc</t>
        </is>
      </c>
    </row>
    <row r="408">
      <c r="A408" s="0" t="inlineStr">
        <is>
          <t xml:space="preserve">a0407</t>
        </is>
      </c>
      <c r="B408" s="0" t="inlineStr">
        <is>
          <t xml:space="preserve">media</t>
        </is>
      </c>
      <c r="C408" s="0" t="inlineStr">
        <is>
          <t xml:space="preserve">apac</t>
        </is>
      </c>
      <c r="D408" s="0" t="inlineStr">
        <is>
          <t xml:space="preserve">enterprise</t>
        </is>
      </c>
      <c r="E408" s="4">
        <v>3726</v>
      </c>
      <c r="F408" s="0" t="inlineStr">
        <is>
          <t xml:space="preserve">Blue Harbor Foods AG</t>
        </is>
      </c>
    </row>
    <row r="409">
      <c r="A409" s="0" t="inlineStr">
        <is>
          <t xml:space="preserve">a0408</t>
        </is>
      </c>
      <c r="B409" s="0" t="inlineStr">
        <is>
          <t xml:space="preserve">manufacturing</t>
        </is>
      </c>
      <c r="C409" s="0" t="inlineStr">
        <is>
          <t xml:space="preserve">apac</t>
        </is>
      </c>
      <c r="D409" s="0" t="inlineStr">
        <is>
          <t xml:space="preserve">mid_market</t>
        </is>
      </c>
      <c r="E409" s="4">
        <v>813</v>
      </c>
      <c r="F409" s="0" t="inlineStr">
        <is>
          <t xml:space="preserve">Silverline Financial Co</t>
        </is>
      </c>
    </row>
    <row r="410">
      <c r="A410" s="0" t="inlineStr">
        <is>
          <t xml:space="preserve">a0409</t>
        </is>
      </c>
      <c r="B410" s="0" t="inlineStr">
        <is>
          <t xml:space="preserve">logistics</t>
        </is>
      </c>
      <c r="C410" s="0" t="inlineStr">
        <is>
          <t xml:space="preserve">apac</t>
        </is>
      </c>
      <c r="D410" s="0" t="inlineStr">
        <is>
          <t xml:space="preserve">mid_market</t>
        </is>
      </c>
      <c r="E410" s="4">
        <v>626</v>
      </c>
      <c r="F410" s="0" t="inlineStr">
        <is>
          <t xml:space="preserve">Orchard Networks AG</t>
        </is>
      </c>
    </row>
    <row r="411">
      <c r="A411" s="0" t="inlineStr">
        <is>
          <t xml:space="preserve">a0410</t>
        </is>
      </c>
      <c r="B411" s="0" t="inlineStr">
        <is>
          <t xml:space="preserve">logistics</t>
        </is>
      </c>
      <c r="C411" s="0" t="inlineStr">
        <is>
          <t xml:space="preserve">apac</t>
        </is>
      </c>
      <c r="D411" s="0" t="inlineStr">
        <is>
          <t xml:space="preserve">mid_market</t>
        </is>
      </c>
      <c r="E411" s="4">
        <v>272</v>
      </c>
      <c r="F411" s="0" t="inlineStr">
        <is>
          <t xml:space="preserve">Umber Mobility AG</t>
        </is>
      </c>
    </row>
    <row r="412">
      <c r="A412" s="0" t="inlineStr">
        <is>
          <t xml:space="preserve">a0411</t>
        </is>
      </c>
      <c r="B412" s="0" t="inlineStr">
        <is>
          <t xml:space="preserve">manufacturing</t>
        </is>
      </c>
      <c r="C412" s="0" t="inlineStr">
        <is>
          <t xml:space="preserve">apac</t>
        </is>
      </c>
      <c r="D412" s="0" t="inlineStr">
        <is>
          <t xml:space="preserve">mid_market</t>
        </is>
      </c>
      <c r="E412" s="4">
        <v>1137</v>
      </c>
      <c r="F412" s="0" t="inlineStr">
        <is>
          <t xml:space="preserve">Evergreen Systems AG</t>
        </is>
      </c>
    </row>
    <row r="413">
      <c r="A413" s="0" t="inlineStr">
        <is>
          <t xml:space="preserve">a0412</t>
        </is>
      </c>
      <c r="B413" s="0" t="inlineStr">
        <is>
          <t xml:space="preserve">retail</t>
        </is>
      </c>
      <c r="C413" s="0" t="inlineStr">
        <is>
          <t xml:space="preserve">apac</t>
        </is>
      </c>
      <c r="D413" s="0" t="inlineStr">
        <is>
          <t xml:space="preserve">mid_market</t>
        </is>
      </c>
      <c r="E413" s="4">
        <v>1171</v>
      </c>
      <c r="F413" s="0" t="inlineStr">
        <is>
          <t xml:space="preserve">Redwood Materials Co</t>
        </is>
      </c>
    </row>
    <row r="414">
      <c r="A414" s="0" t="inlineStr">
        <is>
          <t xml:space="preserve">a0413</t>
        </is>
      </c>
      <c r="B414" s="0" t="inlineStr">
        <is>
          <t xml:space="preserve">manufacturing</t>
        </is>
      </c>
      <c r="C414" s="0" t="inlineStr">
        <is>
          <t xml:space="preserve">apac</t>
        </is>
      </c>
      <c r="D414" s="0" t="inlineStr">
        <is>
          <t xml:space="preserve">mid_market</t>
        </is>
      </c>
      <c r="E414" s="4">
        <v>593</v>
      </c>
      <c r="F414" s="0" t="inlineStr">
        <is>
          <t xml:space="preserve">Aurora Foods Ltd</t>
        </is>
      </c>
    </row>
    <row r="415">
      <c r="A415" s="0" t="inlineStr">
        <is>
          <t xml:space="preserve">a0414</t>
        </is>
      </c>
      <c r="B415" s="0" t="inlineStr">
        <is>
          <t xml:space="preserve">retail</t>
        </is>
      </c>
      <c r="C415" s="0" t="inlineStr">
        <is>
          <t xml:space="preserve">apac</t>
        </is>
      </c>
      <c r="D415" s="0" t="inlineStr">
        <is>
          <t xml:space="preserve">mid_market</t>
        </is>
      </c>
      <c r="E415" s="4">
        <v>1965</v>
      </c>
      <c r="F415" s="0" t="inlineStr">
        <is>
          <t xml:space="preserve">Nimbus Energy</t>
        </is>
      </c>
    </row>
    <row r="416">
      <c r="A416" s="0" t="inlineStr">
        <is>
          <t xml:space="preserve">a0415</t>
        </is>
      </c>
      <c r="B416" s="0" t="inlineStr">
        <is>
          <t xml:space="preserve">logistics</t>
        </is>
      </c>
      <c r="C416" s="0" t="inlineStr">
        <is>
          <t xml:space="preserve">amer_east</t>
        </is>
      </c>
      <c r="D416" s="0" t="inlineStr">
        <is>
          <t xml:space="preserve">enterprise</t>
        </is>
      </c>
      <c r="E416" s="4">
        <v>9350</v>
      </c>
      <c r="F416" s="0" t="inlineStr">
        <is>
          <t xml:space="preserve">Evergreen Labs AG</t>
        </is>
      </c>
    </row>
    <row r="417">
      <c r="A417" s="0" t="inlineStr">
        <is>
          <t xml:space="preserve">a0416</t>
        </is>
      </c>
      <c r="B417" s="0" t="inlineStr">
        <is>
          <t xml:space="preserve">software</t>
        </is>
      </c>
      <c r="C417" s="0" t="inlineStr">
        <is>
          <t xml:space="preserve">amer_east</t>
        </is>
      </c>
      <c r="D417" s="0" t="inlineStr">
        <is>
          <t xml:space="preserve">smb</t>
        </is>
      </c>
      <c r="E417" s="4">
        <v>21</v>
      </c>
      <c r="F417" s="0" t="inlineStr">
        <is>
          <t xml:space="preserve">Umber Retail SA</t>
        </is>
      </c>
    </row>
    <row r="418">
      <c r="A418" s="0" t="inlineStr">
        <is>
          <t xml:space="preserve">a0417</t>
        </is>
      </c>
      <c r="B418" s="0" t="inlineStr">
        <is>
          <t xml:space="preserve">logistics</t>
        </is>
      </c>
      <c r="C418" s="0" t="inlineStr">
        <is>
          <t xml:space="preserve">amer_east</t>
        </is>
      </c>
      <c r="D418" s="0" t="inlineStr">
        <is>
          <t xml:space="preserve">smb</t>
        </is>
      </c>
      <c r="E418" s="4">
        <v>26</v>
      </c>
      <c r="F418" s="0" t="inlineStr">
        <is>
          <t xml:space="preserve">Keystone Insurance AG</t>
        </is>
      </c>
    </row>
    <row r="419">
      <c r="A419" s="0" t="inlineStr">
        <is>
          <t xml:space="preserve">a0418</t>
        </is>
      </c>
      <c r="B419" s="0" t="inlineStr">
        <is>
          <t xml:space="preserve">retail</t>
        </is>
      </c>
      <c r="C419" s="0" t="inlineStr">
        <is>
          <t xml:space="preserve">amer_east</t>
        </is>
      </c>
      <c r="D419" s="0" t="inlineStr">
        <is>
          <t xml:space="preserve">smb</t>
        </is>
      </c>
      <c r="E419" s="4">
        <v>38</v>
      </c>
      <c r="F419" s="0" t="inlineStr">
        <is>
          <t xml:space="preserve">Beacon Energy</t>
        </is>
      </c>
    </row>
    <row r="420">
      <c r="A420" s="0" t="inlineStr">
        <is>
          <t xml:space="preserve">a0419</t>
        </is>
      </c>
      <c r="B420" s="0" t="inlineStr">
        <is>
          <t xml:space="preserve">software</t>
        </is>
      </c>
      <c r="C420" s="0" t="inlineStr">
        <is>
          <t xml:space="preserve">amer_east</t>
        </is>
      </c>
      <c r="D420" s="0" t="inlineStr">
        <is>
          <t xml:space="preserve">enterprise</t>
        </is>
      </c>
      <c r="E420" s="4">
        <v>3164</v>
      </c>
      <c r="F420" s="0" t="inlineStr">
        <is>
          <t xml:space="preserve">Tidewater Energy SA</t>
        </is>
      </c>
    </row>
    <row r="421">
      <c r="A421" s="0" t="inlineStr">
        <is>
          <t xml:space="preserve">a0420</t>
        </is>
      </c>
      <c r="B421" s="0" t="inlineStr">
        <is>
          <t xml:space="preserve">public_sector</t>
        </is>
      </c>
      <c r="C421" s="0" t="inlineStr">
        <is>
          <t xml:space="preserve">amer_east</t>
        </is>
      </c>
      <c r="D421" s="0" t="inlineStr">
        <is>
          <t xml:space="preserve">smb</t>
        </is>
      </c>
      <c r="E421" s="4">
        <v>29</v>
      </c>
      <c r="F421" s="0" t="inlineStr">
        <is>
          <t xml:space="preserve">Cascade Foods</t>
        </is>
      </c>
    </row>
    <row r="422">
      <c r="A422" s="0" t="inlineStr">
        <is>
          <t xml:space="preserve">a0421</t>
        </is>
      </c>
      <c r="B422" s="0" t="inlineStr">
        <is>
          <t xml:space="preserve">healthcare</t>
        </is>
      </c>
      <c r="C422" s="0" t="inlineStr">
        <is>
          <t xml:space="preserve">amer_east</t>
        </is>
      </c>
      <c r="D422" s="0" t="inlineStr">
        <is>
          <t xml:space="preserve">smb</t>
        </is>
      </c>
      <c r="E422" s="4">
        <v>21</v>
      </c>
      <c r="F422" s="0" t="inlineStr">
        <is>
          <t xml:space="preserve">Granite Biotech</t>
        </is>
      </c>
    </row>
    <row r="423">
      <c r="A423" s="0" t="inlineStr">
        <is>
          <t xml:space="preserve">a0422</t>
        </is>
      </c>
      <c r="B423" s="0" t="inlineStr">
        <is>
          <t xml:space="preserve">manufacturing</t>
        </is>
      </c>
      <c r="C423" s="0" t="inlineStr">
        <is>
          <t xml:space="preserve">amer_east</t>
        </is>
      </c>
      <c r="D423" s="0" t="inlineStr">
        <is>
          <t xml:space="preserve">mid_market</t>
        </is>
      </c>
      <c r="E423" s="4">
        <v>760</v>
      </c>
      <c r="F423" s="0" t="inlineStr">
        <is>
          <t xml:space="preserve">Umber Media Co</t>
        </is>
      </c>
    </row>
    <row r="424">
      <c r="A424" s="0" t="inlineStr">
        <is>
          <t xml:space="preserve">a0423</t>
        </is>
      </c>
      <c r="B424" s="0" t="inlineStr">
        <is>
          <t xml:space="preserve">software</t>
        </is>
      </c>
      <c r="C424" s="0" t="inlineStr">
        <is>
          <t xml:space="preserve">amer_east</t>
        </is>
      </c>
      <c r="D424" s="0" t="inlineStr">
        <is>
          <t xml:space="preserve">smb</t>
        </is>
      </c>
      <c r="E424" s="4">
        <v>60</v>
      </c>
      <c r="F424" s="0" t="inlineStr">
        <is>
          <t xml:space="preserve">Lakeside Capital SA</t>
        </is>
      </c>
    </row>
    <row r="425">
      <c r="A425" s="0" t="inlineStr">
        <is>
          <t xml:space="preserve">a0424</t>
        </is>
      </c>
      <c r="B425" s="0" t="inlineStr">
        <is>
          <t xml:space="preserve">healthcare</t>
        </is>
      </c>
      <c r="C425" s="0" t="inlineStr">
        <is>
          <t xml:space="preserve">amer_east</t>
        </is>
      </c>
      <c r="D425" s="0" t="inlineStr">
        <is>
          <t xml:space="preserve">smb</t>
        </is>
      </c>
      <c r="E425" s="4">
        <v>59</v>
      </c>
      <c r="F425" s="0" t="inlineStr">
        <is>
          <t xml:space="preserve">Cascade Systems</t>
        </is>
      </c>
    </row>
    <row r="426">
      <c r="A426" s="0" t="inlineStr">
        <is>
          <t xml:space="preserve">a0425</t>
        </is>
      </c>
      <c r="B426" s="0" t="inlineStr">
        <is>
          <t xml:space="preserve">financial_services</t>
        </is>
      </c>
      <c r="C426" s="0" t="inlineStr">
        <is>
          <t xml:space="preserve">amer_east</t>
        </is>
      </c>
      <c r="D426" s="0" t="inlineStr">
        <is>
          <t xml:space="preserve">smb</t>
        </is>
      </c>
      <c r="E426" s="4">
        <v>22</v>
      </c>
      <c r="F426" s="0" t="inlineStr">
        <is>
          <t xml:space="preserve">Granite Health Group</t>
        </is>
      </c>
    </row>
    <row r="427">
      <c r="A427" s="0" t="inlineStr">
        <is>
          <t xml:space="preserve">a0426</t>
        </is>
      </c>
      <c r="B427" s="0" t="inlineStr">
        <is>
          <t xml:space="preserve">education</t>
        </is>
      </c>
      <c r="C427" s="0" t="inlineStr">
        <is>
          <t xml:space="preserve">amer_east</t>
        </is>
      </c>
      <c r="D427" s="0" t="inlineStr">
        <is>
          <t xml:space="preserve">smb</t>
        </is>
      </c>
      <c r="E427" s="4">
        <v>32</v>
      </c>
      <c r="F427" s="0" t="inlineStr">
        <is>
          <t xml:space="preserve">Aurora Networks Co</t>
        </is>
      </c>
    </row>
    <row r="428">
      <c r="A428" s="0" t="inlineStr">
        <is>
          <t xml:space="preserve">a0427</t>
        </is>
      </c>
      <c r="B428" s="0" t="inlineStr">
        <is>
          <t xml:space="preserve">retail</t>
        </is>
      </c>
      <c r="C428" s="0" t="inlineStr">
        <is>
          <t xml:space="preserve">amer_west</t>
        </is>
      </c>
      <c r="D428" s="0" t="inlineStr">
        <is>
          <t xml:space="preserve">mid_market</t>
        </is>
      </c>
      <c r="E428" s="4">
        <v>587</v>
      </c>
      <c r="F428" s="0" t="inlineStr">
        <is>
          <t xml:space="preserve">Pioneer Systems</t>
        </is>
      </c>
    </row>
    <row r="429">
      <c r="A429" s="0" t="inlineStr">
        <is>
          <t xml:space="preserve">a0428</t>
        </is>
      </c>
      <c r="B429" s="0" t="inlineStr">
        <is>
          <t xml:space="preserve">financial_services</t>
        </is>
      </c>
      <c r="C429" s="0" t="inlineStr">
        <is>
          <t xml:space="preserve">amer_west</t>
        </is>
      </c>
      <c r="D429" s="0" t="inlineStr">
        <is>
          <t xml:space="preserve">smb</t>
        </is>
      </c>
      <c r="E429" s="4">
        <v>35</v>
      </c>
      <c r="F429" s="0" t="inlineStr">
        <is>
          <t xml:space="preserve">Atlas Financial</t>
        </is>
      </c>
    </row>
    <row r="430">
      <c r="A430" s="0" t="inlineStr">
        <is>
          <t xml:space="preserve">a0429</t>
        </is>
      </c>
      <c r="B430" s="0" t="inlineStr">
        <is>
          <t xml:space="preserve">logistics</t>
        </is>
      </c>
      <c r="C430" s="0" t="inlineStr">
        <is>
          <t xml:space="preserve">amer_west</t>
        </is>
      </c>
      <c r="D430" s="0" t="inlineStr">
        <is>
          <t xml:space="preserve">enterprise</t>
        </is>
      </c>
      <c r="E430" s="4">
        <v>194854</v>
      </c>
      <c r="F430" s="0" t="inlineStr">
        <is>
          <t xml:space="preserve">Blue Harbor Robotics</t>
        </is>
      </c>
    </row>
    <row r="431">
      <c r="A431" s="0" t="inlineStr">
        <is>
          <t xml:space="preserve">a0430</t>
        </is>
      </c>
      <c r="B431" s="0" t="inlineStr">
        <is>
          <t xml:space="preserve">manufacturing</t>
        </is>
      </c>
      <c r="C431" s="0" t="inlineStr">
        <is>
          <t xml:space="preserve">amer_west</t>
        </is>
      </c>
      <c r="D431" s="0" t="inlineStr">
        <is>
          <t xml:space="preserve">mid_market</t>
        </is>
      </c>
      <c r="E431" s="4">
        <v>262</v>
      </c>
      <c r="F431" s="0" t="inlineStr">
        <is>
          <t xml:space="preserve">Redwood Software</t>
        </is>
      </c>
    </row>
    <row r="432">
      <c r="A432" s="0" t="inlineStr">
        <is>
          <t xml:space="preserve">a0431</t>
        </is>
      </c>
      <c r="B432" s="0" t="inlineStr">
        <is>
          <t xml:space="preserve">software</t>
        </is>
      </c>
      <c r="C432" s="0" t="inlineStr">
        <is>
          <t xml:space="preserve">amer_west</t>
        </is>
      </c>
      <c r="D432" s="0" t="inlineStr">
        <is>
          <t xml:space="preserve">smb</t>
        </is>
      </c>
      <c r="E432" s="4">
        <v>25</v>
      </c>
      <c r="F432" s="0" t="inlineStr">
        <is>
          <t xml:space="preserve">Cobalt Networks Ltd</t>
        </is>
      </c>
    </row>
    <row r="433">
      <c r="A433" s="0" t="inlineStr">
        <is>
          <t xml:space="preserve">a0432</t>
        </is>
      </c>
      <c r="B433" s="0" t="inlineStr">
        <is>
          <t xml:space="preserve">logistics</t>
        </is>
      </c>
      <c r="C433" s="0" t="inlineStr">
        <is>
          <t xml:space="preserve">amer_west</t>
        </is>
      </c>
      <c r="D433" s="0" t="inlineStr">
        <is>
          <t xml:space="preserve">enterprise</t>
        </is>
      </c>
      <c r="E433" s="4">
        <v>33101</v>
      </c>
      <c r="F433" s="0" t="inlineStr">
        <is>
          <t xml:space="preserve">Redwood Foods SA</t>
        </is>
      </c>
    </row>
    <row r="434">
      <c r="A434" s="0" t="inlineStr">
        <is>
          <t xml:space="preserve">a0433</t>
        </is>
      </c>
      <c r="B434" s="0" t="inlineStr">
        <is>
          <t xml:space="preserve">education</t>
        </is>
      </c>
      <c r="C434" s="0" t="inlineStr">
        <is>
          <t xml:space="preserve">amer_west</t>
        </is>
      </c>
      <c r="D434" s="0" t="inlineStr">
        <is>
          <t xml:space="preserve">smb</t>
        </is>
      </c>
      <c r="E434" s="4">
        <v>100</v>
      </c>
      <c r="F434" s="0" t="inlineStr">
        <is>
          <t xml:space="preserve">Juniper Systems Co</t>
        </is>
      </c>
    </row>
    <row r="435">
      <c r="A435" s="0" t="inlineStr">
        <is>
          <t xml:space="preserve">a0434</t>
        </is>
      </c>
      <c r="B435" s="0" t="inlineStr">
        <is>
          <t xml:space="preserve">media</t>
        </is>
      </c>
      <c r="C435" s="0" t="inlineStr">
        <is>
          <t xml:space="preserve">amer_west</t>
        </is>
      </c>
      <c r="D435" s="0" t="inlineStr">
        <is>
          <t xml:space="preserve">smb</t>
        </is>
      </c>
      <c r="E435" s="4">
        <v>20</v>
      </c>
      <c r="F435" s="0" t="inlineStr">
        <is>
          <t xml:space="preserve">Beacon Analytics SA</t>
        </is>
      </c>
    </row>
    <row r="436">
      <c r="A436" s="0" t="inlineStr">
        <is>
          <t xml:space="preserve">a0435</t>
        </is>
      </c>
      <c r="B436" s="0" t="inlineStr">
        <is>
          <t xml:space="preserve">logistics</t>
        </is>
      </c>
      <c r="C436" s="0" t="inlineStr">
        <is>
          <t xml:space="preserve">amer_west</t>
        </is>
      </c>
      <c r="D436" s="0" t="inlineStr">
        <is>
          <t xml:space="preserve">smb</t>
        </is>
      </c>
      <c r="E436" s="4">
        <v>48</v>
      </c>
      <c r="F436" s="0" t="inlineStr">
        <is>
          <t xml:space="preserve">Quantum Software</t>
        </is>
      </c>
    </row>
    <row r="437">
      <c r="A437" s="0" t="inlineStr">
        <is>
          <t xml:space="preserve">a0436</t>
        </is>
      </c>
      <c r="B437" s="0" t="inlineStr">
        <is>
          <t xml:space="preserve">education</t>
        </is>
      </c>
      <c r="C437" s="0" t="inlineStr">
        <is>
          <t xml:space="preserve">amer_west</t>
        </is>
      </c>
      <c r="D437" s="0" t="inlineStr">
        <is>
          <t xml:space="preserve">smb</t>
        </is>
      </c>
      <c r="E437" s="4">
        <v>104</v>
      </c>
      <c r="F437" s="0" t="inlineStr">
        <is>
          <t xml:space="preserve">Umber Networks Group</t>
        </is>
      </c>
    </row>
    <row r="438">
      <c r="A438" s="0" t="inlineStr">
        <is>
          <t xml:space="preserve">a0437</t>
        </is>
      </c>
      <c r="B438" s="0" t="inlineStr">
        <is>
          <t xml:space="preserve">manufacturing</t>
        </is>
      </c>
      <c r="C438" s="0" t="inlineStr">
        <is>
          <t xml:space="preserve">amer_west</t>
        </is>
      </c>
      <c r="D438" s="0" t="inlineStr">
        <is>
          <t xml:space="preserve">mid_market</t>
        </is>
      </c>
      <c r="E438" s="4">
        <v>274</v>
      </c>
      <c r="F438" s="0" t="inlineStr">
        <is>
          <t xml:space="preserve">Brightwater Mobility Group</t>
        </is>
      </c>
    </row>
    <row r="439">
      <c r="A439" s="0" t="inlineStr">
        <is>
          <t xml:space="preserve">a0438</t>
        </is>
      </c>
      <c r="B439" s="0" t="inlineStr">
        <is>
          <t xml:space="preserve">software</t>
        </is>
      </c>
      <c r="C439" s="0" t="inlineStr">
        <is>
          <t xml:space="preserve">amer_west</t>
        </is>
      </c>
      <c r="D439" s="0" t="inlineStr">
        <is>
          <t xml:space="preserve">smb</t>
        </is>
      </c>
      <c r="E439" s="4">
        <v>57</v>
      </c>
      <c r="F439" s="0" t="inlineStr">
        <is>
          <t xml:space="preserve">Quantum Health Group</t>
        </is>
      </c>
    </row>
    <row r="440">
      <c r="A440" s="0" t="inlineStr">
        <is>
          <t xml:space="preserve">a0439</t>
        </is>
      </c>
      <c r="B440" s="0" t="inlineStr">
        <is>
          <t xml:space="preserve">financial_services</t>
        </is>
      </c>
      <c r="C440" s="0" t="inlineStr">
        <is>
          <t xml:space="preserve">amer_west</t>
        </is>
      </c>
      <c r="D440" s="0" t="inlineStr">
        <is>
          <t xml:space="preserve">smb</t>
        </is>
      </c>
      <c r="E440" s="4">
        <v>24</v>
      </c>
      <c r="F440" s="0" t="inlineStr">
        <is>
          <t xml:space="preserve">Northwind Mobility Group</t>
        </is>
      </c>
    </row>
    <row r="441">
      <c r="A441" s="0" t="inlineStr">
        <is>
          <t xml:space="preserve">a0440</t>
        </is>
      </c>
      <c r="B441" s="0" t="inlineStr">
        <is>
          <t xml:space="preserve">healthcare</t>
        </is>
      </c>
      <c r="C441" s="0" t="inlineStr">
        <is>
          <t xml:space="preserve">amer_west</t>
        </is>
      </c>
      <c r="D441" s="0" t="inlineStr">
        <is>
          <t xml:space="preserve">smb</t>
        </is>
      </c>
      <c r="E441" s="4">
        <v>59</v>
      </c>
      <c r="F441" s="0" t="inlineStr">
        <is>
          <t xml:space="preserve">Horizon Learning Group</t>
        </is>
      </c>
    </row>
    <row r="442">
      <c r="A442" s="0" t="inlineStr">
        <is>
          <t xml:space="preserve">a0441</t>
        </is>
      </c>
      <c r="B442" s="0" t="inlineStr">
        <is>
          <t xml:space="preserve">manufacturing</t>
        </is>
      </c>
      <c r="C442" s="0" t="inlineStr">
        <is>
          <t xml:space="preserve">amer_west</t>
        </is>
      </c>
      <c r="D442" s="0" t="inlineStr">
        <is>
          <t xml:space="preserve">smb</t>
        </is>
      </c>
      <c r="E442" s="4">
        <v>23</v>
      </c>
      <c r="F442" s="0" t="inlineStr">
        <is>
          <t xml:space="preserve">Aurora Materials Co</t>
        </is>
      </c>
    </row>
    <row r="443">
      <c r="A443" s="0" t="inlineStr">
        <is>
          <t xml:space="preserve">a0442</t>
        </is>
      </c>
      <c r="B443" s="0" t="inlineStr">
        <is>
          <t xml:space="preserve">energy</t>
        </is>
      </c>
      <c r="C443" s="0" t="inlineStr">
        <is>
          <t xml:space="preserve">amer_west</t>
        </is>
      </c>
      <c r="D443" s="0" t="inlineStr">
        <is>
          <t xml:space="preserve">enterprise</t>
        </is>
      </c>
      <c r="E443" s="4">
        <v>2763</v>
      </c>
      <c r="F443" s="0" t="inlineStr">
        <is>
          <t xml:space="preserve">Silverline Labs Ltd</t>
        </is>
      </c>
    </row>
    <row r="444">
      <c r="A444" s="0" t="inlineStr">
        <is>
          <t xml:space="preserve">a0443</t>
        </is>
      </c>
      <c r="B444" s="0" t="inlineStr">
        <is>
          <t xml:space="preserve">financial_services</t>
        </is>
      </c>
      <c r="C444" s="0" t="inlineStr">
        <is>
          <t xml:space="preserve">emea</t>
        </is>
      </c>
      <c r="D444" s="0" t="inlineStr">
        <is>
          <t xml:space="preserve">mid_market</t>
        </is>
      </c>
      <c r="E444" s="4">
        <v>441</v>
      </c>
      <c r="F444" s="0" t="inlineStr">
        <is>
          <t xml:space="preserve">Harbor Energy Co</t>
        </is>
      </c>
    </row>
    <row r="445">
      <c r="A445" s="0" t="inlineStr">
        <is>
          <t xml:space="preserve">a0444</t>
        </is>
      </c>
      <c r="B445" s="0" t="inlineStr">
        <is>
          <t xml:space="preserve">public_sector</t>
        </is>
      </c>
      <c r="C445" s="0" t="inlineStr">
        <is>
          <t xml:space="preserve">emea</t>
        </is>
      </c>
      <c r="D445" s="0" t="inlineStr">
        <is>
          <t xml:space="preserve">smb</t>
        </is>
      </c>
      <c r="E445" s="4">
        <v>70</v>
      </c>
      <c r="F445" s="0" t="inlineStr">
        <is>
          <t xml:space="preserve">Evergreen Health</t>
        </is>
      </c>
    </row>
    <row r="446">
      <c r="A446" s="0" t="inlineStr">
        <is>
          <t xml:space="preserve">a0445</t>
        </is>
      </c>
      <c r="B446" s="0" t="inlineStr">
        <is>
          <t xml:space="preserve">media</t>
        </is>
      </c>
      <c r="C446" s="0" t="inlineStr">
        <is>
          <t xml:space="preserve">emea</t>
        </is>
      </c>
      <c r="D446" s="0" t="inlineStr">
        <is>
          <t xml:space="preserve">enterprise</t>
        </is>
      </c>
      <c r="E446" s="4">
        <v>16062</v>
      </c>
      <c r="F446" s="0" t="inlineStr">
        <is>
          <t xml:space="preserve">Pioneer Media AG</t>
        </is>
      </c>
    </row>
    <row r="447">
      <c r="A447" s="0" t="inlineStr">
        <is>
          <t xml:space="preserve">a0446</t>
        </is>
      </c>
      <c r="B447" s="0" t="inlineStr">
        <is>
          <t xml:space="preserve">manufacturing</t>
        </is>
      </c>
      <c r="C447" s="0" t="inlineStr">
        <is>
          <t xml:space="preserve">emea</t>
        </is>
      </c>
      <c r="D447" s="0" t="inlineStr">
        <is>
          <t xml:space="preserve">mid_market</t>
        </is>
      </c>
      <c r="E447" s="4">
        <v>708</v>
      </c>
      <c r="F447" s="0" t="inlineStr">
        <is>
          <t xml:space="preserve">Summit Mobility</t>
        </is>
      </c>
    </row>
    <row r="448">
      <c r="A448" s="0" t="inlineStr">
        <is>
          <t xml:space="preserve">a0447</t>
        </is>
      </c>
      <c r="B448" s="0" t="inlineStr">
        <is>
          <t xml:space="preserve">education</t>
        </is>
      </c>
      <c r="C448" s="0" t="inlineStr">
        <is>
          <t xml:space="preserve">emea</t>
        </is>
      </c>
      <c r="D448" s="0" t="inlineStr">
        <is>
          <t xml:space="preserve">smb</t>
        </is>
      </c>
      <c r="E448" s="4">
        <v>58</v>
      </c>
      <c r="F448" s="0" t="inlineStr">
        <is>
          <t xml:space="preserve">Copper Biotech Partners</t>
        </is>
      </c>
    </row>
    <row r="449">
      <c r="A449" s="0" t="inlineStr">
        <is>
          <t xml:space="preserve">a0448</t>
        </is>
      </c>
      <c r="B449" s="0" t="inlineStr">
        <is>
          <t xml:space="preserve">financial_services</t>
        </is>
      </c>
      <c r="C449" s="0" t="inlineStr">
        <is>
          <t xml:space="preserve">emea</t>
        </is>
      </c>
      <c r="D449" s="0" t="inlineStr">
        <is>
          <t xml:space="preserve">enterprise</t>
        </is>
      </c>
      <c r="E449" s="4">
        <v>2700</v>
      </c>
      <c r="F449" s="0" t="inlineStr">
        <is>
          <t xml:space="preserve">Keystone Insurance Ltd</t>
        </is>
      </c>
    </row>
    <row r="450">
      <c r="A450" s="0" t="inlineStr">
        <is>
          <t xml:space="preserve">a0449</t>
        </is>
      </c>
      <c r="B450" s="0" t="inlineStr">
        <is>
          <t xml:space="preserve">manufacturing</t>
        </is>
      </c>
      <c r="C450" s="0" t="inlineStr">
        <is>
          <t xml:space="preserve">emea</t>
        </is>
      </c>
      <c r="D450" s="0" t="inlineStr">
        <is>
          <t xml:space="preserve">smb</t>
        </is>
      </c>
      <c r="E450" s="4">
        <v>64</v>
      </c>
      <c r="F450" s="0" t="inlineStr">
        <is>
          <t xml:space="preserve">Ironbridge Mobility Group</t>
        </is>
      </c>
    </row>
    <row r="451">
      <c r="A451" s="0" t="inlineStr">
        <is>
          <t xml:space="preserve">a0450</t>
        </is>
      </c>
      <c r="B451" s="0" t="inlineStr">
        <is>
          <t xml:space="preserve">logistics</t>
        </is>
      </c>
      <c r="C451" s="0" t="inlineStr">
        <is>
          <t xml:space="preserve">emea</t>
        </is>
      </c>
      <c r="D451" s="0" t="inlineStr">
        <is>
          <t xml:space="preserve">smb</t>
        </is>
      </c>
      <c r="E451" s="4">
        <v>153</v>
      </c>
      <c r="F451" s="0" t="inlineStr">
        <is>
          <t xml:space="preserve">Aurora Labs AG</t>
        </is>
      </c>
    </row>
    <row r="452">
      <c r="A452" s="0" t="inlineStr">
        <is>
          <t xml:space="preserve">a0451</t>
        </is>
      </c>
      <c r="B452" s="0" t="inlineStr">
        <is>
          <t xml:space="preserve">manufacturing</t>
        </is>
      </c>
      <c r="C452" s="0" t="inlineStr">
        <is>
          <t xml:space="preserve">emea</t>
        </is>
      </c>
      <c r="D452" s="0" t="inlineStr">
        <is>
          <t xml:space="preserve">smb</t>
        </is>
      </c>
      <c r="E452" s="4">
        <v>66</v>
      </c>
      <c r="F452" s="0" t="inlineStr">
        <is>
          <t xml:space="preserve">Umber Foods Ltd</t>
        </is>
      </c>
    </row>
    <row r="453">
      <c r="A453" s="0" t="inlineStr">
        <is>
          <t xml:space="preserve">a0452</t>
        </is>
      </c>
      <c r="B453" s="0" t="inlineStr">
        <is>
          <t xml:space="preserve">media</t>
        </is>
      </c>
      <c r="C453" s="0" t="inlineStr">
        <is>
          <t xml:space="preserve">emea</t>
        </is>
      </c>
      <c r="D453" s="0" t="inlineStr">
        <is>
          <t xml:space="preserve">mid_market</t>
        </is>
      </c>
      <c r="E453" s="4">
        <v>257</v>
      </c>
      <c r="F453" s="0" t="inlineStr">
        <is>
          <t xml:space="preserve">Tidewater Systems Ltd</t>
        </is>
      </c>
    </row>
    <row r="454">
      <c r="A454" s="0" t="inlineStr">
        <is>
          <t xml:space="preserve">a0453</t>
        </is>
      </c>
      <c r="B454" s="0" t="inlineStr">
        <is>
          <t xml:space="preserve">healthcare</t>
        </is>
      </c>
      <c r="C454" s="0" t="inlineStr">
        <is>
          <t xml:space="preserve">emea</t>
        </is>
      </c>
      <c r="D454" s="0" t="inlineStr">
        <is>
          <t xml:space="preserve">mid_market</t>
        </is>
      </c>
      <c r="E454" s="4">
        <v>539</v>
      </c>
      <c r="F454" s="0" t="inlineStr">
        <is>
          <t xml:space="preserve">Falcon Robotics Ltd</t>
        </is>
      </c>
    </row>
    <row r="455">
      <c r="A455" s="0" t="inlineStr">
        <is>
          <t xml:space="preserve">a0454</t>
        </is>
      </c>
      <c r="B455" s="0" t="inlineStr">
        <is>
          <t xml:space="preserve">financial_services</t>
        </is>
      </c>
      <c r="C455" s="0" t="inlineStr">
        <is>
          <t xml:space="preserve">emea</t>
        </is>
      </c>
      <c r="D455" s="0" t="inlineStr">
        <is>
          <t xml:space="preserve">enterprise</t>
        </is>
      </c>
      <c r="E455" s="4">
        <v>2547</v>
      </c>
      <c r="F455" s="0" t="inlineStr">
        <is>
          <t xml:space="preserve">Silverline Robotics SA</t>
        </is>
      </c>
    </row>
    <row r="456">
      <c r="A456" s="0" t="inlineStr">
        <is>
          <t xml:space="preserve">a0455</t>
        </is>
      </c>
      <c r="B456" s="0" t="inlineStr">
        <is>
          <t xml:space="preserve">software</t>
        </is>
      </c>
      <c r="C456" s="0" t="inlineStr">
        <is>
          <t xml:space="preserve">emea</t>
        </is>
      </c>
      <c r="D456" s="0" t="inlineStr">
        <is>
          <t xml:space="preserve">mid_market</t>
        </is>
      </c>
      <c r="E456" s="4">
        <v>346</v>
      </c>
      <c r="F456" s="0" t="inlineStr">
        <is>
          <t xml:space="preserve">Cobalt Foods</t>
        </is>
      </c>
    </row>
    <row r="457">
      <c r="A457" s="0" t="inlineStr">
        <is>
          <t xml:space="preserve">a0456</t>
        </is>
      </c>
      <c r="B457" s="0" t="inlineStr">
        <is>
          <t xml:space="preserve">software</t>
        </is>
      </c>
      <c r="C457" s="0" t="inlineStr">
        <is>
          <t xml:space="preserve">emea</t>
        </is>
      </c>
      <c r="D457" s="0" t="inlineStr">
        <is>
          <t xml:space="preserve">mid_market</t>
        </is>
      </c>
      <c r="E457" s="4">
        <v>796</v>
      </c>
      <c r="F457" s="0" t="inlineStr">
        <is>
          <t xml:space="preserve">Quantum Analytics AG</t>
        </is>
      </c>
    </row>
    <row r="458">
      <c r="A458" s="0" t="inlineStr">
        <is>
          <t xml:space="preserve">a0457</t>
        </is>
      </c>
      <c r="B458" s="0" t="inlineStr">
        <is>
          <t xml:space="preserve">software</t>
        </is>
      </c>
      <c r="C458" s="0" t="inlineStr">
        <is>
          <t xml:space="preserve">emea</t>
        </is>
      </c>
      <c r="D458" s="0" t="inlineStr">
        <is>
          <t xml:space="preserve">smb</t>
        </is>
      </c>
      <c r="E458" s="4">
        <v>69</v>
      </c>
      <c r="F458" s="0" t="inlineStr">
        <is>
          <t xml:space="preserve">Northwind Materials SA</t>
        </is>
      </c>
    </row>
    <row r="459">
      <c r="A459" s="0" t="inlineStr">
        <is>
          <t xml:space="preserve">a0458</t>
        </is>
      </c>
      <c r="B459" s="0" t="inlineStr">
        <is>
          <t xml:space="preserve">software</t>
        </is>
      </c>
      <c r="C459" s="0" t="inlineStr">
        <is>
          <t xml:space="preserve">emea</t>
        </is>
      </c>
      <c r="D459" s="0" t="inlineStr">
        <is>
          <t xml:space="preserve">smb</t>
        </is>
      </c>
      <c r="E459" s="4">
        <v>70</v>
      </c>
      <c r="F459" s="0" t="inlineStr">
        <is>
          <t xml:space="preserve">Lakeside Retail</t>
        </is>
      </c>
    </row>
    <row r="460">
      <c r="A460" s="0" t="inlineStr">
        <is>
          <t xml:space="preserve">a0459</t>
        </is>
      </c>
      <c r="B460" s="0" t="inlineStr">
        <is>
          <t xml:space="preserve">financial_services</t>
        </is>
      </c>
      <c r="C460" s="0" t="inlineStr">
        <is>
          <t xml:space="preserve">emea</t>
        </is>
      </c>
      <c r="D460" s="0" t="inlineStr">
        <is>
          <t xml:space="preserve">smb</t>
        </is>
      </c>
      <c r="E460" s="4">
        <v>26</v>
      </c>
      <c r="F460" s="0" t="inlineStr">
        <is>
          <t xml:space="preserve">Brightwater Capital Ltd</t>
        </is>
      </c>
    </row>
    <row r="461">
      <c r="A461" s="0" t="inlineStr">
        <is>
          <t xml:space="preserve">a0460</t>
        </is>
      </c>
      <c r="B461" s="0" t="inlineStr">
        <is>
          <t xml:space="preserve">manufacturing</t>
        </is>
      </c>
      <c r="C461" s="0" t="inlineStr">
        <is>
          <t xml:space="preserve">emea</t>
        </is>
      </c>
      <c r="D461" s="0" t="inlineStr">
        <is>
          <t xml:space="preserve">smb</t>
        </is>
      </c>
      <c r="E461" s="4">
        <v>50</v>
      </c>
      <c r="F461" s="0" t="inlineStr">
        <is>
          <t xml:space="preserve">Meridian Media Group</t>
        </is>
      </c>
    </row>
    <row r="462">
      <c r="A462" s="0" t="inlineStr">
        <is>
          <t xml:space="preserve">a0461</t>
        </is>
      </c>
      <c r="B462" s="0" t="inlineStr">
        <is>
          <t xml:space="preserve">healthcare</t>
        </is>
      </c>
      <c r="C462" s="0" t="inlineStr">
        <is>
          <t xml:space="preserve">emea</t>
        </is>
      </c>
      <c r="D462" s="0" t="inlineStr">
        <is>
          <t xml:space="preserve">smb</t>
        </is>
      </c>
      <c r="E462" s="4">
        <v>25</v>
      </c>
      <c r="F462" s="0" t="inlineStr">
        <is>
          <t xml:space="preserve">Keystone Health Inc</t>
        </is>
      </c>
    </row>
    <row r="463">
      <c r="A463" s="0" t="inlineStr">
        <is>
          <t xml:space="preserve">a0462</t>
        </is>
      </c>
      <c r="B463" s="0" t="inlineStr">
        <is>
          <t xml:space="preserve">manufacturing</t>
        </is>
      </c>
      <c r="C463" s="0" t="inlineStr">
        <is>
          <t xml:space="preserve">emea</t>
        </is>
      </c>
      <c r="D463" s="0" t="inlineStr">
        <is>
          <t xml:space="preserve">smb</t>
        </is>
      </c>
      <c r="E463" s="4">
        <v>24</v>
      </c>
      <c r="F463" s="0" t="inlineStr">
        <is>
          <t xml:space="preserve">Northwind Retail Ltd</t>
        </is>
      </c>
    </row>
    <row r="464">
      <c r="A464" s="0" t="inlineStr">
        <is>
          <t xml:space="preserve">a0463</t>
        </is>
      </c>
      <c r="B464" s="0" t="inlineStr">
        <is>
          <t xml:space="preserve">financial_services</t>
        </is>
      </c>
      <c r="C464" s="0" t="inlineStr">
        <is>
          <t xml:space="preserve">emea</t>
        </is>
      </c>
      <c r="D464" s="0" t="inlineStr">
        <is>
          <t xml:space="preserve">smb</t>
        </is>
      </c>
      <c r="E464" s="4">
        <v>48</v>
      </c>
      <c r="F464" s="0" t="inlineStr">
        <is>
          <t xml:space="preserve">Keystone Insurance Co</t>
        </is>
      </c>
    </row>
    <row r="465">
      <c r="A465" s="0" t="inlineStr">
        <is>
          <t xml:space="preserve">a0464</t>
        </is>
      </c>
      <c r="B465" s="0" t="inlineStr">
        <is>
          <t xml:space="preserve">software</t>
        </is>
      </c>
      <c r="C465" s="0" t="inlineStr">
        <is>
          <t xml:space="preserve">emea</t>
        </is>
      </c>
      <c r="D465" s="0" t="inlineStr">
        <is>
          <t xml:space="preserve">smb</t>
        </is>
      </c>
      <c r="E465" s="4">
        <v>31</v>
      </c>
      <c r="F465" s="0" t="inlineStr">
        <is>
          <t xml:space="preserve">Meridian Robotics AG</t>
        </is>
      </c>
    </row>
    <row r="466">
      <c r="A466" s="0" t="inlineStr">
        <is>
          <t xml:space="preserve">a0465</t>
        </is>
      </c>
      <c r="B466" s="0" t="inlineStr">
        <is>
          <t xml:space="preserve">software</t>
        </is>
      </c>
      <c r="C466" s="0" t="inlineStr">
        <is>
          <t xml:space="preserve">emea</t>
        </is>
      </c>
      <c r="D466" s="0" t="inlineStr">
        <is>
          <t xml:space="preserve">mid_market</t>
        </is>
      </c>
      <c r="E466" s="4">
        <v>385</v>
      </c>
      <c r="F466" s="0" t="inlineStr">
        <is>
          <t xml:space="preserve">Granite Manufacturing Holdings</t>
        </is>
      </c>
    </row>
    <row r="467">
      <c r="A467" s="0" t="inlineStr">
        <is>
          <t xml:space="preserve">a0466</t>
        </is>
      </c>
      <c r="B467" s="0" t="inlineStr">
        <is>
          <t xml:space="preserve">healthcare</t>
        </is>
      </c>
      <c r="C467" s="0" t="inlineStr">
        <is>
          <t xml:space="preserve">apac</t>
        </is>
      </c>
      <c r="D467" s="0" t="inlineStr">
        <is>
          <t xml:space="preserve">mid_market</t>
        </is>
      </c>
      <c r="E467" s="4">
        <v>332</v>
      </c>
      <c r="F467" s="0" t="inlineStr">
        <is>
          <t xml:space="preserve">Sable Financial Partners</t>
        </is>
      </c>
    </row>
    <row r="468">
      <c r="A468" s="0" t="inlineStr">
        <is>
          <t xml:space="preserve">a0467</t>
        </is>
      </c>
      <c r="B468" s="0" t="inlineStr">
        <is>
          <t xml:space="preserve">media</t>
        </is>
      </c>
      <c r="C468" s="0" t="inlineStr">
        <is>
          <t xml:space="preserve">apac</t>
        </is>
      </c>
      <c r="D468" s="0" t="inlineStr">
        <is>
          <t xml:space="preserve">smb</t>
        </is>
      </c>
      <c r="E468" s="4">
        <v>49</v>
      </c>
      <c r="F468" s="0" t="inlineStr">
        <is>
          <t xml:space="preserve">Brightwater Foods</t>
        </is>
      </c>
    </row>
    <row r="469">
      <c r="A469" s="0" t="inlineStr">
        <is>
          <t xml:space="preserve">a0468</t>
        </is>
      </c>
      <c r="B469" s="0" t="inlineStr">
        <is>
          <t xml:space="preserve">software</t>
        </is>
      </c>
      <c r="C469" s="0" t="inlineStr">
        <is>
          <t xml:space="preserve">apac</t>
        </is>
      </c>
      <c r="D469" s="0" t="inlineStr">
        <is>
          <t xml:space="preserve">smb</t>
        </is>
      </c>
      <c r="E469" s="4">
        <v>60</v>
      </c>
      <c r="F469" s="0" t="inlineStr">
        <is>
          <t xml:space="preserve">Lakeside Foods SA</t>
        </is>
      </c>
    </row>
    <row r="470">
      <c r="A470" s="0" t="inlineStr">
        <is>
          <t xml:space="preserve">a0469</t>
        </is>
      </c>
      <c r="B470" s="0" t="inlineStr">
        <is>
          <t xml:space="preserve">energy</t>
        </is>
      </c>
      <c r="C470" s="0" t="inlineStr">
        <is>
          <t xml:space="preserve">apac</t>
        </is>
      </c>
      <c r="D470" s="0" t="inlineStr">
        <is>
          <t xml:space="preserve">enterprise</t>
        </is>
      </c>
      <c r="E470" s="4">
        <v>2781</v>
      </c>
      <c r="F470" s="0" t="inlineStr">
        <is>
          <t xml:space="preserve">Granite Biotech SA</t>
        </is>
      </c>
    </row>
    <row r="471">
      <c r="A471" s="0" t="inlineStr">
        <is>
          <t xml:space="preserve">a0470</t>
        </is>
      </c>
      <c r="B471" s="0" t="inlineStr">
        <is>
          <t xml:space="preserve">software</t>
        </is>
      </c>
      <c r="C471" s="0" t="inlineStr">
        <is>
          <t xml:space="preserve">apac</t>
        </is>
      </c>
      <c r="D471" s="0" t="inlineStr">
        <is>
          <t xml:space="preserve">smb</t>
        </is>
      </c>
      <c r="E471" s="4">
        <v>47</v>
      </c>
      <c r="F471" s="0" t="inlineStr">
        <is>
          <t xml:space="preserve">Horizon Media Ltd</t>
        </is>
      </c>
    </row>
    <row r="472">
      <c r="A472" s="0" t="inlineStr">
        <is>
          <t xml:space="preserve">a0471</t>
        </is>
      </c>
      <c r="B472" s="0" t="inlineStr">
        <is>
          <t xml:space="preserve">software</t>
        </is>
      </c>
      <c r="C472" s="0" t="inlineStr">
        <is>
          <t xml:space="preserve">apac</t>
        </is>
      </c>
      <c r="D472" s="0" t="inlineStr">
        <is>
          <t xml:space="preserve">smb</t>
        </is>
      </c>
      <c r="E472" s="4">
        <v>24</v>
      </c>
      <c r="F472" s="0" t="inlineStr">
        <is>
          <t xml:space="preserve">Meridian Learning Co</t>
        </is>
      </c>
    </row>
    <row r="473">
      <c r="A473" s="0" t="inlineStr">
        <is>
          <t xml:space="preserve">a0472</t>
        </is>
      </c>
      <c r="B473" s="0" t="inlineStr">
        <is>
          <t xml:space="preserve">media</t>
        </is>
      </c>
      <c r="C473" s="0" t="inlineStr">
        <is>
          <t xml:space="preserve">apac</t>
        </is>
      </c>
      <c r="D473" s="0" t="inlineStr">
        <is>
          <t xml:space="preserve">mid_market</t>
        </is>
      </c>
      <c r="E473" s="4">
        <v>492</v>
      </c>
      <c r="F473" s="0" t="inlineStr">
        <is>
          <t xml:space="preserve">Evergreen Manufacturing</t>
        </is>
      </c>
    </row>
    <row r="474">
      <c r="A474" s="0" t="inlineStr">
        <is>
          <t xml:space="preserve">a0473</t>
        </is>
      </c>
      <c r="B474" s="0" t="inlineStr">
        <is>
          <t xml:space="preserve">financial_services</t>
        </is>
      </c>
      <c r="C474" s="0" t="inlineStr">
        <is>
          <t xml:space="preserve">apac</t>
        </is>
      </c>
      <c r="D474" s="0" t="inlineStr">
        <is>
          <t xml:space="preserve">smb</t>
        </is>
      </c>
      <c r="E474" s="4">
        <v>38</v>
      </c>
      <c r="F474" s="0" t="inlineStr">
        <is>
          <t xml:space="preserve">Summit Learning Holdings</t>
        </is>
      </c>
    </row>
    <row r="475">
      <c r="A475" s="0" t="inlineStr">
        <is>
          <t xml:space="preserve">a0474</t>
        </is>
      </c>
      <c r="B475" s="0" t="inlineStr">
        <is>
          <t xml:space="preserve">healthcare</t>
        </is>
      </c>
      <c r="C475" s="0" t="inlineStr">
        <is>
          <t xml:space="preserve">apac</t>
        </is>
      </c>
      <c r="D475" s="0" t="inlineStr">
        <is>
          <t xml:space="preserve">mid_market</t>
        </is>
      </c>
      <c r="E475" s="4">
        <v>250</v>
      </c>
      <c r="F475" s="0" t="inlineStr">
        <is>
          <t xml:space="preserve">Vertex Learning Inc</t>
        </is>
      </c>
    </row>
    <row r="476">
      <c r="A476" s="0" t="inlineStr">
        <is>
          <t xml:space="preserve">a0475</t>
        </is>
      </c>
      <c r="B476" s="0" t="inlineStr">
        <is>
          <t xml:space="preserve">manufacturing</t>
        </is>
      </c>
      <c r="C476" s="0" t="inlineStr">
        <is>
          <t xml:space="preserve">apac</t>
        </is>
      </c>
      <c r="D476" s="0" t="inlineStr">
        <is>
          <t xml:space="preserve">smb</t>
        </is>
      </c>
      <c r="E476" s="4">
        <v>122</v>
      </c>
      <c r="F476" s="0" t="inlineStr">
        <is>
          <t xml:space="preserve">Keystone Analytics AG</t>
        </is>
      </c>
    </row>
    <row r="477">
      <c r="A477" s="0" t="inlineStr">
        <is>
          <t xml:space="preserve">a0476</t>
        </is>
      </c>
      <c r="B477" s="0" t="inlineStr">
        <is>
          <t xml:space="preserve">energy</t>
        </is>
      </c>
      <c r="C477" s="0" t="inlineStr">
        <is>
          <t xml:space="preserve">amer_east</t>
        </is>
      </c>
      <c r="D477" s="0" t="inlineStr">
        <is>
          <t xml:space="preserve">smb</t>
        </is>
      </c>
      <c r="E477" s="4">
        <v>23</v>
      </c>
      <c r="F477" s="0" t="inlineStr">
        <is>
          <t xml:space="preserve">Umber Biotech SA</t>
        </is>
      </c>
    </row>
    <row r="478">
      <c r="A478" s="0" t="inlineStr">
        <is>
          <t xml:space="preserve">a0477</t>
        </is>
      </c>
      <c r="B478" s="0" t="inlineStr">
        <is>
          <t xml:space="preserve">software</t>
        </is>
      </c>
      <c r="C478" s="0" t="inlineStr">
        <is>
          <t xml:space="preserve">amer_east</t>
        </is>
      </c>
      <c r="D478" s="0" t="inlineStr">
        <is>
          <t xml:space="preserve">mid_market</t>
        </is>
      </c>
      <c r="E478" s="4">
        <v>838</v>
      </c>
      <c r="F478" s="0" t="inlineStr">
        <is>
          <t xml:space="preserve">Lakeside Health Group</t>
        </is>
      </c>
    </row>
    <row r="479">
      <c r="A479" s="0" t="inlineStr">
        <is>
          <t xml:space="preserve">a0478</t>
        </is>
      </c>
      <c r="B479" s="0" t="inlineStr">
        <is>
          <t xml:space="preserve">software</t>
        </is>
      </c>
      <c r="C479" s="0" t="inlineStr">
        <is>
          <t xml:space="preserve">amer_east</t>
        </is>
      </c>
      <c r="D479" s="0" t="inlineStr">
        <is>
          <t xml:space="preserve">smb</t>
        </is>
      </c>
      <c r="E479" s="4">
        <v>20</v>
      </c>
      <c r="F479" s="0" t="inlineStr">
        <is>
          <t xml:space="preserve">Quantum Robotics Group</t>
        </is>
      </c>
    </row>
    <row r="480">
      <c r="A480" s="0" t="inlineStr">
        <is>
          <t xml:space="preserve">a0479</t>
        </is>
      </c>
      <c r="B480" s="0" t="inlineStr">
        <is>
          <t xml:space="preserve">manufacturing</t>
        </is>
      </c>
      <c r="C480" s="0" t="inlineStr">
        <is>
          <t xml:space="preserve">amer_east</t>
        </is>
      </c>
      <c r="D480" s="0" t="inlineStr">
        <is>
          <t xml:space="preserve">smb</t>
        </is>
      </c>
      <c r="E480" s="4">
        <v>29</v>
      </c>
      <c r="F480" s="0" t="inlineStr">
        <is>
          <t xml:space="preserve">Nimbus Networks Holdings</t>
        </is>
      </c>
    </row>
    <row r="481">
      <c r="A481" s="0" t="inlineStr">
        <is>
          <t xml:space="preserve">a0480</t>
        </is>
      </c>
      <c r="B481" s="0" t="inlineStr">
        <is>
          <t xml:space="preserve">financial_services</t>
        </is>
      </c>
      <c r="C481" s="0" t="inlineStr">
        <is>
          <t xml:space="preserve">amer_east</t>
        </is>
      </c>
      <c r="D481" s="0" t="inlineStr">
        <is>
          <t xml:space="preserve">mid_market</t>
        </is>
      </c>
      <c r="E481" s="4">
        <v>278</v>
      </c>
      <c r="F481" s="0" t="inlineStr">
        <is>
          <t xml:space="preserve">Harbor Labs</t>
        </is>
      </c>
    </row>
    <row r="482">
      <c r="A482" s="0" t="inlineStr">
        <is>
          <t xml:space="preserve">a0481</t>
        </is>
      </c>
      <c r="B482" s="0" t="inlineStr">
        <is>
          <t xml:space="preserve">healthcare</t>
        </is>
      </c>
      <c r="C482" s="0" t="inlineStr">
        <is>
          <t xml:space="preserve">amer_east</t>
        </is>
      </c>
      <c r="D482" s="0" t="inlineStr">
        <is>
          <t xml:space="preserve">mid_market</t>
        </is>
      </c>
      <c r="E482" s="4">
        <v>2411</v>
      </c>
      <c r="F482" s="0" t="inlineStr">
        <is>
          <t xml:space="preserve">Harbor Learning SA</t>
        </is>
      </c>
    </row>
    <row r="483">
      <c r="A483" s="0" t="inlineStr">
        <is>
          <t xml:space="preserve">a0482</t>
        </is>
      </c>
      <c r="B483" s="0" t="inlineStr">
        <is>
          <t xml:space="preserve">media</t>
        </is>
      </c>
      <c r="C483" s="0" t="inlineStr">
        <is>
          <t xml:space="preserve">amer_east</t>
        </is>
      </c>
      <c r="D483" s="0" t="inlineStr">
        <is>
          <t xml:space="preserve">mid_market</t>
        </is>
      </c>
      <c r="E483" s="4">
        <v>439</v>
      </c>
      <c r="F483" s="0" t="inlineStr">
        <is>
          <t xml:space="preserve">Brightwater Energy Group</t>
        </is>
      </c>
    </row>
    <row r="484">
      <c r="A484" s="0" t="inlineStr">
        <is>
          <t xml:space="preserve">a0483</t>
        </is>
      </c>
      <c r="B484" s="0" t="inlineStr">
        <is>
          <t xml:space="preserve">manufacturing</t>
        </is>
      </c>
      <c r="C484" s="0" t="inlineStr">
        <is>
          <t xml:space="preserve">amer_east</t>
        </is>
      </c>
      <c r="D484" s="0" t="inlineStr">
        <is>
          <t xml:space="preserve">mid_market</t>
        </is>
      </c>
      <c r="E484" s="4">
        <v>304</v>
      </c>
      <c r="F484" s="0" t="inlineStr">
        <is>
          <t xml:space="preserve">Horizon Networks Ltd</t>
        </is>
      </c>
    </row>
    <row r="485">
      <c r="A485" s="0" t="inlineStr">
        <is>
          <t xml:space="preserve">a0484</t>
        </is>
      </c>
      <c r="B485" s="0" t="inlineStr">
        <is>
          <t xml:space="preserve">software</t>
        </is>
      </c>
      <c r="C485" s="0" t="inlineStr">
        <is>
          <t xml:space="preserve">amer_east</t>
        </is>
      </c>
      <c r="D485" s="0" t="inlineStr">
        <is>
          <t xml:space="preserve">smb</t>
        </is>
      </c>
      <c r="E485" s="4">
        <v>41</v>
      </c>
      <c r="F485" s="0" t="inlineStr">
        <is>
          <t xml:space="preserve">Brightwater Analytics Inc</t>
        </is>
      </c>
    </row>
    <row r="486">
      <c r="A486" s="0" t="inlineStr">
        <is>
          <t xml:space="preserve">a0485</t>
        </is>
      </c>
      <c r="B486" s="0" t="inlineStr">
        <is>
          <t xml:space="preserve">software</t>
        </is>
      </c>
      <c r="C486" s="0" t="inlineStr">
        <is>
          <t xml:space="preserve">amer_east</t>
        </is>
      </c>
      <c r="D486" s="0" t="inlineStr">
        <is>
          <t xml:space="preserve">mid_market</t>
        </is>
      </c>
      <c r="E486" s="4">
        <v>415</v>
      </c>
      <c r="F486" s="0" t="inlineStr">
        <is>
          <t xml:space="preserve">Meridian Biotech</t>
        </is>
      </c>
    </row>
    <row r="487">
      <c r="A487" s="0" t="inlineStr">
        <is>
          <t xml:space="preserve">a0486</t>
        </is>
      </c>
      <c r="B487" s="0" t="inlineStr">
        <is>
          <t xml:space="preserve">energy</t>
        </is>
      </c>
      <c r="C487" s="0" t="inlineStr">
        <is>
          <t xml:space="preserve">amer_east</t>
        </is>
      </c>
      <c r="D487" s="0" t="inlineStr">
        <is>
          <t xml:space="preserve">smb</t>
        </is>
      </c>
      <c r="E487" s="4">
        <v>27</v>
      </c>
      <c r="F487" s="0" t="inlineStr">
        <is>
          <t xml:space="preserve">Blue Harbor Robotics Holdings</t>
        </is>
      </c>
    </row>
    <row r="488">
      <c r="A488" s="0" t="inlineStr">
        <is>
          <t xml:space="preserve">a0487</t>
        </is>
      </c>
      <c r="B488" s="0" t="inlineStr">
        <is>
          <t xml:space="preserve">education</t>
        </is>
      </c>
      <c r="C488" s="0" t="inlineStr">
        <is>
          <t xml:space="preserve">amer_east</t>
        </is>
      </c>
      <c r="D488" s="0" t="inlineStr">
        <is>
          <t xml:space="preserve">enterprise</t>
        </is>
      </c>
      <c r="E488" s="4">
        <v>3644</v>
      </c>
      <c r="F488" s="0" t="inlineStr">
        <is>
          <t xml:space="preserve">Summit Systems</t>
        </is>
      </c>
    </row>
    <row r="489">
      <c r="A489" s="0" t="inlineStr">
        <is>
          <t xml:space="preserve">a0488</t>
        </is>
      </c>
      <c r="B489" s="0" t="inlineStr">
        <is>
          <t xml:space="preserve">software</t>
        </is>
      </c>
      <c r="C489" s="0" t="inlineStr">
        <is>
          <t xml:space="preserve">amer_east</t>
        </is>
      </c>
      <c r="D489" s="0" t="inlineStr">
        <is>
          <t xml:space="preserve">mid_market</t>
        </is>
      </c>
      <c r="E489" s="4">
        <v>489</v>
      </c>
      <c r="F489" s="0" t="inlineStr">
        <is>
          <t xml:space="preserve">Meridian Financial</t>
        </is>
      </c>
    </row>
    <row r="490">
      <c r="A490" s="0" t="inlineStr">
        <is>
          <t xml:space="preserve">a0489</t>
        </is>
      </c>
      <c r="B490" s="0" t="inlineStr">
        <is>
          <t xml:space="preserve">retail</t>
        </is>
      </c>
      <c r="C490" s="0" t="inlineStr">
        <is>
          <t xml:space="preserve">amer_east</t>
        </is>
      </c>
      <c r="D490" s="0" t="inlineStr">
        <is>
          <t xml:space="preserve">smb</t>
        </is>
      </c>
      <c r="E490" s="4">
        <v>162</v>
      </c>
      <c r="F490" s="0" t="inlineStr">
        <is>
          <t xml:space="preserve">Granite Retail Partners</t>
        </is>
      </c>
    </row>
    <row r="491">
      <c r="A491" s="0" t="inlineStr">
        <is>
          <t xml:space="preserve">a0490</t>
        </is>
      </c>
      <c r="B491" s="0" t="inlineStr">
        <is>
          <t xml:space="preserve">manufacturing</t>
        </is>
      </c>
      <c r="C491" s="0" t="inlineStr">
        <is>
          <t xml:space="preserve">amer_east</t>
        </is>
      </c>
      <c r="D491" s="0" t="inlineStr">
        <is>
          <t xml:space="preserve">smb</t>
        </is>
      </c>
      <c r="E491" s="4">
        <v>22</v>
      </c>
      <c r="F491" s="0" t="inlineStr">
        <is>
          <t xml:space="preserve">Tidewater Logistics Co</t>
        </is>
      </c>
    </row>
    <row r="492">
      <c r="A492" s="0" t="inlineStr">
        <is>
          <t xml:space="preserve">a0491</t>
        </is>
      </c>
      <c r="B492" s="0" t="inlineStr">
        <is>
          <t xml:space="preserve">financial_services</t>
        </is>
      </c>
      <c r="C492" s="0" t="inlineStr">
        <is>
          <t xml:space="preserve">amer_east</t>
        </is>
      </c>
      <c r="D492" s="0" t="inlineStr">
        <is>
          <t xml:space="preserve">mid_market</t>
        </is>
      </c>
      <c r="E492" s="4">
        <v>270</v>
      </c>
      <c r="F492" s="0" t="inlineStr">
        <is>
          <t xml:space="preserve">Atlas Insurance AG</t>
        </is>
      </c>
    </row>
    <row r="493">
      <c r="A493" s="0" t="inlineStr">
        <is>
          <t xml:space="preserve">a0492</t>
        </is>
      </c>
      <c r="B493" s="0" t="inlineStr">
        <is>
          <t xml:space="preserve">financial_services</t>
        </is>
      </c>
      <c r="C493" s="0" t="inlineStr">
        <is>
          <t xml:space="preserve">amer_west</t>
        </is>
      </c>
      <c r="D493" s="0" t="inlineStr">
        <is>
          <t xml:space="preserve">smb</t>
        </is>
      </c>
      <c r="E493" s="4">
        <v>37</v>
      </c>
      <c r="F493" s="0" t="inlineStr">
        <is>
          <t xml:space="preserve">Cobalt Retail AG</t>
        </is>
      </c>
    </row>
    <row r="494">
      <c r="A494" s="0" t="inlineStr">
        <is>
          <t xml:space="preserve">a0493</t>
        </is>
      </c>
      <c r="B494" s="0" t="inlineStr">
        <is>
          <t xml:space="preserve">manufacturing</t>
        </is>
      </c>
      <c r="C494" s="0" t="inlineStr">
        <is>
          <t xml:space="preserve">amer_west</t>
        </is>
      </c>
      <c r="D494" s="0" t="inlineStr">
        <is>
          <t xml:space="preserve">mid_market</t>
        </is>
      </c>
      <c r="E494" s="4">
        <v>252</v>
      </c>
      <c r="F494" s="0" t="inlineStr">
        <is>
          <t xml:space="preserve">Horizon Insurance Group</t>
        </is>
      </c>
    </row>
    <row r="495">
      <c r="A495" s="0" t="inlineStr">
        <is>
          <t xml:space="preserve">a0494</t>
        </is>
      </c>
      <c r="B495" s="0" t="inlineStr">
        <is>
          <t xml:space="preserve">energy</t>
        </is>
      </c>
      <c r="C495" s="0" t="inlineStr">
        <is>
          <t xml:space="preserve">amer_west</t>
        </is>
      </c>
      <c r="D495" s="0" t="inlineStr">
        <is>
          <t xml:space="preserve">mid_market</t>
        </is>
      </c>
      <c r="E495" s="4">
        <v>272</v>
      </c>
      <c r="F495" s="0" t="inlineStr">
        <is>
          <t xml:space="preserve">Silverline Insurance Inc</t>
        </is>
      </c>
    </row>
    <row r="496">
      <c r="A496" s="0" t="inlineStr">
        <is>
          <t xml:space="preserve">a0495</t>
        </is>
      </c>
      <c r="B496" s="0" t="inlineStr">
        <is>
          <t xml:space="preserve">media</t>
        </is>
      </c>
      <c r="C496" s="0" t="inlineStr">
        <is>
          <t xml:space="preserve">amer_west</t>
        </is>
      </c>
      <c r="D496" s="0" t="inlineStr">
        <is>
          <t xml:space="preserve">enterprise</t>
        </is>
      </c>
      <c r="E496" s="4">
        <v>6353</v>
      </c>
      <c r="F496" s="0" t="inlineStr">
        <is>
          <t xml:space="preserve">Silverline Financial</t>
        </is>
      </c>
    </row>
    <row r="497">
      <c r="A497" s="0" t="inlineStr">
        <is>
          <t xml:space="preserve">a0496</t>
        </is>
      </c>
      <c r="B497" s="0" t="inlineStr">
        <is>
          <t xml:space="preserve">media</t>
        </is>
      </c>
      <c r="C497" s="0" t="inlineStr">
        <is>
          <t xml:space="preserve">amer_west</t>
        </is>
      </c>
      <c r="D497" s="0" t="inlineStr">
        <is>
          <t xml:space="preserve">smb</t>
        </is>
      </c>
      <c r="E497" s="4">
        <v>64</v>
      </c>
      <c r="F497" s="0" t="inlineStr">
        <is>
          <t xml:space="preserve">Harbor Learning</t>
        </is>
      </c>
    </row>
    <row r="498">
      <c r="A498" s="0" t="inlineStr">
        <is>
          <t xml:space="preserve">a0497</t>
        </is>
      </c>
      <c r="B498" s="0" t="inlineStr">
        <is>
          <t xml:space="preserve">energy</t>
        </is>
      </c>
      <c r="C498" s="0" t="inlineStr">
        <is>
          <t xml:space="preserve">amer_west</t>
        </is>
      </c>
      <c r="D498" s="0" t="inlineStr">
        <is>
          <t xml:space="preserve">enterprise</t>
        </is>
      </c>
      <c r="E498" s="4">
        <v>70490</v>
      </c>
      <c r="F498" s="0" t="inlineStr">
        <is>
          <t xml:space="preserve">Evergreen Labs</t>
        </is>
      </c>
    </row>
    <row r="499">
      <c r="A499" s="0" t="inlineStr">
        <is>
          <t xml:space="preserve">a0498</t>
        </is>
      </c>
      <c r="B499" s="0" t="inlineStr">
        <is>
          <t xml:space="preserve">media</t>
        </is>
      </c>
      <c r="C499" s="0" t="inlineStr">
        <is>
          <t xml:space="preserve">amer_west</t>
        </is>
      </c>
      <c r="D499" s="0" t="inlineStr">
        <is>
          <t xml:space="preserve">enterprise</t>
        </is>
      </c>
      <c r="E499" s="4">
        <v>6211</v>
      </c>
      <c r="F499" s="0" t="inlineStr">
        <is>
          <t xml:space="preserve">Copper Software AG</t>
        </is>
      </c>
    </row>
    <row r="500">
      <c r="A500" s="0" t="inlineStr">
        <is>
          <t xml:space="preserve">a0499</t>
        </is>
      </c>
      <c r="B500" s="0" t="inlineStr">
        <is>
          <t xml:space="preserve">software</t>
        </is>
      </c>
      <c r="C500" s="0" t="inlineStr">
        <is>
          <t xml:space="preserve">amer_west</t>
        </is>
      </c>
      <c r="D500" s="0" t="inlineStr">
        <is>
          <t xml:space="preserve">mid_market</t>
        </is>
      </c>
      <c r="E500" s="4">
        <v>2250</v>
      </c>
      <c r="F500" s="0" t="inlineStr">
        <is>
          <t xml:space="preserve">Beacon Systems</t>
        </is>
      </c>
    </row>
    <row r="501">
      <c r="A501" s="0" t="inlineStr">
        <is>
          <t xml:space="preserve">a0500</t>
        </is>
      </c>
      <c r="B501" s="0" t="inlineStr">
        <is>
          <t xml:space="preserve">logistics</t>
        </is>
      </c>
      <c r="C501" s="0" t="inlineStr">
        <is>
          <t xml:space="preserve">amer_west</t>
        </is>
      </c>
      <c r="D501" s="0" t="inlineStr">
        <is>
          <t xml:space="preserve">enterprise</t>
        </is>
      </c>
      <c r="E501" s="4">
        <v>44202</v>
      </c>
      <c r="F501" s="0" t="inlineStr">
        <is>
          <t xml:space="preserve">Silverline Health Partners</t>
        </is>
      </c>
    </row>
    <row r="502">
      <c r="A502" s="0" t="inlineStr">
        <is>
          <t xml:space="preserve">a0501</t>
        </is>
      </c>
      <c r="B502" s="0" t="inlineStr">
        <is>
          <t xml:space="preserve">logistics</t>
        </is>
      </c>
      <c r="C502" s="0" t="inlineStr">
        <is>
          <t xml:space="preserve">amer_west</t>
        </is>
      </c>
      <c r="D502" s="0" t="inlineStr">
        <is>
          <t xml:space="preserve">mid_market</t>
        </is>
      </c>
      <c r="E502" s="4">
        <v>1556</v>
      </c>
      <c r="F502" s="0" t="inlineStr">
        <is>
          <t xml:space="preserve">Orchard Learning Holdings</t>
        </is>
      </c>
    </row>
    <row r="503">
      <c r="A503" s="0" t="inlineStr">
        <is>
          <t xml:space="preserve">a0502</t>
        </is>
      </c>
      <c r="B503" s="0" t="inlineStr">
        <is>
          <t xml:space="preserve">retail</t>
        </is>
      </c>
      <c r="C503" s="0" t="inlineStr">
        <is>
          <t xml:space="preserve">amer_west</t>
        </is>
      </c>
      <c r="D503" s="0" t="inlineStr">
        <is>
          <t xml:space="preserve">mid_market</t>
        </is>
      </c>
      <c r="E503" s="4">
        <v>333</v>
      </c>
      <c r="F503" s="0" t="inlineStr">
        <is>
          <t xml:space="preserve">Falcon Analytics Holdings</t>
        </is>
      </c>
    </row>
    <row r="504">
      <c r="A504" s="0" t="inlineStr">
        <is>
          <t xml:space="preserve">a0503</t>
        </is>
      </c>
      <c r="B504" s="0" t="inlineStr">
        <is>
          <t xml:space="preserve">software</t>
        </is>
      </c>
      <c r="C504" s="0" t="inlineStr">
        <is>
          <t xml:space="preserve">amer_west</t>
        </is>
      </c>
      <c r="D504" s="0" t="inlineStr">
        <is>
          <t xml:space="preserve">smb</t>
        </is>
      </c>
      <c r="E504" s="4">
        <v>112</v>
      </c>
      <c r="F504" s="0" t="inlineStr">
        <is>
          <t xml:space="preserve">Meridian Labs Holdings</t>
        </is>
      </c>
    </row>
    <row r="505">
      <c r="A505" s="0" t="inlineStr">
        <is>
          <t xml:space="preserve">a0504</t>
        </is>
      </c>
      <c r="B505" s="0" t="inlineStr">
        <is>
          <t xml:space="preserve">retail</t>
        </is>
      </c>
      <c r="C505" s="0" t="inlineStr">
        <is>
          <t xml:space="preserve">amer_west</t>
        </is>
      </c>
      <c r="D505" s="0" t="inlineStr">
        <is>
          <t xml:space="preserve">smb</t>
        </is>
      </c>
      <c r="E505" s="4">
        <v>187</v>
      </c>
      <c r="F505" s="0" t="inlineStr">
        <is>
          <t xml:space="preserve">Orchard Labs AG</t>
        </is>
      </c>
    </row>
    <row r="506">
      <c r="A506" s="0" t="inlineStr">
        <is>
          <t xml:space="preserve">a0505</t>
        </is>
      </c>
      <c r="B506" s="0" t="inlineStr">
        <is>
          <t xml:space="preserve">energy</t>
        </is>
      </c>
      <c r="C506" s="0" t="inlineStr">
        <is>
          <t xml:space="preserve">amer_west</t>
        </is>
      </c>
      <c r="D506" s="0" t="inlineStr">
        <is>
          <t xml:space="preserve">smb</t>
        </is>
      </c>
      <c r="E506" s="4">
        <v>20</v>
      </c>
      <c r="F506" s="0" t="inlineStr">
        <is>
          <t xml:space="preserve">Atlas Health Co</t>
        </is>
      </c>
    </row>
    <row r="507">
      <c r="A507" s="0" t="inlineStr">
        <is>
          <t xml:space="preserve">a0506</t>
        </is>
      </c>
      <c r="B507" s="0" t="inlineStr">
        <is>
          <t xml:space="preserve">retail</t>
        </is>
      </c>
      <c r="C507" s="0" t="inlineStr">
        <is>
          <t xml:space="preserve">amer_west</t>
        </is>
      </c>
      <c r="D507" s="0" t="inlineStr">
        <is>
          <t xml:space="preserve">mid_market</t>
        </is>
      </c>
      <c r="E507" s="4">
        <v>970</v>
      </c>
      <c r="F507" s="0" t="inlineStr">
        <is>
          <t xml:space="preserve">Umber Health Co</t>
        </is>
      </c>
    </row>
    <row r="508">
      <c r="A508" s="0" t="inlineStr">
        <is>
          <t xml:space="preserve">a0507</t>
        </is>
      </c>
      <c r="B508" s="0" t="inlineStr">
        <is>
          <t xml:space="preserve">software</t>
        </is>
      </c>
      <c r="C508" s="0" t="inlineStr">
        <is>
          <t xml:space="preserve">amer_west</t>
        </is>
      </c>
      <c r="D508" s="0" t="inlineStr">
        <is>
          <t xml:space="preserve">mid_market</t>
        </is>
      </c>
      <c r="E508" s="4">
        <v>489</v>
      </c>
      <c r="F508" s="0" t="inlineStr">
        <is>
          <t xml:space="preserve">Cobalt Robotics Group</t>
        </is>
      </c>
    </row>
    <row r="509">
      <c r="A509" s="0" t="inlineStr">
        <is>
          <t xml:space="preserve">a0508</t>
        </is>
      </c>
      <c r="B509" s="0" t="inlineStr">
        <is>
          <t xml:space="preserve">media</t>
        </is>
      </c>
      <c r="C509" s="0" t="inlineStr">
        <is>
          <t xml:space="preserve">amer_west</t>
        </is>
      </c>
      <c r="D509" s="0" t="inlineStr">
        <is>
          <t xml:space="preserve">enterprise</t>
        </is>
      </c>
      <c r="E509" s="4">
        <v>7872</v>
      </c>
      <c r="F509" s="0" t="inlineStr">
        <is>
          <t xml:space="preserve">Keystone Robotics Holdings</t>
        </is>
      </c>
    </row>
    <row r="510">
      <c r="A510" s="0" t="inlineStr">
        <is>
          <t xml:space="preserve">a0509</t>
        </is>
      </c>
      <c r="B510" s="0" t="inlineStr">
        <is>
          <t xml:space="preserve">software</t>
        </is>
      </c>
      <c r="C510" s="0" t="inlineStr">
        <is>
          <t xml:space="preserve">emea</t>
        </is>
      </c>
      <c r="D510" s="0" t="inlineStr">
        <is>
          <t xml:space="preserve">mid_market</t>
        </is>
      </c>
      <c r="E510" s="4">
        <v>660</v>
      </c>
      <c r="F510" s="0" t="inlineStr">
        <is>
          <t xml:space="preserve">Redwood Media Holdings</t>
        </is>
      </c>
    </row>
    <row r="511">
      <c r="A511" s="0" t="inlineStr">
        <is>
          <t xml:space="preserve">a0510</t>
        </is>
      </c>
      <c r="B511" s="0" t="inlineStr">
        <is>
          <t xml:space="preserve">healthcare</t>
        </is>
      </c>
      <c r="C511" s="0" t="inlineStr">
        <is>
          <t xml:space="preserve">emea</t>
        </is>
      </c>
      <c r="D511" s="0" t="inlineStr">
        <is>
          <t xml:space="preserve">smb</t>
        </is>
      </c>
      <c r="E511" s="4">
        <v>178</v>
      </c>
      <c r="F511" s="0" t="inlineStr">
        <is>
          <t xml:space="preserve">Ironbridge Materials Co</t>
        </is>
      </c>
    </row>
    <row r="512">
      <c r="A512" s="0" t="inlineStr">
        <is>
          <t xml:space="preserve">a0511</t>
        </is>
      </c>
      <c r="B512" s="0" t="inlineStr">
        <is>
          <t xml:space="preserve">logistics</t>
        </is>
      </c>
      <c r="C512" s="0" t="inlineStr">
        <is>
          <t xml:space="preserve">emea</t>
        </is>
      </c>
      <c r="D512" s="0" t="inlineStr">
        <is>
          <t xml:space="preserve">smb</t>
        </is>
      </c>
      <c r="E512" s="4">
        <v>25</v>
      </c>
      <c r="F512" s="0" t="inlineStr">
        <is>
          <t xml:space="preserve">Meridian Learning AG</t>
        </is>
      </c>
    </row>
    <row r="513">
      <c r="A513" s="0" t="inlineStr">
        <is>
          <t xml:space="preserve">a0512</t>
        </is>
      </c>
      <c r="B513" s="0" t="inlineStr">
        <is>
          <t xml:space="preserve">software</t>
        </is>
      </c>
      <c r="C513" s="0" t="inlineStr">
        <is>
          <t xml:space="preserve">emea</t>
        </is>
      </c>
      <c r="D513" s="0" t="inlineStr">
        <is>
          <t xml:space="preserve">smb</t>
        </is>
      </c>
      <c r="E513" s="4">
        <v>24</v>
      </c>
      <c r="F513" s="0" t="inlineStr">
        <is>
          <t xml:space="preserve">Vertex Financial Co</t>
        </is>
      </c>
    </row>
    <row r="514">
      <c r="A514" s="0" t="inlineStr">
        <is>
          <t xml:space="preserve">a0513</t>
        </is>
      </c>
      <c r="B514" s="0" t="inlineStr">
        <is>
          <t xml:space="preserve">public_sector</t>
        </is>
      </c>
      <c r="C514" s="0" t="inlineStr">
        <is>
          <t xml:space="preserve">emea</t>
        </is>
      </c>
      <c r="D514" s="0" t="inlineStr">
        <is>
          <t xml:space="preserve">mid_market</t>
        </is>
      </c>
      <c r="E514" s="4">
        <v>315</v>
      </c>
      <c r="F514" s="0" t="inlineStr">
        <is>
          <t xml:space="preserve">Beacon Media Partners</t>
        </is>
      </c>
    </row>
    <row r="515">
      <c r="A515" s="0" t="inlineStr">
        <is>
          <t xml:space="preserve">a0514</t>
        </is>
      </c>
      <c r="B515" s="0" t="inlineStr">
        <is>
          <t xml:space="preserve">software</t>
        </is>
      </c>
      <c r="C515" s="0" t="inlineStr">
        <is>
          <t xml:space="preserve">emea</t>
        </is>
      </c>
      <c r="D515" s="0" t="inlineStr">
        <is>
          <t xml:space="preserve">smb</t>
        </is>
      </c>
      <c r="E515" s="4">
        <v>26</v>
      </c>
      <c r="F515" s="0" t="inlineStr">
        <is>
          <t xml:space="preserve">Umber Mobility</t>
        </is>
      </c>
    </row>
    <row r="516">
      <c r="A516" s="0" t="inlineStr">
        <is>
          <t xml:space="preserve">a0515</t>
        </is>
      </c>
      <c r="B516" s="0" t="inlineStr">
        <is>
          <t xml:space="preserve">retail</t>
        </is>
      </c>
      <c r="C516" s="0" t="inlineStr">
        <is>
          <t xml:space="preserve">emea</t>
        </is>
      </c>
      <c r="D516" s="0" t="inlineStr">
        <is>
          <t xml:space="preserve">smb</t>
        </is>
      </c>
      <c r="E516" s="4">
        <v>20</v>
      </c>
      <c r="F516" s="0" t="inlineStr">
        <is>
          <t xml:space="preserve">Copper Manufacturing</t>
        </is>
      </c>
    </row>
    <row r="517">
      <c r="A517" s="0" t="inlineStr">
        <is>
          <t xml:space="preserve">a0516</t>
        </is>
      </c>
      <c r="B517" s="0" t="inlineStr">
        <is>
          <t xml:space="preserve">retail</t>
        </is>
      </c>
      <c r="C517" s="0" t="inlineStr">
        <is>
          <t xml:space="preserve">emea</t>
        </is>
      </c>
      <c r="D517" s="0" t="inlineStr">
        <is>
          <t xml:space="preserve">smb</t>
        </is>
      </c>
      <c r="E517" s="4">
        <v>130</v>
      </c>
      <c r="F517" s="0" t="inlineStr">
        <is>
          <t xml:space="preserve">Evergreen Logistics Co</t>
        </is>
      </c>
    </row>
    <row r="518">
      <c r="A518" s="0" t="inlineStr">
        <is>
          <t xml:space="preserve">a0517</t>
        </is>
      </c>
      <c r="B518" s="0" t="inlineStr">
        <is>
          <t xml:space="preserve">financial_services</t>
        </is>
      </c>
      <c r="C518" s="0" t="inlineStr">
        <is>
          <t xml:space="preserve">emea</t>
        </is>
      </c>
      <c r="D518" s="0" t="inlineStr">
        <is>
          <t xml:space="preserve">mid_market</t>
        </is>
      </c>
      <c r="E518" s="4">
        <v>477</v>
      </c>
      <c r="F518" s="0" t="inlineStr">
        <is>
          <t xml:space="preserve">Lakeside Materials Group</t>
        </is>
      </c>
    </row>
    <row r="519">
      <c r="A519" s="0" t="inlineStr">
        <is>
          <t xml:space="preserve">a0518</t>
        </is>
      </c>
      <c r="B519" s="0" t="inlineStr">
        <is>
          <t xml:space="preserve">software</t>
        </is>
      </c>
      <c r="C519" s="0" t="inlineStr">
        <is>
          <t xml:space="preserve">emea</t>
        </is>
      </c>
      <c r="D519" s="0" t="inlineStr">
        <is>
          <t xml:space="preserve">mid_market</t>
        </is>
      </c>
      <c r="E519" s="4">
        <v>994</v>
      </c>
      <c r="F519" s="0" t="inlineStr">
        <is>
          <t xml:space="preserve">Aurora Media</t>
        </is>
      </c>
    </row>
    <row r="520">
      <c r="A520" s="0" t="inlineStr">
        <is>
          <t xml:space="preserve">a0519</t>
        </is>
      </c>
      <c r="B520" s="0" t="inlineStr">
        <is>
          <t xml:space="preserve">logistics</t>
        </is>
      </c>
      <c r="C520" s="0" t="inlineStr">
        <is>
          <t xml:space="preserve">emea</t>
        </is>
      </c>
      <c r="D520" s="0" t="inlineStr">
        <is>
          <t xml:space="preserve">smb</t>
        </is>
      </c>
      <c r="E520" s="4">
        <v>34</v>
      </c>
      <c r="F520" s="0" t="inlineStr">
        <is>
          <t xml:space="preserve">Beacon Insurance Holdings</t>
        </is>
      </c>
    </row>
    <row r="521">
      <c r="A521" s="0" t="inlineStr">
        <is>
          <t xml:space="preserve">a0520</t>
        </is>
      </c>
      <c r="B521" s="0" t="inlineStr">
        <is>
          <t xml:space="preserve">logistics</t>
        </is>
      </c>
      <c r="C521" s="0" t="inlineStr">
        <is>
          <t xml:space="preserve">emea</t>
        </is>
      </c>
      <c r="D521" s="0" t="inlineStr">
        <is>
          <t xml:space="preserve">smb</t>
        </is>
      </c>
      <c r="E521" s="4">
        <v>29</v>
      </c>
      <c r="F521" s="0" t="inlineStr">
        <is>
          <t xml:space="preserve">Beacon Insurance Group</t>
        </is>
      </c>
    </row>
    <row r="522">
      <c r="A522" s="0" t="inlineStr">
        <is>
          <t xml:space="preserve">a0521</t>
        </is>
      </c>
      <c r="B522" s="0" t="inlineStr">
        <is>
          <t xml:space="preserve">media</t>
        </is>
      </c>
      <c r="C522" s="0" t="inlineStr">
        <is>
          <t xml:space="preserve">emea</t>
        </is>
      </c>
      <c r="D522" s="0" t="inlineStr">
        <is>
          <t xml:space="preserve">enterprise</t>
        </is>
      </c>
      <c r="E522" s="4">
        <v>3379</v>
      </c>
      <c r="F522" s="0" t="inlineStr">
        <is>
          <t xml:space="preserve">Orchard Financial Inc</t>
        </is>
      </c>
    </row>
    <row r="523">
      <c r="A523" s="0" t="inlineStr">
        <is>
          <t xml:space="preserve">a0522</t>
        </is>
      </c>
      <c r="B523" s="0" t="inlineStr">
        <is>
          <t xml:space="preserve">software</t>
        </is>
      </c>
      <c r="C523" s="0" t="inlineStr">
        <is>
          <t xml:space="preserve">emea</t>
        </is>
      </c>
      <c r="D523" s="0" t="inlineStr">
        <is>
          <t xml:space="preserve">smb</t>
        </is>
      </c>
      <c r="E523" s="4">
        <v>57</v>
      </c>
      <c r="F523" s="0" t="inlineStr">
        <is>
          <t xml:space="preserve">Umber Insurance Ltd</t>
        </is>
      </c>
    </row>
    <row r="524">
      <c r="A524" s="0" t="inlineStr">
        <is>
          <t xml:space="preserve">a0523</t>
        </is>
      </c>
      <c r="B524" s="0" t="inlineStr">
        <is>
          <t xml:space="preserve">software</t>
        </is>
      </c>
      <c r="C524" s="0" t="inlineStr">
        <is>
          <t xml:space="preserve">emea</t>
        </is>
      </c>
      <c r="D524" s="0" t="inlineStr">
        <is>
          <t xml:space="preserve">smb</t>
        </is>
      </c>
      <c r="E524" s="4">
        <v>194</v>
      </c>
      <c r="F524" s="0" t="inlineStr">
        <is>
          <t xml:space="preserve">Redwood Systems SA</t>
        </is>
      </c>
    </row>
    <row r="525">
      <c r="A525" s="0" t="inlineStr">
        <is>
          <t xml:space="preserve">a0524</t>
        </is>
      </c>
      <c r="B525" s="0" t="inlineStr">
        <is>
          <t xml:space="preserve">healthcare</t>
        </is>
      </c>
      <c r="C525" s="0" t="inlineStr">
        <is>
          <t xml:space="preserve">apac</t>
        </is>
      </c>
      <c r="D525" s="0" t="inlineStr">
        <is>
          <t xml:space="preserve">smb</t>
        </is>
      </c>
      <c r="E525" s="4">
        <v>21</v>
      </c>
      <c r="F525" s="0" t="inlineStr">
        <is>
          <t xml:space="preserve">Evergreen Financial Group</t>
        </is>
      </c>
    </row>
    <row r="526">
      <c r="A526" s="0" t="inlineStr">
        <is>
          <t xml:space="preserve">a0525</t>
        </is>
      </c>
      <c r="B526" s="0" t="inlineStr">
        <is>
          <t xml:space="preserve">software</t>
        </is>
      </c>
      <c r="C526" s="0" t="inlineStr">
        <is>
          <t xml:space="preserve">apac</t>
        </is>
      </c>
      <c r="D526" s="0" t="inlineStr">
        <is>
          <t xml:space="preserve">mid_market</t>
        </is>
      </c>
      <c r="E526" s="4">
        <v>704</v>
      </c>
      <c r="F526" s="0" t="inlineStr">
        <is>
          <t xml:space="preserve">Aurora Networks SA</t>
        </is>
      </c>
    </row>
    <row r="527">
      <c r="A527" s="0" t="inlineStr">
        <is>
          <t xml:space="preserve">a0526</t>
        </is>
      </c>
      <c r="B527" s="0" t="inlineStr">
        <is>
          <t xml:space="preserve">media</t>
        </is>
      </c>
      <c r="C527" s="0" t="inlineStr">
        <is>
          <t xml:space="preserve">apac</t>
        </is>
      </c>
      <c r="D527" s="0" t="inlineStr">
        <is>
          <t xml:space="preserve">smb</t>
        </is>
      </c>
      <c r="E527" s="4">
        <v>25</v>
      </c>
      <c r="F527" s="0" t="inlineStr">
        <is>
          <t xml:space="preserve">Evergreen Logistics SA</t>
        </is>
      </c>
    </row>
    <row r="528">
      <c r="A528" s="0" t="inlineStr">
        <is>
          <t xml:space="preserve">a0527</t>
        </is>
      </c>
      <c r="B528" s="0" t="inlineStr">
        <is>
          <t xml:space="preserve">retail</t>
        </is>
      </c>
      <c r="C528" s="0" t="inlineStr">
        <is>
          <t xml:space="preserve">apac</t>
        </is>
      </c>
      <c r="D528" s="0" t="inlineStr">
        <is>
          <t xml:space="preserve">smb</t>
        </is>
      </c>
      <c r="E528" s="4">
        <v>20</v>
      </c>
      <c r="F528" s="0" t="inlineStr">
        <is>
          <t xml:space="preserve">Nimbus Foods Group</t>
        </is>
      </c>
    </row>
    <row r="529">
      <c r="A529" s="0" t="inlineStr">
        <is>
          <t xml:space="preserve">a0528</t>
        </is>
      </c>
      <c r="B529" s="0" t="inlineStr">
        <is>
          <t xml:space="preserve">education</t>
        </is>
      </c>
      <c r="C529" s="0" t="inlineStr">
        <is>
          <t xml:space="preserve">apac</t>
        </is>
      </c>
      <c r="D529" s="0" t="inlineStr">
        <is>
          <t xml:space="preserve">mid_market</t>
        </is>
      </c>
      <c r="E529" s="4">
        <v>319</v>
      </c>
      <c r="F529" s="0" t="inlineStr">
        <is>
          <t xml:space="preserve">Sable Systems Co</t>
        </is>
      </c>
    </row>
    <row r="530">
      <c r="A530" s="0" t="inlineStr">
        <is>
          <t xml:space="preserve">a0529</t>
        </is>
      </c>
      <c r="B530" s="0" t="inlineStr">
        <is>
          <t xml:space="preserve">healthcare</t>
        </is>
      </c>
      <c r="C530" s="0" t="inlineStr">
        <is>
          <t xml:space="preserve">apac</t>
        </is>
      </c>
      <c r="D530" s="0" t="inlineStr">
        <is>
          <t xml:space="preserve">smb</t>
        </is>
      </c>
      <c r="E530" s="4">
        <v>34</v>
      </c>
      <c r="F530" s="0" t="inlineStr">
        <is>
          <t xml:space="preserve">Ironbridge Manufacturing</t>
        </is>
      </c>
    </row>
    <row r="531">
      <c r="A531" s="0" t="inlineStr">
        <is>
          <t xml:space="preserve">a0530</t>
        </is>
      </c>
      <c r="B531" s="0" t="inlineStr">
        <is>
          <t xml:space="preserve">energy</t>
        </is>
      </c>
      <c r="C531" s="0" t="inlineStr">
        <is>
          <t xml:space="preserve">apac</t>
        </is>
      </c>
      <c r="D531" s="0" t="inlineStr">
        <is>
          <t xml:space="preserve">mid_market</t>
        </is>
      </c>
      <c r="E531" s="4">
        <v>374</v>
      </c>
      <c r="F531" s="0" t="inlineStr">
        <is>
          <t xml:space="preserve">Silverline Manufacturing</t>
        </is>
      </c>
    </row>
    <row r="532">
      <c r="A532" s="0" t="inlineStr">
        <is>
          <t xml:space="preserve">a0531</t>
        </is>
      </c>
      <c r="B532" s="0" t="inlineStr">
        <is>
          <t xml:space="preserve">manufacturing</t>
        </is>
      </c>
      <c r="C532" s="0" t="inlineStr">
        <is>
          <t xml:space="preserve">apac</t>
        </is>
      </c>
      <c r="D532" s="0" t="inlineStr">
        <is>
          <t xml:space="preserve">smb</t>
        </is>
      </c>
      <c r="E532" s="4">
        <v>25</v>
      </c>
      <c r="F532" s="0" t="inlineStr">
        <is>
          <t xml:space="preserve">Copper Media Holdings</t>
        </is>
      </c>
    </row>
    <row r="533">
      <c r="A533" s="0" t="inlineStr">
        <is>
          <t xml:space="preserve">a0532</t>
        </is>
      </c>
      <c r="B533" s="0" t="inlineStr">
        <is>
          <t xml:space="preserve">financial_services</t>
        </is>
      </c>
      <c r="C533" s="0" t="inlineStr">
        <is>
          <t xml:space="preserve">apac</t>
        </is>
      </c>
      <c r="D533" s="0" t="inlineStr">
        <is>
          <t xml:space="preserve">smb</t>
        </is>
      </c>
      <c r="E533" s="4">
        <v>133</v>
      </c>
      <c r="F533" s="0" t="inlineStr">
        <is>
          <t xml:space="preserve">Copper Manufacturing Co</t>
        </is>
      </c>
    </row>
    <row r="534">
      <c r="A534" s="0" t="inlineStr">
        <is>
          <t xml:space="preserve">a0533</t>
        </is>
      </c>
      <c r="B534" s="0" t="inlineStr">
        <is>
          <t xml:space="preserve">manufacturing</t>
        </is>
      </c>
      <c r="C534" s="0" t="inlineStr">
        <is>
          <t xml:space="preserve">apac</t>
        </is>
      </c>
      <c r="D534" s="0" t="inlineStr">
        <is>
          <t xml:space="preserve">smb</t>
        </is>
      </c>
      <c r="E534" s="4">
        <v>34</v>
      </c>
      <c r="F534" s="0" t="inlineStr">
        <is>
          <t xml:space="preserve">Tidewater Software Partners</t>
        </is>
      </c>
    </row>
    <row r="535">
      <c r="A535" s="0" t="inlineStr">
        <is>
          <t xml:space="preserve">a0534</t>
        </is>
      </c>
      <c r="B535" s="0" t="inlineStr">
        <is>
          <t xml:space="preserve">education</t>
        </is>
      </c>
      <c r="C535" s="0" t="inlineStr">
        <is>
          <t xml:space="preserve">apac</t>
        </is>
      </c>
      <c r="D535" s="0" t="inlineStr">
        <is>
          <t xml:space="preserve">enterprise</t>
        </is>
      </c>
      <c r="E535" s="4">
        <v>4349</v>
      </c>
      <c r="F535" s="0" t="inlineStr">
        <is>
          <t xml:space="preserve">Granite Biotech Holdings</t>
        </is>
      </c>
    </row>
    <row r="536">
      <c r="A536" s="0" t="inlineStr">
        <is>
          <t xml:space="preserve">a0535</t>
        </is>
      </c>
      <c r="B536" s="0" t="inlineStr">
        <is>
          <t xml:space="preserve">software</t>
        </is>
      </c>
      <c r="C536" s="0" t="inlineStr">
        <is>
          <t xml:space="preserve">amer_east</t>
        </is>
      </c>
      <c r="D536" s="0" t="inlineStr">
        <is>
          <t xml:space="preserve">mid_market</t>
        </is>
      </c>
      <c r="E536" s="4">
        <v>486</v>
      </c>
      <c r="F536" s="0" t="inlineStr">
        <is>
          <t xml:space="preserve">Falcon Financial Inc</t>
        </is>
      </c>
    </row>
    <row r="537">
      <c r="A537" s="0" t="inlineStr">
        <is>
          <t xml:space="preserve">a0536</t>
        </is>
      </c>
      <c r="B537" s="0" t="inlineStr">
        <is>
          <t xml:space="preserve">public_sector</t>
        </is>
      </c>
      <c r="C537" s="0" t="inlineStr">
        <is>
          <t xml:space="preserve">amer_east</t>
        </is>
      </c>
      <c r="D537" s="0" t="inlineStr">
        <is>
          <t xml:space="preserve">mid_market</t>
        </is>
      </c>
      <c r="E537" s="4">
        <v>289</v>
      </c>
      <c r="F537" s="0" t="inlineStr">
        <is>
          <t xml:space="preserve">Keystone Foods</t>
        </is>
      </c>
    </row>
    <row r="538">
      <c r="A538" s="0" t="inlineStr">
        <is>
          <t xml:space="preserve">a0537</t>
        </is>
      </c>
      <c r="B538" s="0" t="inlineStr">
        <is>
          <t xml:space="preserve">retail</t>
        </is>
      </c>
      <c r="C538" s="0" t="inlineStr">
        <is>
          <t xml:space="preserve">amer_east</t>
        </is>
      </c>
      <c r="D538" s="0" t="inlineStr">
        <is>
          <t xml:space="preserve">smb</t>
        </is>
      </c>
      <c r="E538" s="4">
        <v>94</v>
      </c>
      <c r="F538" s="0" t="inlineStr">
        <is>
          <t xml:space="preserve">Granite Foods Ltd</t>
        </is>
      </c>
    </row>
    <row r="539">
      <c r="A539" s="0" t="inlineStr">
        <is>
          <t xml:space="preserve">a0538</t>
        </is>
      </c>
      <c r="B539" s="0" t="inlineStr">
        <is>
          <t xml:space="preserve">public_sector</t>
        </is>
      </c>
      <c r="C539" s="0" t="inlineStr">
        <is>
          <t xml:space="preserve">amer_east</t>
        </is>
      </c>
      <c r="D539" s="0" t="inlineStr">
        <is>
          <t xml:space="preserve">mid_market</t>
        </is>
      </c>
      <c r="E539" s="4">
        <v>609</v>
      </c>
      <c r="F539" s="0" t="inlineStr">
        <is>
          <t xml:space="preserve">Lakeside Financial SA</t>
        </is>
      </c>
    </row>
    <row r="540">
      <c r="A540" s="0" t="inlineStr">
        <is>
          <t xml:space="preserve">a0539</t>
        </is>
      </c>
      <c r="B540" s="0" t="inlineStr">
        <is>
          <t xml:space="preserve">software</t>
        </is>
      </c>
      <c r="C540" s="0" t="inlineStr">
        <is>
          <t xml:space="preserve">amer_east</t>
        </is>
      </c>
      <c r="D540" s="0" t="inlineStr">
        <is>
          <t xml:space="preserve">smb</t>
        </is>
      </c>
      <c r="E540" s="4">
        <v>42</v>
      </c>
      <c r="F540" s="0" t="inlineStr">
        <is>
          <t xml:space="preserve">Beacon Robotics Holdings</t>
        </is>
      </c>
    </row>
    <row r="541">
      <c r="A541" s="0" t="inlineStr">
        <is>
          <t xml:space="preserve">a0540</t>
        </is>
      </c>
      <c r="B541" s="0" t="inlineStr">
        <is>
          <t xml:space="preserve">financial_services</t>
        </is>
      </c>
      <c r="C541" s="0" t="inlineStr">
        <is>
          <t xml:space="preserve">amer_east</t>
        </is>
      </c>
      <c r="D541" s="0" t="inlineStr">
        <is>
          <t xml:space="preserve">smb</t>
        </is>
      </c>
      <c r="E541" s="4">
        <v>53</v>
      </c>
      <c r="F541" s="0" t="inlineStr">
        <is>
          <t xml:space="preserve">Northwind Systems Group</t>
        </is>
      </c>
    </row>
    <row r="542">
      <c r="A542" s="0" t="inlineStr">
        <is>
          <t xml:space="preserve">a0541</t>
        </is>
      </c>
      <c r="B542" s="0" t="inlineStr">
        <is>
          <t xml:space="preserve">media</t>
        </is>
      </c>
      <c r="C542" s="0" t="inlineStr">
        <is>
          <t xml:space="preserve">amer_east</t>
        </is>
      </c>
      <c r="D542" s="0" t="inlineStr">
        <is>
          <t xml:space="preserve">mid_market</t>
        </is>
      </c>
      <c r="E542" s="4">
        <v>398</v>
      </c>
      <c r="F542" s="0" t="inlineStr">
        <is>
          <t xml:space="preserve">Umber Networks Holdings</t>
        </is>
      </c>
    </row>
    <row r="543">
      <c r="A543" s="0" t="inlineStr">
        <is>
          <t xml:space="preserve">a0542</t>
        </is>
      </c>
      <c r="B543" s="0" t="inlineStr">
        <is>
          <t xml:space="preserve">energy</t>
        </is>
      </c>
      <c r="C543" s="0" t="inlineStr">
        <is>
          <t xml:space="preserve">amer_east</t>
        </is>
      </c>
      <c r="D543" s="0" t="inlineStr">
        <is>
          <t xml:space="preserve">smb</t>
        </is>
      </c>
      <c r="E543" s="4">
        <v>27</v>
      </c>
      <c r="F543" s="0" t="inlineStr">
        <is>
          <t xml:space="preserve">Evergreen Mobility Co</t>
        </is>
      </c>
    </row>
    <row r="544">
      <c r="A544" s="0" t="inlineStr">
        <is>
          <t xml:space="preserve">a0543</t>
        </is>
      </c>
      <c r="B544" s="0" t="inlineStr">
        <is>
          <t xml:space="preserve">manufacturing</t>
        </is>
      </c>
      <c r="C544" s="0" t="inlineStr">
        <is>
          <t xml:space="preserve">amer_east</t>
        </is>
      </c>
      <c r="D544" s="0" t="inlineStr">
        <is>
          <t xml:space="preserve">enterprise</t>
        </is>
      </c>
      <c r="E544" s="4">
        <v>11082</v>
      </c>
      <c r="F544" s="0" t="inlineStr">
        <is>
          <t xml:space="preserve">Lakeside Biotech</t>
        </is>
      </c>
    </row>
    <row r="545">
      <c r="A545" s="0" t="inlineStr">
        <is>
          <t xml:space="preserve">a0544</t>
        </is>
      </c>
      <c r="B545" s="0" t="inlineStr">
        <is>
          <t xml:space="preserve">manufacturing</t>
        </is>
      </c>
      <c r="C545" s="0" t="inlineStr">
        <is>
          <t xml:space="preserve">amer_east</t>
        </is>
      </c>
      <c r="D545" s="0" t="inlineStr">
        <is>
          <t xml:space="preserve">smb</t>
        </is>
      </c>
      <c r="E545" s="4">
        <v>116</v>
      </c>
      <c r="F545" s="0" t="inlineStr">
        <is>
          <t xml:space="preserve">Orchard Manufacturing AG</t>
        </is>
      </c>
    </row>
    <row r="546">
      <c r="A546" s="0" t="inlineStr">
        <is>
          <t xml:space="preserve">a0545</t>
        </is>
      </c>
      <c r="B546" s="0" t="inlineStr">
        <is>
          <t xml:space="preserve">healthcare</t>
        </is>
      </c>
      <c r="C546" s="0" t="inlineStr">
        <is>
          <t xml:space="preserve">amer_east</t>
        </is>
      </c>
      <c r="D546" s="0" t="inlineStr">
        <is>
          <t xml:space="preserve">smb</t>
        </is>
      </c>
      <c r="E546" s="4">
        <v>61</v>
      </c>
      <c r="F546" s="0" t="inlineStr">
        <is>
          <t xml:space="preserve">Cascade Analytics AG</t>
        </is>
      </c>
    </row>
    <row r="547">
      <c r="A547" s="0" t="inlineStr">
        <is>
          <t xml:space="preserve">a0546</t>
        </is>
      </c>
      <c r="B547" s="0" t="inlineStr">
        <is>
          <t xml:space="preserve">financial_services</t>
        </is>
      </c>
      <c r="C547" s="0" t="inlineStr">
        <is>
          <t xml:space="preserve">amer_east</t>
        </is>
      </c>
      <c r="D547" s="0" t="inlineStr">
        <is>
          <t xml:space="preserve">mid_market</t>
        </is>
      </c>
      <c r="E547" s="4">
        <v>396</v>
      </c>
      <c r="F547" s="0" t="inlineStr">
        <is>
          <t xml:space="preserve">Pioneer Insurance Ltd</t>
        </is>
      </c>
    </row>
    <row r="548">
      <c r="A548" s="0" t="inlineStr">
        <is>
          <t xml:space="preserve">a0547</t>
        </is>
      </c>
      <c r="B548" s="0" t="inlineStr">
        <is>
          <t xml:space="preserve">financial_services</t>
        </is>
      </c>
      <c r="C548" s="0" t="inlineStr">
        <is>
          <t xml:space="preserve">amer_east</t>
        </is>
      </c>
      <c r="D548" s="0" t="inlineStr">
        <is>
          <t xml:space="preserve">smb</t>
        </is>
      </c>
      <c r="E548" s="4">
        <v>30</v>
      </c>
      <c r="F548" s="0" t="inlineStr">
        <is>
          <t xml:space="preserve">Granite Analytics</t>
        </is>
      </c>
    </row>
    <row r="549">
      <c r="A549" s="0" t="inlineStr">
        <is>
          <t xml:space="preserve">a0548</t>
        </is>
      </c>
      <c r="B549" s="0" t="inlineStr">
        <is>
          <t xml:space="preserve">healthcare</t>
        </is>
      </c>
      <c r="C549" s="0" t="inlineStr">
        <is>
          <t xml:space="preserve">amer_east</t>
        </is>
      </c>
      <c r="D549" s="0" t="inlineStr">
        <is>
          <t xml:space="preserve">enterprise</t>
        </is>
      </c>
      <c r="E549" s="4">
        <v>8276</v>
      </c>
      <c r="F549" s="0" t="inlineStr">
        <is>
          <t xml:space="preserve">Juniper Mobility Co</t>
        </is>
      </c>
    </row>
    <row r="550">
      <c r="A550" s="0" t="inlineStr">
        <is>
          <t xml:space="preserve">a0549</t>
        </is>
      </c>
      <c r="B550" s="0" t="inlineStr">
        <is>
          <t xml:space="preserve">software</t>
        </is>
      </c>
      <c r="C550" s="0" t="inlineStr">
        <is>
          <t xml:space="preserve">amer_east</t>
        </is>
      </c>
      <c r="D550" s="0" t="inlineStr">
        <is>
          <t xml:space="preserve">smb</t>
        </is>
      </c>
      <c r="E550" s="4">
        <v>40</v>
      </c>
      <c r="F550" s="0" t="inlineStr">
        <is>
          <t xml:space="preserve">Harbor Foods Ltd</t>
        </is>
      </c>
    </row>
    <row r="551">
      <c r="A551" s="0" t="inlineStr">
        <is>
          <t xml:space="preserve">a0550</t>
        </is>
      </c>
      <c r="B551" s="0" t="inlineStr">
        <is>
          <t xml:space="preserve">education</t>
        </is>
      </c>
      <c r="C551" s="0" t="inlineStr">
        <is>
          <t xml:space="preserve">amer_east</t>
        </is>
      </c>
      <c r="D551" s="0" t="inlineStr">
        <is>
          <t xml:space="preserve">mid_market</t>
        </is>
      </c>
      <c r="E551" s="4">
        <v>262</v>
      </c>
      <c r="F551" s="0" t="inlineStr">
        <is>
          <t xml:space="preserve">Falcon Systems Ltd</t>
        </is>
      </c>
    </row>
    <row r="552">
      <c r="A552" s="0" t="inlineStr">
        <is>
          <t xml:space="preserve">a0551</t>
        </is>
      </c>
      <c r="B552" s="0" t="inlineStr">
        <is>
          <t xml:space="preserve">media</t>
        </is>
      </c>
      <c r="C552" s="0" t="inlineStr">
        <is>
          <t xml:space="preserve">amer_east</t>
        </is>
      </c>
      <c r="D552" s="0" t="inlineStr">
        <is>
          <t xml:space="preserve">enterprise</t>
        </is>
      </c>
      <c r="E552" s="4">
        <v>3577</v>
      </c>
      <c r="F552" s="0" t="inlineStr">
        <is>
          <t xml:space="preserve">Nimbus Analytics Partners</t>
        </is>
      </c>
    </row>
    <row r="553">
      <c r="A553" s="0" t="inlineStr">
        <is>
          <t xml:space="preserve">a0552</t>
        </is>
      </c>
      <c r="B553" s="0" t="inlineStr">
        <is>
          <t xml:space="preserve">healthcare</t>
        </is>
      </c>
      <c r="C553" s="0" t="inlineStr">
        <is>
          <t xml:space="preserve">amer_east</t>
        </is>
      </c>
      <c r="D553" s="0" t="inlineStr">
        <is>
          <t xml:space="preserve">mid_market</t>
        </is>
      </c>
      <c r="E553" s="4">
        <v>364</v>
      </c>
      <c r="F553" s="0" t="inlineStr">
        <is>
          <t xml:space="preserve">Keystone Materials Partners</t>
        </is>
      </c>
    </row>
    <row r="554">
      <c r="A554" s="0" t="inlineStr">
        <is>
          <t xml:space="preserve">a0553</t>
        </is>
      </c>
      <c r="B554" s="0" t="inlineStr">
        <is>
          <t xml:space="preserve">financial_services</t>
        </is>
      </c>
      <c r="C554" s="0" t="inlineStr">
        <is>
          <t xml:space="preserve">amer_east</t>
        </is>
      </c>
      <c r="D554" s="0" t="inlineStr">
        <is>
          <t xml:space="preserve">smb</t>
        </is>
      </c>
      <c r="E554" s="4">
        <v>37</v>
      </c>
      <c r="F554" s="0" t="inlineStr">
        <is>
          <t xml:space="preserve">Falcon Logistics Group</t>
        </is>
      </c>
    </row>
    <row r="555">
      <c r="A555" s="0" t="inlineStr">
        <is>
          <t xml:space="preserve">a0554</t>
        </is>
      </c>
      <c r="B555" s="0" t="inlineStr">
        <is>
          <t xml:space="preserve">education</t>
        </is>
      </c>
      <c r="C555" s="0" t="inlineStr">
        <is>
          <t xml:space="preserve">amer_east</t>
        </is>
      </c>
      <c r="D555" s="0" t="inlineStr">
        <is>
          <t xml:space="preserve">enterprise</t>
        </is>
      </c>
      <c r="E555" s="4">
        <v>2851</v>
      </c>
      <c r="F555" s="0" t="inlineStr">
        <is>
          <t xml:space="preserve">Falcon Foods Group</t>
        </is>
      </c>
    </row>
    <row r="556">
      <c r="A556" s="0" t="inlineStr">
        <is>
          <t xml:space="preserve">a0555</t>
        </is>
      </c>
      <c r="B556" s="0" t="inlineStr">
        <is>
          <t xml:space="preserve">financial_services</t>
        </is>
      </c>
      <c r="C556" s="0" t="inlineStr">
        <is>
          <t xml:space="preserve">amer_east</t>
        </is>
      </c>
      <c r="D556" s="0" t="inlineStr">
        <is>
          <t xml:space="preserve">mid_market</t>
        </is>
      </c>
      <c r="E556" s="4">
        <v>1532</v>
      </c>
      <c r="F556" s="0" t="inlineStr">
        <is>
          <t xml:space="preserve">Silverline Financial Ltd</t>
        </is>
      </c>
    </row>
    <row r="557">
      <c r="A557" s="0" t="inlineStr">
        <is>
          <t xml:space="preserve">a0556</t>
        </is>
      </c>
      <c r="B557" s="0" t="inlineStr">
        <is>
          <t xml:space="preserve">manufacturing</t>
        </is>
      </c>
      <c r="C557" s="0" t="inlineStr">
        <is>
          <t xml:space="preserve">amer_east</t>
        </is>
      </c>
      <c r="D557" s="0" t="inlineStr">
        <is>
          <t xml:space="preserve">smb</t>
        </is>
      </c>
      <c r="E557" s="4">
        <v>93</v>
      </c>
      <c r="F557" s="0" t="inlineStr">
        <is>
          <t xml:space="preserve">Orchard Capital Partners</t>
        </is>
      </c>
    </row>
    <row r="558">
      <c r="A558" s="0" t="inlineStr">
        <is>
          <t xml:space="preserve">a0557</t>
        </is>
      </c>
      <c r="B558" s="0" t="inlineStr">
        <is>
          <t xml:space="preserve">media</t>
        </is>
      </c>
      <c r="C558" s="0" t="inlineStr">
        <is>
          <t xml:space="preserve">amer_west</t>
        </is>
      </c>
      <c r="D558" s="0" t="inlineStr">
        <is>
          <t xml:space="preserve">mid_market</t>
        </is>
      </c>
      <c r="E558" s="4">
        <v>475</v>
      </c>
      <c r="F558" s="0" t="inlineStr">
        <is>
          <t xml:space="preserve">Vertex Analytics Holdings</t>
        </is>
      </c>
    </row>
    <row r="559">
      <c r="A559" s="0" t="inlineStr">
        <is>
          <t xml:space="preserve">a0558</t>
        </is>
      </c>
      <c r="B559" s="0" t="inlineStr">
        <is>
          <t xml:space="preserve">software</t>
        </is>
      </c>
      <c r="C559" s="0" t="inlineStr">
        <is>
          <t xml:space="preserve">amer_west</t>
        </is>
      </c>
      <c r="D559" s="0" t="inlineStr">
        <is>
          <t xml:space="preserve">mid_market</t>
        </is>
      </c>
      <c r="E559" s="4">
        <v>2363</v>
      </c>
      <c r="F559" s="0" t="inlineStr">
        <is>
          <t xml:space="preserve">Redwood Health Partners</t>
        </is>
      </c>
    </row>
    <row r="560">
      <c r="A560" s="0" t="inlineStr">
        <is>
          <t xml:space="preserve">a0559</t>
        </is>
      </c>
      <c r="B560" s="0" t="inlineStr">
        <is>
          <t xml:space="preserve">financial_services</t>
        </is>
      </c>
      <c r="C560" s="0" t="inlineStr">
        <is>
          <t xml:space="preserve">amer_west</t>
        </is>
      </c>
      <c r="D560" s="0" t="inlineStr">
        <is>
          <t xml:space="preserve">mid_market</t>
        </is>
      </c>
      <c r="E560" s="4">
        <v>353</v>
      </c>
      <c r="F560" s="0" t="inlineStr">
        <is>
          <t xml:space="preserve">Tidewater Foods Inc</t>
        </is>
      </c>
    </row>
    <row r="561">
      <c r="A561" s="0" t="inlineStr">
        <is>
          <t xml:space="preserve">a0560</t>
        </is>
      </c>
      <c r="B561" s="0" t="inlineStr">
        <is>
          <t xml:space="preserve">retail</t>
        </is>
      </c>
      <c r="C561" s="0" t="inlineStr">
        <is>
          <t xml:space="preserve">amer_west</t>
        </is>
      </c>
      <c r="D561" s="0" t="inlineStr">
        <is>
          <t xml:space="preserve">mid_market</t>
        </is>
      </c>
      <c r="E561" s="4">
        <v>376</v>
      </c>
      <c r="F561" s="0" t="inlineStr">
        <is>
          <t xml:space="preserve">Tidewater Biotech SA</t>
        </is>
      </c>
    </row>
    <row r="562">
      <c r="A562" s="0" t="inlineStr">
        <is>
          <t xml:space="preserve">a0561</t>
        </is>
      </c>
      <c r="B562" s="0" t="inlineStr">
        <is>
          <t xml:space="preserve">software</t>
        </is>
      </c>
      <c r="C562" s="0" t="inlineStr">
        <is>
          <t xml:space="preserve">amer_west</t>
        </is>
      </c>
      <c r="D562" s="0" t="inlineStr">
        <is>
          <t xml:space="preserve">smb</t>
        </is>
      </c>
      <c r="E562" s="4">
        <v>25</v>
      </c>
      <c r="F562" s="0" t="inlineStr">
        <is>
          <t xml:space="preserve">Pioneer Capital Inc</t>
        </is>
      </c>
    </row>
    <row r="563">
      <c r="A563" s="0" t="inlineStr">
        <is>
          <t xml:space="preserve">a0562</t>
        </is>
      </c>
      <c r="B563" s="0" t="inlineStr">
        <is>
          <t xml:space="preserve">logistics</t>
        </is>
      </c>
      <c r="C563" s="0" t="inlineStr">
        <is>
          <t xml:space="preserve">amer_west</t>
        </is>
      </c>
      <c r="D563" s="0" t="inlineStr">
        <is>
          <t xml:space="preserve">smb</t>
        </is>
      </c>
      <c r="E563" s="4">
        <v>59</v>
      </c>
      <c r="F563" s="0" t="inlineStr">
        <is>
          <t xml:space="preserve">Granite Learning Partners</t>
        </is>
      </c>
    </row>
    <row r="564">
      <c r="A564" s="0" t="inlineStr">
        <is>
          <t xml:space="preserve">a0563</t>
        </is>
      </c>
      <c r="B564" s="0" t="inlineStr">
        <is>
          <t xml:space="preserve">media</t>
        </is>
      </c>
      <c r="C564" s="0" t="inlineStr">
        <is>
          <t xml:space="preserve">amer_west</t>
        </is>
      </c>
      <c r="D564" s="0" t="inlineStr">
        <is>
          <t xml:space="preserve">mid_market</t>
        </is>
      </c>
      <c r="E564" s="4">
        <v>483</v>
      </c>
      <c r="F564" s="0" t="inlineStr">
        <is>
          <t xml:space="preserve">Evergreen Energy AG</t>
        </is>
      </c>
    </row>
    <row r="565">
      <c r="A565" s="0" t="inlineStr">
        <is>
          <t xml:space="preserve">a0564</t>
        </is>
      </c>
      <c r="B565" s="0" t="inlineStr">
        <is>
          <t xml:space="preserve">public_sector</t>
        </is>
      </c>
      <c r="C565" s="0" t="inlineStr">
        <is>
          <t xml:space="preserve">amer_west</t>
        </is>
      </c>
      <c r="D565" s="0" t="inlineStr">
        <is>
          <t xml:space="preserve">enterprise</t>
        </is>
      </c>
      <c r="E565" s="4">
        <v>5774</v>
      </c>
      <c r="F565" s="0" t="inlineStr">
        <is>
          <t xml:space="preserve">Juniper Foods Group</t>
        </is>
      </c>
    </row>
    <row r="566">
      <c r="A566" s="0" t="inlineStr">
        <is>
          <t xml:space="preserve">a0565</t>
        </is>
      </c>
      <c r="B566" s="0" t="inlineStr">
        <is>
          <t xml:space="preserve">healthcare</t>
        </is>
      </c>
      <c r="C566" s="0" t="inlineStr">
        <is>
          <t xml:space="preserve">amer_west</t>
        </is>
      </c>
      <c r="D566" s="0" t="inlineStr">
        <is>
          <t xml:space="preserve">smb</t>
        </is>
      </c>
      <c r="E566" s="4">
        <v>33</v>
      </c>
      <c r="F566" s="0" t="inlineStr">
        <is>
          <t xml:space="preserve">Umber Robotics Holdings</t>
        </is>
      </c>
    </row>
    <row r="567">
      <c r="A567" s="0" t="inlineStr">
        <is>
          <t xml:space="preserve">a0566</t>
        </is>
      </c>
      <c r="B567" s="0" t="inlineStr">
        <is>
          <t xml:space="preserve">financial_services</t>
        </is>
      </c>
      <c r="C567" s="0" t="inlineStr">
        <is>
          <t xml:space="preserve">amer_west</t>
        </is>
      </c>
      <c r="D567" s="0" t="inlineStr">
        <is>
          <t xml:space="preserve">mid_market</t>
        </is>
      </c>
      <c r="E567" s="4">
        <v>457</v>
      </c>
      <c r="F567" s="0" t="inlineStr">
        <is>
          <t xml:space="preserve">Brightwater Mobility SA</t>
        </is>
      </c>
    </row>
    <row r="568">
      <c r="A568" s="0" t="inlineStr">
        <is>
          <t xml:space="preserve">a0567</t>
        </is>
      </c>
      <c r="B568" s="0" t="inlineStr">
        <is>
          <t xml:space="preserve">retail</t>
        </is>
      </c>
      <c r="C568" s="0" t="inlineStr">
        <is>
          <t xml:space="preserve">amer_west</t>
        </is>
      </c>
      <c r="D568" s="0" t="inlineStr">
        <is>
          <t xml:space="preserve">mid_market</t>
        </is>
      </c>
      <c r="E568" s="4">
        <v>280</v>
      </c>
      <c r="F568" s="0" t="inlineStr">
        <is>
          <t xml:space="preserve">Beacon Logistics Holdings</t>
        </is>
      </c>
    </row>
    <row r="569">
      <c r="A569" s="0" t="inlineStr">
        <is>
          <t xml:space="preserve">a0568</t>
        </is>
      </c>
      <c r="B569" s="0" t="inlineStr">
        <is>
          <t xml:space="preserve">healthcare</t>
        </is>
      </c>
      <c r="C569" s="0" t="inlineStr">
        <is>
          <t xml:space="preserve">amer_west</t>
        </is>
      </c>
      <c r="D569" s="0" t="inlineStr">
        <is>
          <t xml:space="preserve">smb</t>
        </is>
      </c>
      <c r="E569" s="4">
        <v>24</v>
      </c>
      <c r="F569" s="0" t="inlineStr">
        <is>
          <t xml:space="preserve">Falcon Logistics Partners</t>
        </is>
      </c>
    </row>
    <row r="570">
      <c r="A570" s="0" t="inlineStr">
        <is>
          <t xml:space="preserve">a0569</t>
        </is>
      </c>
      <c r="B570" s="0" t="inlineStr">
        <is>
          <t xml:space="preserve">financial_services</t>
        </is>
      </c>
      <c r="C570" s="0" t="inlineStr">
        <is>
          <t xml:space="preserve">amer_west</t>
        </is>
      </c>
      <c r="D570" s="0" t="inlineStr">
        <is>
          <t xml:space="preserve">enterprise</t>
        </is>
      </c>
      <c r="E570" s="4">
        <v>5830</v>
      </c>
      <c r="F570" s="0" t="inlineStr">
        <is>
          <t xml:space="preserve">Tidewater Systems Inc</t>
        </is>
      </c>
    </row>
    <row r="571">
      <c r="A571" s="0" t="inlineStr">
        <is>
          <t xml:space="preserve">a0570</t>
        </is>
      </c>
      <c r="B571" s="0" t="inlineStr">
        <is>
          <t xml:space="preserve">public_sector</t>
        </is>
      </c>
      <c r="C571" s="0" t="inlineStr">
        <is>
          <t xml:space="preserve">amer_west</t>
        </is>
      </c>
      <c r="D571" s="0" t="inlineStr">
        <is>
          <t xml:space="preserve">smb</t>
        </is>
      </c>
      <c r="E571" s="4">
        <v>25</v>
      </c>
      <c r="F571" s="0" t="inlineStr">
        <is>
          <t xml:space="preserve">Falcon Logistics Inc</t>
        </is>
      </c>
    </row>
    <row r="572">
      <c r="A572" s="0" t="inlineStr">
        <is>
          <t xml:space="preserve">a0571</t>
        </is>
      </c>
      <c r="B572" s="0" t="inlineStr">
        <is>
          <t xml:space="preserve">media</t>
        </is>
      </c>
      <c r="C572" s="0" t="inlineStr">
        <is>
          <t xml:space="preserve">amer_west</t>
        </is>
      </c>
      <c r="D572" s="0" t="inlineStr">
        <is>
          <t xml:space="preserve">smb</t>
        </is>
      </c>
      <c r="E572" s="4">
        <v>27</v>
      </c>
      <c r="F572" s="0" t="inlineStr">
        <is>
          <t xml:space="preserve">Orchard Health Partners</t>
        </is>
      </c>
    </row>
    <row r="573">
      <c r="A573" s="0" t="inlineStr">
        <is>
          <t xml:space="preserve">a0572</t>
        </is>
      </c>
      <c r="B573" s="0" t="inlineStr">
        <is>
          <t xml:space="preserve">financial_services</t>
        </is>
      </c>
      <c r="C573" s="0" t="inlineStr">
        <is>
          <t xml:space="preserve">amer_west</t>
        </is>
      </c>
      <c r="D573" s="0" t="inlineStr">
        <is>
          <t xml:space="preserve">smb</t>
        </is>
      </c>
      <c r="E573" s="4">
        <v>20</v>
      </c>
      <c r="F573" s="0" t="inlineStr">
        <is>
          <t xml:space="preserve">Atlas Capital</t>
        </is>
      </c>
    </row>
    <row r="574">
      <c r="A574" s="0" t="inlineStr">
        <is>
          <t xml:space="preserve">a0573</t>
        </is>
      </c>
      <c r="B574" s="0" t="inlineStr">
        <is>
          <t xml:space="preserve">healthcare</t>
        </is>
      </c>
      <c r="C574" s="0" t="inlineStr">
        <is>
          <t xml:space="preserve">amer_west</t>
        </is>
      </c>
      <c r="D574" s="0" t="inlineStr">
        <is>
          <t xml:space="preserve">mid_market</t>
        </is>
      </c>
      <c r="E574" s="4">
        <v>307</v>
      </c>
      <c r="F574" s="0" t="inlineStr">
        <is>
          <t xml:space="preserve">Cascade Financial Co</t>
        </is>
      </c>
    </row>
    <row r="575">
      <c r="A575" s="0" t="inlineStr">
        <is>
          <t xml:space="preserve">a0574</t>
        </is>
      </c>
      <c r="B575" s="0" t="inlineStr">
        <is>
          <t xml:space="preserve">manufacturing</t>
        </is>
      </c>
      <c r="C575" s="0" t="inlineStr">
        <is>
          <t xml:space="preserve">amer_west</t>
        </is>
      </c>
      <c r="D575" s="0" t="inlineStr">
        <is>
          <t xml:space="preserve">mid_market</t>
        </is>
      </c>
      <c r="E575" s="4">
        <v>1142</v>
      </c>
      <c r="F575" s="0" t="inlineStr">
        <is>
          <t xml:space="preserve">Keystone Manufacturing</t>
        </is>
      </c>
    </row>
    <row r="576">
      <c r="A576" s="0" t="inlineStr">
        <is>
          <t xml:space="preserve">a0575</t>
        </is>
      </c>
      <c r="B576" s="0" t="inlineStr">
        <is>
          <t xml:space="preserve">software</t>
        </is>
      </c>
      <c r="C576" s="0" t="inlineStr">
        <is>
          <t xml:space="preserve">amer_west</t>
        </is>
      </c>
      <c r="D576" s="0" t="inlineStr">
        <is>
          <t xml:space="preserve">mid_market</t>
        </is>
      </c>
      <c r="E576" s="4">
        <v>412</v>
      </c>
      <c r="F576" s="0" t="inlineStr">
        <is>
          <t xml:space="preserve">Nimbus Media</t>
        </is>
      </c>
    </row>
    <row r="577">
      <c r="A577" s="0" t="inlineStr">
        <is>
          <t xml:space="preserve">a0576</t>
        </is>
      </c>
      <c r="B577" s="0" t="inlineStr">
        <is>
          <t xml:space="preserve">healthcare</t>
        </is>
      </c>
      <c r="C577" s="0" t="inlineStr">
        <is>
          <t xml:space="preserve">amer_west</t>
        </is>
      </c>
      <c r="D577" s="0" t="inlineStr">
        <is>
          <t xml:space="preserve">smb</t>
        </is>
      </c>
      <c r="E577" s="4">
        <v>33</v>
      </c>
      <c r="F577" s="0" t="inlineStr">
        <is>
          <t xml:space="preserve">Pioneer Networks Co</t>
        </is>
      </c>
    </row>
    <row r="578">
      <c r="A578" s="0" t="inlineStr">
        <is>
          <t xml:space="preserve">a0577</t>
        </is>
      </c>
      <c r="B578" s="0" t="inlineStr">
        <is>
          <t xml:space="preserve">retail</t>
        </is>
      </c>
      <c r="C578" s="0" t="inlineStr">
        <is>
          <t xml:space="preserve">amer_west</t>
        </is>
      </c>
      <c r="D578" s="0" t="inlineStr">
        <is>
          <t xml:space="preserve">smb</t>
        </is>
      </c>
      <c r="E578" s="4">
        <v>24</v>
      </c>
      <c r="F578" s="0" t="inlineStr">
        <is>
          <t xml:space="preserve">Redwood Systems Inc</t>
        </is>
      </c>
    </row>
    <row r="579">
      <c r="A579" s="0" t="inlineStr">
        <is>
          <t xml:space="preserve">a0578</t>
        </is>
      </c>
      <c r="B579" s="0" t="inlineStr">
        <is>
          <t xml:space="preserve">financial_services</t>
        </is>
      </c>
      <c r="C579" s="0" t="inlineStr">
        <is>
          <t xml:space="preserve">amer_west</t>
        </is>
      </c>
      <c r="D579" s="0" t="inlineStr">
        <is>
          <t xml:space="preserve">mid_market</t>
        </is>
      </c>
      <c r="E579" s="4">
        <v>394</v>
      </c>
      <c r="F579" s="0" t="inlineStr">
        <is>
          <t xml:space="preserve">Ironbridge Robotics</t>
        </is>
      </c>
    </row>
    <row r="580">
      <c r="A580" s="0" t="inlineStr">
        <is>
          <t xml:space="preserve">a0579</t>
        </is>
      </c>
      <c r="B580" s="0" t="inlineStr">
        <is>
          <t xml:space="preserve">public_sector</t>
        </is>
      </c>
      <c r="C580" s="0" t="inlineStr">
        <is>
          <t xml:space="preserve">amer_west</t>
        </is>
      </c>
      <c r="D580" s="0" t="inlineStr">
        <is>
          <t xml:space="preserve">smb</t>
        </is>
      </c>
      <c r="E580" s="4">
        <v>180</v>
      </c>
      <c r="F580" s="0" t="inlineStr">
        <is>
          <t xml:space="preserve">Blue Harbor Health Inc</t>
        </is>
      </c>
    </row>
    <row r="581">
      <c r="A581" s="0" t="inlineStr">
        <is>
          <t xml:space="preserve">a0580</t>
        </is>
      </c>
      <c r="B581" s="0" t="inlineStr">
        <is>
          <t xml:space="preserve">software</t>
        </is>
      </c>
      <c r="C581" s="0" t="inlineStr">
        <is>
          <t xml:space="preserve">amer_west</t>
        </is>
      </c>
      <c r="D581" s="0" t="inlineStr">
        <is>
          <t xml:space="preserve">smb</t>
        </is>
      </c>
      <c r="E581" s="4">
        <v>27</v>
      </c>
      <c r="F581" s="0" t="inlineStr">
        <is>
          <t xml:space="preserve">Brightwater Manufacturing Partners</t>
        </is>
      </c>
    </row>
    <row r="582">
      <c r="A582" s="0" t="inlineStr">
        <is>
          <t xml:space="preserve">a0581</t>
        </is>
      </c>
      <c r="B582" s="0" t="inlineStr">
        <is>
          <t xml:space="preserve">software</t>
        </is>
      </c>
      <c r="C582" s="0" t="inlineStr">
        <is>
          <t xml:space="preserve">emea</t>
        </is>
      </c>
      <c r="D582" s="0" t="inlineStr">
        <is>
          <t xml:space="preserve">mid_market</t>
        </is>
      </c>
      <c r="E582" s="4">
        <v>483</v>
      </c>
      <c r="F582" s="0" t="inlineStr">
        <is>
          <t xml:space="preserve">Umber Health Group</t>
        </is>
      </c>
    </row>
    <row r="583">
      <c r="A583" s="0" t="inlineStr">
        <is>
          <t xml:space="preserve">a0582</t>
        </is>
      </c>
      <c r="B583" s="0" t="inlineStr">
        <is>
          <t xml:space="preserve">software</t>
        </is>
      </c>
      <c r="C583" s="0" t="inlineStr">
        <is>
          <t xml:space="preserve">emea</t>
        </is>
      </c>
      <c r="D583" s="0" t="inlineStr">
        <is>
          <t xml:space="preserve">mid_market</t>
        </is>
      </c>
      <c r="E583" s="4">
        <v>317</v>
      </c>
      <c r="F583" s="0" t="inlineStr">
        <is>
          <t xml:space="preserve">Northwind Labs</t>
        </is>
      </c>
    </row>
    <row r="584">
      <c r="A584" s="0" t="inlineStr">
        <is>
          <t xml:space="preserve">a0583</t>
        </is>
      </c>
      <c r="B584" s="0" t="inlineStr">
        <is>
          <t xml:space="preserve">retail</t>
        </is>
      </c>
      <c r="C584" s="0" t="inlineStr">
        <is>
          <t xml:space="preserve">emea</t>
        </is>
      </c>
      <c r="D584" s="0" t="inlineStr">
        <is>
          <t xml:space="preserve">mid_market</t>
        </is>
      </c>
      <c r="E584" s="4">
        <v>258</v>
      </c>
      <c r="F584" s="0" t="inlineStr">
        <is>
          <t xml:space="preserve">Vertex Labs</t>
        </is>
      </c>
    </row>
    <row r="585">
      <c r="A585" s="0" t="inlineStr">
        <is>
          <t xml:space="preserve">a0584</t>
        </is>
      </c>
      <c r="B585" s="0" t="inlineStr">
        <is>
          <t xml:space="preserve">software</t>
        </is>
      </c>
      <c r="C585" s="0" t="inlineStr">
        <is>
          <t xml:space="preserve">emea</t>
        </is>
      </c>
      <c r="D585" s="0" t="inlineStr">
        <is>
          <t xml:space="preserve">enterprise</t>
        </is>
      </c>
      <c r="E585" s="4">
        <v>4355</v>
      </c>
      <c r="F585" s="0" t="inlineStr">
        <is>
          <t xml:space="preserve">Beacon Learning Ltd</t>
        </is>
      </c>
    </row>
    <row r="586">
      <c r="A586" s="0" t="inlineStr">
        <is>
          <t xml:space="preserve">a0585</t>
        </is>
      </c>
      <c r="B586" s="0" t="inlineStr">
        <is>
          <t xml:space="preserve">public_sector</t>
        </is>
      </c>
      <c r="C586" s="0" t="inlineStr">
        <is>
          <t xml:space="preserve">emea</t>
        </is>
      </c>
      <c r="D586" s="0" t="inlineStr">
        <is>
          <t xml:space="preserve">enterprise</t>
        </is>
      </c>
      <c r="E586" s="4">
        <v>5278</v>
      </c>
      <c r="F586" s="0" t="inlineStr">
        <is>
          <t xml:space="preserve">Meridian Manufacturing Group</t>
        </is>
      </c>
    </row>
    <row r="587">
      <c r="A587" s="0" t="inlineStr">
        <is>
          <t xml:space="preserve">a0586</t>
        </is>
      </c>
      <c r="B587" s="0" t="inlineStr">
        <is>
          <t xml:space="preserve">media</t>
        </is>
      </c>
      <c r="C587" s="0" t="inlineStr">
        <is>
          <t xml:space="preserve">emea</t>
        </is>
      </c>
      <c r="D587" s="0" t="inlineStr">
        <is>
          <t xml:space="preserve">smb</t>
        </is>
      </c>
      <c r="E587" s="4">
        <v>27</v>
      </c>
      <c r="F587" s="0" t="inlineStr">
        <is>
          <t xml:space="preserve">Umber Analytics Group</t>
        </is>
      </c>
    </row>
    <row r="588">
      <c r="A588" s="0" t="inlineStr">
        <is>
          <t xml:space="preserve">a0587</t>
        </is>
      </c>
      <c r="B588" s="0" t="inlineStr">
        <is>
          <t xml:space="preserve">healthcare</t>
        </is>
      </c>
      <c r="C588" s="0" t="inlineStr">
        <is>
          <t xml:space="preserve">emea</t>
        </is>
      </c>
      <c r="D588" s="0" t="inlineStr">
        <is>
          <t xml:space="preserve">smb</t>
        </is>
      </c>
      <c r="E588" s="4">
        <v>65</v>
      </c>
      <c r="F588" s="0" t="inlineStr">
        <is>
          <t xml:space="preserve">Cobalt Financial Ltd</t>
        </is>
      </c>
    </row>
    <row r="589">
      <c r="A589" s="0" t="inlineStr">
        <is>
          <t xml:space="preserve">a0588</t>
        </is>
      </c>
      <c r="B589" s="0" t="inlineStr">
        <is>
          <t xml:space="preserve">retail</t>
        </is>
      </c>
      <c r="C589" s="0" t="inlineStr">
        <is>
          <t xml:space="preserve">emea</t>
        </is>
      </c>
      <c r="D589" s="0" t="inlineStr">
        <is>
          <t xml:space="preserve">mid_market</t>
        </is>
      </c>
      <c r="E589" s="4">
        <v>444</v>
      </c>
      <c r="F589" s="0" t="inlineStr">
        <is>
          <t xml:space="preserve">Tidewater Analytics Holdings</t>
        </is>
      </c>
    </row>
    <row r="590">
      <c r="A590" s="0" t="inlineStr">
        <is>
          <t xml:space="preserve">a0589</t>
        </is>
      </c>
      <c r="B590" s="0" t="inlineStr">
        <is>
          <t xml:space="preserve">financial_services</t>
        </is>
      </c>
      <c r="C590" s="0" t="inlineStr">
        <is>
          <t xml:space="preserve">emea</t>
        </is>
      </c>
      <c r="D590" s="0" t="inlineStr">
        <is>
          <t xml:space="preserve">smb</t>
        </is>
      </c>
      <c r="E590" s="4">
        <v>21</v>
      </c>
      <c r="F590" s="0" t="inlineStr">
        <is>
          <t xml:space="preserve">Nimbus Mobility</t>
        </is>
      </c>
    </row>
    <row r="591">
      <c r="A591" s="0" t="inlineStr">
        <is>
          <t xml:space="preserve">a0590</t>
        </is>
      </c>
      <c r="B591" s="0" t="inlineStr">
        <is>
          <t xml:space="preserve">manufacturing</t>
        </is>
      </c>
      <c r="C591" s="0" t="inlineStr">
        <is>
          <t xml:space="preserve">emea</t>
        </is>
      </c>
      <c r="D591" s="0" t="inlineStr">
        <is>
          <t xml:space="preserve">smb</t>
        </is>
      </c>
      <c r="E591" s="4">
        <v>20</v>
      </c>
      <c r="F591" s="0" t="inlineStr">
        <is>
          <t xml:space="preserve">Meridian Software Ltd</t>
        </is>
      </c>
    </row>
    <row r="592">
      <c r="A592" s="0" t="inlineStr">
        <is>
          <t xml:space="preserve">a0591</t>
        </is>
      </c>
      <c r="B592" s="0" t="inlineStr">
        <is>
          <t xml:space="preserve">healthcare</t>
        </is>
      </c>
      <c r="C592" s="0" t="inlineStr">
        <is>
          <t xml:space="preserve">emea</t>
        </is>
      </c>
      <c r="D592" s="0" t="inlineStr">
        <is>
          <t xml:space="preserve">smb</t>
        </is>
      </c>
      <c r="E592" s="4">
        <v>45</v>
      </c>
      <c r="F592" s="0" t="inlineStr">
        <is>
          <t xml:space="preserve">Pioneer Robotics SA</t>
        </is>
      </c>
    </row>
    <row r="593">
      <c r="A593" s="0" t="inlineStr">
        <is>
          <t xml:space="preserve">a0592</t>
        </is>
      </c>
      <c r="B593" s="0" t="inlineStr">
        <is>
          <t xml:space="preserve">healthcare</t>
        </is>
      </c>
      <c r="C593" s="0" t="inlineStr">
        <is>
          <t xml:space="preserve">emea</t>
        </is>
      </c>
      <c r="D593" s="0" t="inlineStr">
        <is>
          <t xml:space="preserve">smb</t>
        </is>
      </c>
      <c r="E593" s="4">
        <v>36</v>
      </c>
      <c r="F593" s="0" t="inlineStr">
        <is>
          <t xml:space="preserve">Blue Harbor Analytics</t>
        </is>
      </c>
    </row>
    <row r="594">
      <c r="A594" s="0" t="inlineStr">
        <is>
          <t xml:space="preserve">a0593</t>
        </is>
      </c>
      <c r="B594" s="0" t="inlineStr">
        <is>
          <t xml:space="preserve">financial_services</t>
        </is>
      </c>
      <c r="C594" s="0" t="inlineStr">
        <is>
          <t xml:space="preserve">emea</t>
        </is>
      </c>
      <c r="D594" s="0" t="inlineStr">
        <is>
          <t xml:space="preserve">smb</t>
        </is>
      </c>
      <c r="E594" s="4">
        <v>34</v>
      </c>
      <c r="F594" s="0" t="inlineStr">
        <is>
          <t xml:space="preserve">Vertex Capital Co</t>
        </is>
      </c>
    </row>
    <row r="595">
      <c r="A595" s="0" t="inlineStr">
        <is>
          <t xml:space="preserve">a0594</t>
        </is>
      </c>
      <c r="B595" s="0" t="inlineStr">
        <is>
          <t xml:space="preserve">manufacturing</t>
        </is>
      </c>
      <c r="C595" s="0" t="inlineStr">
        <is>
          <t xml:space="preserve">emea</t>
        </is>
      </c>
      <c r="D595" s="0" t="inlineStr">
        <is>
          <t xml:space="preserve">mid_market</t>
        </is>
      </c>
      <c r="E595" s="4">
        <v>416</v>
      </c>
      <c r="F595" s="0" t="inlineStr">
        <is>
          <t xml:space="preserve">Horizon Logistics Inc</t>
        </is>
      </c>
    </row>
    <row r="596">
      <c r="A596" s="0" t="inlineStr">
        <is>
          <t xml:space="preserve">a0595</t>
        </is>
      </c>
      <c r="B596" s="0" t="inlineStr">
        <is>
          <t xml:space="preserve">financial_services</t>
        </is>
      </c>
      <c r="C596" s="0" t="inlineStr">
        <is>
          <t xml:space="preserve">emea</t>
        </is>
      </c>
      <c r="D596" s="0" t="inlineStr">
        <is>
          <t xml:space="preserve">mid_market</t>
        </is>
      </c>
      <c r="E596" s="4">
        <v>317</v>
      </c>
      <c r="F596" s="0" t="inlineStr">
        <is>
          <t xml:space="preserve">Sable Foods Co</t>
        </is>
      </c>
    </row>
    <row r="597">
      <c r="A597" s="0" t="inlineStr">
        <is>
          <t xml:space="preserve">a0596</t>
        </is>
      </c>
      <c r="B597" s="0" t="inlineStr">
        <is>
          <t xml:space="preserve">retail</t>
        </is>
      </c>
      <c r="C597" s="0" t="inlineStr">
        <is>
          <t xml:space="preserve">emea</t>
        </is>
      </c>
      <c r="D597" s="0" t="inlineStr">
        <is>
          <t xml:space="preserve">smb</t>
        </is>
      </c>
      <c r="E597" s="4">
        <v>115</v>
      </c>
      <c r="F597" s="0" t="inlineStr">
        <is>
          <t xml:space="preserve">Ironbridge Learning Partners</t>
        </is>
      </c>
    </row>
    <row r="598">
      <c r="A598" s="0" t="inlineStr">
        <is>
          <t xml:space="preserve">a0597</t>
        </is>
      </c>
      <c r="B598" s="0" t="inlineStr">
        <is>
          <t xml:space="preserve">healthcare</t>
        </is>
      </c>
      <c r="C598" s="0" t="inlineStr">
        <is>
          <t xml:space="preserve">emea</t>
        </is>
      </c>
      <c r="D598" s="0" t="inlineStr">
        <is>
          <t xml:space="preserve">smb</t>
        </is>
      </c>
      <c r="E598" s="4">
        <v>37</v>
      </c>
      <c r="F598" s="0" t="inlineStr">
        <is>
          <t xml:space="preserve">Harbor Analytics</t>
        </is>
      </c>
    </row>
    <row r="599">
      <c r="A599" s="0" t="inlineStr">
        <is>
          <t xml:space="preserve">a0598</t>
        </is>
      </c>
      <c r="B599" s="0" t="inlineStr">
        <is>
          <t xml:space="preserve">software</t>
        </is>
      </c>
      <c r="C599" s="0" t="inlineStr">
        <is>
          <t xml:space="preserve">emea</t>
        </is>
      </c>
      <c r="D599" s="0" t="inlineStr">
        <is>
          <t xml:space="preserve">smb</t>
        </is>
      </c>
      <c r="E599" s="4">
        <v>33</v>
      </c>
      <c r="F599" s="0" t="inlineStr">
        <is>
          <t xml:space="preserve">Brightwater Retail Partners</t>
        </is>
      </c>
    </row>
    <row r="600">
      <c r="A600" s="0" t="inlineStr">
        <is>
          <t xml:space="preserve">a0599</t>
        </is>
      </c>
      <c r="B600" s="0" t="inlineStr">
        <is>
          <t xml:space="preserve">energy</t>
        </is>
      </c>
      <c r="C600" s="0" t="inlineStr">
        <is>
          <t xml:space="preserve">apac</t>
        </is>
      </c>
      <c r="D600" s="0" t="inlineStr">
        <is>
          <t xml:space="preserve">smb</t>
        </is>
      </c>
      <c r="E600" s="4">
        <v>96</v>
      </c>
      <c r="F600" s="0" t="inlineStr">
        <is>
          <t xml:space="preserve">Atlas Capital AG</t>
        </is>
      </c>
    </row>
    <row r="601">
      <c r="A601" s="0" t="inlineStr">
        <is>
          <t xml:space="preserve">a0600</t>
        </is>
      </c>
      <c r="B601" s="0" t="inlineStr">
        <is>
          <t xml:space="preserve">media</t>
        </is>
      </c>
      <c r="C601" s="0" t="inlineStr">
        <is>
          <t xml:space="preserve">apac</t>
        </is>
      </c>
      <c r="D601" s="0" t="inlineStr">
        <is>
          <t xml:space="preserve">smb</t>
        </is>
      </c>
      <c r="E601" s="4">
        <v>27</v>
      </c>
      <c r="F601" s="0" t="inlineStr">
        <is>
          <t xml:space="preserve">Horizon Learning Co</t>
        </is>
      </c>
    </row>
    <row r="602">
      <c r="A602" s="0" t="inlineStr">
        <is>
          <t xml:space="preserve">a0601</t>
        </is>
      </c>
      <c r="B602" s="0" t="inlineStr">
        <is>
          <t xml:space="preserve">software</t>
        </is>
      </c>
      <c r="C602" s="0" t="inlineStr">
        <is>
          <t xml:space="preserve">apac</t>
        </is>
      </c>
      <c r="D602" s="0" t="inlineStr">
        <is>
          <t xml:space="preserve">smb</t>
        </is>
      </c>
      <c r="E602" s="4">
        <v>71</v>
      </c>
      <c r="F602" s="0" t="inlineStr">
        <is>
          <t xml:space="preserve">Evergreen Analytics Partners</t>
        </is>
      </c>
    </row>
    <row r="603">
      <c r="A603" s="0" t="inlineStr">
        <is>
          <t xml:space="preserve">a0602</t>
        </is>
      </c>
      <c r="B603" s="0" t="inlineStr">
        <is>
          <t xml:space="preserve">logistics</t>
        </is>
      </c>
      <c r="C603" s="0" t="inlineStr">
        <is>
          <t xml:space="preserve">apac</t>
        </is>
      </c>
      <c r="D603" s="0" t="inlineStr">
        <is>
          <t xml:space="preserve">mid_market</t>
        </is>
      </c>
      <c r="E603" s="4">
        <v>303</v>
      </c>
      <c r="F603" s="0" t="inlineStr">
        <is>
          <t xml:space="preserve">Ironbridge Biotech</t>
        </is>
      </c>
    </row>
    <row r="604">
      <c r="A604" s="0" t="inlineStr">
        <is>
          <t xml:space="preserve">a0603</t>
        </is>
      </c>
      <c r="B604" s="0" t="inlineStr">
        <is>
          <t xml:space="preserve">retail</t>
        </is>
      </c>
      <c r="C604" s="0" t="inlineStr">
        <is>
          <t xml:space="preserve">apac</t>
        </is>
      </c>
      <c r="D604" s="0" t="inlineStr">
        <is>
          <t xml:space="preserve">smb</t>
        </is>
      </c>
      <c r="E604" s="4">
        <v>20</v>
      </c>
      <c r="F604" s="0" t="inlineStr">
        <is>
          <t xml:space="preserve">Redwood Retail Ltd</t>
        </is>
      </c>
    </row>
    <row r="605">
      <c r="A605" s="0" t="inlineStr">
        <is>
          <t xml:space="preserve">a0604</t>
        </is>
      </c>
      <c r="B605" s="0" t="inlineStr">
        <is>
          <t xml:space="preserve">manufacturing</t>
        </is>
      </c>
      <c r="C605" s="0" t="inlineStr">
        <is>
          <t xml:space="preserve">apac</t>
        </is>
      </c>
      <c r="D605" s="0" t="inlineStr">
        <is>
          <t xml:space="preserve">smb</t>
        </is>
      </c>
      <c r="E605" s="4">
        <v>27</v>
      </c>
      <c r="F605" s="0" t="inlineStr">
        <is>
          <t xml:space="preserve">Lakeside Insurance</t>
        </is>
      </c>
    </row>
    <row r="606">
      <c r="A606" s="0" t="inlineStr">
        <is>
          <t xml:space="preserve">a0605</t>
        </is>
      </c>
      <c r="B606" s="0" t="inlineStr">
        <is>
          <t xml:space="preserve">manufacturing</t>
        </is>
      </c>
      <c r="C606" s="0" t="inlineStr">
        <is>
          <t xml:space="preserve">amer_east</t>
        </is>
      </c>
      <c r="D606" s="0" t="inlineStr">
        <is>
          <t xml:space="preserve">mid_market</t>
        </is>
      </c>
      <c r="E606" s="4">
        <v>382</v>
      </c>
      <c r="F606" s="0" t="inlineStr">
        <is>
          <t xml:space="preserve">Silverline Mobility</t>
        </is>
      </c>
    </row>
    <row r="607">
      <c r="A607" s="0" t="inlineStr">
        <is>
          <t xml:space="preserve">a0606</t>
        </is>
      </c>
      <c r="B607" s="0" t="inlineStr">
        <is>
          <t xml:space="preserve">healthcare</t>
        </is>
      </c>
      <c r="C607" s="0" t="inlineStr">
        <is>
          <t xml:space="preserve">amer_east</t>
        </is>
      </c>
      <c r="D607" s="0" t="inlineStr">
        <is>
          <t xml:space="preserve">mid_market</t>
        </is>
      </c>
      <c r="E607" s="4">
        <v>292</v>
      </c>
      <c r="F607" s="0" t="inlineStr">
        <is>
          <t xml:space="preserve">Lakeside Energy</t>
        </is>
      </c>
    </row>
    <row r="608">
      <c r="A608" s="0" t="inlineStr">
        <is>
          <t xml:space="preserve">a0607</t>
        </is>
      </c>
      <c r="B608" s="0" t="inlineStr">
        <is>
          <t xml:space="preserve">healthcare</t>
        </is>
      </c>
      <c r="C608" s="0" t="inlineStr">
        <is>
          <t xml:space="preserve">amer_east</t>
        </is>
      </c>
      <c r="D608" s="0" t="inlineStr">
        <is>
          <t xml:space="preserve">enterprise</t>
        </is>
      </c>
      <c r="E608" s="4">
        <v>9576</v>
      </c>
      <c r="F608" s="0" t="inlineStr">
        <is>
          <t xml:space="preserve">Tidewater Learning Co</t>
        </is>
      </c>
    </row>
    <row r="609">
      <c r="A609" s="0" t="inlineStr">
        <is>
          <t xml:space="preserve">a0608</t>
        </is>
      </c>
      <c r="B609" s="0" t="inlineStr">
        <is>
          <t xml:space="preserve">software</t>
        </is>
      </c>
      <c r="C609" s="0" t="inlineStr">
        <is>
          <t xml:space="preserve">amer_east</t>
        </is>
      </c>
      <c r="D609" s="0" t="inlineStr">
        <is>
          <t xml:space="preserve">smb</t>
        </is>
      </c>
      <c r="E609" s="4">
        <v>150</v>
      </c>
      <c r="F609" s="0" t="inlineStr">
        <is>
          <t xml:space="preserve">Juniper Analytics Ltd</t>
        </is>
      </c>
    </row>
    <row r="610">
      <c r="A610" s="0" t="inlineStr">
        <is>
          <t xml:space="preserve">a0609</t>
        </is>
      </c>
      <c r="B610" s="0" t="inlineStr">
        <is>
          <t xml:space="preserve">media</t>
        </is>
      </c>
      <c r="C610" s="0" t="inlineStr">
        <is>
          <t xml:space="preserve">amer_east</t>
        </is>
      </c>
      <c r="D610" s="0" t="inlineStr">
        <is>
          <t xml:space="preserve">mid_market</t>
        </is>
      </c>
      <c r="E610" s="4">
        <v>2320</v>
      </c>
      <c r="F610" s="0" t="inlineStr">
        <is>
          <t xml:space="preserve">Ironbridge Financial Ltd</t>
        </is>
      </c>
    </row>
    <row r="611">
      <c r="A611" s="0" t="inlineStr">
        <is>
          <t xml:space="preserve">a0610</t>
        </is>
      </c>
      <c r="B611" s="0" t="inlineStr">
        <is>
          <t xml:space="preserve">software</t>
        </is>
      </c>
      <c r="C611" s="0" t="inlineStr">
        <is>
          <t xml:space="preserve">amer_east</t>
        </is>
      </c>
      <c r="D611" s="0" t="inlineStr">
        <is>
          <t xml:space="preserve">mid_market</t>
        </is>
      </c>
      <c r="E611" s="4">
        <v>348</v>
      </c>
      <c r="F611" s="0" t="inlineStr">
        <is>
          <t xml:space="preserve">Vertex Software Partners</t>
        </is>
      </c>
    </row>
    <row r="612">
      <c r="A612" s="0" t="inlineStr">
        <is>
          <t xml:space="preserve">a0611</t>
        </is>
      </c>
      <c r="B612" s="0" t="inlineStr">
        <is>
          <t xml:space="preserve">financial_services</t>
        </is>
      </c>
      <c r="C612" s="0" t="inlineStr">
        <is>
          <t xml:space="preserve">amer_east</t>
        </is>
      </c>
      <c r="D612" s="0" t="inlineStr">
        <is>
          <t xml:space="preserve">enterprise</t>
        </is>
      </c>
      <c r="E612" s="4">
        <v>9036</v>
      </c>
      <c r="F612" s="0" t="inlineStr">
        <is>
          <t xml:space="preserve">Vertex Robotics Group</t>
        </is>
      </c>
    </row>
    <row r="613">
      <c r="A613" s="0" t="inlineStr">
        <is>
          <t xml:space="preserve">a0612</t>
        </is>
      </c>
      <c r="B613" s="0" t="inlineStr">
        <is>
          <t xml:space="preserve">financial_services</t>
        </is>
      </c>
      <c r="C613" s="0" t="inlineStr">
        <is>
          <t xml:space="preserve">amer_east</t>
        </is>
      </c>
      <c r="D613" s="0" t="inlineStr">
        <is>
          <t xml:space="preserve">smb</t>
        </is>
      </c>
      <c r="E613" s="4">
        <v>60</v>
      </c>
      <c r="F613" s="0" t="inlineStr">
        <is>
          <t xml:space="preserve">Horizon Analytics AG</t>
        </is>
      </c>
    </row>
    <row r="614">
      <c r="A614" s="0" t="inlineStr">
        <is>
          <t xml:space="preserve">a0613</t>
        </is>
      </c>
      <c r="B614" s="0" t="inlineStr">
        <is>
          <t xml:space="preserve">software</t>
        </is>
      </c>
      <c r="C614" s="0" t="inlineStr">
        <is>
          <t xml:space="preserve">amer_east</t>
        </is>
      </c>
      <c r="D614" s="0" t="inlineStr">
        <is>
          <t xml:space="preserve">mid_market</t>
        </is>
      </c>
      <c r="E614" s="4">
        <v>491</v>
      </c>
      <c r="F614" s="0" t="inlineStr">
        <is>
          <t xml:space="preserve">Horizon Capital</t>
        </is>
      </c>
    </row>
    <row r="615">
      <c r="A615" s="0" t="inlineStr">
        <is>
          <t xml:space="preserve">a0614</t>
        </is>
      </c>
      <c r="B615" s="0" t="inlineStr">
        <is>
          <t xml:space="preserve">education</t>
        </is>
      </c>
      <c r="C615" s="0" t="inlineStr">
        <is>
          <t xml:space="preserve">amer_east</t>
        </is>
      </c>
      <c r="D615" s="0" t="inlineStr">
        <is>
          <t xml:space="preserve">mid_market</t>
        </is>
      </c>
      <c r="E615" s="4">
        <v>440</v>
      </c>
      <c r="F615" s="0" t="inlineStr">
        <is>
          <t xml:space="preserve">Cobalt Biotech AG</t>
        </is>
      </c>
    </row>
    <row r="616">
      <c r="A616" s="0" t="inlineStr">
        <is>
          <t xml:space="preserve">a0615</t>
        </is>
      </c>
      <c r="B616" s="0" t="inlineStr">
        <is>
          <t xml:space="preserve">healthcare</t>
        </is>
      </c>
      <c r="C616" s="0" t="inlineStr">
        <is>
          <t xml:space="preserve">amer_east</t>
        </is>
      </c>
      <c r="D616" s="0" t="inlineStr">
        <is>
          <t xml:space="preserve">mid_market</t>
        </is>
      </c>
      <c r="E616" s="4">
        <v>549</v>
      </c>
      <c r="F616" s="0" t="inlineStr">
        <is>
          <t xml:space="preserve">Aurora Learning Ltd</t>
        </is>
      </c>
    </row>
    <row r="617">
      <c r="A617" s="0" t="inlineStr">
        <is>
          <t xml:space="preserve">a0616</t>
        </is>
      </c>
      <c r="B617" s="0" t="inlineStr">
        <is>
          <t xml:space="preserve">logistics</t>
        </is>
      </c>
      <c r="C617" s="0" t="inlineStr">
        <is>
          <t xml:space="preserve">amer_east</t>
        </is>
      </c>
      <c r="D617" s="0" t="inlineStr">
        <is>
          <t xml:space="preserve">mid_market</t>
        </is>
      </c>
      <c r="E617" s="4">
        <v>274</v>
      </c>
      <c r="F617" s="0" t="inlineStr">
        <is>
          <t xml:space="preserve">Quantum Networks Ltd</t>
        </is>
      </c>
    </row>
    <row r="618">
      <c r="A618" s="0" t="inlineStr">
        <is>
          <t xml:space="preserve">a0617</t>
        </is>
      </c>
      <c r="B618" s="0" t="inlineStr">
        <is>
          <t xml:space="preserve">energy</t>
        </is>
      </c>
      <c r="C618" s="0" t="inlineStr">
        <is>
          <t xml:space="preserve">amer_east</t>
        </is>
      </c>
      <c r="D618" s="0" t="inlineStr">
        <is>
          <t xml:space="preserve">smb</t>
        </is>
      </c>
      <c r="E618" s="4">
        <v>40</v>
      </c>
      <c r="F618" s="0" t="inlineStr">
        <is>
          <t xml:space="preserve">Falcon Labs Inc</t>
        </is>
      </c>
    </row>
    <row r="619">
      <c r="A619" s="0" t="inlineStr">
        <is>
          <t xml:space="preserve">a0618</t>
        </is>
      </c>
      <c r="B619" s="0" t="inlineStr">
        <is>
          <t xml:space="preserve">healthcare</t>
        </is>
      </c>
      <c r="C619" s="0" t="inlineStr">
        <is>
          <t xml:space="preserve">amer_east</t>
        </is>
      </c>
      <c r="D619" s="0" t="inlineStr">
        <is>
          <t xml:space="preserve">smb</t>
        </is>
      </c>
      <c r="E619" s="4">
        <v>32</v>
      </c>
      <c r="F619" s="0" t="inlineStr">
        <is>
          <t xml:space="preserve">Meridian Networks Inc</t>
        </is>
      </c>
    </row>
    <row r="620">
      <c r="A620" s="0" t="inlineStr">
        <is>
          <t xml:space="preserve">a0619</t>
        </is>
      </c>
      <c r="B620" s="0" t="inlineStr">
        <is>
          <t xml:space="preserve">software</t>
        </is>
      </c>
      <c r="C620" s="0" t="inlineStr">
        <is>
          <t xml:space="preserve">amer_east</t>
        </is>
      </c>
      <c r="D620" s="0" t="inlineStr">
        <is>
          <t xml:space="preserve">mid_market</t>
        </is>
      </c>
      <c r="E620" s="4">
        <v>319</v>
      </c>
      <c r="F620" s="0" t="inlineStr">
        <is>
          <t xml:space="preserve">Beacon Foods Holdings</t>
        </is>
      </c>
    </row>
    <row r="621">
      <c r="A621" s="0" t="inlineStr">
        <is>
          <t xml:space="preserve">a0620</t>
        </is>
      </c>
      <c r="B621" s="0" t="inlineStr">
        <is>
          <t xml:space="preserve">software</t>
        </is>
      </c>
      <c r="C621" s="0" t="inlineStr">
        <is>
          <t xml:space="preserve">amer_west</t>
        </is>
      </c>
      <c r="D621" s="0" t="inlineStr">
        <is>
          <t xml:space="preserve">mid_market</t>
        </is>
      </c>
      <c r="E621" s="4">
        <v>599</v>
      </c>
      <c r="F621" s="0" t="inlineStr">
        <is>
          <t xml:space="preserve">Vertex Foods Group</t>
        </is>
      </c>
    </row>
    <row r="622">
      <c r="A622" s="0" t="inlineStr">
        <is>
          <t xml:space="preserve">a0621</t>
        </is>
      </c>
      <c r="B622" s="0" t="inlineStr">
        <is>
          <t xml:space="preserve">energy</t>
        </is>
      </c>
      <c r="C622" s="0" t="inlineStr">
        <is>
          <t xml:space="preserve">amer_west</t>
        </is>
      </c>
      <c r="D622" s="0" t="inlineStr">
        <is>
          <t xml:space="preserve">enterprise</t>
        </is>
      </c>
      <c r="E622" s="4">
        <v>10507</v>
      </c>
      <c r="F622" s="0" t="inlineStr">
        <is>
          <t xml:space="preserve">Vertex Mobility Group</t>
        </is>
      </c>
    </row>
    <row r="623">
      <c r="A623" s="0" t="inlineStr">
        <is>
          <t xml:space="preserve">a0622</t>
        </is>
      </c>
      <c r="B623" s="0" t="inlineStr">
        <is>
          <t xml:space="preserve">education</t>
        </is>
      </c>
      <c r="C623" s="0" t="inlineStr">
        <is>
          <t xml:space="preserve">amer_west</t>
        </is>
      </c>
      <c r="D623" s="0" t="inlineStr">
        <is>
          <t xml:space="preserve">mid_market</t>
        </is>
      </c>
      <c r="E623" s="4">
        <v>366</v>
      </c>
      <c r="F623" s="0" t="inlineStr">
        <is>
          <t xml:space="preserve">Keystone Media</t>
        </is>
      </c>
    </row>
    <row r="624">
      <c r="A624" s="0" t="inlineStr">
        <is>
          <t xml:space="preserve">a0623</t>
        </is>
      </c>
      <c r="B624" s="0" t="inlineStr">
        <is>
          <t xml:space="preserve">manufacturing</t>
        </is>
      </c>
      <c r="C624" s="0" t="inlineStr">
        <is>
          <t xml:space="preserve">amer_west</t>
        </is>
      </c>
      <c r="D624" s="0" t="inlineStr">
        <is>
          <t xml:space="preserve">smb</t>
        </is>
      </c>
      <c r="E624" s="4">
        <v>52</v>
      </c>
      <c r="F624" s="0" t="inlineStr">
        <is>
          <t xml:space="preserve">Nimbus Insurance</t>
        </is>
      </c>
    </row>
    <row r="625">
      <c r="A625" s="0" t="inlineStr">
        <is>
          <t xml:space="preserve">a0624</t>
        </is>
      </c>
      <c r="B625" s="0" t="inlineStr">
        <is>
          <t xml:space="preserve">retail</t>
        </is>
      </c>
      <c r="C625" s="0" t="inlineStr">
        <is>
          <t xml:space="preserve">amer_west</t>
        </is>
      </c>
      <c r="D625" s="0" t="inlineStr">
        <is>
          <t xml:space="preserve">smb</t>
        </is>
      </c>
      <c r="E625" s="4">
        <v>112</v>
      </c>
      <c r="F625" s="0" t="inlineStr">
        <is>
          <t xml:space="preserve">Sable Materials Holdings</t>
        </is>
      </c>
    </row>
    <row r="626">
      <c r="A626" s="0" t="inlineStr">
        <is>
          <t xml:space="preserve">a0625</t>
        </is>
      </c>
      <c r="B626" s="0" t="inlineStr">
        <is>
          <t xml:space="preserve">financial_services</t>
        </is>
      </c>
      <c r="C626" s="0" t="inlineStr">
        <is>
          <t xml:space="preserve">amer_west</t>
        </is>
      </c>
      <c r="D626" s="0" t="inlineStr">
        <is>
          <t xml:space="preserve">mid_market</t>
        </is>
      </c>
      <c r="E626" s="4">
        <v>540</v>
      </c>
      <c r="F626" s="0" t="inlineStr">
        <is>
          <t xml:space="preserve">Summit Labs</t>
        </is>
      </c>
    </row>
    <row r="627">
      <c r="A627" s="0" t="inlineStr">
        <is>
          <t xml:space="preserve">a0626</t>
        </is>
      </c>
      <c r="B627" s="0" t="inlineStr">
        <is>
          <t xml:space="preserve">manufacturing</t>
        </is>
      </c>
      <c r="C627" s="0" t="inlineStr">
        <is>
          <t xml:space="preserve">amer_west</t>
        </is>
      </c>
      <c r="D627" s="0" t="inlineStr">
        <is>
          <t xml:space="preserve">mid_market</t>
        </is>
      </c>
      <c r="E627" s="4">
        <v>481</v>
      </c>
      <c r="F627" s="0" t="inlineStr">
        <is>
          <t xml:space="preserve">Juniper Materials SA</t>
        </is>
      </c>
    </row>
    <row r="628">
      <c r="A628" s="0" t="inlineStr">
        <is>
          <t xml:space="preserve">a0627</t>
        </is>
      </c>
      <c r="B628" s="0" t="inlineStr">
        <is>
          <t xml:space="preserve">manufacturing</t>
        </is>
      </c>
      <c r="C628" s="0" t="inlineStr">
        <is>
          <t xml:space="preserve">amer_west</t>
        </is>
      </c>
      <c r="D628" s="0" t="inlineStr">
        <is>
          <t xml:space="preserve">mid_market</t>
        </is>
      </c>
      <c r="E628" s="4">
        <v>367</v>
      </c>
      <c r="F628" s="0" t="inlineStr">
        <is>
          <t xml:space="preserve">Ironbridge Systems Co</t>
        </is>
      </c>
    </row>
    <row r="629">
      <c r="A629" s="0" t="inlineStr">
        <is>
          <t xml:space="preserve">a0628</t>
        </is>
      </c>
      <c r="B629" s="0" t="inlineStr">
        <is>
          <t xml:space="preserve">public_sector</t>
        </is>
      </c>
      <c r="C629" s="0" t="inlineStr">
        <is>
          <t xml:space="preserve">amer_west</t>
        </is>
      </c>
      <c r="D629" s="0" t="inlineStr">
        <is>
          <t xml:space="preserve">mid_market</t>
        </is>
      </c>
      <c r="E629" s="4">
        <v>571</v>
      </c>
      <c r="F629" s="0" t="inlineStr">
        <is>
          <t xml:space="preserve">Tidewater Labs</t>
        </is>
      </c>
    </row>
    <row r="630">
      <c r="A630" s="0" t="inlineStr">
        <is>
          <t xml:space="preserve">a0629</t>
        </is>
      </c>
      <c r="B630" s="0" t="inlineStr">
        <is>
          <t xml:space="preserve">manufacturing</t>
        </is>
      </c>
      <c r="C630" s="0" t="inlineStr">
        <is>
          <t xml:space="preserve">amer_west</t>
        </is>
      </c>
      <c r="D630" s="0" t="inlineStr">
        <is>
          <t xml:space="preserve">mid_market</t>
        </is>
      </c>
      <c r="E630" s="4">
        <v>443</v>
      </c>
      <c r="F630" s="0" t="inlineStr">
        <is>
          <t xml:space="preserve">Quantum Networks Group</t>
        </is>
      </c>
    </row>
    <row r="631">
      <c r="A631" s="0" t="inlineStr">
        <is>
          <t xml:space="preserve">a0630</t>
        </is>
      </c>
      <c r="B631" s="0" t="inlineStr">
        <is>
          <t xml:space="preserve">software</t>
        </is>
      </c>
      <c r="C631" s="0" t="inlineStr">
        <is>
          <t xml:space="preserve">amer_west</t>
        </is>
      </c>
      <c r="D631" s="0" t="inlineStr">
        <is>
          <t xml:space="preserve">mid_market</t>
        </is>
      </c>
      <c r="E631" s="4">
        <v>604</v>
      </c>
      <c r="F631" s="0" t="inlineStr">
        <is>
          <t xml:space="preserve">Redwood Logistics Group</t>
        </is>
      </c>
    </row>
    <row r="632">
      <c r="A632" s="0" t="inlineStr">
        <is>
          <t xml:space="preserve">a0631</t>
        </is>
      </c>
      <c r="B632" s="0" t="inlineStr">
        <is>
          <t xml:space="preserve">financial_services</t>
        </is>
      </c>
      <c r="C632" s="0" t="inlineStr">
        <is>
          <t xml:space="preserve">amer_west</t>
        </is>
      </c>
      <c r="D632" s="0" t="inlineStr">
        <is>
          <t xml:space="preserve">enterprise</t>
        </is>
      </c>
      <c r="E632" s="4">
        <v>2547</v>
      </c>
      <c r="F632" s="0" t="inlineStr">
        <is>
          <t xml:space="preserve">Granite Software</t>
        </is>
      </c>
    </row>
    <row r="633">
      <c r="A633" s="0" t="inlineStr">
        <is>
          <t xml:space="preserve">a0632</t>
        </is>
      </c>
      <c r="B633" s="0" t="inlineStr">
        <is>
          <t xml:space="preserve">retail</t>
        </is>
      </c>
      <c r="C633" s="0" t="inlineStr">
        <is>
          <t xml:space="preserve">amer_west</t>
        </is>
      </c>
      <c r="D633" s="0" t="inlineStr">
        <is>
          <t xml:space="preserve">smb</t>
        </is>
      </c>
      <c r="E633" s="4">
        <v>75</v>
      </c>
      <c r="F633" s="0" t="inlineStr">
        <is>
          <t xml:space="preserve">Redwood Robotics Group</t>
        </is>
      </c>
    </row>
    <row r="634">
      <c r="A634" s="0" t="inlineStr">
        <is>
          <t xml:space="preserve">a0633</t>
        </is>
      </c>
      <c r="B634" s="0" t="inlineStr">
        <is>
          <t xml:space="preserve">software</t>
        </is>
      </c>
      <c r="C634" s="0" t="inlineStr">
        <is>
          <t xml:space="preserve">amer_west</t>
        </is>
      </c>
      <c r="D634" s="0" t="inlineStr">
        <is>
          <t xml:space="preserve">mid_market</t>
        </is>
      </c>
      <c r="E634" s="4">
        <v>338</v>
      </c>
      <c r="F634" s="0" t="inlineStr">
        <is>
          <t xml:space="preserve">Orchard Manufacturing Partners</t>
        </is>
      </c>
    </row>
    <row r="635">
      <c r="A635" s="0" t="inlineStr">
        <is>
          <t xml:space="preserve">a0634</t>
        </is>
      </c>
      <c r="B635" s="0" t="inlineStr">
        <is>
          <t xml:space="preserve">logistics</t>
        </is>
      </c>
      <c r="C635" s="0" t="inlineStr">
        <is>
          <t xml:space="preserve">amer_west</t>
        </is>
      </c>
      <c r="D635" s="0" t="inlineStr">
        <is>
          <t xml:space="preserve">mid_market</t>
        </is>
      </c>
      <c r="E635" s="4">
        <v>354</v>
      </c>
      <c r="F635" s="0" t="inlineStr">
        <is>
          <t xml:space="preserve">Northwind Manufacturing AG</t>
        </is>
      </c>
    </row>
    <row r="636">
      <c r="A636" s="0" t="inlineStr">
        <is>
          <t xml:space="preserve">a0635</t>
        </is>
      </c>
      <c r="B636" s="0" t="inlineStr">
        <is>
          <t xml:space="preserve">software</t>
        </is>
      </c>
      <c r="C636" s="0" t="inlineStr">
        <is>
          <t xml:space="preserve">amer_west</t>
        </is>
      </c>
      <c r="D636" s="0" t="inlineStr">
        <is>
          <t xml:space="preserve">smb</t>
        </is>
      </c>
      <c r="E636" s="4">
        <v>26</v>
      </c>
      <c r="F636" s="0" t="inlineStr">
        <is>
          <t xml:space="preserve">Ironbridge Software SA</t>
        </is>
      </c>
    </row>
    <row r="637">
      <c r="A637" s="0" t="inlineStr">
        <is>
          <t xml:space="preserve">a0636</t>
        </is>
      </c>
      <c r="B637" s="0" t="inlineStr">
        <is>
          <t xml:space="preserve">education</t>
        </is>
      </c>
      <c r="C637" s="0" t="inlineStr">
        <is>
          <t xml:space="preserve">amer_west</t>
        </is>
      </c>
      <c r="D637" s="0" t="inlineStr">
        <is>
          <t xml:space="preserve">smb</t>
        </is>
      </c>
      <c r="E637" s="4">
        <v>98</v>
      </c>
      <c r="F637" s="0" t="inlineStr">
        <is>
          <t xml:space="preserve">Ironbridge Foods Group</t>
        </is>
      </c>
    </row>
    <row r="638">
      <c r="A638" s="0" t="inlineStr">
        <is>
          <t xml:space="preserve">a0637</t>
        </is>
      </c>
      <c r="B638" s="0" t="inlineStr">
        <is>
          <t xml:space="preserve">retail</t>
        </is>
      </c>
      <c r="C638" s="0" t="inlineStr">
        <is>
          <t xml:space="preserve">emea</t>
        </is>
      </c>
      <c r="D638" s="0" t="inlineStr">
        <is>
          <t xml:space="preserve">enterprise</t>
        </is>
      </c>
      <c r="E638" s="4">
        <v>3857</v>
      </c>
      <c r="F638" s="0" t="inlineStr">
        <is>
          <t xml:space="preserve">Keystone Logistics SA</t>
        </is>
      </c>
    </row>
    <row r="639">
      <c r="A639" s="0" t="inlineStr">
        <is>
          <t xml:space="preserve">a0638</t>
        </is>
      </c>
      <c r="B639" s="0" t="inlineStr">
        <is>
          <t xml:space="preserve">software</t>
        </is>
      </c>
      <c r="C639" s="0" t="inlineStr">
        <is>
          <t xml:space="preserve">emea</t>
        </is>
      </c>
      <c r="D639" s="0" t="inlineStr">
        <is>
          <t xml:space="preserve">smb</t>
        </is>
      </c>
      <c r="E639" s="4">
        <v>116</v>
      </c>
      <c r="F639" s="0" t="inlineStr">
        <is>
          <t xml:space="preserve">Cascade Analytics Inc</t>
        </is>
      </c>
    </row>
    <row r="640">
      <c r="A640" s="0" t="inlineStr">
        <is>
          <t xml:space="preserve">a0639</t>
        </is>
      </c>
      <c r="B640" s="0" t="inlineStr">
        <is>
          <t xml:space="preserve">software</t>
        </is>
      </c>
      <c r="C640" s="0" t="inlineStr">
        <is>
          <t xml:space="preserve">emea</t>
        </is>
      </c>
      <c r="D640" s="0" t="inlineStr">
        <is>
          <t xml:space="preserve">mid_market</t>
        </is>
      </c>
      <c r="E640" s="4">
        <v>307</v>
      </c>
      <c r="F640" s="0" t="inlineStr">
        <is>
          <t xml:space="preserve">Quantum Manufacturing</t>
        </is>
      </c>
    </row>
    <row r="641">
      <c r="A641" s="0" t="inlineStr">
        <is>
          <t xml:space="preserve">a0640</t>
        </is>
      </c>
      <c r="B641" s="0" t="inlineStr">
        <is>
          <t xml:space="preserve">financial_services</t>
        </is>
      </c>
      <c r="C641" s="0" t="inlineStr">
        <is>
          <t xml:space="preserve">emea</t>
        </is>
      </c>
      <c r="D641" s="0" t="inlineStr">
        <is>
          <t xml:space="preserve">enterprise</t>
        </is>
      </c>
      <c r="E641" s="4">
        <v>7525</v>
      </c>
      <c r="F641" s="0" t="inlineStr">
        <is>
          <t xml:space="preserve">Granite Manufacturing AG</t>
        </is>
      </c>
    </row>
    <row r="642">
      <c r="A642" s="0" t="inlineStr">
        <is>
          <t xml:space="preserve">a0641</t>
        </is>
      </c>
      <c r="B642" s="0" t="inlineStr">
        <is>
          <t xml:space="preserve">retail</t>
        </is>
      </c>
      <c r="C642" s="0" t="inlineStr">
        <is>
          <t xml:space="preserve">emea</t>
        </is>
      </c>
      <c r="D642" s="0" t="inlineStr">
        <is>
          <t xml:space="preserve">smb</t>
        </is>
      </c>
      <c r="E642" s="4">
        <v>75</v>
      </c>
      <c r="F642" s="0" t="inlineStr">
        <is>
          <t xml:space="preserve">Redwood Materials Ltd</t>
        </is>
      </c>
    </row>
    <row r="643">
      <c r="A643" s="0" t="inlineStr">
        <is>
          <t xml:space="preserve">a0642</t>
        </is>
      </c>
      <c r="B643" s="0" t="inlineStr">
        <is>
          <t xml:space="preserve">software</t>
        </is>
      </c>
      <c r="C643" s="0" t="inlineStr">
        <is>
          <t xml:space="preserve">emea</t>
        </is>
      </c>
      <c r="D643" s="0" t="inlineStr">
        <is>
          <t xml:space="preserve">smb</t>
        </is>
      </c>
      <c r="E643" s="4">
        <v>115</v>
      </c>
      <c r="F643" s="0" t="inlineStr">
        <is>
          <t xml:space="preserve">Aurora Analytics</t>
        </is>
      </c>
    </row>
    <row r="644">
      <c r="A644" s="0" t="inlineStr">
        <is>
          <t xml:space="preserve">a0643</t>
        </is>
      </c>
      <c r="B644" s="0" t="inlineStr">
        <is>
          <t xml:space="preserve">software</t>
        </is>
      </c>
      <c r="C644" s="0" t="inlineStr">
        <is>
          <t xml:space="preserve">emea</t>
        </is>
      </c>
      <c r="D644" s="0" t="inlineStr">
        <is>
          <t xml:space="preserve">smb</t>
        </is>
      </c>
      <c r="E644" s="4">
        <v>47</v>
      </c>
      <c r="F644" s="0" t="inlineStr">
        <is>
          <t xml:space="preserve">Orchard Analytics SA</t>
        </is>
      </c>
    </row>
    <row r="645">
      <c r="A645" s="0" t="inlineStr">
        <is>
          <t xml:space="preserve">a0644</t>
        </is>
      </c>
      <c r="B645" s="0" t="inlineStr">
        <is>
          <t xml:space="preserve">financial_services</t>
        </is>
      </c>
      <c r="C645" s="0" t="inlineStr">
        <is>
          <t xml:space="preserve">emea</t>
        </is>
      </c>
      <c r="D645" s="0" t="inlineStr">
        <is>
          <t xml:space="preserve">smb</t>
        </is>
      </c>
      <c r="E645" s="4">
        <v>229</v>
      </c>
      <c r="F645" s="0" t="inlineStr">
        <is>
          <t xml:space="preserve">Cascade Health Holdings</t>
        </is>
      </c>
    </row>
    <row r="646">
      <c r="A646" s="0" t="inlineStr">
        <is>
          <t xml:space="preserve">a0645</t>
        </is>
      </c>
      <c r="B646" s="0" t="inlineStr">
        <is>
          <t xml:space="preserve">software</t>
        </is>
      </c>
      <c r="C646" s="0" t="inlineStr">
        <is>
          <t xml:space="preserve">emea</t>
        </is>
      </c>
      <c r="D646" s="0" t="inlineStr">
        <is>
          <t xml:space="preserve">enterprise</t>
        </is>
      </c>
      <c r="E646" s="4">
        <v>4678</v>
      </c>
      <c r="F646" s="0" t="inlineStr">
        <is>
          <t xml:space="preserve">Pioneer Insurance</t>
        </is>
      </c>
    </row>
    <row r="647">
      <c r="A647" s="0" t="inlineStr">
        <is>
          <t xml:space="preserve">a0646</t>
        </is>
      </c>
      <c r="B647" s="0" t="inlineStr">
        <is>
          <t xml:space="preserve">energy</t>
        </is>
      </c>
      <c r="C647" s="0" t="inlineStr">
        <is>
          <t xml:space="preserve">emea</t>
        </is>
      </c>
      <c r="D647" s="0" t="inlineStr">
        <is>
          <t xml:space="preserve">mid_market</t>
        </is>
      </c>
      <c r="E647" s="4">
        <v>462</v>
      </c>
      <c r="F647" s="0" t="inlineStr">
        <is>
          <t xml:space="preserve">Cobalt Software AG</t>
        </is>
      </c>
    </row>
    <row r="648">
      <c r="A648" s="0" t="inlineStr">
        <is>
          <t xml:space="preserve">a0647</t>
        </is>
      </c>
      <c r="B648" s="0" t="inlineStr">
        <is>
          <t xml:space="preserve">financial_services</t>
        </is>
      </c>
      <c r="C648" s="0" t="inlineStr">
        <is>
          <t xml:space="preserve">emea</t>
        </is>
      </c>
      <c r="D648" s="0" t="inlineStr">
        <is>
          <t xml:space="preserve">smb</t>
        </is>
      </c>
      <c r="E648" s="4">
        <v>23</v>
      </c>
      <c r="F648" s="0" t="inlineStr">
        <is>
          <t xml:space="preserve">Atlas Insurance</t>
        </is>
      </c>
    </row>
    <row r="649">
      <c r="A649" s="0" t="inlineStr">
        <is>
          <t xml:space="preserve">a0648</t>
        </is>
      </c>
      <c r="B649" s="0" t="inlineStr">
        <is>
          <t xml:space="preserve">software</t>
        </is>
      </c>
      <c r="C649" s="0" t="inlineStr">
        <is>
          <t xml:space="preserve">emea</t>
        </is>
      </c>
      <c r="D649" s="0" t="inlineStr">
        <is>
          <t xml:space="preserve">mid_market</t>
        </is>
      </c>
      <c r="E649" s="4">
        <v>543</v>
      </c>
      <c r="F649" s="0" t="inlineStr">
        <is>
          <t xml:space="preserve">Brightwater Robotics Holdings</t>
        </is>
      </c>
    </row>
    <row r="650">
      <c r="A650" s="0" t="inlineStr">
        <is>
          <t xml:space="preserve">a0649</t>
        </is>
      </c>
      <c r="B650" s="0" t="inlineStr">
        <is>
          <t xml:space="preserve">manufacturing</t>
        </is>
      </c>
      <c r="C650" s="0" t="inlineStr">
        <is>
          <t xml:space="preserve">emea</t>
        </is>
      </c>
      <c r="D650" s="0" t="inlineStr">
        <is>
          <t xml:space="preserve">smb</t>
        </is>
      </c>
      <c r="E650" s="4">
        <v>25</v>
      </c>
      <c r="F650" s="0" t="inlineStr">
        <is>
          <t xml:space="preserve">Cobalt Capital Ltd</t>
        </is>
      </c>
    </row>
    <row r="651">
      <c r="A651" s="0" t="inlineStr">
        <is>
          <t xml:space="preserve">a0650</t>
        </is>
      </c>
      <c r="B651" s="0" t="inlineStr">
        <is>
          <t xml:space="preserve">healthcare</t>
        </is>
      </c>
      <c r="C651" s="0" t="inlineStr">
        <is>
          <t xml:space="preserve">emea</t>
        </is>
      </c>
      <c r="D651" s="0" t="inlineStr">
        <is>
          <t xml:space="preserve">mid_market</t>
        </is>
      </c>
      <c r="E651" s="4">
        <v>1075</v>
      </c>
      <c r="F651" s="0" t="inlineStr">
        <is>
          <t xml:space="preserve">Horizon Retail Partners</t>
        </is>
      </c>
    </row>
    <row r="652">
      <c r="A652" s="0" t="inlineStr">
        <is>
          <t xml:space="preserve">a0651</t>
        </is>
      </c>
      <c r="B652" s="0" t="inlineStr">
        <is>
          <t xml:space="preserve">software</t>
        </is>
      </c>
      <c r="C652" s="0" t="inlineStr">
        <is>
          <t xml:space="preserve">emea</t>
        </is>
      </c>
      <c r="D652" s="0" t="inlineStr">
        <is>
          <t xml:space="preserve">enterprise</t>
        </is>
      </c>
      <c r="E652" s="4">
        <v>9686</v>
      </c>
      <c r="F652" s="0" t="inlineStr">
        <is>
          <t xml:space="preserve">Cascade Health SA</t>
        </is>
      </c>
    </row>
    <row r="653">
      <c r="A653" s="0" t="inlineStr">
        <is>
          <t xml:space="preserve">a0652</t>
        </is>
      </c>
      <c r="B653" s="0" t="inlineStr">
        <is>
          <t xml:space="preserve">healthcare</t>
        </is>
      </c>
      <c r="C653" s="0" t="inlineStr">
        <is>
          <t xml:space="preserve">apac</t>
        </is>
      </c>
      <c r="D653" s="0" t="inlineStr">
        <is>
          <t xml:space="preserve">enterprise</t>
        </is>
      </c>
      <c r="E653" s="4">
        <v>3002</v>
      </c>
      <c r="F653" s="0" t="inlineStr">
        <is>
          <t xml:space="preserve">Atlas Financial Group</t>
        </is>
      </c>
    </row>
    <row r="654">
      <c r="A654" s="0" t="inlineStr">
        <is>
          <t xml:space="preserve">a0653</t>
        </is>
      </c>
      <c r="B654" s="0" t="inlineStr">
        <is>
          <t xml:space="preserve">healthcare</t>
        </is>
      </c>
      <c r="C654" s="0" t="inlineStr">
        <is>
          <t xml:space="preserve">apac</t>
        </is>
      </c>
      <c r="D654" s="0" t="inlineStr">
        <is>
          <t xml:space="preserve">enterprise</t>
        </is>
      </c>
      <c r="E654" s="4">
        <v>5560</v>
      </c>
      <c r="F654" s="0" t="inlineStr">
        <is>
          <t xml:space="preserve">Horizon Learning</t>
        </is>
      </c>
    </row>
    <row r="655">
      <c r="A655" s="0" t="inlineStr">
        <is>
          <t xml:space="preserve">a0654</t>
        </is>
      </c>
      <c r="B655" s="0" t="inlineStr">
        <is>
          <t xml:space="preserve">financial_services</t>
        </is>
      </c>
      <c r="C655" s="0" t="inlineStr">
        <is>
          <t xml:space="preserve">apac</t>
        </is>
      </c>
      <c r="D655" s="0" t="inlineStr">
        <is>
          <t xml:space="preserve">smb</t>
        </is>
      </c>
      <c r="E655" s="4">
        <v>182</v>
      </c>
      <c r="F655" s="0" t="inlineStr">
        <is>
          <t xml:space="preserve">Northwind Foods Holdings</t>
        </is>
      </c>
    </row>
    <row r="656">
      <c r="A656" s="0" t="inlineStr">
        <is>
          <t xml:space="preserve">a0655</t>
        </is>
      </c>
      <c r="B656" s="0" t="inlineStr">
        <is>
          <t xml:space="preserve">energy</t>
        </is>
      </c>
      <c r="C656" s="0" t="inlineStr">
        <is>
          <t xml:space="preserve">apac</t>
        </is>
      </c>
      <c r="D656" s="0" t="inlineStr">
        <is>
          <t xml:space="preserve">mid_market</t>
        </is>
      </c>
      <c r="E656" s="4">
        <v>327</v>
      </c>
      <c r="F656" s="0" t="inlineStr">
        <is>
          <t xml:space="preserve">Northwind Insurance Inc</t>
        </is>
      </c>
    </row>
    <row r="657">
      <c r="A657" s="0" t="inlineStr">
        <is>
          <t xml:space="preserve">a0656</t>
        </is>
      </c>
      <c r="B657" s="0" t="inlineStr">
        <is>
          <t xml:space="preserve">healthcare</t>
        </is>
      </c>
      <c r="C657" s="0" t="inlineStr">
        <is>
          <t xml:space="preserve">apac</t>
        </is>
      </c>
      <c r="D657" s="0" t="inlineStr">
        <is>
          <t xml:space="preserve">mid_market</t>
        </is>
      </c>
      <c r="E657" s="4">
        <v>779</v>
      </c>
      <c r="F657" s="0" t="inlineStr">
        <is>
          <t xml:space="preserve">Keystone Logistics</t>
        </is>
      </c>
    </row>
    <row r="658">
      <c r="A658" s="0" t="inlineStr">
        <is>
          <t xml:space="preserve">a0657</t>
        </is>
      </c>
      <c r="B658" s="0" t="inlineStr">
        <is>
          <t xml:space="preserve">retail</t>
        </is>
      </c>
      <c r="C658" s="0" t="inlineStr">
        <is>
          <t xml:space="preserve">apac</t>
        </is>
      </c>
      <c r="D658" s="0" t="inlineStr">
        <is>
          <t xml:space="preserve">enterprise</t>
        </is>
      </c>
      <c r="E658" s="4">
        <v>3995</v>
      </c>
      <c r="F658" s="0" t="inlineStr">
        <is>
          <t xml:space="preserve">Lakeside Systems Inc</t>
        </is>
      </c>
    </row>
    <row r="659">
      <c r="A659" s="0" t="inlineStr">
        <is>
          <t xml:space="preserve">a0658</t>
        </is>
      </c>
      <c r="B659" s="0" t="inlineStr">
        <is>
          <t xml:space="preserve">software</t>
        </is>
      </c>
      <c r="C659" s="0" t="inlineStr">
        <is>
          <t xml:space="preserve">amer_east</t>
        </is>
      </c>
      <c r="D659" s="0" t="inlineStr">
        <is>
          <t xml:space="preserve">mid_market</t>
        </is>
      </c>
      <c r="E659" s="4">
        <v>375</v>
      </c>
      <c r="F659" s="0" t="inlineStr">
        <is>
          <t xml:space="preserve">Blue Harbor Mobility Ltd</t>
        </is>
      </c>
    </row>
    <row r="660">
      <c r="A660" s="0" t="inlineStr">
        <is>
          <t xml:space="preserve">a0659</t>
        </is>
      </c>
      <c r="B660" s="0" t="inlineStr">
        <is>
          <t xml:space="preserve">financial_services</t>
        </is>
      </c>
      <c r="C660" s="0" t="inlineStr">
        <is>
          <t xml:space="preserve">amer_east</t>
        </is>
      </c>
      <c r="D660" s="0" t="inlineStr">
        <is>
          <t xml:space="preserve">smb</t>
        </is>
      </c>
      <c r="E660" s="4">
        <v>33</v>
      </c>
      <c r="F660" s="0" t="inlineStr">
        <is>
          <t xml:space="preserve">Horizon Financial</t>
        </is>
      </c>
    </row>
    <row r="661">
      <c r="A661" s="0" t="inlineStr">
        <is>
          <t xml:space="preserve">a0660</t>
        </is>
      </c>
      <c r="B661" s="0" t="inlineStr">
        <is>
          <t xml:space="preserve">public_sector</t>
        </is>
      </c>
      <c r="C661" s="0" t="inlineStr">
        <is>
          <t xml:space="preserve">amer_east</t>
        </is>
      </c>
      <c r="D661" s="0" t="inlineStr">
        <is>
          <t xml:space="preserve">enterprise</t>
        </is>
      </c>
      <c r="E661" s="4">
        <v>8232</v>
      </c>
      <c r="F661" s="0" t="inlineStr">
        <is>
          <t xml:space="preserve">Horizon Manufacturing Holdings</t>
        </is>
      </c>
    </row>
    <row r="662">
      <c r="A662" s="0" t="inlineStr">
        <is>
          <t xml:space="preserve">a0661</t>
        </is>
      </c>
      <c r="B662" s="0" t="inlineStr">
        <is>
          <t xml:space="preserve">media</t>
        </is>
      </c>
      <c r="C662" s="0" t="inlineStr">
        <is>
          <t xml:space="preserve">amer_east</t>
        </is>
      </c>
      <c r="D662" s="0" t="inlineStr">
        <is>
          <t xml:space="preserve">smb</t>
        </is>
      </c>
      <c r="E662" s="4">
        <v>21</v>
      </c>
      <c r="F662" s="0" t="inlineStr">
        <is>
          <t xml:space="preserve">Pioneer Manufacturing Inc</t>
        </is>
      </c>
    </row>
    <row r="663">
      <c r="A663" s="0" t="inlineStr">
        <is>
          <t xml:space="preserve">a0662</t>
        </is>
      </c>
      <c r="B663" s="0" t="inlineStr">
        <is>
          <t xml:space="preserve">financial_services</t>
        </is>
      </c>
      <c r="C663" s="0" t="inlineStr">
        <is>
          <t xml:space="preserve">amer_east</t>
        </is>
      </c>
      <c r="D663" s="0" t="inlineStr">
        <is>
          <t xml:space="preserve">enterprise</t>
        </is>
      </c>
      <c r="E663" s="4">
        <v>2945</v>
      </c>
      <c r="F663" s="0" t="inlineStr">
        <is>
          <t xml:space="preserve">Cobalt Learning Co</t>
        </is>
      </c>
    </row>
    <row r="664">
      <c r="A664" s="0" t="inlineStr">
        <is>
          <t xml:space="preserve">a0663</t>
        </is>
      </c>
      <c r="B664" s="0" t="inlineStr">
        <is>
          <t xml:space="preserve">software</t>
        </is>
      </c>
      <c r="C664" s="0" t="inlineStr">
        <is>
          <t xml:space="preserve">amer_east</t>
        </is>
      </c>
      <c r="D664" s="0" t="inlineStr">
        <is>
          <t xml:space="preserve">smb</t>
        </is>
      </c>
      <c r="E664" s="4">
        <v>27</v>
      </c>
      <c r="F664" s="0" t="inlineStr">
        <is>
          <t xml:space="preserve">Blue Harbor Software Inc</t>
        </is>
      </c>
    </row>
    <row r="665">
      <c r="A665" s="0" t="inlineStr">
        <is>
          <t xml:space="preserve">a0664</t>
        </is>
      </c>
      <c r="B665" s="0" t="inlineStr">
        <is>
          <t xml:space="preserve">financial_services</t>
        </is>
      </c>
      <c r="C665" s="0" t="inlineStr">
        <is>
          <t xml:space="preserve">amer_east</t>
        </is>
      </c>
      <c r="D665" s="0" t="inlineStr">
        <is>
          <t xml:space="preserve">enterprise</t>
        </is>
      </c>
      <c r="E665" s="4">
        <v>3805</v>
      </c>
      <c r="F665" s="0" t="inlineStr">
        <is>
          <t xml:space="preserve">Copper Insurance Holdings</t>
        </is>
      </c>
    </row>
    <row r="666">
      <c r="A666" s="0" t="inlineStr">
        <is>
          <t xml:space="preserve">a0665</t>
        </is>
      </c>
      <c r="B666" s="0" t="inlineStr">
        <is>
          <t xml:space="preserve">healthcare</t>
        </is>
      </c>
      <c r="C666" s="0" t="inlineStr">
        <is>
          <t xml:space="preserve">amer_east</t>
        </is>
      </c>
      <c r="D666" s="0" t="inlineStr">
        <is>
          <t xml:space="preserve">enterprise</t>
        </is>
      </c>
      <c r="E666" s="4">
        <v>3785</v>
      </c>
      <c r="F666" s="0" t="inlineStr">
        <is>
          <t xml:space="preserve">Tidewater Media</t>
        </is>
      </c>
    </row>
    <row r="667">
      <c r="A667" s="0" t="inlineStr">
        <is>
          <t xml:space="preserve">a0666</t>
        </is>
      </c>
      <c r="B667" s="0" t="inlineStr">
        <is>
          <t xml:space="preserve">manufacturing</t>
        </is>
      </c>
      <c r="C667" s="0" t="inlineStr">
        <is>
          <t xml:space="preserve">amer_east</t>
        </is>
      </c>
      <c r="D667" s="0" t="inlineStr">
        <is>
          <t xml:space="preserve">smb</t>
        </is>
      </c>
      <c r="E667" s="4">
        <v>40</v>
      </c>
      <c r="F667" s="0" t="inlineStr">
        <is>
          <t xml:space="preserve">Blue Harbor Labs Holdings</t>
        </is>
      </c>
    </row>
    <row r="668">
      <c r="A668" s="0" t="inlineStr">
        <is>
          <t xml:space="preserve">a0667</t>
        </is>
      </c>
      <c r="B668" s="0" t="inlineStr">
        <is>
          <t xml:space="preserve">public_sector</t>
        </is>
      </c>
      <c r="C668" s="0" t="inlineStr">
        <is>
          <t xml:space="preserve">amer_east</t>
        </is>
      </c>
      <c r="D668" s="0" t="inlineStr">
        <is>
          <t xml:space="preserve">mid_market</t>
        </is>
      </c>
      <c r="E668" s="4">
        <v>1373</v>
      </c>
      <c r="F668" s="0" t="inlineStr">
        <is>
          <t xml:space="preserve">Copper Mobility Group</t>
        </is>
      </c>
    </row>
    <row r="669">
      <c r="A669" s="0" t="inlineStr">
        <is>
          <t xml:space="preserve">a0668</t>
        </is>
      </c>
      <c r="B669" s="0" t="inlineStr">
        <is>
          <t xml:space="preserve">financial_services</t>
        </is>
      </c>
      <c r="C669" s="0" t="inlineStr">
        <is>
          <t xml:space="preserve">amer_east</t>
        </is>
      </c>
      <c r="D669" s="0" t="inlineStr">
        <is>
          <t xml:space="preserve">enterprise</t>
        </is>
      </c>
      <c r="E669" s="4">
        <v>3297</v>
      </c>
      <c r="F669" s="0" t="inlineStr">
        <is>
          <t xml:space="preserve">Harbor Media Ltd</t>
        </is>
      </c>
    </row>
    <row r="670">
      <c r="A670" s="0" t="inlineStr">
        <is>
          <t xml:space="preserve">a0669</t>
        </is>
      </c>
      <c r="B670" s="0" t="inlineStr">
        <is>
          <t xml:space="preserve">financial_services</t>
        </is>
      </c>
      <c r="C670" s="0" t="inlineStr">
        <is>
          <t xml:space="preserve">amer_east</t>
        </is>
      </c>
      <c r="D670" s="0" t="inlineStr">
        <is>
          <t xml:space="preserve">enterprise</t>
        </is>
      </c>
      <c r="E670" s="4">
        <v>3611</v>
      </c>
      <c r="F670" s="0" t="inlineStr">
        <is>
          <t xml:space="preserve">Lakeside Insurance Partners</t>
        </is>
      </c>
    </row>
    <row r="671">
      <c r="A671" s="0" t="inlineStr">
        <is>
          <t xml:space="preserve">a0670</t>
        </is>
      </c>
      <c r="B671" s="0" t="inlineStr">
        <is>
          <t xml:space="preserve">logistics</t>
        </is>
      </c>
      <c r="C671" s="0" t="inlineStr">
        <is>
          <t xml:space="preserve">amer_east</t>
        </is>
      </c>
      <c r="D671" s="0" t="inlineStr">
        <is>
          <t xml:space="preserve">enterprise</t>
        </is>
      </c>
      <c r="E671" s="4">
        <v>14772</v>
      </c>
      <c r="F671" s="0" t="inlineStr">
        <is>
          <t xml:space="preserve">Northwind Capital Holdings</t>
        </is>
      </c>
    </row>
    <row r="672">
      <c r="A672" s="0" t="inlineStr">
        <is>
          <t xml:space="preserve">a0671</t>
        </is>
      </c>
      <c r="B672" s="0" t="inlineStr">
        <is>
          <t xml:space="preserve">financial_services</t>
        </is>
      </c>
      <c r="C672" s="0" t="inlineStr">
        <is>
          <t xml:space="preserve">amer_east</t>
        </is>
      </c>
      <c r="D672" s="0" t="inlineStr">
        <is>
          <t xml:space="preserve">mid_market</t>
        </is>
      </c>
      <c r="E672" s="4">
        <v>675</v>
      </c>
      <c r="F672" s="0" t="inlineStr">
        <is>
          <t xml:space="preserve">Blue Harbor Retail</t>
        </is>
      </c>
    </row>
    <row r="673">
      <c r="A673" s="0" t="inlineStr">
        <is>
          <t xml:space="preserve">a0672</t>
        </is>
      </c>
      <c r="B673" s="0" t="inlineStr">
        <is>
          <t xml:space="preserve">media</t>
        </is>
      </c>
      <c r="C673" s="0" t="inlineStr">
        <is>
          <t xml:space="preserve">amer_east</t>
        </is>
      </c>
      <c r="D673" s="0" t="inlineStr">
        <is>
          <t xml:space="preserve">smb</t>
        </is>
      </c>
      <c r="E673" s="4">
        <v>20</v>
      </c>
      <c r="F673" s="0" t="inlineStr">
        <is>
          <t xml:space="preserve">Copper Mobility AG</t>
        </is>
      </c>
    </row>
    <row r="674">
      <c r="A674" s="0" t="inlineStr">
        <is>
          <t xml:space="preserve">a0673</t>
        </is>
      </c>
      <c r="B674" s="0" t="inlineStr">
        <is>
          <t xml:space="preserve">retail</t>
        </is>
      </c>
      <c r="C674" s="0" t="inlineStr">
        <is>
          <t xml:space="preserve">amer_west</t>
        </is>
      </c>
      <c r="D674" s="0" t="inlineStr">
        <is>
          <t xml:space="preserve">smb</t>
        </is>
      </c>
      <c r="E674" s="4">
        <v>38</v>
      </c>
      <c r="F674" s="0" t="inlineStr">
        <is>
          <t xml:space="preserve">Quantum Robotics AG</t>
        </is>
      </c>
    </row>
    <row r="675">
      <c r="A675" s="0" t="inlineStr">
        <is>
          <t xml:space="preserve">a0674</t>
        </is>
      </c>
      <c r="B675" s="0" t="inlineStr">
        <is>
          <t xml:space="preserve">media</t>
        </is>
      </c>
      <c r="C675" s="0" t="inlineStr">
        <is>
          <t xml:space="preserve">amer_west</t>
        </is>
      </c>
      <c r="D675" s="0" t="inlineStr">
        <is>
          <t xml:space="preserve">mid_market</t>
        </is>
      </c>
      <c r="E675" s="4">
        <v>436</v>
      </c>
      <c r="F675" s="0" t="inlineStr">
        <is>
          <t xml:space="preserve">Falcon Systems SA</t>
        </is>
      </c>
    </row>
    <row r="676">
      <c r="A676" s="0" t="inlineStr">
        <is>
          <t xml:space="preserve">a0675</t>
        </is>
      </c>
      <c r="B676" s="0" t="inlineStr">
        <is>
          <t xml:space="preserve">healthcare</t>
        </is>
      </c>
      <c r="C676" s="0" t="inlineStr">
        <is>
          <t xml:space="preserve">amer_west</t>
        </is>
      </c>
      <c r="D676" s="0" t="inlineStr">
        <is>
          <t xml:space="preserve">enterprise</t>
        </is>
      </c>
      <c r="E676" s="4">
        <v>4167</v>
      </c>
      <c r="F676" s="0" t="inlineStr">
        <is>
          <t xml:space="preserve">Aurora Materials Ltd</t>
        </is>
      </c>
    </row>
    <row r="677">
      <c r="A677" s="0" t="inlineStr">
        <is>
          <t xml:space="preserve">a0676</t>
        </is>
      </c>
      <c r="B677" s="0" t="inlineStr">
        <is>
          <t xml:space="preserve">energy</t>
        </is>
      </c>
      <c r="C677" s="0" t="inlineStr">
        <is>
          <t xml:space="preserve">amer_west</t>
        </is>
      </c>
      <c r="D677" s="0" t="inlineStr">
        <is>
          <t xml:space="preserve">mid_market</t>
        </is>
      </c>
      <c r="E677" s="4">
        <v>487</v>
      </c>
      <c r="F677" s="0" t="inlineStr">
        <is>
          <t xml:space="preserve">Redwood Capital Group</t>
        </is>
      </c>
    </row>
    <row r="678">
      <c r="A678" s="0" t="inlineStr">
        <is>
          <t xml:space="preserve">a0677</t>
        </is>
      </c>
      <c r="B678" s="0" t="inlineStr">
        <is>
          <t xml:space="preserve">manufacturing</t>
        </is>
      </c>
      <c r="C678" s="0" t="inlineStr">
        <is>
          <t xml:space="preserve">amer_west</t>
        </is>
      </c>
      <c r="D678" s="0" t="inlineStr">
        <is>
          <t xml:space="preserve">enterprise</t>
        </is>
      </c>
      <c r="E678" s="4">
        <v>3751</v>
      </c>
      <c r="F678" s="0" t="inlineStr">
        <is>
          <t xml:space="preserve">Falcon Media SA</t>
        </is>
      </c>
    </row>
    <row r="679">
      <c r="A679" s="0" t="inlineStr">
        <is>
          <t xml:space="preserve">a0678</t>
        </is>
      </c>
      <c r="B679" s="0" t="inlineStr">
        <is>
          <t xml:space="preserve">financial_services</t>
        </is>
      </c>
      <c r="C679" s="0" t="inlineStr">
        <is>
          <t xml:space="preserve">amer_west</t>
        </is>
      </c>
      <c r="D679" s="0" t="inlineStr">
        <is>
          <t xml:space="preserve">mid_market</t>
        </is>
      </c>
      <c r="E679" s="4">
        <v>608</v>
      </c>
      <c r="F679" s="0" t="inlineStr">
        <is>
          <t xml:space="preserve">Beacon Networks Co</t>
        </is>
      </c>
    </row>
    <row r="680">
      <c r="A680" s="0" t="inlineStr">
        <is>
          <t xml:space="preserve">a0679</t>
        </is>
      </c>
      <c r="B680" s="0" t="inlineStr">
        <is>
          <t xml:space="preserve">logistics</t>
        </is>
      </c>
      <c r="C680" s="0" t="inlineStr">
        <is>
          <t xml:space="preserve">amer_west</t>
        </is>
      </c>
      <c r="D680" s="0" t="inlineStr">
        <is>
          <t xml:space="preserve">mid_market</t>
        </is>
      </c>
      <c r="E680" s="4">
        <v>375</v>
      </c>
      <c r="F680" s="0" t="inlineStr">
        <is>
          <t xml:space="preserve">Granite Learning Co</t>
        </is>
      </c>
    </row>
    <row r="681">
      <c r="A681" s="0" t="inlineStr">
        <is>
          <t xml:space="preserve">a0680</t>
        </is>
      </c>
      <c r="B681" s="0" t="inlineStr">
        <is>
          <t xml:space="preserve">manufacturing</t>
        </is>
      </c>
      <c r="C681" s="0" t="inlineStr">
        <is>
          <t xml:space="preserve">amer_west</t>
        </is>
      </c>
      <c r="D681" s="0" t="inlineStr">
        <is>
          <t xml:space="preserve">enterprise</t>
        </is>
      </c>
      <c r="E681" s="4">
        <v>7353</v>
      </c>
      <c r="F681" s="0" t="inlineStr">
        <is>
          <t xml:space="preserve">Aurora Systems</t>
        </is>
      </c>
    </row>
    <row r="682">
      <c r="A682" s="0" t="inlineStr">
        <is>
          <t xml:space="preserve">a0681</t>
        </is>
      </c>
      <c r="B682" s="0" t="inlineStr">
        <is>
          <t xml:space="preserve">software</t>
        </is>
      </c>
      <c r="C682" s="0" t="inlineStr">
        <is>
          <t xml:space="preserve">amer_west</t>
        </is>
      </c>
      <c r="D682" s="0" t="inlineStr">
        <is>
          <t xml:space="preserve">enterprise</t>
        </is>
      </c>
      <c r="E682" s="4">
        <v>4237</v>
      </c>
      <c r="F682" s="0" t="inlineStr">
        <is>
          <t xml:space="preserve">Quantum Mobility</t>
        </is>
      </c>
    </row>
    <row r="683">
      <c r="A683" s="0" t="inlineStr">
        <is>
          <t xml:space="preserve">a0682</t>
        </is>
      </c>
      <c r="B683" s="0" t="inlineStr">
        <is>
          <t xml:space="preserve">healthcare</t>
        </is>
      </c>
      <c r="C683" s="0" t="inlineStr">
        <is>
          <t xml:space="preserve">amer_west</t>
        </is>
      </c>
      <c r="D683" s="0" t="inlineStr">
        <is>
          <t xml:space="preserve">smb</t>
        </is>
      </c>
      <c r="E683" s="4">
        <v>24</v>
      </c>
      <c r="F683" s="0" t="inlineStr">
        <is>
          <t xml:space="preserve">Umber Insurance Holdings</t>
        </is>
      </c>
    </row>
    <row r="684">
      <c r="A684" s="0" t="inlineStr">
        <is>
          <t xml:space="preserve">a0683</t>
        </is>
      </c>
      <c r="B684" s="0" t="inlineStr">
        <is>
          <t xml:space="preserve">retail</t>
        </is>
      </c>
      <c r="C684" s="0" t="inlineStr">
        <is>
          <t xml:space="preserve">amer_west</t>
        </is>
      </c>
      <c r="D684" s="0" t="inlineStr">
        <is>
          <t xml:space="preserve">enterprise</t>
        </is>
      </c>
      <c r="E684" s="4">
        <v>4215</v>
      </c>
      <c r="F684" s="0" t="inlineStr">
        <is>
          <t xml:space="preserve">Tidewater Health</t>
        </is>
      </c>
    </row>
    <row r="685">
      <c r="A685" s="0" t="inlineStr">
        <is>
          <t xml:space="preserve">a0684</t>
        </is>
      </c>
      <c r="B685" s="0" t="inlineStr">
        <is>
          <t xml:space="preserve">media</t>
        </is>
      </c>
      <c r="C685" s="0" t="inlineStr">
        <is>
          <t xml:space="preserve">amer_west</t>
        </is>
      </c>
      <c r="D685" s="0" t="inlineStr">
        <is>
          <t xml:space="preserve">mid_market</t>
        </is>
      </c>
      <c r="E685" s="4">
        <v>404</v>
      </c>
      <c r="F685" s="0" t="inlineStr">
        <is>
          <t xml:space="preserve">Cobalt Mobility Ltd</t>
        </is>
      </c>
    </row>
    <row r="686">
      <c r="A686" s="0" t="inlineStr">
        <is>
          <t xml:space="preserve">a0685</t>
        </is>
      </c>
      <c r="B686" s="0" t="inlineStr">
        <is>
          <t xml:space="preserve">healthcare</t>
        </is>
      </c>
      <c r="C686" s="0" t="inlineStr">
        <is>
          <t xml:space="preserve">amer_west</t>
        </is>
      </c>
      <c r="D686" s="0" t="inlineStr">
        <is>
          <t xml:space="preserve">mid_market</t>
        </is>
      </c>
      <c r="E686" s="4">
        <v>1690</v>
      </c>
      <c r="F686" s="0" t="inlineStr">
        <is>
          <t xml:space="preserve">Atlas Retail Group</t>
        </is>
      </c>
    </row>
    <row r="687">
      <c r="A687" s="0" t="inlineStr">
        <is>
          <t xml:space="preserve">a0686</t>
        </is>
      </c>
      <c r="B687" s="0" t="inlineStr">
        <is>
          <t xml:space="preserve">manufacturing</t>
        </is>
      </c>
      <c r="C687" s="0" t="inlineStr">
        <is>
          <t xml:space="preserve">amer_west</t>
        </is>
      </c>
      <c r="D687" s="0" t="inlineStr">
        <is>
          <t xml:space="preserve">smb</t>
        </is>
      </c>
      <c r="E687" s="4">
        <v>65</v>
      </c>
      <c r="F687" s="0" t="inlineStr">
        <is>
          <t xml:space="preserve">Meridian Analytics SA</t>
        </is>
      </c>
    </row>
    <row r="688">
      <c r="A688" s="0" t="inlineStr">
        <is>
          <t xml:space="preserve">a0687</t>
        </is>
      </c>
      <c r="B688" s="0" t="inlineStr">
        <is>
          <t xml:space="preserve">education</t>
        </is>
      </c>
      <c r="C688" s="0" t="inlineStr">
        <is>
          <t xml:space="preserve">amer_west</t>
        </is>
      </c>
      <c r="D688" s="0" t="inlineStr">
        <is>
          <t xml:space="preserve">mid_market</t>
        </is>
      </c>
      <c r="E688" s="4">
        <v>293</v>
      </c>
      <c r="F688" s="0" t="inlineStr">
        <is>
          <t xml:space="preserve">Falcon Capital Co</t>
        </is>
      </c>
    </row>
    <row r="689">
      <c r="A689" s="0" t="inlineStr">
        <is>
          <t xml:space="preserve">a0688</t>
        </is>
      </c>
      <c r="B689" s="0" t="inlineStr">
        <is>
          <t xml:space="preserve">manufacturing</t>
        </is>
      </c>
      <c r="C689" s="0" t="inlineStr">
        <is>
          <t xml:space="preserve">amer_west</t>
        </is>
      </c>
      <c r="D689" s="0" t="inlineStr">
        <is>
          <t xml:space="preserve">smb</t>
        </is>
      </c>
      <c r="E689" s="4">
        <v>21</v>
      </c>
      <c r="F689" s="0" t="inlineStr">
        <is>
          <t xml:space="preserve">Cobalt Biotech Partners</t>
        </is>
      </c>
    </row>
    <row r="690">
      <c r="A690" s="0" t="inlineStr">
        <is>
          <t xml:space="preserve">a0689</t>
        </is>
      </c>
      <c r="B690" s="0" t="inlineStr">
        <is>
          <t xml:space="preserve">education</t>
        </is>
      </c>
      <c r="C690" s="0" t="inlineStr">
        <is>
          <t xml:space="preserve">amer_west</t>
        </is>
      </c>
      <c r="D690" s="0" t="inlineStr">
        <is>
          <t xml:space="preserve">smb</t>
        </is>
      </c>
      <c r="E690" s="4">
        <v>24</v>
      </c>
      <c r="F690" s="0" t="inlineStr">
        <is>
          <t xml:space="preserve">Cobalt Logistics Inc</t>
        </is>
      </c>
    </row>
    <row r="691">
      <c r="A691" s="0" t="inlineStr">
        <is>
          <t xml:space="preserve">a0690</t>
        </is>
      </c>
      <c r="B691" s="0" t="inlineStr">
        <is>
          <t xml:space="preserve">energy</t>
        </is>
      </c>
      <c r="C691" s="0" t="inlineStr">
        <is>
          <t xml:space="preserve">amer_west</t>
        </is>
      </c>
      <c r="D691" s="0" t="inlineStr">
        <is>
          <t xml:space="preserve">enterprise</t>
        </is>
      </c>
      <c r="E691" s="4">
        <v>2555</v>
      </c>
      <c r="F691" s="0" t="inlineStr">
        <is>
          <t xml:space="preserve">Meridian Foods Co</t>
        </is>
      </c>
    </row>
    <row r="692">
      <c r="A692" s="0" t="inlineStr">
        <is>
          <t xml:space="preserve">a0691</t>
        </is>
      </c>
      <c r="B692" s="0" t="inlineStr">
        <is>
          <t xml:space="preserve">software</t>
        </is>
      </c>
      <c r="C692" s="0" t="inlineStr">
        <is>
          <t xml:space="preserve">amer_west</t>
        </is>
      </c>
      <c r="D692" s="0" t="inlineStr">
        <is>
          <t xml:space="preserve">smb</t>
        </is>
      </c>
      <c r="E692" s="4">
        <v>25</v>
      </c>
      <c r="F692" s="0" t="inlineStr">
        <is>
          <t xml:space="preserve">Falcon Learning Ltd</t>
        </is>
      </c>
    </row>
    <row r="693">
      <c r="A693" s="0" t="inlineStr">
        <is>
          <t xml:space="preserve">a0692</t>
        </is>
      </c>
      <c r="B693" s="0" t="inlineStr">
        <is>
          <t xml:space="preserve">logistics</t>
        </is>
      </c>
      <c r="C693" s="0" t="inlineStr">
        <is>
          <t xml:space="preserve">emea</t>
        </is>
      </c>
      <c r="D693" s="0" t="inlineStr">
        <is>
          <t xml:space="preserve">smb</t>
        </is>
      </c>
      <c r="E693" s="4">
        <v>113</v>
      </c>
      <c r="F693" s="0" t="inlineStr">
        <is>
          <t xml:space="preserve">Falcon Networks Co</t>
        </is>
      </c>
    </row>
    <row r="694">
      <c r="A694" s="0" t="inlineStr">
        <is>
          <t xml:space="preserve">a0693</t>
        </is>
      </c>
      <c r="B694" s="0" t="inlineStr">
        <is>
          <t xml:space="preserve">software</t>
        </is>
      </c>
      <c r="C694" s="0" t="inlineStr">
        <is>
          <t xml:space="preserve">emea</t>
        </is>
      </c>
      <c r="D694" s="0" t="inlineStr">
        <is>
          <t xml:space="preserve">smb</t>
        </is>
      </c>
      <c r="E694" s="4">
        <v>43</v>
      </c>
      <c r="F694" s="0" t="inlineStr">
        <is>
          <t xml:space="preserve">Vertex Labs Holdings</t>
        </is>
      </c>
    </row>
    <row r="695">
      <c r="A695" s="0" t="inlineStr">
        <is>
          <t xml:space="preserve">a0694</t>
        </is>
      </c>
      <c r="B695" s="0" t="inlineStr">
        <is>
          <t xml:space="preserve">financial_services</t>
        </is>
      </c>
      <c r="C695" s="0" t="inlineStr">
        <is>
          <t xml:space="preserve">emea</t>
        </is>
      </c>
      <c r="D695" s="0" t="inlineStr">
        <is>
          <t xml:space="preserve">mid_market</t>
        </is>
      </c>
      <c r="E695" s="4">
        <v>398</v>
      </c>
      <c r="F695" s="0" t="inlineStr">
        <is>
          <t xml:space="preserve">Nimbus Materials SA</t>
        </is>
      </c>
    </row>
    <row r="696">
      <c r="A696" s="0" t="inlineStr">
        <is>
          <t xml:space="preserve">a0695</t>
        </is>
      </c>
      <c r="B696" s="0" t="inlineStr">
        <is>
          <t xml:space="preserve">healthcare</t>
        </is>
      </c>
      <c r="C696" s="0" t="inlineStr">
        <is>
          <t xml:space="preserve">emea</t>
        </is>
      </c>
      <c r="D696" s="0" t="inlineStr">
        <is>
          <t xml:space="preserve">smb</t>
        </is>
      </c>
      <c r="E696" s="4">
        <v>29</v>
      </c>
      <c r="F696" s="0" t="inlineStr">
        <is>
          <t xml:space="preserve">Tidewater Learning SA</t>
        </is>
      </c>
    </row>
    <row r="697">
      <c r="A697" s="0" t="inlineStr">
        <is>
          <t xml:space="preserve">a0696</t>
        </is>
      </c>
      <c r="B697" s="0" t="inlineStr">
        <is>
          <t xml:space="preserve">manufacturing</t>
        </is>
      </c>
      <c r="C697" s="0" t="inlineStr">
        <is>
          <t xml:space="preserve">emea</t>
        </is>
      </c>
      <c r="D697" s="0" t="inlineStr">
        <is>
          <t xml:space="preserve">smb</t>
        </is>
      </c>
      <c r="E697" s="4">
        <v>25</v>
      </c>
      <c r="F697" s="0" t="inlineStr">
        <is>
          <t xml:space="preserve">Lakeside Insurance Inc</t>
        </is>
      </c>
    </row>
    <row r="698">
      <c r="A698" s="0" t="inlineStr">
        <is>
          <t xml:space="preserve">a0697</t>
        </is>
      </c>
      <c r="B698" s="0" t="inlineStr">
        <is>
          <t xml:space="preserve">logistics</t>
        </is>
      </c>
      <c r="C698" s="0" t="inlineStr">
        <is>
          <t xml:space="preserve">emea</t>
        </is>
      </c>
      <c r="D698" s="0" t="inlineStr">
        <is>
          <t xml:space="preserve">smb</t>
        </is>
      </c>
      <c r="E698" s="4">
        <v>72</v>
      </c>
      <c r="F698" s="0" t="inlineStr">
        <is>
          <t xml:space="preserve">Evergreen Logistics Partners</t>
        </is>
      </c>
    </row>
    <row r="699">
      <c r="A699" s="0" t="inlineStr">
        <is>
          <t xml:space="preserve">a0698</t>
        </is>
      </c>
      <c r="B699" s="0" t="inlineStr">
        <is>
          <t xml:space="preserve">software</t>
        </is>
      </c>
      <c r="C699" s="0" t="inlineStr">
        <is>
          <t xml:space="preserve">emea</t>
        </is>
      </c>
      <c r="D699" s="0" t="inlineStr">
        <is>
          <t xml:space="preserve">smb</t>
        </is>
      </c>
      <c r="E699" s="4">
        <v>33</v>
      </c>
      <c r="F699" s="0" t="inlineStr">
        <is>
          <t xml:space="preserve">Harbor Energy</t>
        </is>
      </c>
    </row>
    <row r="700">
      <c r="A700" s="0" t="inlineStr">
        <is>
          <t xml:space="preserve">a0699</t>
        </is>
      </c>
      <c r="B700" s="0" t="inlineStr">
        <is>
          <t xml:space="preserve">software</t>
        </is>
      </c>
      <c r="C700" s="0" t="inlineStr">
        <is>
          <t xml:space="preserve">emea</t>
        </is>
      </c>
      <c r="D700" s="0" t="inlineStr">
        <is>
          <t xml:space="preserve">mid_market</t>
        </is>
      </c>
      <c r="E700" s="4">
        <v>279</v>
      </c>
      <c r="F700" s="0" t="inlineStr">
        <is>
          <t xml:space="preserve">Brightwater Analytics</t>
        </is>
      </c>
    </row>
    <row r="701">
      <c r="A701" s="0" t="inlineStr">
        <is>
          <t xml:space="preserve">a0700</t>
        </is>
      </c>
      <c r="B701" s="0" t="inlineStr">
        <is>
          <t xml:space="preserve">education</t>
        </is>
      </c>
      <c r="C701" s="0" t="inlineStr">
        <is>
          <t xml:space="preserve">emea</t>
        </is>
      </c>
      <c r="D701" s="0" t="inlineStr">
        <is>
          <t xml:space="preserve">smb</t>
        </is>
      </c>
      <c r="E701" s="4">
        <v>239</v>
      </c>
      <c r="F701" s="0" t="inlineStr">
        <is>
          <t xml:space="preserve">Aurora Energy Co</t>
        </is>
      </c>
    </row>
    <row r="702">
      <c r="A702" s="0" t="inlineStr">
        <is>
          <t xml:space="preserve">a0701</t>
        </is>
      </c>
      <c r="B702" s="0" t="inlineStr">
        <is>
          <t xml:space="preserve">software</t>
        </is>
      </c>
      <c r="C702" s="0" t="inlineStr">
        <is>
          <t xml:space="preserve">emea</t>
        </is>
      </c>
      <c r="D702" s="0" t="inlineStr">
        <is>
          <t xml:space="preserve">mid_market</t>
        </is>
      </c>
      <c r="E702" s="4">
        <v>367</v>
      </c>
      <c r="F702" s="0" t="inlineStr">
        <is>
          <t xml:space="preserve">Summit Media Inc</t>
        </is>
      </c>
    </row>
    <row r="703">
      <c r="A703" s="0" t="inlineStr">
        <is>
          <t xml:space="preserve">a0702</t>
        </is>
      </c>
      <c r="B703" s="0" t="inlineStr">
        <is>
          <t xml:space="preserve">software</t>
        </is>
      </c>
      <c r="C703" s="0" t="inlineStr">
        <is>
          <t xml:space="preserve">emea</t>
        </is>
      </c>
      <c r="D703" s="0" t="inlineStr">
        <is>
          <t xml:space="preserve">smb</t>
        </is>
      </c>
      <c r="E703" s="4">
        <v>72</v>
      </c>
      <c r="F703" s="0" t="inlineStr">
        <is>
          <t xml:space="preserve">Meridian Logistics Partners</t>
        </is>
      </c>
    </row>
    <row r="704">
      <c r="A704" s="0" t="inlineStr">
        <is>
          <t xml:space="preserve">a0703</t>
        </is>
      </c>
      <c r="B704" s="0" t="inlineStr">
        <is>
          <t xml:space="preserve">healthcare</t>
        </is>
      </c>
      <c r="C704" s="0" t="inlineStr">
        <is>
          <t xml:space="preserve">emea</t>
        </is>
      </c>
      <c r="D704" s="0" t="inlineStr">
        <is>
          <t xml:space="preserve">mid_market</t>
        </is>
      </c>
      <c r="E704" s="4">
        <v>2113</v>
      </c>
      <c r="F704" s="0" t="inlineStr">
        <is>
          <t xml:space="preserve">Meridian Labs Inc</t>
        </is>
      </c>
    </row>
    <row r="705">
      <c r="A705" s="0" t="inlineStr">
        <is>
          <t xml:space="preserve">a0704</t>
        </is>
      </c>
      <c r="B705" s="0" t="inlineStr">
        <is>
          <t xml:space="preserve">public_sector</t>
        </is>
      </c>
      <c r="C705" s="0" t="inlineStr">
        <is>
          <t xml:space="preserve">emea</t>
        </is>
      </c>
      <c r="D705" s="0" t="inlineStr">
        <is>
          <t xml:space="preserve">mid_market</t>
        </is>
      </c>
      <c r="E705" s="4">
        <v>255</v>
      </c>
      <c r="F705" s="0" t="inlineStr">
        <is>
          <t xml:space="preserve">Aurora Robotics</t>
        </is>
      </c>
    </row>
    <row r="706">
      <c r="A706" s="0" t="inlineStr">
        <is>
          <t xml:space="preserve">a0705</t>
        </is>
      </c>
      <c r="B706" s="0" t="inlineStr">
        <is>
          <t xml:space="preserve">financial_services</t>
        </is>
      </c>
      <c r="C706" s="0" t="inlineStr">
        <is>
          <t xml:space="preserve">emea</t>
        </is>
      </c>
      <c r="D706" s="0" t="inlineStr">
        <is>
          <t xml:space="preserve">smb</t>
        </is>
      </c>
      <c r="E706" s="4">
        <v>227</v>
      </c>
      <c r="F706" s="0" t="inlineStr">
        <is>
          <t xml:space="preserve">Harbor Mobility Group</t>
        </is>
      </c>
    </row>
    <row r="707">
      <c r="A707" s="0" t="inlineStr">
        <is>
          <t xml:space="preserve">a0706</t>
        </is>
      </c>
      <c r="B707" s="0" t="inlineStr">
        <is>
          <t xml:space="preserve">energy</t>
        </is>
      </c>
      <c r="C707" s="0" t="inlineStr">
        <is>
          <t xml:space="preserve">emea</t>
        </is>
      </c>
      <c r="D707" s="0" t="inlineStr">
        <is>
          <t xml:space="preserve">enterprise</t>
        </is>
      </c>
      <c r="E707" s="4">
        <v>5233</v>
      </c>
      <c r="F707" s="0" t="inlineStr">
        <is>
          <t xml:space="preserve">Meridian Materials</t>
        </is>
      </c>
    </row>
    <row r="708">
      <c r="A708" s="0" t="inlineStr">
        <is>
          <t xml:space="preserve">a0707</t>
        </is>
      </c>
      <c r="B708" s="0" t="inlineStr">
        <is>
          <t xml:space="preserve">financial_services</t>
        </is>
      </c>
      <c r="C708" s="0" t="inlineStr">
        <is>
          <t xml:space="preserve">emea</t>
        </is>
      </c>
      <c r="D708" s="0" t="inlineStr">
        <is>
          <t xml:space="preserve">smb</t>
        </is>
      </c>
      <c r="E708" s="4">
        <v>23</v>
      </c>
      <c r="F708" s="0" t="inlineStr">
        <is>
          <t xml:space="preserve">Juniper Analytics Holdings</t>
        </is>
      </c>
    </row>
    <row r="709">
      <c r="A709" s="0" t="inlineStr">
        <is>
          <t xml:space="preserve">a0708</t>
        </is>
      </c>
      <c r="B709" s="0" t="inlineStr">
        <is>
          <t xml:space="preserve">software</t>
        </is>
      </c>
      <c r="C709" s="0" t="inlineStr">
        <is>
          <t xml:space="preserve">emea</t>
        </is>
      </c>
      <c r="D709" s="0" t="inlineStr">
        <is>
          <t xml:space="preserve">mid_market</t>
        </is>
      </c>
      <c r="E709" s="4">
        <v>394</v>
      </c>
      <c r="F709" s="0" t="inlineStr">
        <is>
          <t xml:space="preserve">Pioneer Retail Co</t>
        </is>
      </c>
    </row>
    <row r="710">
      <c r="A710" s="0" t="inlineStr">
        <is>
          <t xml:space="preserve">a0709</t>
        </is>
      </c>
      <c r="B710" s="0" t="inlineStr">
        <is>
          <t xml:space="preserve">healthcare</t>
        </is>
      </c>
      <c r="C710" s="0" t="inlineStr">
        <is>
          <t xml:space="preserve">emea</t>
        </is>
      </c>
      <c r="D710" s="0" t="inlineStr">
        <is>
          <t xml:space="preserve">smb</t>
        </is>
      </c>
      <c r="E710" s="4">
        <v>22</v>
      </c>
      <c r="F710" s="0" t="inlineStr">
        <is>
          <t xml:space="preserve">Summit Energy Ltd</t>
        </is>
      </c>
    </row>
    <row r="711">
      <c r="A711" s="0" t="inlineStr">
        <is>
          <t xml:space="preserve">a0710</t>
        </is>
      </c>
      <c r="B711" s="0" t="inlineStr">
        <is>
          <t xml:space="preserve">software</t>
        </is>
      </c>
      <c r="C711" s="0" t="inlineStr">
        <is>
          <t xml:space="preserve">emea</t>
        </is>
      </c>
      <c r="D711" s="0" t="inlineStr">
        <is>
          <t xml:space="preserve">smb</t>
        </is>
      </c>
      <c r="E711" s="4">
        <v>55</v>
      </c>
      <c r="F711" s="0" t="inlineStr">
        <is>
          <t xml:space="preserve">Evergreen Foods Group</t>
        </is>
      </c>
    </row>
    <row r="712">
      <c r="A712" s="0" t="inlineStr">
        <is>
          <t xml:space="preserve">a0711</t>
        </is>
      </c>
      <c r="B712" s="0" t="inlineStr">
        <is>
          <t xml:space="preserve">retail</t>
        </is>
      </c>
      <c r="C712" s="0" t="inlineStr">
        <is>
          <t xml:space="preserve">apac</t>
        </is>
      </c>
      <c r="D712" s="0" t="inlineStr">
        <is>
          <t xml:space="preserve">mid_market</t>
        </is>
      </c>
      <c r="E712" s="4">
        <v>391</v>
      </c>
      <c r="F712" s="0" t="inlineStr">
        <is>
          <t xml:space="preserve">Sable Networks</t>
        </is>
      </c>
    </row>
    <row r="713">
      <c r="A713" s="0" t="inlineStr">
        <is>
          <t xml:space="preserve">a0712</t>
        </is>
      </c>
      <c r="B713" s="0" t="inlineStr">
        <is>
          <t xml:space="preserve">retail</t>
        </is>
      </c>
      <c r="C713" s="0" t="inlineStr">
        <is>
          <t xml:space="preserve">apac</t>
        </is>
      </c>
      <c r="D713" s="0" t="inlineStr">
        <is>
          <t xml:space="preserve">mid_market</t>
        </is>
      </c>
      <c r="E713" s="4">
        <v>325</v>
      </c>
      <c r="F713" s="0" t="inlineStr">
        <is>
          <t xml:space="preserve">Tidewater Biotech Co</t>
        </is>
      </c>
    </row>
    <row r="714">
      <c r="A714" s="0" t="inlineStr">
        <is>
          <t xml:space="preserve">a0713</t>
        </is>
      </c>
      <c r="B714" s="0" t="inlineStr">
        <is>
          <t xml:space="preserve">logistics</t>
        </is>
      </c>
      <c r="C714" s="0" t="inlineStr">
        <is>
          <t xml:space="preserve">apac</t>
        </is>
      </c>
      <c r="D714" s="0" t="inlineStr">
        <is>
          <t xml:space="preserve">mid_market</t>
        </is>
      </c>
      <c r="E714" s="4">
        <v>474</v>
      </c>
      <c r="F714" s="0" t="inlineStr">
        <is>
          <t xml:space="preserve">Tidewater Learning Holdings</t>
        </is>
      </c>
    </row>
    <row r="715">
      <c r="A715" s="0" t="inlineStr">
        <is>
          <t xml:space="preserve">a0714</t>
        </is>
      </c>
      <c r="B715" s="0" t="inlineStr">
        <is>
          <t xml:space="preserve">software</t>
        </is>
      </c>
      <c r="C715" s="0" t="inlineStr">
        <is>
          <t xml:space="preserve">apac</t>
        </is>
      </c>
      <c r="D715" s="0" t="inlineStr">
        <is>
          <t xml:space="preserve">mid_market</t>
        </is>
      </c>
      <c r="E715" s="4">
        <v>403</v>
      </c>
      <c r="F715" s="0" t="inlineStr">
        <is>
          <t xml:space="preserve">Meridian Energy</t>
        </is>
      </c>
    </row>
    <row r="716">
      <c r="A716" s="0" t="inlineStr">
        <is>
          <t xml:space="preserve">a0715</t>
        </is>
      </c>
      <c r="B716" s="0" t="inlineStr">
        <is>
          <t xml:space="preserve">public_sector</t>
        </is>
      </c>
      <c r="C716" s="0" t="inlineStr">
        <is>
          <t xml:space="preserve">apac</t>
        </is>
      </c>
      <c r="D716" s="0" t="inlineStr">
        <is>
          <t xml:space="preserve">smb</t>
        </is>
      </c>
      <c r="E716" s="4">
        <v>105</v>
      </c>
      <c r="F716" s="0" t="inlineStr">
        <is>
          <t xml:space="preserve">Horizon Capital Partners</t>
        </is>
      </c>
    </row>
    <row r="717">
      <c r="A717" s="0" t="inlineStr">
        <is>
          <t xml:space="preserve">a0716</t>
        </is>
      </c>
      <c r="B717" s="0" t="inlineStr">
        <is>
          <t xml:space="preserve">financial_services</t>
        </is>
      </c>
      <c r="C717" s="0" t="inlineStr">
        <is>
          <t xml:space="preserve">apac</t>
        </is>
      </c>
      <c r="D717" s="0" t="inlineStr">
        <is>
          <t xml:space="preserve">mid_market</t>
        </is>
      </c>
      <c r="E717" s="4">
        <v>803</v>
      </c>
      <c r="F717" s="0" t="inlineStr">
        <is>
          <t xml:space="preserve">Brightwater Software Holdings</t>
        </is>
      </c>
    </row>
    <row r="718">
      <c r="A718" s="0" t="inlineStr">
        <is>
          <t xml:space="preserve">a0717</t>
        </is>
      </c>
      <c r="B718" s="0" t="inlineStr">
        <is>
          <t xml:space="preserve">retail</t>
        </is>
      </c>
      <c r="C718" s="0" t="inlineStr">
        <is>
          <t xml:space="preserve">apac</t>
        </is>
      </c>
      <c r="D718" s="0" t="inlineStr">
        <is>
          <t xml:space="preserve">smb</t>
        </is>
      </c>
      <c r="E718" s="4">
        <v>65</v>
      </c>
      <c r="F718" s="0" t="inlineStr">
        <is>
          <t xml:space="preserve">Summit Robotics</t>
        </is>
      </c>
    </row>
    <row r="719">
      <c r="A719" s="0" t="inlineStr">
        <is>
          <t xml:space="preserve">a0718</t>
        </is>
      </c>
      <c r="B719" s="0" t="inlineStr">
        <is>
          <t xml:space="preserve">media</t>
        </is>
      </c>
      <c r="C719" s="0" t="inlineStr">
        <is>
          <t xml:space="preserve">apac</t>
        </is>
      </c>
      <c r="D719" s="0" t="inlineStr">
        <is>
          <t xml:space="preserve">enterprise</t>
        </is>
      </c>
      <c r="E719" s="4">
        <v>4311</v>
      </c>
      <c r="F719" s="0" t="inlineStr">
        <is>
          <t xml:space="preserve">Meridian Insurance AG</t>
        </is>
      </c>
    </row>
    <row r="720">
      <c r="A720" s="0" t="inlineStr">
        <is>
          <t xml:space="preserve">a0719</t>
        </is>
      </c>
      <c r="B720" s="0" t="inlineStr">
        <is>
          <t xml:space="preserve">retail</t>
        </is>
      </c>
      <c r="C720" s="0" t="inlineStr">
        <is>
          <t xml:space="preserve">apac</t>
        </is>
      </c>
      <c r="D720" s="0" t="inlineStr">
        <is>
          <t xml:space="preserve">smb</t>
        </is>
      </c>
      <c r="E720" s="4">
        <v>31</v>
      </c>
      <c r="F720" s="0" t="inlineStr">
        <is>
          <t xml:space="preserve">Nimbus Insurance Inc</t>
        </is>
      </c>
    </row>
    <row r="721">
      <c r="A721" s="0" t="inlineStr">
        <is>
          <t xml:space="preserve">a0720</t>
        </is>
      </c>
      <c r="B721" s="0" t="inlineStr">
        <is>
          <t xml:space="preserve">logistics</t>
        </is>
      </c>
      <c r="C721" s="0" t="inlineStr">
        <is>
          <t xml:space="preserve">apac</t>
        </is>
      </c>
      <c r="D721" s="0" t="inlineStr">
        <is>
          <t xml:space="preserve">smb</t>
        </is>
      </c>
      <c r="E721" s="4">
        <v>48</v>
      </c>
      <c r="F721" s="0" t="inlineStr">
        <is>
          <t xml:space="preserve">Blue Harbor Labs Ltd</t>
        </is>
      </c>
    </row>
    <row r="722">
      <c r="A722" s="0" t="inlineStr">
        <is>
          <t xml:space="preserve">a0721</t>
        </is>
      </c>
      <c r="B722" s="0" t="inlineStr">
        <is>
          <t xml:space="preserve">financial_services</t>
        </is>
      </c>
      <c r="C722" s="0" t="inlineStr">
        <is>
          <t xml:space="preserve">amer_east</t>
        </is>
      </c>
      <c r="D722" s="0" t="inlineStr">
        <is>
          <t xml:space="preserve">smb</t>
        </is>
      </c>
      <c r="E722" s="4">
        <v>84</v>
      </c>
      <c r="F722" s="0" t="inlineStr">
        <is>
          <t xml:space="preserve">Horizon Insurance Holdings</t>
        </is>
      </c>
    </row>
    <row r="723">
      <c r="A723" s="0" t="inlineStr">
        <is>
          <t xml:space="preserve">a0722</t>
        </is>
      </c>
      <c r="B723" s="0" t="inlineStr">
        <is>
          <t xml:space="preserve">manufacturing</t>
        </is>
      </c>
      <c r="C723" s="0" t="inlineStr">
        <is>
          <t xml:space="preserve">amer_east</t>
        </is>
      </c>
      <c r="D723" s="0" t="inlineStr">
        <is>
          <t xml:space="preserve">smb</t>
        </is>
      </c>
      <c r="E723" s="4">
        <v>47</v>
      </c>
      <c r="F723" s="0" t="inlineStr">
        <is>
          <t xml:space="preserve">Falcon Materials AG</t>
        </is>
      </c>
    </row>
    <row r="724">
      <c r="A724" s="0" t="inlineStr">
        <is>
          <t xml:space="preserve">a0723</t>
        </is>
      </c>
      <c r="B724" s="0" t="inlineStr">
        <is>
          <t xml:space="preserve">software</t>
        </is>
      </c>
      <c r="C724" s="0" t="inlineStr">
        <is>
          <t xml:space="preserve">amer_east</t>
        </is>
      </c>
      <c r="D724" s="0" t="inlineStr">
        <is>
          <t xml:space="preserve">smb</t>
        </is>
      </c>
      <c r="E724" s="4">
        <v>21</v>
      </c>
      <c r="F724" s="0" t="inlineStr">
        <is>
          <t xml:space="preserve">Pioneer Retail Partners</t>
        </is>
      </c>
    </row>
    <row r="725">
      <c r="A725" s="0" t="inlineStr">
        <is>
          <t xml:space="preserve">a0724</t>
        </is>
      </c>
      <c r="B725" s="0" t="inlineStr">
        <is>
          <t xml:space="preserve">manufacturing</t>
        </is>
      </c>
      <c r="C725" s="0" t="inlineStr">
        <is>
          <t xml:space="preserve">amer_east</t>
        </is>
      </c>
      <c r="D725" s="0" t="inlineStr">
        <is>
          <t xml:space="preserve">mid_market</t>
        </is>
      </c>
      <c r="E725" s="4">
        <v>314</v>
      </c>
      <c r="F725" s="0" t="inlineStr">
        <is>
          <t xml:space="preserve">Horizon Retail Inc</t>
        </is>
      </c>
    </row>
    <row r="726">
      <c r="A726" s="0" t="inlineStr">
        <is>
          <t xml:space="preserve">a0725</t>
        </is>
      </c>
      <c r="B726" s="0" t="inlineStr">
        <is>
          <t xml:space="preserve">retail</t>
        </is>
      </c>
      <c r="C726" s="0" t="inlineStr">
        <is>
          <t xml:space="preserve">amer_east</t>
        </is>
      </c>
      <c r="D726" s="0" t="inlineStr">
        <is>
          <t xml:space="preserve">smb</t>
        </is>
      </c>
      <c r="E726" s="4">
        <v>30</v>
      </c>
      <c r="F726" s="0" t="inlineStr">
        <is>
          <t xml:space="preserve">Silverline Energy</t>
        </is>
      </c>
    </row>
    <row r="727">
      <c r="A727" s="0" t="inlineStr">
        <is>
          <t xml:space="preserve">a0726</t>
        </is>
      </c>
      <c r="B727" s="0" t="inlineStr">
        <is>
          <t xml:space="preserve">software</t>
        </is>
      </c>
      <c r="C727" s="0" t="inlineStr">
        <is>
          <t xml:space="preserve">amer_east</t>
        </is>
      </c>
      <c r="D727" s="0" t="inlineStr">
        <is>
          <t xml:space="preserve">enterprise</t>
        </is>
      </c>
      <c r="E727" s="4">
        <v>5969</v>
      </c>
      <c r="F727" s="0" t="inlineStr">
        <is>
          <t xml:space="preserve">Pioneer Energy Group</t>
        </is>
      </c>
    </row>
    <row r="728">
      <c r="A728" s="0" t="inlineStr">
        <is>
          <t xml:space="preserve">a0727</t>
        </is>
      </c>
      <c r="B728" s="0" t="inlineStr">
        <is>
          <t xml:space="preserve">financial_services</t>
        </is>
      </c>
      <c r="C728" s="0" t="inlineStr">
        <is>
          <t xml:space="preserve">amer_east</t>
        </is>
      </c>
      <c r="D728" s="0" t="inlineStr">
        <is>
          <t xml:space="preserve">mid_market</t>
        </is>
      </c>
      <c r="E728" s="4">
        <v>474</v>
      </c>
      <c r="F728" s="0" t="inlineStr">
        <is>
          <t xml:space="preserve">Orchard Foods Group</t>
        </is>
      </c>
    </row>
    <row r="729">
      <c r="A729" s="0" t="inlineStr">
        <is>
          <t xml:space="preserve">a0728</t>
        </is>
      </c>
      <c r="B729" s="0" t="inlineStr">
        <is>
          <t xml:space="preserve">public_sector</t>
        </is>
      </c>
      <c r="C729" s="0" t="inlineStr">
        <is>
          <t xml:space="preserve">amer_east</t>
        </is>
      </c>
      <c r="D729" s="0" t="inlineStr">
        <is>
          <t xml:space="preserve">smb</t>
        </is>
      </c>
      <c r="E729" s="4">
        <v>48</v>
      </c>
      <c r="F729" s="0" t="inlineStr">
        <is>
          <t xml:space="preserve">Umber Retail Inc</t>
        </is>
      </c>
    </row>
    <row r="730">
      <c r="A730" s="0" t="inlineStr">
        <is>
          <t xml:space="preserve">a0729</t>
        </is>
      </c>
      <c r="B730" s="0" t="inlineStr">
        <is>
          <t xml:space="preserve">software</t>
        </is>
      </c>
      <c r="C730" s="0" t="inlineStr">
        <is>
          <t xml:space="preserve">amer_east</t>
        </is>
      </c>
      <c r="D730" s="0" t="inlineStr">
        <is>
          <t xml:space="preserve">mid_market</t>
        </is>
      </c>
      <c r="E730" s="4">
        <v>1036</v>
      </c>
      <c r="F730" s="0" t="inlineStr">
        <is>
          <t xml:space="preserve">Vertex Materials Ltd</t>
        </is>
      </c>
    </row>
    <row r="731">
      <c r="A731" s="0" t="inlineStr">
        <is>
          <t xml:space="preserve">a0730</t>
        </is>
      </c>
      <c r="B731" s="0" t="inlineStr">
        <is>
          <t xml:space="preserve">software</t>
        </is>
      </c>
      <c r="C731" s="0" t="inlineStr">
        <is>
          <t xml:space="preserve">amer_east</t>
        </is>
      </c>
      <c r="D731" s="0" t="inlineStr">
        <is>
          <t xml:space="preserve">smb</t>
        </is>
      </c>
      <c r="E731" s="4">
        <v>229</v>
      </c>
      <c r="F731" s="0" t="inlineStr">
        <is>
          <t xml:space="preserve">Aurora Retail Ltd</t>
        </is>
      </c>
    </row>
    <row r="732">
      <c r="A732" s="0" t="inlineStr">
        <is>
          <t xml:space="preserve">a0731</t>
        </is>
      </c>
      <c r="B732" s="0" t="inlineStr">
        <is>
          <t xml:space="preserve">manufacturing</t>
        </is>
      </c>
      <c r="C732" s="0" t="inlineStr">
        <is>
          <t xml:space="preserve">amer_east</t>
        </is>
      </c>
      <c r="D732" s="0" t="inlineStr">
        <is>
          <t xml:space="preserve">smb</t>
        </is>
      </c>
      <c r="E732" s="4">
        <v>110</v>
      </c>
      <c r="F732" s="0" t="inlineStr">
        <is>
          <t xml:space="preserve">Silverline Energy Co</t>
        </is>
      </c>
    </row>
    <row r="733">
      <c r="A733" s="0" t="inlineStr">
        <is>
          <t xml:space="preserve">a0732</t>
        </is>
      </c>
      <c r="B733" s="0" t="inlineStr">
        <is>
          <t xml:space="preserve">education</t>
        </is>
      </c>
      <c r="C733" s="0" t="inlineStr">
        <is>
          <t xml:space="preserve">amer_east</t>
        </is>
      </c>
      <c r="D733" s="0" t="inlineStr">
        <is>
          <t xml:space="preserve">smb</t>
        </is>
      </c>
      <c r="E733" s="4">
        <v>37</v>
      </c>
      <c r="F733" s="0" t="inlineStr">
        <is>
          <t xml:space="preserve">Ironbridge Insurance AG</t>
        </is>
      </c>
    </row>
    <row r="734">
      <c r="A734" s="0" t="inlineStr">
        <is>
          <t xml:space="preserve">a0733</t>
        </is>
      </c>
      <c r="B734" s="0" t="inlineStr">
        <is>
          <t xml:space="preserve">software</t>
        </is>
      </c>
      <c r="C734" s="0" t="inlineStr">
        <is>
          <t xml:space="preserve">amer_east</t>
        </is>
      </c>
      <c r="D734" s="0" t="inlineStr">
        <is>
          <t xml:space="preserve">smb</t>
        </is>
      </c>
      <c r="E734" s="4">
        <v>65</v>
      </c>
      <c r="F734" s="0" t="inlineStr">
        <is>
          <t xml:space="preserve">Keystone Labs Partners</t>
        </is>
      </c>
    </row>
    <row r="735">
      <c r="A735" s="0" t="inlineStr">
        <is>
          <t xml:space="preserve">a0734</t>
        </is>
      </c>
      <c r="B735" s="0" t="inlineStr">
        <is>
          <t xml:space="preserve">software</t>
        </is>
      </c>
      <c r="C735" s="0" t="inlineStr">
        <is>
          <t xml:space="preserve">amer_east</t>
        </is>
      </c>
      <c r="D735" s="0" t="inlineStr">
        <is>
          <t xml:space="preserve">mid_market</t>
        </is>
      </c>
      <c r="E735" s="4">
        <v>638</v>
      </c>
      <c r="F735" s="0" t="inlineStr">
        <is>
          <t xml:space="preserve">Northwind Logistics Inc</t>
        </is>
      </c>
    </row>
    <row r="736">
      <c r="A736" s="0" t="inlineStr">
        <is>
          <t xml:space="preserve">a0735</t>
        </is>
      </c>
      <c r="B736" s="0" t="inlineStr">
        <is>
          <t xml:space="preserve">energy</t>
        </is>
      </c>
      <c r="C736" s="0" t="inlineStr">
        <is>
          <t xml:space="preserve">amer_east</t>
        </is>
      </c>
      <c r="D736" s="0" t="inlineStr">
        <is>
          <t xml:space="preserve">mid_market</t>
        </is>
      </c>
      <c r="E736" s="4">
        <v>364</v>
      </c>
      <c r="F736" s="0" t="inlineStr">
        <is>
          <t xml:space="preserve">Ironbridge Energy Group</t>
        </is>
      </c>
    </row>
    <row r="737">
      <c r="A737" s="0" t="inlineStr">
        <is>
          <t xml:space="preserve">a0736</t>
        </is>
      </c>
      <c r="B737" s="0" t="inlineStr">
        <is>
          <t xml:space="preserve">education</t>
        </is>
      </c>
      <c r="C737" s="0" t="inlineStr">
        <is>
          <t xml:space="preserve">amer_east</t>
        </is>
      </c>
      <c r="D737" s="0" t="inlineStr">
        <is>
          <t xml:space="preserve">smb</t>
        </is>
      </c>
      <c r="E737" s="4">
        <v>29</v>
      </c>
      <c r="F737" s="0" t="inlineStr">
        <is>
          <t xml:space="preserve">Aurora Mobility Inc</t>
        </is>
      </c>
    </row>
    <row r="738">
      <c r="A738" s="0" t="inlineStr">
        <is>
          <t xml:space="preserve">a0737</t>
        </is>
      </c>
      <c r="B738" s="0" t="inlineStr">
        <is>
          <t xml:space="preserve">financial_services</t>
        </is>
      </c>
      <c r="C738" s="0" t="inlineStr">
        <is>
          <t xml:space="preserve">amer_east</t>
        </is>
      </c>
      <c r="D738" s="0" t="inlineStr">
        <is>
          <t xml:space="preserve">mid_market</t>
        </is>
      </c>
      <c r="E738" s="4">
        <v>380</v>
      </c>
      <c r="F738" s="0" t="inlineStr">
        <is>
          <t xml:space="preserve">Granite Labs SA</t>
        </is>
      </c>
    </row>
    <row r="739">
      <c r="A739" s="0" t="inlineStr">
        <is>
          <t xml:space="preserve">a0738</t>
        </is>
      </c>
      <c r="B739" s="0" t="inlineStr">
        <is>
          <t xml:space="preserve">public_sector</t>
        </is>
      </c>
      <c r="C739" s="0" t="inlineStr">
        <is>
          <t xml:space="preserve">amer_east</t>
        </is>
      </c>
      <c r="D739" s="0" t="inlineStr">
        <is>
          <t xml:space="preserve">mid_market</t>
        </is>
      </c>
      <c r="E739" s="4">
        <v>275</v>
      </c>
      <c r="F739" s="0" t="inlineStr">
        <is>
          <t xml:space="preserve">Falcon Manufacturing</t>
        </is>
      </c>
    </row>
    <row r="740">
      <c r="A740" s="0" t="inlineStr">
        <is>
          <t xml:space="preserve">a0739</t>
        </is>
      </c>
      <c r="B740" s="0" t="inlineStr">
        <is>
          <t xml:space="preserve">logistics</t>
        </is>
      </c>
      <c r="C740" s="0" t="inlineStr">
        <is>
          <t xml:space="preserve">amer_east</t>
        </is>
      </c>
      <c r="D740" s="0" t="inlineStr">
        <is>
          <t xml:space="preserve">smb</t>
        </is>
      </c>
      <c r="E740" s="4">
        <v>20</v>
      </c>
      <c r="F740" s="0" t="inlineStr">
        <is>
          <t xml:space="preserve">Silverline Robotics AG</t>
        </is>
      </c>
    </row>
    <row r="741">
      <c r="A741" s="0" t="inlineStr">
        <is>
          <t xml:space="preserve">a0740</t>
        </is>
      </c>
      <c r="B741" s="0" t="inlineStr">
        <is>
          <t xml:space="preserve">manufacturing</t>
        </is>
      </c>
      <c r="C741" s="0" t="inlineStr">
        <is>
          <t xml:space="preserve">amer_east</t>
        </is>
      </c>
      <c r="D741" s="0" t="inlineStr">
        <is>
          <t xml:space="preserve">smb</t>
        </is>
      </c>
      <c r="E741" s="4">
        <v>20</v>
      </c>
      <c r="F741" s="0" t="inlineStr">
        <is>
          <t xml:space="preserve">Harbor Foods SA</t>
        </is>
      </c>
    </row>
    <row r="742">
      <c r="A742" s="0" t="inlineStr">
        <is>
          <t xml:space="preserve">a0741</t>
        </is>
      </c>
      <c r="B742" s="0" t="inlineStr">
        <is>
          <t xml:space="preserve">retail</t>
        </is>
      </c>
      <c r="C742" s="0" t="inlineStr">
        <is>
          <t xml:space="preserve">amer_east</t>
        </is>
      </c>
      <c r="D742" s="0" t="inlineStr">
        <is>
          <t xml:space="preserve">mid_market</t>
        </is>
      </c>
      <c r="E742" s="4">
        <v>257</v>
      </c>
      <c r="F742" s="0" t="inlineStr">
        <is>
          <t xml:space="preserve">Ironbridge Manufacturing Inc</t>
        </is>
      </c>
    </row>
    <row r="743">
      <c r="A743" s="0" t="inlineStr">
        <is>
          <t xml:space="preserve">a0742</t>
        </is>
      </c>
      <c r="B743" s="0" t="inlineStr">
        <is>
          <t xml:space="preserve">logistics</t>
        </is>
      </c>
      <c r="C743" s="0" t="inlineStr">
        <is>
          <t xml:space="preserve">amer_east</t>
        </is>
      </c>
      <c r="D743" s="0" t="inlineStr">
        <is>
          <t xml:space="preserve">mid_market</t>
        </is>
      </c>
      <c r="E743" s="4">
        <v>307</v>
      </c>
      <c r="F743" s="0" t="inlineStr">
        <is>
          <t xml:space="preserve">Cobalt Manufacturing</t>
        </is>
      </c>
    </row>
    <row r="744">
      <c r="A744" s="0" t="inlineStr">
        <is>
          <t xml:space="preserve">a0743</t>
        </is>
      </c>
      <c r="B744" s="0" t="inlineStr">
        <is>
          <t xml:space="preserve">manufacturing</t>
        </is>
      </c>
      <c r="C744" s="0" t="inlineStr">
        <is>
          <t xml:space="preserve">amer_east</t>
        </is>
      </c>
      <c r="D744" s="0" t="inlineStr">
        <is>
          <t xml:space="preserve">enterprise</t>
        </is>
      </c>
      <c r="E744" s="4">
        <v>7879</v>
      </c>
      <c r="F744" s="0" t="inlineStr">
        <is>
          <t xml:space="preserve">Lakeside Financial Co</t>
        </is>
      </c>
    </row>
    <row r="745">
      <c r="A745" s="0" t="inlineStr">
        <is>
          <t xml:space="preserve">a0744</t>
        </is>
      </c>
      <c r="B745" s="0" t="inlineStr">
        <is>
          <t xml:space="preserve">education</t>
        </is>
      </c>
      <c r="C745" s="0" t="inlineStr">
        <is>
          <t xml:space="preserve">amer_east</t>
        </is>
      </c>
      <c r="D745" s="0" t="inlineStr">
        <is>
          <t xml:space="preserve">smb</t>
        </is>
      </c>
      <c r="E745" s="4">
        <v>25</v>
      </c>
      <c r="F745" s="0" t="inlineStr">
        <is>
          <t xml:space="preserve">Tidewater Analytics</t>
        </is>
      </c>
    </row>
    <row r="746">
      <c r="A746" s="0" t="inlineStr">
        <is>
          <t xml:space="preserve">a0745</t>
        </is>
      </c>
      <c r="B746" s="0" t="inlineStr">
        <is>
          <t xml:space="preserve">manufacturing</t>
        </is>
      </c>
      <c r="C746" s="0" t="inlineStr">
        <is>
          <t xml:space="preserve">amer_east</t>
        </is>
      </c>
      <c r="D746" s="0" t="inlineStr">
        <is>
          <t xml:space="preserve">mid_market</t>
        </is>
      </c>
      <c r="E746" s="4">
        <v>250</v>
      </c>
      <c r="F746" s="0" t="inlineStr">
        <is>
          <t xml:space="preserve">Evergreen Software SA</t>
        </is>
      </c>
    </row>
    <row r="747">
      <c r="A747" s="0" t="inlineStr">
        <is>
          <t xml:space="preserve">a0746</t>
        </is>
      </c>
      <c r="B747" s="0" t="inlineStr">
        <is>
          <t xml:space="preserve">financial_services</t>
        </is>
      </c>
      <c r="C747" s="0" t="inlineStr">
        <is>
          <t xml:space="preserve">amer_east</t>
        </is>
      </c>
      <c r="D747" s="0" t="inlineStr">
        <is>
          <t xml:space="preserve">enterprise</t>
        </is>
      </c>
      <c r="E747" s="4">
        <v>3738</v>
      </c>
      <c r="F747" s="0" t="inlineStr">
        <is>
          <t xml:space="preserve">Horizon Robotics AG</t>
        </is>
      </c>
    </row>
    <row r="748">
      <c r="A748" s="0" t="inlineStr">
        <is>
          <t xml:space="preserve">a0747</t>
        </is>
      </c>
      <c r="B748" s="0" t="inlineStr">
        <is>
          <t xml:space="preserve">healthcare</t>
        </is>
      </c>
      <c r="C748" s="0" t="inlineStr">
        <is>
          <t xml:space="preserve">amer_east</t>
        </is>
      </c>
      <c r="D748" s="0" t="inlineStr">
        <is>
          <t xml:space="preserve">mid_market</t>
        </is>
      </c>
      <c r="E748" s="4">
        <v>880</v>
      </c>
      <c r="F748" s="0" t="inlineStr">
        <is>
          <t xml:space="preserve">Nimbus Networks Ltd</t>
        </is>
      </c>
    </row>
    <row r="749">
      <c r="A749" s="0" t="inlineStr">
        <is>
          <t xml:space="preserve">a0748</t>
        </is>
      </c>
      <c r="B749" s="0" t="inlineStr">
        <is>
          <t xml:space="preserve">media</t>
        </is>
      </c>
      <c r="C749" s="0" t="inlineStr">
        <is>
          <t xml:space="preserve">amer_east</t>
        </is>
      </c>
      <c r="D749" s="0" t="inlineStr">
        <is>
          <t xml:space="preserve">smb</t>
        </is>
      </c>
      <c r="E749" s="4">
        <v>20</v>
      </c>
      <c r="F749" s="0" t="inlineStr">
        <is>
          <t xml:space="preserve">Lakeside Health AG</t>
        </is>
      </c>
    </row>
    <row r="750">
      <c r="A750" s="0" t="inlineStr">
        <is>
          <t xml:space="preserve">a0749</t>
        </is>
      </c>
      <c r="B750" s="0" t="inlineStr">
        <is>
          <t xml:space="preserve">financial_services</t>
        </is>
      </c>
      <c r="C750" s="0" t="inlineStr">
        <is>
          <t xml:space="preserve">amer_east</t>
        </is>
      </c>
      <c r="D750" s="0" t="inlineStr">
        <is>
          <t xml:space="preserve">enterprise</t>
        </is>
      </c>
      <c r="E750" s="4">
        <v>3234</v>
      </c>
      <c r="F750" s="0" t="inlineStr">
        <is>
          <t xml:space="preserve">Cascade Manufacturing Co</t>
        </is>
      </c>
    </row>
    <row r="751">
      <c r="A751" s="0" t="inlineStr">
        <is>
          <t xml:space="preserve">a0750</t>
        </is>
      </c>
      <c r="B751" s="0" t="inlineStr">
        <is>
          <t xml:space="preserve">software</t>
        </is>
      </c>
      <c r="C751" s="0" t="inlineStr">
        <is>
          <t xml:space="preserve">amer_east</t>
        </is>
      </c>
      <c r="D751" s="0" t="inlineStr">
        <is>
          <t xml:space="preserve">mid_market</t>
        </is>
      </c>
      <c r="E751" s="4">
        <v>1622</v>
      </c>
      <c r="F751" s="0" t="inlineStr">
        <is>
          <t xml:space="preserve">Tidewater Labs Group</t>
        </is>
      </c>
    </row>
    <row r="752">
      <c r="A752" s="0" t="inlineStr">
        <is>
          <t xml:space="preserve">a0751</t>
        </is>
      </c>
      <c r="B752" s="0" t="inlineStr">
        <is>
          <t xml:space="preserve">logistics</t>
        </is>
      </c>
      <c r="C752" s="0" t="inlineStr">
        <is>
          <t xml:space="preserve">amer_east</t>
        </is>
      </c>
      <c r="D752" s="0" t="inlineStr">
        <is>
          <t xml:space="preserve">smb</t>
        </is>
      </c>
      <c r="E752" s="4">
        <v>32</v>
      </c>
      <c r="F752" s="0" t="inlineStr">
        <is>
          <t xml:space="preserve">Atlas Biotech Holdings</t>
        </is>
      </c>
    </row>
    <row r="753">
      <c r="A753" s="0" t="inlineStr">
        <is>
          <t xml:space="preserve">a0752</t>
        </is>
      </c>
      <c r="B753" s="0" t="inlineStr">
        <is>
          <t xml:space="preserve">media</t>
        </is>
      </c>
      <c r="C753" s="0" t="inlineStr">
        <is>
          <t xml:space="preserve">amer_west</t>
        </is>
      </c>
      <c r="D753" s="0" t="inlineStr">
        <is>
          <t xml:space="preserve">mid_market</t>
        </is>
      </c>
      <c r="E753" s="4">
        <v>617</v>
      </c>
      <c r="F753" s="0" t="inlineStr">
        <is>
          <t xml:space="preserve">Sable Analytics Group</t>
        </is>
      </c>
    </row>
    <row r="754">
      <c r="A754" s="0" t="inlineStr">
        <is>
          <t xml:space="preserve">a0753</t>
        </is>
      </c>
      <c r="B754" s="0" t="inlineStr">
        <is>
          <t xml:space="preserve">education</t>
        </is>
      </c>
      <c r="C754" s="0" t="inlineStr">
        <is>
          <t xml:space="preserve">amer_west</t>
        </is>
      </c>
      <c r="D754" s="0" t="inlineStr">
        <is>
          <t xml:space="preserve">mid_market</t>
        </is>
      </c>
      <c r="E754" s="4">
        <v>461</v>
      </c>
      <c r="F754" s="0" t="inlineStr">
        <is>
          <t xml:space="preserve">Silverline Retail AG</t>
        </is>
      </c>
    </row>
    <row r="755">
      <c r="A755" s="0" t="inlineStr">
        <is>
          <t xml:space="preserve">a0754</t>
        </is>
      </c>
      <c r="B755" s="0" t="inlineStr">
        <is>
          <t xml:space="preserve">financial_services</t>
        </is>
      </c>
      <c r="C755" s="0" t="inlineStr">
        <is>
          <t xml:space="preserve">amer_west</t>
        </is>
      </c>
      <c r="D755" s="0" t="inlineStr">
        <is>
          <t xml:space="preserve">mid_market</t>
        </is>
      </c>
      <c r="E755" s="4">
        <v>254</v>
      </c>
      <c r="F755" s="0" t="inlineStr">
        <is>
          <t xml:space="preserve">Harbor Learning Ltd</t>
        </is>
      </c>
    </row>
    <row r="756">
      <c r="A756" s="0" t="inlineStr">
        <is>
          <t xml:space="preserve">a0755</t>
        </is>
      </c>
      <c r="B756" s="0" t="inlineStr">
        <is>
          <t xml:space="preserve">education</t>
        </is>
      </c>
      <c r="C756" s="0" t="inlineStr">
        <is>
          <t xml:space="preserve">amer_west</t>
        </is>
      </c>
      <c r="D756" s="0" t="inlineStr">
        <is>
          <t xml:space="preserve">smb</t>
        </is>
      </c>
      <c r="E756" s="4">
        <v>34</v>
      </c>
      <c r="F756" s="0" t="inlineStr">
        <is>
          <t xml:space="preserve">Vertex Capital Holdings</t>
        </is>
      </c>
    </row>
    <row r="757">
      <c r="A757" s="0" t="inlineStr">
        <is>
          <t xml:space="preserve">a0756</t>
        </is>
      </c>
      <c r="B757" s="0" t="inlineStr">
        <is>
          <t xml:space="preserve">financial_services</t>
        </is>
      </c>
      <c r="C757" s="0" t="inlineStr">
        <is>
          <t xml:space="preserve">amer_west</t>
        </is>
      </c>
      <c r="D757" s="0" t="inlineStr">
        <is>
          <t xml:space="preserve">smb</t>
        </is>
      </c>
      <c r="E757" s="4">
        <v>33</v>
      </c>
      <c r="F757" s="0" t="inlineStr">
        <is>
          <t xml:space="preserve">Blue Harbor Capital Co</t>
        </is>
      </c>
    </row>
    <row r="758">
      <c r="A758" s="0" t="inlineStr">
        <is>
          <t xml:space="preserve">a0757</t>
        </is>
      </c>
      <c r="B758" s="0" t="inlineStr">
        <is>
          <t xml:space="preserve">logistics</t>
        </is>
      </c>
      <c r="C758" s="0" t="inlineStr">
        <is>
          <t xml:space="preserve">amer_west</t>
        </is>
      </c>
      <c r="D758" s="0" t="inlineStr">
        <is>
          <t xml:space="preserve">enterprise</t>
        </is>
      </c>
      <c r="E758" s="4">
        <v>2935</v>
      </c>
      <c r="F758" s="0" t="inlineStr">
        <is>
          <t xml:space="preserve">Evergreen Materials</t>
        </is>
      </c>
    </row>
    <row r="759">
      <c r="A759" s="0" t="inlineStr">
        <is>
          <t xml:space="preserve">a0758</t>
        </is>
      </c>
      <c r="B759" s="0" t="inlineStr">
        <is>
          <t xml:space="preserve">financial_services</t>
        </is>
      </c>
      <c r="C759" s="0" t="inlineStr">
        <is>
          <t xml:space="preserve">amer_west</t>
        </is>
      </c>
      <c r="D759" s="0" t="inlineStr">
        <is>
          <t xml:space="preserve">mid_market</t>
        </is>
      </c>
      <c r="E759" s="4">
        <v>405</v>
      </c>
      <c r="F759" s="0" t="inlineStr">
        <is>
          <t xml:space="preserve">Meridian Foods</t>
        </is>
      </c>
    </row>
    <row r="760">
      <c r="A760" s="0" t="inlineStr">
        <is>
          <t xml:space="preserve">a0759</t>
        </is>
      </c>
      <c r="B760" s="0" t="inlineStr">
        <is>
          <t xml:space="preserve">financial_services</t>
        </is>
      </c>
      <c r="C760" s="0" t="inlineStr">
        <is>
          <t xml:space="preserve">amer_west</t>
        </is>
      </c>
      <c r="D760" s="0" t="inlineStr">
        <is>
          <t xml:space="preserve">smb</t>
        </is>
      </c>
      <c r="E760" s="4">
        <v>62</v>
      </c>
      <c r="F760" s="0" t="inlineStr">
        <is>
          <t xml:space="preserve">Sable Networks SA</t>
        </is>
      </c>
    </row>
    <row r="761">
      <c r="A761" s="0" t="inlineStr">
        <is>
          <t xml:space="preserve">a0760</t>
        </is>
      </c>
      <c r="B761" s="0" t="inlineStr">
        <is>
          <t xml:space="preserve">logistics</t>
        </is>
      </c>
      <c r="C761" s="0" t="inlineStr">
        <is>
          <t xml:space="preserve">amer_west</t>
        </is>
      </c>
      <c r="D761" s="0" t="inlineStr">
        <is>
          <t xml:space="preserve">mid_market</t>
        </is>
      </c>
      <c r="E761" s="4">
        <v>298</v>
      </c>
      <c r="F761" s="0" t="inlineStr">
        <is>
          <t xml:space="preserve">Pioneer Manufacturing Co</t>
        </is>
      </c>
    </row>
    <row r="762">
      <c r="A762" s="0" t="inlineStr">
        <is>
          <t xml:space="preserve">a0761</t>
        </is>
      </c>
      <c r="B762" s="0" t="inlineStr">
        <is>
          <t xml:space="preserve">software</t>
        </is>
      </c>
      <c r="C762" s="0" t="inlineStr">
        <is>
          <t xml:space="preserve">amer_west</t>
        </is>
      </c>
      <c r="D762" s="0" t="inlineStr">
        <is>
          <t xml:space="preserve">smb</t>
        </is>
      </c>
      <c r="E762" s="4">
        <v>20</v>
      </c>
      <c r="F762" s="0" t="inlineStr">
        <is>
          <t xml:space="preserve">Summit Networks</t>
        </is>
      </c>
    </row>
    <row r="763">
      <c r="A763" s="0" t="inlineStr">
        <is>
          <t xml:space="preserve">a0762</t>
        </is>
      </c>
      <c r="B763" s="0" t="inlineStr">
        <is>
          <t xml:space="preserve">software</t>
        </is>
      </c>
      <c r="C763" s="0" t="inlineStr">
        <is>
          <t xml:space="preserve">amer_west</t>
        </is>
      </c>
      <c r="D763" s="0" t="inlineStr">
        <is>
          <t xml:space="preserve">mid_market</t>
        </is>
      </c>
      <c r="E763" s="4">
        <v>429</v>
      </c>
      <c r="F763" s="0" t="inlineStr">
        <is>
          <t xml:space="preserve">Aurora Mobility</t>
        </is>
      </c>
    </row>
    <row r="764">
      <c r="A764" s="0" t="inlineStr">
        <is>
          <t xml:space="preserve">a0763</t>
        </is>
      </c>
      <c r="B764" s="0" t="inlineStr">
        <is>
          <t xml:space="preserve">public_sector</t>
        </is>
      </c>
      <c r="C764" s="0" t="inlineStr">
        <is>
          <t xml:space="preserve">amer_west</t>
        </is>
      </c>
      <c r="D764" s="0" t="inlineStr">
        <is>
          <t xml:space="preserve">enterprise</t>
        </is>
      </c>
      <c r="E764" s="4">
        <v>11921</v>
      </c>
      <c r="F764" s="0" t="inlineStr">
        <is>
          <t xml:space="preserve">Atlas Learning Inc</t>
        </is>
      </c>
    </row>
    <row r="765">
      <c r="A765" s="0" t="inlineStr">
        <is>
          <t xml:space="preserve">a0764</t>
        </is>
      </c>
      <c r="B765" s="0" t="inlineStr">
        <is>
          <t xml:space="preserve">financial_services</t>
        </is>
      </c>
      <c r="C765" s="0" t="inlineStr">
        <is>
          <t xml:space="preserve">amer_west</t>
        </is>
      </c>
      <c r="D765" s="0" t="inlineStr">
        <is>
          <t xml:space="preserve">smb</t>
        </is>
      </c>
      <c r="E765" s="4">
        <v>60</v>
      </c>
      <c r="F765" s="0" t="inlineStr">
        <is>
          <t xml:space="preserve">Lakeside Materials Co</t>
        </is>
      </c>
    </row>
    <row r="766">
      <c r="A766" s="0" t="inlineStr">
        <is>
          <t xml:space="preserve">a0765</t>
        </is>
      </c>
      <c r="B766" s="0" t="inlineStr">
        <is>
          <t xml:space="preserve">financial_services</t>
        </is>
      </c>
      <c r="C766" s="0" t="inlineStr">
        <is>
          <t xml:space="preserve">amer_west</t>
        </is>
      </c>
      <c r="D766" s="0" t="inlineStr">
        <is>
          <t xml:space="preserve">enterprise</t>
        </is>
      </c>
      <c r="E766" s="4">
        <v>3019</v>
      </c>
      <c r="F766" s="0" t="inlineStr">
        <is>
          <t xml:space="preserve">Keystone Networks SA</t>
        </is>
      </c>
    </row>
    <row r="767">
      <c r="A767" s="0" t="inlineStr">
        <is>
          <t xml:space="preserve">a0766</t>
        </is>
      </c>
      <c r="B767" s="0" t="inlineStr">
        <is>
          <t xml:space="preserve">healthcare</t>
        </is>
      </c>
      <c r="C767" s="0" t="inlineStr">
        <is>
          <t xml:space="preserve">amer_west</t>
        </is>
      </c>
      <c r="D767" s="0" t="inlineStr">
        <is>
          <t xml:space="preserve">smb</t>
        </is>
      </c>
      <c r="E767" s="4">
        <v>20</v>
      </c>
      <c r="F767" s="0" t="inlineStr">
        <is>
          <t xml:space="preserve">Tidewater Networks Group</t>
        </is>
      </c>
    </row>
    <row r="768">
      <c r="A768" s="0" t="inlineStr">
        <is>
          <t xml:space="preserve">a0767</t>
        </is>
      </c>
      <c r="B768" s="0" t="inlineStr">
        <is>
          <t xml:space="preserve">software</t>
        </is>
      </c>
      <c r="C768" s="0" t="inlineStr">
        <is>
          <t xml:space="preserve">amer_west</t>
        </is>
      </c>
      <c r="D768" s="0" t="inlineStr">
        <is>
          <t xml:space="preserve">enterprise</t>
        </is>
      </c>
      <c r="E768" s="4">
        <v>6319</v>
      </c>
      <c r="F768" s="0" t="inlineStr">
        <is>
          <t xml:space="preserve">Northwind Mobility</t>
        </is>
      </c>
    </row>
    <row r="769">
      <c r="A769" s="0" t="inlineStr">
        <is>
          <t xml:space="preserve">a0768</t>
        </is>
      </c>
      <c r="B769" s="0" t="inlineStr">
        <is>
          <t xml:space="preserve">logistics</t>
        </is>
      </c>
      <c r="C769" s="0" t="inlineStr">
        <is>
          <t xml:space="preserve">amer_west</t>
        </is>
      </c>
      <c r="D769" s="0" t="inlineStr">
        <is>
          <t xml:space="preserve">enterprise</t>
        </is>
      </c>
      <c r="E769" s="4">
        <v>13008</v>
      </c>
      <c r="F769" s="0" t="inlineStr">
        <is>
          <t xml:space="preserve">Nimbus Manufacturing Holdings</t>
        </is>
      </c>
    </row>
    <row r="770">
      <c r="A770" s="0" t="inlineStr">
        <is>
          <t xml:space="preserve">a0769</t>
        </is>
      </c>
      <c r="B770" s="0" t="inlineStr">
        <is>
          <t xml:space="preserve">public_sector</t>
        </is>
      </c>
      <c r="C770" s="0" t="inlineStr">
        <is>
          <t xml:space="preserve">amer_west</t>
        </is>
      </c>
      <c r="D770" s="0" t="inlineStr">
        <is>
          <t xml:space="preserve">mid_market</t>
        </is>
      </c>
      <c r="E770" s="4">
        <v>264</v>
      </c>
      <c r="F770" s="0" t="inlineStr">
        <is>
          <t xml:space="preserve">Orchard Systems SA</t>
        </is>
      </c>
    </row>
    <row r="771">
      <c r="A771" s="0" t="inlineStr">
        <is>
          <t xml:space="preserve">a0770</t>
        </is>
      </c>
      <c r="B771" s="0" t="inlineStr">
        <is>
          <t xml:space="preserve">financial_services</t>
        </is>
      </c>
      <c r="C771" s="0" t="inlineStr">
        <is>
          <t xml:space="preserve">amer_west</t>
        </is>
      </c>
      <c r="D771" s="0" t="inlineStr">
        <is>
          <t xml:space="preserve">mid_market</t>
        </is>
      </c>
      <c r="E771" s="4">
        <v>2230</v>
      </c>
      <c r="F771" s="0" t="inlineStr">
        <is>
          <t xml:space="preserve">Granite Health Partners</t>
        </is>
      </c>
    </row>
    <row r="772">
      <c r="A772" s="0" t="inlineStr">
        <is>
          <t xml:space="preserve">a0771</t>
        </is>
      </c>
      <c r="B772" s="0" t="inlineStr">
        <is>
          <t xml:space="preserve">financial_services</t>
        </is>
      </c>
      <c r="C772" s="0" t="inlineStr">
        <is>
          <t xml:space="preserve">amer_west</t>
        </is>
      </c>
      <c r="D772" s="0" t="inlineStr">
        <is>
          <t xml:space="preserve">mid_market</t>
        </is>
      </c>
      <c r="E772" s="4">
        <v>1651</v>
      </c>
      <c r="F772" s="0" t="inlineStr">
        <is>
          <t xml:space="preserve">Brightwater Energy</t>
        </is>
      </c>
    </row>
    <row r="773">
      <c r="A773" s="0" t="inlineStr">
        <is>
          <t xml:space="preserve">a0772</t>
        </is>
      </c>
      <c r="B773" s="0" t="inlineStr">
        <is>
          <t xml:space="preserve">healthcare</t>
        </is>
      </c>
      <c r="C773" s="0" t="inlineStr">
        <is>
          <t xml:space="preserve">amer_west</t>
        </is>
      </c>
      <c r="D773" s="0" t="inlineStr">
        <is>
          <t xml:space="preserve">mid_market</t>
        </is>
      </c>
      <c r="E773" s="4">
        <v>386</v>
      </c>
      <c r="F773" s="0" t="inlineStr">
        <is>
          <t xml:space="preserve">Atlas Energy Partners</t>
        </is>
      </c>
    </row>
    <row r="774">
      <c r="A774" s="0" t="inlineStr">
        <is>
          <t xml:space="preserve">a0773</t>
        </is>
      </c>
      <c r="B774" s="0" t="inlineStr">
        <is>
          <t xml:space="preserve">manufacturing</t>
        </is>
      </c>
      <c r="C774" s="0" t="inlineStr">
        <is>
          <t xml:space="preserve">emea</t>
        </is>
      </c>
      <c r="D774" s="0" t="inlineStr">
        <is>
          <t xml:space="preserve">smb</t>
        </is>
      </c>
      <c r="E774" s="4">
        <v>77</v>
      </c>
      <c r="F774" s="0" t="inlineStr">
        <is>
          <t xml:space="preserve">Beacon Analytics</t>
        </is>
      </c>
    </row>
    <row r="775">
      <c r="A775" s="0" t="inlineStr">
        <is>
          <t xml:space="preserve">a0774</t>
        </is>
      </c>
      <c r="B775" s="0" t="inlineStr">
        <is>
          <t xml:space="preserve">education</t>
        </is>
      </c>
      <c r="C775" s="0" t="inlineStr">
        <is>
          <t xml:space="preserve">emea</t>
        </is>
      </c>
      <c r="D775" s="0" t="inlineStr">
        <is>
          <t xml:space="preserve">smb</t>
        </is>
      </c>
      <c r="E775" s="4">
        <v>40</v>
      </c>
      <c r="F775" s="0" t="inlineStr">
        <is>
          <t xml:space="preserve">Evergreen Foods Partners</t>
        </is>
      </c>
    </row>
    <row r="776">
      <c r="A776" s="0" t="inlineStr">
        <is>
          <t xml:space="preserve">a0775</t>
        </is>
      </c>
      <c r="B776" s="0" t="inlineStr">
        <is>
          <t xml:space="preserve">retail</t>
        </is>
      </c>
      <c r="C776" s="0" t="inlineStr">
        <is>
          <t xml:space="preserve">emea</t>
        </is>
      </c>
      <c r="D776" s="0" t="inlineStr">
        <is>
          <t xml:space="preserve">smb</t>
        </is>
      </c>
      <c r="E776" s="4">
        <v>45</v>
      </c>
      <c r="F776" s="0" t="inlineStr">
        <is>
          <t xml:space="preserve">Harbor Capital Holdings</t>
        </is>
      </c>
    </row>
    <row r="777">
      <c r="A777" s="0" t="inlineStr">
        <is>
          <t xml:space="preserve">a0776</t>
        </is>
      </c>
      <c r="B777" s="0" t="inlineStr">
        <is>
          <t xml:space="preserve">retail</t>
        </is>
      </c>
      <c r="C777" s="0" t="inlineStr">
        <is>
          <t xml:space="preserve">emea</t>
        </is>
      </c>
      <c r="D777" s="0" t="inlineStr">
        <is>
          <t xml:space="preserve">smb</t>
        </is>
      </c>
      <c r="E777" s="4">
        <v>74</v>
      </c>
      <c r="F777" s="0" t="inlineStr">
        <is>
          <t xml:space="preserve">Granite Logistics Partners</t>
        </is>
      </c>
    </row>
    <row r="778">
      <c r="A778" s="0" t="inlineStr">
        <is>
          <t xml:space="preserve">a0777</t>
        </is>
      </c>
      <c r="B778" s="0" t="inlineStr">
        <is>
          <t xml:space="preserve">manufacturing</t>
        </is>
      </c>
      <c r="C778" s="0" t="inlineStr">
        <is>
          <t xml:space="preserve">emea</t>
        </is>
      </c>
      <c r="D778" s="0" t="inlineStr">
        <is>
          <t xml:space="preserve">smb</t>
        </is>
      </c>
      <c r="E778" s="4">
        <v>176</v>
      </c>
      <c r="F778" s="0" t="inlineStr">
        <is>
          <t xml:space="preserve">Cascade Materials Partners</t>
        </is>
      </c>
    </row>
    <row r="779">
      <c r="A779" s="0" t="inlineStr">
        <is>
          <t xml:space="preserve">a0778</t>
        </is>
      </c>
      <c r="B779" s="0" t="inlineStr">
        <is>
          <t xml:space="preserve">logistics</t>
        </is>
      </c>
      <c r="C779" s="0" t="inlineStr">
        <is>
          <t xml:space="preserve">emea</t>
        </is>
      </c>
      <c r="D779" s="0" t="inlineStr">
        <is>
          <t xml:space="preserve">smb</t>
        </is>
      </c>
      <c r="E779" s="4">
        <v>74</v>
      </c>
      <c r="F779" s="0" t="inlineStr">
        <is>
          <t xml:space="preserve">Horizon Mobility Ltd</t>
        </is>
      </c>
    </row>
    <row r="780">
      <c r="A780" s="0" t="inlineStr">
        <is>
          <t xml:space="preserve">a0779</t>
        </is>
      </c>
      <c r="B780" s="0" t="inlineStr">
        <is>
          <t xml:space="preserve">energy</t>
        </is>
      </c>
      <c r="C780" s="0" t="inlineStr">
        <is>
          <t xml:space="preserve">emea</t>
        </is>
      </c>
      <c r="D780" s="0" t="inlineStr">
        <is>
          <t xml:space="preserve">mid_market</t>
        </is>
      </c>
      <c r="E780" s="4">
        <v>812</v>
      </c>
      <c r="F780" s="0" t="inlineStr">
        <is>
          <t xml:space="preserve">Horizon Materials</t>
        </is>
      </c>
    </row>
    <row r="781">
      <c r="A781" s="0" t="inlineStr">
        <is>
          <t xml:space="preserve">a0780</t>
        </is>
      </c>
      <c r="B781" s="0" t="inlineStr">
        <is>
          <t xml:space="preserve">software</t>
        </is>
      </c>
      <c r="C781" s="0" t="inlineStr">
        <is>
          <t xml:space="preserve">emea</t>
        </is>
      </c>
      <c r="D781" s="0" t="inlineStr">
        <is>
          <t xml:space="preserve">smb</t>
        </is>
      </c>
      <c r="E781" s="4">
        <v>30</v>
      </c>
      <c r="F781" s="0" t="inlineStr">
        <is>
          <t xml:space="preserve">Silverline Foods Partners</t>
        </is>
      </c>
    </row>
    <row r="782">
      <c r="A782" s="0" t="inlineStr">
        <is>
          <t xml:space="preserve">a0781</t>
        </is>
      </c>
      <c r="B782" s="0" t="inlineStr">
        <is>
          <t xml:space="preserve">software</t>
        </is>
      </c>
      <c r="C782" s="0" t="inlineStr">
        <is>
          <t xml:space="preserve">emea</t>
        </is>
      </c>
      <c r="D782" s="0" t="inlineStr">
        <is>
          <t xml:space="preserve">mid_market</t>
        </is>
      </c>
      <c r="E782" s="4">
        <v>521</v>
      </c>
      <c r="F782" s="0" t="inlineStr">
        <is>
          <t xml:space="preserve">Evergreen Biotech Holdings</t>
        </is>
      </c>
    </row>
    <row r="783">
      <c r="A783" s="0" t="inlineStr">
        <is>
          <t xml:space="preserve">a0782</t>
        </is>
      </c>
      <c r="B783" s="0" t="inlineStr">
        <is>
          <t xml:space="preserve">education</t>
        </is>
      </c>
      <c r="C783" s="0" t="inlineStr">
        <is>
          <t xml:space="preserve">emea</t>
        </is>
      </c>
      <c r="D783" s="0" t="inlineStr">
        <is>
          <t xml:space="preserve">smb</t>
        </is>
      </c>
      <c r="E783" s="4">
        <v>43</v>
      </c>
      <c r="F783" s="0" t="inlineStr">
        <is>
          <t xml:space="preserve">Falcon Foods</t>
        </is>
      </c>
    </row>
    <row r="784">
      <c r="A784" s="0" t="inlineStr">
        <is>
          <t xml:space="preserve">a0783</t>
        </is>
      </c>
      <c r="B784" s="0" t="inlineStr">
        <is>
          <t xml:space="preserve">software</t>
        </is>
      </c>
      <c r="C784" s="0" t="inlineStr">
        <is>
          <t xml:space="preserve">emea</t>
        </is>
      </c>
      <c r="D784" s="0" t="inlineStr">
        <is>
          <t xml:space="preserve">mid_market</t>
        </is>
      </c>
      <c r="E784" s="4">
        <v>1938</v>
      </c>
      <c r="F784" s="0" t="inlineStr">
        <is>
          <t xml:space="preserve">Umber Media</t>
        </is>
      </c>
    </row>
    <row r="785">
      <c r="A785" s="0" t="inlineStr">
        <is>
          <t xml:space="preserve">a0784</t>
        </is>
      </c>
      <c r="B785" s="0" t="inlineStr">
        <is>
          <t xml:space="preserve">retail</t>
        </is>
      </c>
      <c r="C785" s="0" t="inlineStr">
        <is>
          <t xml:space="preserve">emea</t>
        </is>
      </c>
      <c r="D785" s="0" t="inlineStr">
        <is>
          <t xml:space="preserve">mid_market</t>
        </is>
      </c>
      <c r="E785" s="4">
        <v>574</v>
      </c>
      <c r="F785" s="0" t="inlineStr">
        <is>
          <t xml:space="preserve">Copper Materials Group</t>
        </is>
      </c>
    </row>
    <row r="786">
      <c r="A786" s="0" t="inlineStr">
        <is>
          <t xml:space="preserve">a0785</t>
        </is>
      </c>
      <c r="B786" s="0" t="inlineStr">
        <is>
          <t xml:space="preserve">public_sector</t>
        </is>
      </c>
      <c r="C786" s="0" t="inlineStr">
        <is>
          <t xml:space="preserve">emea</t>
        </is>
      </c>
      <c r="D786" s="0" t="inlineStr">
        <is>
          <t xml:space="preserve">smb</t>
        </is>
      </c>
      <c r="E786" s="4">
        <v>27</v>
      </c>
      <c r="F786" s="0" t="inlineStr">
        <is>
          <t xml:space="preserve">Quantum Health Partners</t>
        </is>
      </c>
    </row>
    <row r="787">
      <c r="A787" s="0" t="inlineStr">
        <is>
          <t xml:space="preserve">a0786</t>
        </is>
      </c>
      <c r="B787" s="0" t="inlineStr">
        <is>
          <t xml:space="preserve">healthcare</t>
        </is>
      </c>
      <c r="C787" s="0" t="inlineStr">
        <is>
          <t xml:space="preserve">emea</t>
        </is>
      </c>
      <c r="D787" s="0" t="inlineStr">
        <is>
          <t xml:space="preserve">smb</t>
        </is>
      </c>
      <c r="E787" s="4">
        <v>44</v>
      </c>
      <c r="F787" s="0" t="inlineStr">
        <is>
          <t xml:space="preserve">Meridian Robotics Co</t>
        </is>
      </c>
    </row>
    <row r="788">
      <c r="A788" s="0" t="inlineStr">
        <is>
          <t xml:space="preserve">a0787</t>
        </is>
      </c>
      <c r="B788" s="0" t="inlineStr">
        <is>
          <t xml:space="preserve">software</t>
        </is>
      </c>
      <c r="C788" s="0" t="inlineStr">
        <is>
          <t xml:space="preserve">apac</t>
        </is>
      </c>
      <c r="D788" s="0" t="inlineStr">
        <is>
          <t xml:space="preserve">mid_market</t>
        </is>
      </c>
      <c r="E788" s="4">
        <v>547</v>
      </c>
      <c r="F788" s="0" t="inlineStr">
        <is>
          <t xml:space="preserve">Granite Mobility Co</t>
        </is>
      </c>
    </row>
    <row r="789">
      <c r="A789" s="0" t="inlineStr">
        <is>
          <t xml:space="preserve">a0788</t>
        </is>
      </c>
      <c r="B789" s="0" t="inlineStr">
        <is>
          <t xml:space="preserve">retail</t>
        </is>
      </c>
      <c r="C789" s="0" t="inlineStr">
        <is>
          <t xml:space="preserve">apac</t>
        </is>
      </c>
      <c r="D789" s="0" t="inlineStr">
        <is>
          <t xml:space="preserve">smb</t>
        </is>
      </c>
      <c r="E789" s="4">
        <v>56</v>
      </c>
      <c r="F789" s="0" t="inlineStr">
        <is>
          <t xml:space="preserve">Quantum Manufacturing AG</t>
        </is>
      </c>
    </row>
    <row r="790">
      <c r="A790" s="0" t="inlineStr">
        <is>
          <t xml:space="preserve">a0789</t>
        </is>
      </c>
      <c r="B790" s="0" t="inlineStr">
        <is>
          <t xml:space="preserve">logistics</t>
        </is>
      </c>
      <c r="C790" s="0" t="inlineStr">
        <is>
          <t xml:space="preserve">apac</t>
        </is>
      </c>
      <c r="D790" s="0" t="inlineStr">
        <is>
          <t xml:space="preserve">enterprise</t>
        </is>
      </c>
      <c r="E790" s="4">
        <v>3063</v>
      </c>
      <c r="F790" s="0" t="inlineStr">
        <is>
          <t xml:space="preserve">Atlas Foods Group</t>
        </is>
      </c>
    </row>
    <row r="791">
      <c r="A791" s="0" t="inlineStr">
        <is>
          <t xml:space="preserve">a0790</t>
        </is>
      </c>
      <c r="B791" s="0" t="inlineStr">
        <is>
          <t xml:space="preserve">logistics</t>
        </is>
      </c>
      <c r="C791" s="0" t="inlineStr">
        <is>
          <t xml:space="preserve">apac</t>
        </is>
      </c>
      <c r="D791" s="0" t="inlineStr">
        <is>
          <t xml:space="preserve">smb</t>
        </is>
      </c>
      <c r="E791" s="4">
        <v>24</v>
      </c>
      <c r="F791" s="0" t="inlineStr">
        <is>
          <t xml:space="preserve">Cobalt Foods Co</t>
        </is>
      </c>
    </row>
    <row r="792">
      <c r="A792" s="0" t="inlineStr">
        <is>
          <t xml:space="preserve">a0791</t>
        </is>
      </c>
      <c r="B792" s="0" t="inlineStr">
        <is>
          <t xml:space="preserve">education</t>
        </is>
      </c>
      <c r="C792" s="0" t="inlineStr">
        <is>
          <t xml:space="preserve">apac</t>
        </is>
      </c>
      <c r="D792" s="0" t="inlineStr">
        <is>
          <t xml:space="preserve">smb</t>
        </is>
      </c>
      <c r="E792" s="4">
        <v>76</v>
      </c>
      <c r="F792" s="0" t="inlineStr">
        <is>
          <t xml:space="preserve">Tidewater Foods</t>
        </is>
      </c>
    </row>
    <row r="793">
      <c r="A793" s="0" t="inlineStr">
        <is>
          <t xml:space="preserve">a0792</t>
        </is>
      </c>
      <c r="B793" s="0" t="inlineStr">
        <is>
          <t xml:space="preserve">manufacturing</t>
        </is>
      </c>
      <c r="C793" s="0" t="inlineStr">
        <is>
          <t xml:space="preserve">apac</t>
        </is>
      </c>
      <c r="D793" s="0" t="inlineStr">
        <is>
          <t xml:space="preserve">smb</t>
        </is>
      </c>
      <c r="E793" s="4">
        <v>24</v>
      </c>
      <c r="F793" s="0" t="inlineStr">
        <is>
          <t xml:space="preserve">Atlas Energy Holdings</t>
        </is>
      </c>
    </row>
    <row r="794">
      <c r="A794" s="0" t="inlineStr">
        <is>
          <t xml:space="preserve">a0793</t>
        </is>
      </c>
      <c r="B794" s="0" t="inlineStr">
        <is>
          <t xml:space="preserve">software</t>
        </is>
      </c>
      <c r="C794" s="0" t="inlineStr">
        <is>
          <t xml:space="preserve">apac</t>
        </is>
      </c>
      <c r="D794" s="0" t="inlineStr">
        <is>
          <t xml:space="preserve">enterprise</t>
        </is>
      </c>
      <c r="E794" s="4">
        <v>4044</v>
      </c>
      <c r="F794" s="0" t="inlineStr">
        <is>
          <t xml:space="preserve">Horizon Capital Holdings</t>
        </is>
      </c>
    </row>
    <row r="795">
      <c r="A795" s="0" t="inlineStr">
        <is>
          <t xml:space="preserve">a0794</t>
        </is>
      </c>
      <c r="B795" s="0" t="inlineStr">
        <is>
          <t xml:space="preserve">healthcare</t>
        </is>
      </c>
      <c r="C795" s="0" t="inlineStr">
        <is>
          <t xml:space="preserve">apac</t>
        </is>
      </c>
      <c r="D795" s="0" t="inlineStr">
        <is>
          <t xml:space="preserve">mid_market</t>
        </is>
      </c>
      <c r="E795" s="4">
        <v>865</v>
      </c>
      <c r="F795" s="0" t="inlineStr">
        <is>
          <t xml:space="preserve">Granite Robotics Group</t>
        </is>
      </c>
    </row>
    <row r="796">
      <c r="A796" s="0" t="inlineStr">
        <is>
          <t xml:space="preserve">a0795</t>
        </is>
      </c>
      <c r="B796" s="0" t="inlineStr">
        <is>
          <t xml:space="preserve">software</t>
        </is>
      </c>
      <c r="C796" s="0" t="inlineStr">
        <is>
          <t xml:space="preserve">apac</t>
        </is>
      </c>
      <c r="D796" s="0" t="inlineStr">
        <is>
          <t xml:space="preserve">smb</t>
        </is>
      </c>
      <c r="E796" s="4">
        <v>45</v>
      </c>
      <c r="F796" s="0" t="inlineStr">
        <is>
          <t xml:space="preserve">Brightwater Learning Inc</t>
        </is>
      </c>
    </row>
    <row r="797">
      <c r="A797" s="0" t="inlineStr">
        <is>
          <t xml:space="preserve">a0796</t>
        </is>
      </c>
      <c r="B797" s="0" t="inlineStr">
        <is>
          <t xml:space="preserve">manufacturing</t>
        </is>
      </c>
      <c r="C797" s="0" t="inlineStr">
        <is>
          <t xml:space="preserve">apac</t>
        </is>
      </c>
      <c r="D797" s="0" t="inlineStr">
        <is>
          <t xml:space="preserve">mid_market</t>
        </is>
      </c>
      <c r="E797" s="4">
        <v>255</v>
      </c>
      <c r="F797" s="0" t="inlineStr">
        <is>
          <t xml:space="preserve">Juniper Logistics Holdings</t>
        </is>
      </c>
    </row>
    <row r="798">
      <c r="A798" s="0" t="inlineStr">
        <is>
          <t xml:space="preserve">a0797</t>
        </is>
      </c>
      <c r="B798" s="0" t="inlineStr">
        <is>
          <t xml:space="preserve">energy</t>
        </is>
      </c>
      <c r="C798" s="0" t="inlineStr">
        <is>
          <t xml:space="preserve">apac</t>
        </is>
      </c>
      <c r="D798" s="0" t="inlineStr">
        <is>
          <t xml:space="preserve">mid_market</t>
        </is>
      </c>
      <c r="E798" s="4">
        <v>527</v>
      </c>
      <c r="F798" s="0" t="inlineStr">
        <is>
          <t xml:space="preserve">Aurora Robotics Ltd</t>
        </is>
      </c>
    </row>
    <row r="799">
      <c r="A799" s="0" t="inlineStr">
        <is>
          <t xml:space="preserve">a0798</t>
        </is>
      </c>
      <c r="B799" s="0" t="inlineStr">
        <is>
          <t xml:space="preserve">software</t>
        </is>
      </c>
      <c r="C799" s="0" t="inlineStr">
        <is>
          <t xml:space="preserve">apac</t>
        </is>
      </c>
      <c r="D799" s="0" t="inlineStr">
        <is>
          <t xml:space="preserve">mid_market</t>
        </is>
      </c>
      <c r="E799" s="4">
        <v>344</v>
      </c>
      <c r="F799" s="0" t="inlineStr">
        <is>
          <t xml:space="preserve">Quantum Materials Ltd</t>
        </is>
      </c>
    </row>
    <row r="800">
      <c r="A800" s="0" t="inlineStr">
        <is>
          <t xml:space="preserve">a0799</t>
        </is>
      </c>
      <c r="B800" s="0" t="inlineStr">
        <is>
          <t xml:space="preserve">software</t>
        </is>
      </c>
      <c r="C800" s="0" t="inlineStr">
        <is>
          <t xml:space="preserve">apac</t>
        </is>
      </c>
      <c r="D800" s="0" t="inlineStr">
        <is>
          <t xml:space="preserve">smb</t>
        </is>
      </c>
      <c r="E800" s="4">
        <v>22</v>
      </c>
      <c r="F800" s="0" t="inlineStr">
        <is>
          <t xml:space="preserve">Northwind Media</t>
        </is>
      </c>
    </row>
    <row r="801">
      <c r="A801" s="0" t="inlineStr">
        <is>
          <t xml:space="preserve">a0800</t>
        </is>
      </c>
      <c r="B801" s="0" t="inlineStr">
        <is>
          <t xml:space="preserve">software</t>
        </is>
      </c>
      <c r="C801" s="0" t="inlineStr">
        <is>
          <t xml:space="preserve">apac</t>
        </is>
      </c>
      <c r="D801" s="0" t="inlineStr">
        <is>
          <t xml:space="preserve">enterprise</t>
        </is>
      </c>
      <c r="E801" s="4">
        <v>4001</v>
      </c>
      <c r="F801" s="0" t="inlineStr">
        <is>
          <t xml:space="preserve">Quantum Foods Inc</t>
        </is>
      </c>
    </row>
    <row r="802">
      <c r="A802" s="0" t="inlineStr">
        <is>
          <t xml:space="preserve">a0801</t>
        </is>
      </c>
      <c r="B802" s="0" t="inlineStr">
        <is>
          <t xml:space="preserve">software</t>
        </is>
      </c>
      <c r="C802" s="0" t="inlineStr">
        <is>
          <t xml:space="preserve">apac</t>
        </is>
      </c>
      <c r="D802" s="0" t="inlineStr">
        <is>
          <t xml:space="preserve">enterprise</t>
        </is>
      </c>
      <c r="E802" s="4">
        <v>2556</v>
      </c>
      <c r="F802" s="0" t="inlineStr">
        <is>
          <t xml:space="preserve">Northwind Energy Group</t>
        </is>
      </c>
    </row>
    <row r="803">
      <c r="A803" s="0" t="inlineStr">
        <is>
          <t xml:space="preserve">a0802</t>
        </is>
      </c>
      <c r="B803" s="0" t="inlineStr">
        <is>
          <t xml:space="preserve">healthcare</t>
        </is>
      </c>
      <c r="C803" s="0" t="inlineStr">
        <is>
          <t xml:space="preserve">apac</t>
        </is>
      </c>
      <c r="D803" s="0" t="inlineStr">
        <is>
          <t xml:space="preserve">mid_market</t>
        </is>
      </c>
      <c r="E803" s="4">
        <v>444</v>
      </c>
      <c r="F803" s="0" t="inlineStr">
        <is>
          <t xml:space="preserve">Cobalt Energy Co</t>
        </is>
      </c>
    </row>
    <row r="804">
      <c r="A804" s="0" t="inlineStr">
        <is>
          <t xml:space="preserve">a0803</t>
        </is>
      </c>
      <c r="B804" s="0" t="inlineStr">
        <is>
          <t xml:space="preserve">software</t>
        </is>
      </c>
      <c r="C804" s="0" t="inlineStr">
        <is>
          <t xml:space="preserve">apac</t>
        </is>
      </c>
      <c r="D804" s="0" t="inlineStr">
        <is>
          <t xml:space="preserve">mid_market</t>
        </is>
      </c>
      <c r="E804" s="4">
        <v>342</v>
      </c>
      <c r="F804" s="0" t="inlineStr">
        <is>
          <t xml:space="preserve">Evergreen Learning Partners</t>
        </is>
      </c>
    </row>
    <row r="805">
      <c r="A805" s="0" t="inlineStr">
        <is>
          <t xml:space="preserve">a0804</t>
        </is>
      </c>
      <c r="B805" s="0" t="inlineStr">
        <is>
          <t xml:space="preserve">software</t>
        </is>
      </c>
      <c r="C805" s="0" t="inlineStr">
        <is>
          <t xml:space="preserve">apac</t>
        </is>
      </c>
      <c r="D805" s="0" t="inlineStr">
        <is>
          <t xml:space="preserve">smb</t>
        </is>
      </c>
      <c r="E805" s="4">
        <v>21</v>
      </c>
      <c r="F805" s="0" t="inlineStr">
        <is>
          <t xml:space="preserve">Tidewater Mobility</t>
        </is>
      </c>
    </row>
    <row r="806">
      <c r="A806" s="0" t="inlineStr">
        <is>
          <t xml:space="preserve">a0805</t>
        </is>
      </c>
      <c r="B806" s="0" t="inlineStr">
        <is>
          <t xml:space="preserve">public_sector</t>
        </is>
      </c>
      <c r="C806" s="0" t="inlineStr">
        <is>
          <t xml:space="preserve">apac</t>
        </is>
      </c>
      <c r="D806" s="0" t="inlineStr">
        <is>
          <t xml:space="preserve">smb</t>
        </is>
      </c>
      <c r="E806" s="4">
        <v>23</v>
      </c>
      <c r="F806" s="0" t="inlineStr">
        <is>
          <t xml:space="preserve">Falcon Health AG</t>
        </is>
      </c>
    </row>
    <row r="807">
      <c r="A807" s="0" t="inlineStr">
        <is>
          <t xml:space="preserve">a0806</t>
        </is>
      </c>
      <c r="B807" s="0" t="inlineStr">
        <is>
          <t xml:space="preserve">manufacturing</t>
        </is>
      </c>
      <c r="C807" s="0" t="inlineStr">
        <is>
          <t xml:space="preserve">apac</t>
        </is>
      </c>
      <c r="D807" s="0" t="inlineStr">
        <is>
          <t xml:space="preserve">mid_market</t>
        </is>
      </c>
      <c r="E807" s="4">
        <v>1516</v>
      </c>
      <c r="F807" s="0" t="inlineStr">
        <is>
          <t xml:space="preserve">Sable Insurance</t>
        </is>
      </c>
    </row>
    <row r="808">
      <c r="A808" s="0" t="inlineStr">
        <is>
          <t xml:space="preserve">a0807</t>
        </is>
      </c>
      <c r="B808" s="0" t="inlineStr">
        <is>
          <t xml:space="preserve">education</t>
        </is>
      </c>
      <c r="C808" s="0" t="inlineStr">
        <is>
          <t xml:space="preserve">apac</t>
        </is>
      </c>
      <c r="D808" s="0" t="inlineStr">
        <is>
          <t xml:space="preserve">enterprise</t>
        </is>
      </c>
      <c r="E808" s="4">
        <v>27443</v>
      </c>
      <c r="F808" s="0" t="inlineStr">
        <is>
          <t xml:space="preserve">Copper Software</t>
        </is>
      </c>
    </row>
    <row r="809">
      <c r="A809" s="0" t="inlineStr">
        <is>
          <t xml:space="preserve">a0808</t>
        </is>
      </c>
      <c r="B809" s="0" t="inlineStr">
        <is>
          <t xml:space="preserve">software</t>
        </is>
      </c>
      <c r="C809" s="0" t="inlineStr">
        <is>
          <t xml:space="preserve">apac</t>
        </is>
      </c>
      <c r="D809" s="0" t="inlineStr">
        <is>
          <t xml:space="preserve">mid_market</t>
        </is>
      </c>
      <c r="E809" s="4">
        <v>369</v>
      </c>
      <c r="F809" s="0" t="inlineStr">
        <is>
          <t xml:space="preserve">Umber Foods</t>
        </is>
      </c>
    </row>
    <row r="810">
      <c r="A810" s="0" t="inlineStr">
        <is>
          <t xml:space="preserve">a0809</t>
        </is>
      </c>
      <c r="B810" s="0" t="inlineStr">
        <is>
          <t xml:space="preserve">financial_services</t>
        </is>
      </c>
      <c r="C810" s="0" t="inlineStr">
        <is>
          <t xml:space="preserve">amer_east</t>
        </is>
      </c>
      <c r="D810" s="0" t="inlineStr">
        <is>
          <t xml:space="preserve">smb</t>
        </is>
      </c>
      <c r="E810" s="4">
        <v>23</v>
      </c>
      <c r="F810" s="0" t="inlineStr">
        <is>
          <t xml:space="preserve">Vertex Mobility Holdings</t>
        </is>
      </c>
    </row>
    <row r="811">
      <c r="A811" s="0" t="inlineStr">
        <is>
          <t xml:space="preserve">a0810</t>
        </is>
      </c>
      <c r="B811" s="0" t="inlineStr">
        <is>
          <t xml:space="preserve">education</t>
        </is>
      </c>
      <c r="C811" s="0" t="inlineStr">
        <is>
          <t xml:space="preserve">amer_east</t>
        </is>
      </c>
      <c r="D811" s="0" t="inlineStr">
        <is>
          <t xml:space="preserve">enterprise</t>
        </is>
      </c>
      <c r="E811" s="4">
        <v>4366</v>
      </c>
      <c r="F811" s="0" t="inlineStr">
        <is>
          <t xml:space="preserve">Brightwater Retail Ltd</t>
        </is>
      </c>
    </row>
    <row r="812">
      <c r="A812" s="0" t="inlineStr">
        <is>
          <t xml:space="preserve">a0811</t>
        </is>
      </c>
      <c r="B812" s="0" t="inlineStr">
        <is>
          <t xml:space="preserve">healthcare</t>
        </is>
      </c>
      <c r="C812" s="0" t="inlineStr">
        <is>
          <t xml:space="preserve">amer_east</t>
        </is>
      </c>
      <c r="D812" s="0" t="inlineStr">
        <is>
          <t xml:space="preserve">mid_market</t>
        </is>
      </c>
      <c r="E812" s="4">
        <v>552</v>
      </c>
      <c r="F812" s="0" t="inlineStr">
        <is>
          <t xml:space="preserve">Umber Mobility Partners</t>
        </is>
      </c>
    </row>
    <row r="813">
      <c r="A813" s="0" t="inlineStr">
        <is>
          <t xml:space="preserve">a0812</t>
        </is>
      </c>
      <c r="B813" s="0" t="inlineStr">
        <is>
          <t xml:space="preserve">manufacturing</t>
        </is>
      </c>
      <c r="C813" s="0" t="inlineStr">
        <is>
          <t xml:space="preserve">amer_east</t>
        </is>
      </c>
      <c r="D813" s="0" t="inlineStr">
        <is>
          <t xml:space="preserve">mid_market</t>
        </is>
      </c>
      <c r="E813" s="4">
        <v>1131</v>
      </c>
      <c r="F813" s="0" t="inlineStr">
        <is>
          <t xml:space="preserve">Ironbridge Health AG</t>
        </is>
      </c>
    </row>
    <row r="814">
      <c r="A814" s="0" t="inlineStr">
        <is>
          <t xml:space="preserve">a0813</t>
        </is>
      </c>
      <c r="B814" s="0" t="inlineStr">
        <is>
          <t xml:space="preserve">logistics</t>
        </is>
      </c>
      <c r="C814" s="0" t="inlineStr">
        <is>
          <t xml:space="preserve">amer_east</t>
        </is>
      </c>
      <c r="D814" s="0" t="inlineStr">
        <is>
          <t xml:space="preserve">mid_market</t>
        </is>
      </c>
      <c r="E814" s="4">
        <v>1083</v>
      </c>
      <c r="F814" s="0" t="inlineStr">
        <is>
          <t xml:space="preserve">Atlas Manufacturing Ltd</t>
        </is>
      </c>
    </row>
    <row r="815">
      <c r="A815" s="0" t="inlineStr">
        <is>
          <t xml:space="preserve">a0814</t>
        </is>
      </c>
      <c r="B815" s="0" t="inlineStr">
        <is>
          <t xml:space="preserve">manufacturing</t>
        </is>
      </c>
      <c r="C815" s="0" t="inlineStr">
        <is>
          <t xml:space="preserve">amer_east</t>
        </is>
      </c>
      <c r="D815" s="0" t="inlineStr">
        <is>
          <t xml:space="preserve">smb</t>
        </is>
      </c>
      <c r="E815" s="4">
        <v>95</v>
      </c>
      <c r="F815" s="0" t="inlineStr">
        <is>
          <t xml:space="preserve">Harbor Software Partners</t>
        </is>
      </c>
    </row>
    <row r="816">
      <c r="A816" s="0" t="inlineStr">
        <is>
          <t xml:space="preserve">a0815</t>
        </is>
      </c>
      <c r="B816" s="0" t="inlineStr">
        <is>
          <t xml:space="preserve">retail</t>
        </is>
      </c>
      <c r="C816" s="0" t="inlineStr">
        <is>
          <t xml:space="preserve">amer_east</t>
        </is>
      </c>
      <c r="D816" s="0" t="inlineStr">
        <is>
          <t xml:space="preserve">enterprise</t>
        </is>
      </c>
      <c r="E816" s="4">
        <v>2674</v>
      </c>
      <c r="F816" s="0" t="inlineStr">
        <is>
          <t xml:space="preserve">Brightwater Systems SA</t>
        </is>
      </c>
    </row>
    <row r="817">
      <c r="A817" s="0" t="inlineStr">
        <is>
          <t xml:space="preserve">a0816</t>
        </is>
      </c>
      <c r="B817" s="0" t="inlineStr">
        <is>
          <t xml:space="preserve">public_sector</t>
        </is>
      </c>
      <c r="C817" s="0" t="inlineStr">
        <is>
          <t xml:space="preserve">amer_east</t>
        </is>
      </c>
      <c r="D817" s="0" t="inlineStr">
        <is>
          <t xml:space="preserve">smb</t>
        </is>
      </c>
      <c r="E817" s="4">
        <v>81</v>
      </c>
      <c r="F817" s="0" t="inlineStr">
        <is>
          <t xml:space="preserve">Cobalt Energy Inc</t>
        </is>
      </c>
    </row>
    <row r="818">
      <c r="A818" s="0" t="inlineStr">
        <is>
          <t xml:space="preserve">a0817</t>
        </is>
      </c>
      <c r="B818" s="0" t="inlineStr">
        <is>
          <t xml:space="preserve">software</t>
        </is>
      </c>
      <c r="C818" s="0" t="inlineStr">
        <is>
          <t xml:space="preserve">amer_east</t>
        </is>
      </c>
      <c r="D818" s="0" t="inlineStr">
        <is>
          <t xml:space="preserve">mid_market</t>
        </is>
      </c>
      <c r="E818" s="4">
        <v>859</v>
      </c>
      <c r="F818" s="0" t="inlineStr">
        <is>
          <t xml:space="preserve">Meridian Networks Co</t>
        </is>
      </c>
    </row>
    <row r="819">
      <c r="A819" s="0" t="inlineStr">
        <is>
          <t xml:space="preserve">a0818</t>
        </is>
      </c>
      <c r="B819" s="0" t="inlineStr">
        <is>
          <t xml:space="preserve">retail</t>
        </is>
      </c>
      <c r="C819" s="0" t="inlineStr">
        <is>
          <t xml:space="preserve">amer_east</t>
        </is>
      </c>
      <c r="D819" s="0" t="inlineStr">
        <is>
          <t xml:space="preserve">smb</t>
        </is>
      </c>
      <c r="E819" s="4">
        <v>93</v>
      </c>
      <c r="F819" s="0" t="inlineStr">
        <is>
          <t xml:space="preserve">Umber Labs</t>
        </is>
      </c>
    </row>
    <row r="820">
      <c r="A820" s="0" t="inlineStr">
        <is>
          <t xml:space="preserve">a0819</t>
        </is>
      </c>
      <c r="B820" s="0" t="inlineStr">
        <is>
          <t xml:space="preserve">healthcare</t>
        </is>
      </c>
      <c r="C820" s="0" t="inlineStr">
        <is>
          <t xml:space="preserve">amer_east</t>
        </is>
      </c>
      <c r="D820" s="0" t="inlineStr">
        <is>
          <t xml:space="preserve">smb</t>
        </is>
      </c>
      <c r="E820" s="4">
        <v>41</v>
      </c>
      <c r="F820" s="0" t="inlineStr">
        <is>
          <t xml:space="preserve">Horizon Logistics Co</t>
        </is>
      </c>
    </row>
    <row r="821">
      <c r="A821" s="0" t="inlineStr">
        <is>
          <t xml:space="preserve">a0820</t>
        </is>
      </c>
      <c r="B821" s="0" t="inlineStr">
        <is>
          <t xml:space="preserve">public_sector</t>
        </is>
      </c>
      <c r="C821" s="0" t="inlineStr">
        <is>
          <t xml:space="preserve">amer_east</t>
        </is>
      </c>
      <c r="D821" s="0" t="inlineStr">
        <is>
          <t xml:space="preserve">smb</t>
        </is>
      </c>
      <c r="E821" s="4">
        <v>48</v>
      </c>
      <c r="F821" s="0" t="inlineStr">
        <is>
          <t xml:space="preserve">Ironbridge Capital Inc</t>
        </is>
      </c>
    </row>
    <row r="822">
      <c r="A822" s="0" t="inlineStr">
        <is>
          <t xml:space="preserve">a0821</t>
        </is>
      </c>
      <c r="B822" s="0" t="inlineStr">
        <is>
          <t xml:space="preserve">logistics</t>
        </is>
      </c>
      <c r="C822" s="0" t="inlineStr">
        <is>
          <t xml:space="preserve">amer_east</t>
        </is>
      </c>
      <c r="D822" s="0" t="inlineStr">
        <is>
          <t xml:space="preserve">smb</t>
        </is>
      </c>
      <c r="E822" s="4">
        <v>30</v>
      </c>
      <c r="F822" s="0" t="inlineStr">
        <is>
          <t xml:space="preserve">Brightwater Mobility Ltd</t>
        </is>
      </c>
    </row>
    <row r="823">
      <c r="A823" s="0" t="inlineStr">
        <is>
          <t xml:space="preserve">a0822</t>
        </is>
      </c>
      <c r="B823" s="0" t="inlineStr">
        <is>
          <t xml:space="preserve">manufacturing</t>
        </is>
      </c>
      <c r="C823" s="0" t="inlineStr">
        <is>
          <t xml:space="preserve">amer_east</t>
        </is>
      </c>
      <c r="D823" s="0" t="inlineStr">
        <is>
          <t xml:space="preserve">smb</t>
        </is>
      </c>
      <c r="E823" s="4">
        <v>21</v>
      </c>
      <c r="F823" s="0" t="inlineStr">
        <is>
          <t xml:space="preserve">Lakeside Financial Inc</t>
        </is>
      </c>
    </row>
    <row r="824">
      <c r="A824" s="0" t="inlineStr">
        <is>
          <t xml:space="preserve">a0823</t>
        </is>
      </c>
      <c r="B824" s="0" t="inlineStr">
        <is>
          <t xml:space="preserve">healthcare</t>
        </is>
      </c>
      <c r="C824" s="0" t="inlineStr">
        <is>
          <t xml:space="preserve">amer_east</t>
        </is>
      </c>
      <c r="D824" s="0" t="inlineStr">
        <is>
          <t xml:space="preserve">smb</t>
        </is>
      </c>
      <c r="E824" s="4">
        <v>47</v>
      </c>
      <c r="F824" s="0" t="inlineStr">
        <is>
          <t xml:space="preserve">Granite Mobility</t>
        </is>
      </c>
    </row>
    <row r="825">
      <c r="A825" s="0" t="inlineStr">
        <is>
          <t xml:space="preserve">a0824</t>
        </is>
      </c>
      <c r="B825" s="0" t="inlineStr">
        <is>
          <t xml:space="preserve">healthcare</t>
        </is>
      </c>
      <c r="C825" s="0" t="inlineStr">
        <is>
          <t xml:space="preserve">amer_east</t>
        </is>
      </c>
      <c r="D825" s="0" t="inlineStr">
        <is>
          <t xml:space="preserve">mid_market</t>
        </is>
      </c>
      <c r="E825" s="4">
        <v>440</v>
      </c>
      <c r="F825" s="0" t="inlineStr">
        <is>
          <t xml:space="preserve">Nimbus Financial Co</t>
        </is>
      </c>
    </row>
    <row r="826">
      <c r="A826" s="0" t="inlineStr">
        <is>
          <t xml:space="preserve">a0825</t>
        </is>
      </c>
      <c r="B826" s="0" t="inlineStr">
        <is>
          <t xml:space="preserve">healthcare</t>
        </is>
      </c>
      <c r="C826" s="0" t="inlineStr">
        <is>
          <t xml:space="preserve">amer_east</t>
        </is>
      </c>
      <c r="D826" s="0" t="inlineStr">
        <is>
          <t xml:space="preserve">mid_market</t>
        </is>
      </c>
      <c r="E826" s="4">
        <v>277</v>
      </c>
      <c r="F826" s="0" t="inlineStr">
        <is>
          <t xml:space="preserve">Lakeside Media Co</t>
        </is>
      </c>
    </row>
    <row r="827">
      <c r="A827" s="0" t="inlineStr">
        <is>
          <t xml:space="preserve">a0826</t>
        </is>
      </c>
      <c r="B827" s="0" t="inlineStr">
        <is>
          <t xml:space="preserve">software</t>
        </is>
      </c>
      <c r="C827" s="0" t="inlineStr">
        <is>
          <t xml:space="preserve">amer_east</t>
        </is>
      </c>
      <c r="D827" s="0" t="inlineStr">
        <is>
          <t xml:space="preserve">smb</t>
        </is>
      </c>
      <c r="E827" s="4">
        <v>44</v>
      </c>
      <c r="F827" s="0" t="inlineStr">
        <is>
          <t xml:space="preserve">Northwind Networks Partners</t>
        </is>
      </c>
    </row>
    <row r="828">
      <c r="A828" s="0" t="inlineStr">
        <is>
          <t xml:space="preserve">a0827</t>
        </is>
      </c>
      <c r="B828" s="0" t="inlineStr">
        <is>
          <t xml:space="preserve">software</t>
        </is>
      </c>
      <c r="C828" s="0" t="inlineStr">
        <is>
          <t xml:space="preserve">amer_east</t>
        </is>
      </c>
      <c r="D828" s="0" t="inlineStr">
        <is>
          <t xml:space="preserve">smb</t>
        </is>
      </c>
      <c r="E828" s="4">
        <v>21</v>
      </c>
      <c r="F828" s="0" t="inlineStr">
        <is>
          <t xml:space="preserve">Atlas Logistics Partners</t>
        </is>
      </c>
    </row>
    <row r="829">
      <c r="A829" s="0" t="inlineStr">
        <is>
          <t xml:space="preserve">a0828</t>
        </is>
      </c>
      <c r="B829" s="0" t="inlineStr">
        <is>
          <t xml:space="preserve">logistics</t>
        </is>
      </c>
      <c r="C829" s="0" t="inlineStr">
        <is>
          <t xml:space="preserve">amer_east</t>
        </is>
      </c>
      <c r="D829" s="0" t="inlineStr">
        <is>
          <t xml:space="preserve">mid_market</t>
        </is>
      </c>
      <c r="E829" s="4">
        <v>353</v>
      </c>
      <c r="F829" s="0" t="inlineStr">
        <is>
          <t xml:space="preserve">Juniper Insurance</t>
        </is>
      </c>
    </row>
    <row r="830">
      <c r="A830" s="0" t="inlineStr">
        <is>
          <t xml:space="preserve">a0829</t>
        </is>
      </c>
      <c r="B830" s="0" t="inlineStr">
        <is>
          <t xml:space="preserve">software</t>
        </is>
      </c>
      <c r="C830" s="0" t="inlineStr">
        <is>
          <t xml:space="preserve">amer_east</t>
        </is>
      </c>
      <c r="D830" s="0" t="inlineStr">
        <is>
          <t xml:space="preserve">enterprise</t>
        </is>
      </c>
      <c r="E830" s="4">
        <v>3211</v>
      </c>
      <c r="F830" s="0" t="inlineStr">
        <is>
          <t xml:space="preserve">Copper Health</t>
        </is>
      </c>
    </row>
    <row r="831">
      <c r="A831" s="0" t="inlineStr">
        <is>
          <t xml:space="preserve">a0830</t>
        </is>
      </c>
      <c r="B831" s="0" t="inlineStr">
        <is>
          <t xml:space="preserve">logistics</t>
        </is>
      </c>
      <c r="C831" s="0" t="inlineStr">
        <is>
          <t xml:space="preserve">amer_east</t>
        </is>
      </c>
      <c r="D831" s="0" t="inlineStr">
        <is>
          <t xml:space="preserve">mid_market</t>
        </is>
      </c>
      <c r="E831" s="4">
        <v>364</v>
      </c>
      <c r="F831" s="0" t="inlineStr">
        <is>
          <t xml:space="preserve">Quantum Biotech SA</t>
        </is>
      </c>
    </row>
    <row r="832">
      <c r="A832" s="0" t="inlineStr">
        <is>
          <t xml:space="preserve">a0831</t>
        </is>
      </c>
      <c r="B832" s="0" t="inlineStr">
        <is>
          <t xml:space="preserve">public_sector</t>
        </is>
      </c>
      <c r="C832" s="0" t="inlineStr">
        <is>
          <t xml:space="preserve">amer_east</t>
        </is>
      </c>
      <c r="D832" s="0" t="inlineStr">
        <is>
          <t xml:space="preserve">smb</t>
        </is>
      </c>
      <c r="E832" s="4">
        <v>23</v>
      </c>
      <c r="F832" s="0" t="inlineStr">
        <is>
          <t xml:space="preserve">Ironbridge Analytics Co</t>
        </is>
      </c>
    </row>
    <row r="833">
      <c r="A833" s="0" t="inlineStr">
        <is>
          <t xml:space="preserve">a0832</t>
        </is>
      </c>
      <c r="B833" s="0" t="inlineStr">
        <is>
          <t xml:space="preserve">retail</t>
        </is>
      </c>
      <c r="C833" s="0" t="inlineStr">
        <is>
          <t xml:space="preserve">amer_east</t>
        </is>
      </c>
      <c r="D833" s="0" t="inlineStr">
        <is>
          <t xml:space="preserve">mid_market</t>
        </is>
      </c>
      <c r="E833" s="4">
        <v>255</v>
      </c>
      <c r="F833" s="0" t="inlineStr">
        <is>
          <t xml:space="preserve">Harbor Robotics Co</t>
        </is>
      </c>
    </row>
    <row r="834">
      <c r="A834" s="0" t="inlineStr">
        <is>
          <t xml:space="preserve">a0833</t>
        </is>
      </c>
      <c r="B834" s="0" t="inlineStr">
        <is>
          <t xml:space="preserve">manufacturing</t>
        </is>
      </c>
      <c r="C834" s="0" t="inlineStr">
        <is>
          <t xml:space="preserve">amer_east</t>
        </is>
      </c>
      <c r="D834" s="0" t="inlineStr">
        <is>
          <t xml:space="preserve">enterprise</t>
        </is>
      </c>
      <c r="E834" s="4">
        <v>2888</v>
      </c>
      <c r="F834" s="0" t="inlineStr">
        <is>
          <t xml:space="preserve">Sable Health</t>
        </is>
      </c>
    </row>
    <row r="835">
      <c r="A835" s="0" t="inlineStr">
        <is>
          <t xml:space="preserve">a0834</t>
        </is>
      </c>
      <c r="B835" s="0" t="inlineStr">
        <is>
          <t xml:space="preserve">retail</t>
        </is>
      </c>
      <c r="C835" s="0" t="inlineStr">
        <is>
          <t xml:space="preserve">amer_east</t>
        </is>
      </c>
      <c r="D835" s="0" t="inlineStr">
        <is>
          <t xml:space="preserve">mid_market</t>
        </is>
      </c>
      <c r="E835" s="4">
        <v>1025</v>
      </c>
      <c r="F835" s="0" t="inlineStr">
        <is>
          <t xml:space="preserve">Ironbridge Systems Group</t>
        </is>
      </c>
    </row>
    <row r="836">
      <c r="A836" s="0" t="inlineStr">
        <is>
          <t xml:space="preserve">a0835</t>
        </is>
      </c>
      <c r="B836" s="0" t="inlineStr">
        <is>
          <t xml:space="preserve">manufacturing</t>
        </is>
      </c>
      <c r="C836" s="0" t="inlineStr">
        <is>
          <t xml:space="preserve">amer_east</t>
        </is>
      </c>
      <c r="D836" s="0" t="inlineStr">
        <is>
          <t xml:space="preserve">mid_market</t>
        </is>
      </c>
      <c r="E836" s="4">
        <v>490</v>
      </c>
      <c r="F836" s="0" t="inlineStr">
        <is>
          <t xml:space="preserve">Beacon Health</t>
        </is>
      </c>
    </row>
    <row r="837">
      <c r="A837" s="0" t="inlineStr">
        <is>
          <t xml:space="preserve">a0836</t>
        </is>
      </c>
      <c r="B837" s="0" t="inlineStr">
        <is>
          <t xml:space="preserve">energy</t>
        </is>
      </c>
      <c r="C837" s="0" t="inlineStr">
        <is>
          <t xml:space="preserve">amer_east</t>
        </is>
      </c>
      <c r="D837" s="0" t="inlineStr">
        <is>
          <t xml:space="preserve">smb</t>
        </is>
      </c>
      <c r="E837" s="4">
        <v>28</v>
      </c>
      <c r="F837" s="0" t="inlineStr">
        <is>
          <t xml:space="preserve">Nimbus Systems</t>
        </is>
      </c>
    </row>
    <row r="838">
      <c r="A838" s="0" t="inlineStr">
        <is>
          <t xml:space="preserve">a0837</t>
        </is>
      </c>
      <c r="B838" s="0" t="inlineStr">
        <is>
          <t xml:space="preserve">energy</t>
        </is>
      </c>
      <c r="C838" s="0" t="inlineStr">
        <is>
          <t xml:space="preserve">amer_east</t>
        </is>
      </c>
      <c r="D838" s="0" t="inlineStr">
        <is>
          <t xml:space="preserve">enterprise</t>
        </is>
      </c>
      <c r="E838" s="4">
        <v>3372</v>
      </c>
      <c r="F838" s="0" t="inlineStr">
        <is>
          <t xml:space="preserve">Harbor Insurance Inc</t>
        </is>
      </c>
    </row>
    <row r="839">
      <c r="A839" s="0" t="inlineStr">
        <is>
          <t xml:space="preserve">a0838</t>
        </is>
      </c>
      <c r="B839" s="0" t="inlineStr">
        <is>
          <t xml:space="preserve">logistics</t>
        </is>
      </c>
      <c r="C839" s="0" t="inlineStr">
        <is>
          <t xml:space="preserve">amer_east</t>
        </is>
      </c>
      <c r="D839" s="0" t="inlineStr">
        <is>
          <t xml:space="preserve">smb</t>
        </is>
      </c>
      <c r="E839" s="4">
        <v>25</v>
      </c>
      <c r="F839" s="0" t="inlineStr">
        <is>
          <t xml:space="preserve">Aurora Health Partners</t>
        </is>
      </c>
    </row>
    <row r="840">
      <c r="A840" s="0" t="inlineStr">
        <is>
          <t xml:space="preserve">a0839</t>
        </is>
      </c>
      <c r="B840" s="0" t="inlineStr">
        <is>
          <t xml:space="preserve">software</t>
        </is>
      </c>
      <c r="C840" s="0" t="inlineStr">
        <is>
          <t xml:space="preserve">amer_east</t>
        </is>
      </c>
      <c r="D840" s="0" t="inlineStr">
        <is>
          <t xml:space="preserve">smb</t>
        </is>
      </c>
      <c r="E840" s="4">
        <v>178</v>
      </c>
      <c r="F840" s="0" t="inlineStr">
        <is>
          <t xml:space="preserve">Vertex Software AG</t>
        </is>
      </c>
    </row>
    <row r="841">
      <c r="A841" s="0" t="inlineStr">
        <is>
          <t xml:space="preserve">a0840</t>
        </is>
      </c>
      <c r="B841" s="0" t="inlineStr">
        <is>
          <t xml:space="preserve">software</t>
        </is>
      </c>
      <c r="C841" s="0" t="inlineStr">
        <is>
          <t xml:space="preserve">amer_west</t>
        </is>
      </c>
      <c r="D841" s="0" t="inlineStr">
        <is>
          <t xml:space="preserve">smb</t>
        </is>
      </c>
      <c r="E841" s="4">
        <v>184</v>
      </c>
      <c r="F841" s="0" t="inlineStr">
        <is>
          <t xml:space="preserve">Keystone Materials Co</t>
        </is>
      </c>
    </row>
    <row r="842">
      <c r="A842" s="0" t="inlineStr">
        <is>
          <t xml:space="preserve">a0841</t>
        </is>
      </c>
      <c r="B842" s="0" t="inlineStr">
        <is>
          <t xml:space="preserve">manufacturing</t>
        </is>
      </c>
      <c r="C842" s="0" t="inlineStr">
        <is>
          <t xml:space="preserve">amer_west</t>
        </is>
      </c>
      <c r="D842" s="0" t="inlineStr">
        <is>
          <t xml:space="preserve">mid_market</t>
        </is>
      </c>
      <c r="E842" s="4">
        <v>1133</v>
      </c>
      <c r="F842" s="0" t="inlineStr">
        <is>
          <t xml:space="preserve">Beacon Manufacturing</t>
        </is>
      </c>
    </row>
    <row r="843">
      <c r="A843" s="0" t="inlineStr">
        <is>
          <t xml:space="preserve">a0842</t>
        </is>
      </c>
      <c r="B843" s="0" t="inlineStr">
        <is>
          <t xml:space="preserve">software</t>
        </is>
      </c>
      <c r="C843" s="0" t="inlineStr">
        <is>
          <t xml:space="preserve">amer_west</t>
        </is>
      </c>
      <c r="D843" s="0" t="inlineStr">
        <is>
          <t xml:space="preserve">enterprise</t>
        </is>
      </c>
      <c r="E843" s="4">
        <v>3492</v>
      </c>
      <c r="F843" s="0" t="inlineStr">
        <is>
          <t xml:space="preserve">Quantum Foods Holdings</t>
        </is>
      </c>
    </row>
    <row r="844">
      <c r="A844" s="0" t="inlineStr">
        <is>
          <t xml:space="preserve">a0843</t>
        </is>
      </c>
      <c r="B844" s="0" t="inlineStr">
        <is>
          <t xml:space="preserve">logistics</t>
        </is>
      </c>
      <c r="C844" s="0" t="inlineStr">
        <is>
          <t xml:space="preserve">amer_west</t>
        </is>
      </c>
      <c r="D844" s="0" t="inlineStr">
        <is>
          <t xml:space="preserve">mid_market</t>
        </is>
      </c>
      <c r="E844" s="4">
        <v>324</v>
      </c>
      <c r="F844" s="0" t="inlineStr">
        <is>
          <t xml:space="preserve">Redwood Labs Group</t>
        </is>
      </c>
    </row>
    <row r="845">
      <c r="A845" s="0" t="inlineStr">
        <is>
          <t xml:space="preserve">a0844</t>
        </is>
      </c>
      <c r="B845" s="0" t="inlineStr">
        <is>
          <t xml:space="preserve">education</t>
        </is>
      </c>
      <c r="C845" s="0" t="inlineStr">
        <is>
          <t xml:space="preserve">amer_west</t>
        </is>
      </c>
      <c r="D845" s="0" t="inlineStr">
        <is>
          <t xml:space="preserve">mid_market</t>
        </is>
      </c>
      <c r="E845" s="4">
        <v>268</v>
      </c>
      <c r="F845" s="0" t="inlineStr">
        <is>
          <t xml:space="preserve">Umber Learning Inc</t>
        </is>
      </c>
    </row>
    <row r="846">
      <c r="A846" s="0" t="inlineStr">
        <is>
          <t xml:space="preserve">a0845</t>
        </is>
      </c>
      <c r="B846" s="0" t="inlineStr">
        <is>
          <t xml:space="preserve">software</t>
        </is>
      </c>
      <c r="C846" s="0" t="inlineStr">
        <is>
          <t xml:space="preserve">amer_west</t>
        </is>
      </c>
      <c r="D846" s="0" t="inlineStr">
        <is>
          <t xml:space="preserve">enterprise</t>
        </is>
      </c>
      <c r="E846" s="4">
        <v>2697</v>
      </c>
      <c r="F846" s="0" t="inlineStr">
        <is>
          <t xml:space="preserve">Falcon Energy Holdings</t>
        </is>
      </c>
    </row>
    <row r="847">
      <c r="A847" s="0" t="inlineStr">
        <is>
          <t xml:space="preserve">a0846</t>
        </is>
      </c>
      <c r="B847" s="0" t="inlineStr">
        <is>
          <t xml:space="preserve">software</t>
        </is>
      </c>
      <c r="C847" s="0" t="inlineStr">
        <is>
          <t xml:space="preserve">amer_west</t>
        </is>
      </c>
      <c r="D847" s="0" t="inlineStr">
        <is>
          <t xml:space="preserve">mid_market</t>
        </is>
      </c>
      <c r="E847" s="4">
        <v>275</v>
      </c>
      <c r="F847" s="0" t="inlineStr">
        <is>
          <t xml:space="preserve">Blue Harbor Software Co</t>
        </is>
      </c>
    </row>
    <row r="848">
      <c r="A848" s="0" t="inlineStr">
        <is>
          <t xml:space="preserve">a0847</t>
        </is>
      </c>
      <c r="B848" s="0" t="inlineStr">
        <is>
          <t xml:space="preserve">software</t>
        </is>
      </c>
      <c r="C848" s="0" t="inlineStr">
        <is>
          <t xml:space="preserve">amer_west</t>
        </is>
      </c>
      <c r="D848" s="0" t="inlineStr">
        <is>
          <t xml:space="preserve">mid_market</t>
        </is>
      </c>
      <c r="E848" s="4">
        <v>263</v>
      </c>
      <c r="F848" s="0" t="inlineStr">
        <is>
          <t xml:space="preserve">Keystone Materials AG</t>
        </is>
      </c>
    </row>
    <row r="849">
      <c r="A849" s="0" t="inlineStr">
        <is>
          <t xml:space="preserve">a0848</t>
        </is>
      </c>
      <c r="B849" s="0" t="inlineStr">
        <is>
          <t xml:space="preserve">logistics</t>
        </is>
      </c>
      <c r="C849" s="0" t="inlineStr">
        <is>
          <t xml:space="preserve">amer_west</t>
        </is>
      </c>
      <c r="D849" s="0" t="inlineStr">
        <is>
          <t xml:space="preserve">enterprise</t>
        </is>
      </c>
      <c r="E849" s="4">
        <v>3793</v>
      </c>
      <c r="F849" s="0" t="inlineStr">
        <is>
          <t xml:space="preserve">Tidewater Energy Holdings</t>
        </is>
      </c>
    </row>
    <row r="850">
      <c r="A850" s="0" t="inlineStr">
        <is>
          <t xml:space="preserve">a0849</t>
        </is>
      </c>
      <c r="B850" s="0" t="inlineStr">
        <is>
          <t xml:space="preserve">software</t>
        </is>
      </c>
      <c r="C850" s="0" t="inlineStr">
        <is>
          <t xml:space="preserve">amer_west</t>
        </is>
      </c>
      <c r="D850" s="0" t="inlineStr">
        <is>
          <t xml:space="preserve">mid_market</t>
        </is>
      </c>
      <c r="E850" s="4">
        <v>1378</v>
      </c>
      <c r="F850" s="0" t="inlineStr">
        <is>
          <t xml:space="preserve">Nimbus Manufacturing AG</t>
        </is>
      </c>
    </row>
    <row r="851">
      <c r="A851" s="0" t="inlineStr">
        <is>
          <t xml:space="preserve">a0850</t>
        </is>
      </c>
      <c r="B851" s="0" t="inlineStr">
        <is>
          <t xml:space="preserve">software</t>
        </is>
      </c>
      <c r="C851" s="0" t="inlineStr">
        <is>
          <t xml:space="preserve">amer_west</t>
        </is>
      </c>
      <c r="D851" s="0" t="inlineStr">
        <is>
          <t xml:space="preserve">enterprise</t>
        </is>
      </c>
      <c r="E851" s="4">
        <v>4234</v>
      </c>
      <c r="F851" s="0" t="inlineStr">
        <is>
          <t xml:space="preserve">Meridian Networks Holdings</t>
        </is>
      </c>
    </row>
    <row r="852">
      <c r="A852" s="0" t="inlineStr">
        <is>
          <t xml:space="preserve">a0851</t>
        </is>
      </c>
      <c r="B852" s="0" t="inlineStr">
        <is>
          <t xml:space="preserve">education</t>
        </is>
      </c>
      <c r="C852" s="0" t="inlineStr">
        <is>
          <t xml:space="preserve">amer_west</t>
        </is>
      </c>
      <c r="D852" s="0" t="inlineStr">
        <is>
          <t xml:space="preserve">smb</t>
        </is>
      </c>
      <c r="E852" s="4">
        <v>26</v>
      </c>
      <c r="F852" s="0" t="inlineStr">
        <is>
          <t xml:space="preserve">Atlas Manufacturing</t>
        </is>
      </c>
    </row>
    <row r="853">
      <c r="A853" s="0" t="inlineStr">
        <is>
          <t xml:space="preserve">a0852</t>
        </is>
      </c>
      <c r="B853" s="0" t="inlineStr">
        <is>
          <t xml:space="preserve">financial_services</t>
        </is>
      </c>
      <c r="C853" s="0" t="inlineStr">
        <is>
          <t xml:space="preserve">amer_west</t>
        </is>
      </c>
      <c r="D853" s="0" t="inlineStr">
        <is>
          <t xml:space="preserve">smb</t>
        </is>
      </c>
      <c r="E853" s="4">
        <v>30</v>
      </c>
      <c r="F853" s="0" t="inlineStr">
        <is>
          <t xml:space="preserve">Summit Foods</t>
        </is>
      </c>
    </row>
    <row r="854">
      <c r="A854" s="0" t="inlineStr">
        <is>
          <t xml:space="preserve">a0853</t>
        </is>
      </c>
      <c r="B854" s="0" t="inlineStr">
        <is>
          <t xml:space="preserve">retail</t>
        </is>
      </c>
      <c r="C854" s="0" t="inlineStr">
        <is>
          <t xml:space="preserve">amer_west</t>
        </is>
      </c>
      <c r="D854" s="0" t="inlineStr">
        <is>
          <t xml:space="preserve">mid_market</t>
        </is>
      </c>
      <c r="E854" s="4">
        <v>416</v>
      </c>
      <c r="F854" s="0" t="inlineStr">
        <is>
          <t xml:space="preserve">Redwood Health</t>
        </is>
      </c>
    </row>
    <row r="855">
      <c r="A855" s="0" t="inlineStr">
        <is>
          <t xml:space="preserve">a0854</t>
        </is>
      </c>
      <c r="B855" s="0" t="inlineStr">
        <is>
          <t xml:space="preserve">software</t>
        </is>
      </c>
      <c r="C855" s="0" t="inlineStr">
        <is>
          <t xml:space="preserve">amer_west</t>
        </is>
      </c>
      <c r="D855" s="0" t="inlineStr">
        <is>
          <t xml:space="preserve">smb</t>
        </is>
      </c>
      <c r="E855" s="4">
        <v>119</v>
      </c>
      <c r="F855" s="0" t="inlineStr">
        <is>
          <t xml:space="preserve">Ironbridge Biotech Inc</t>
        </is>
      </c>
    </row>
    <row r="856">
      <c r="A856" s="0" t="inlineStr">
        <is>
          <t xml:space="preserve">a0855</t>
        </is>
      </c>
      <c r="B856" s="0" t="inlineStr">
        <is>
          <t xml:space="preserve">retail</t>
        </is>
      </c>
      <c r="C856" s="0" t="inlineStr">
        <is>
          <t xml:space="preserve">amer_west</t>
        </is>
      </c>
      <c r="D856" s="0" t="inlineStr">
        <is>
          <t xml:space="preserve">mid_market</t>
        </is>
      </c>
      <c r="E856" s="4">
        <v>277</v>
      </c>
      <c r="F856" s="0" t="inlineStr">
        <is>
          <t xml:space="preserve">Quantum Foods Ltd</t>
        </is>
      </c>
    </row>
    <row r="857">
      <c r="A857" s="0" t="inlineStr">
        <is>
          <t xml:space="preserve">a0856</t>
        </is>
      </c>
      <c r="B857" s="0" t="inlineStr">
        <is>
          <t xml:space="preserve">energy</t>
        </is>
      </c>
      <c r="C857" s="0" t="inlineStr">
        <is>
          <t xml:space="preserve">emea</t>
        </is>
      </c>
      <c r="D857" s="0" t="inlineStr">
        <is>
          <t xml:space="preserve">smb</t>
        </is>
      </c>
      <c r="E857" s="4">
        <v>60</v>
      </c>
      <c r="F857" s="0" t="inlineStr">
        <is>
          <t xml:space="preserve">Silverline Labs Co</t>
        </is>
      </c>
    </row>
    <row r="858">
      <c r="A858" s="0" t="inlineStr">
        <is>
          <t xml:space="preserve">a0857</t>
        </is>
      </c>
      <c r="B858" s="0" t="inlineStr">
        <is>
          <t xml:space="preserve">healthcare</t>
        </is>
      </c>
      <c r="C858" s="0" t="inlineStr">
        <is>
          <t xml:space="preserve">emea</t>
        </is>
      </c>
      <c r="D858" s="0" t="inlineStr">
        <is>
          <t xml:space="preserve">enterprise</t>
        </is>
      </c>
      <c r="E858" s="4">
        <v>3999</v>
      </c>
      <c r="F858" s="0" t="inlineStr">
        <is>
          <t xml:space="preserve">Juniper Robotics SA</t>
        </is>
      </c>
    </row>
    <row r="859">
      <c r="A859" s="0" t="inlineStr">
        <is>
          <t xml:space="preserve">a0858</t>
        </is>
      </c>
      <c r="B859" s="0" t="inlineStr">
        <is>
          <t xml:space="preserve">financial_services</t>
        </is>
      </c>
      <c r="C859" s="0" t="inlineStr">
        <is>
          <t xml:space="preserve">emea</t>
        </is>
      </c>
      <c r="D859" s="0" t="inlineStr">
        <is>
          <t xml:space="preserve">smb</t>
        </is>
      </c>
      <c r="E859" s="4">
        <v>24</v>
      </c>
      <c r="F859" s="0" t="inlineStr">
        <is>
          <t xml:space="preserve">Silverline Software Partners</t>
        </is>
      </c>
    </row>
    <row r="860">
      <c r="A860" s="0" t="inlineStr">
        <is>
          <t xml:space="preserve">a0859</t>
        </is>
      </c>
      <c r="B860" s="0" t="inlineStr">
        <is>
          <t xml:space="preserve">software</t>
        </is>
      </c>
      <c r="C860" s="0" t="inlineStr">
        <is>
          <t xml:space="preserve">emea</t>
        </is>
      </c>
      <c r="D860" s="0" t="inlineStr">
        <is>
          <t xml:space="preserve">mid_market</t>
        </is>
      </c>
      <c r="E860" s="4">
        <v>332</v>
      </c>
      <c r="F860" s="0" t="inlineStr">
        <is>
          <t xml:space="preserve">Tidewater Software Inc</t>
        </is>
      </c>
    </row>
    <row r="861">
      <c r="A861" s="0" t="inlineStr">
        <is>
          <t xml:space="preserve">a0860</t>
        </is>
      </c>
      <c r="B861" s="0" t="inlineStr">
        <is>
          <t xml:space="preserve">retail</t>
        </is>
      </c>
      <c r="C861" s="0" t="inlineStr">
        <is>
          <t xml:space="preserve">emea</t>
        </is>
      </c>
      <c r="D861" s="0" t="inlineStr">
        <is>
          <t xml:space="preserve">mid_market</t>
        </is>
      </c>
      <c r="E861" s="4">
        <v>320</v>
      </c>
      <c r="F861" s="0" t="inlineStr">
        <is>
          <t xml:space="preserve">Umber Biotech AG</t>
        </is>
      </c>
    </row>
    <row r="862">
      <c r="A862" s="0" t="inlineStr">
        <is>
          <t xml:space="preserve">a0861</t>
        </is>
      </c>
      <c r="B862" s="0" t="inlineStr">
        <is>
          <t xml:space="preserve">media</t>
        </is>
      </c>
      <c r="C862" s="0" t="inlineStr">
        <is>
          <t xml:space="preserve">emea</t>
        </is>
      </c>
      <c r="D862" s="0" t="inlineStr">
        <is>
          <t xml:space="preserve">enterprise</t>
        </is>
      </c>
      <c r="E862" s="4">
        <v>9180</v>
      </c>
      <c r="F862" s="0" t="inlineStr">
        <is>
          <t xml:space="preserve">Blue Harbor Learning</t>
        </is>
      </c>
    </row>
    <row r="863">
      <c r="A863" s="0" t="inlineStr">
        <is>
          <t xml:space="preserve">a0862</t>
        </is>
      </c>
      <c r="B863" s="0" t="inlineStr">
        <is>
          <t xml:space="preserve">financial_services</t>
        </is>
      </c>
      <c r="C863" s="0" t="inlineStr">
        <is>
          <t xml:space="preserve">emea</t>
        </is>
      </c>
      <c r="D863" s="0" t="inlineStr">
        <is>
          <t xml:space="preserve">smb</t>
        </is>
      </c>
      <c r="E863" s="4">
        <v>21</v>
      </c>
      <c r="F863" s="0" t="inlineStr">
        <is>
          <t xml:space="preserve">Copper Capital Co</t>
        </is>
      </c>
    </row>
    <row r="864">
      <c r="A864" s="0" t="inlineStr">
        <is>
          <t xml:space="preserve">a0863</t>
        </is>
      </c>
      <c r="B864" s="0" t="inlineStr">
        <is>
          <t xml:space="preserve">software</t>
        </is>
      </c>
      <c r="C864" s="0" t="inlineStr">
        <is>
          <t xml:space="preserve">emea</t>
        </is>
      </c>
      <c r="D864" s="0" t="inlineStr">
        <is>
          <t xml:space="preserve">mid_market</t>
        </is>
      </c>
      <c r="E864" s="4">
        <v>627</v>
      </c>
      <c r="F864" s="0" t="inlineStr">
        <is>
          <t xml:space="preserve">Pioneer Systems Group</t>
        </is>
      </c>
    </row>
    <row r="865">
      <c r="A865" s="0" t="inlineStr">
        <is>
          <t xml:space="preserve">a0864</t>
        </is>
      </c>
      <c r="B865" s="0" t="inlineStr">
        <is>
          <t xml:space="preserve">healthcare</t>
        </is>
      </c>
      <c r="C865" s="0" t="inlineStr">
        <is>
          <t xml:space="preserve">emea</t>
        </is>
      </c>
      <c r="D865" s="0" t="inlineStr">
        <is>
          <t xml:space="preserve">smb</t>
        </is>
      </c>
      <c r="E865" s="4">
        <v>33</v>
      </c>
      <c r="F865" s="0" t="inlineStr">
        <is>
          <t xml:space="preserve">Granite Manufacturing Inc</t>
        </is>
      </c>
    </row>
    <row r="866">
      <c r="A866" s="0" t="inlineStr">
        <is>
          <t xml:space="preserve">a0865</t>
        </is>
      </c>
      <c r="B866" s="0" t="inlineStr">
        <is>
          <t xml:space="preserve">public_sector</t>
        </is>
      </c>
      <c r="C866" s="0" t="inlineStr">
        <is>
          <t xml:space="preserve">emea</t>
        </is>
      </c>
      <c r="D866" s="0" t="inlineStr">
        <is>
          <t xml:space="preserve">enterprise</t>
        </is>
      </c>
      <c r="E866" s="4">
        <v>4291</v>
      </c>
      <c r="F866" s="0" t="inlineStr">
        <is>
          <t xml:space="preserve">Quantum Financial Ltd</t>
        </is>
      </c>
    </row>
    <row r="867">
      <c r="A867" s="0" t="inlineStr">
        <is>
          <t xml:space="preserve">a0866</t>
        </is>
      </c>
      <c r="B867" s="0" t="inlineStr">
        <is>
          <t xml:space="preserve">healthcare</t>
        </is>
      </c>
      <c r="C867" s="0" t="inlineStr">
        <is>
          <t xml:space="preserve">emea</t>
        </is>
      </c>
      <c r="D867" s="0" t="inlineStr">
        <is>
          <t xml:space="preserve">mid_market</t>
        </is>
      </c>
      <c r="E867" s="4">
        <v>339</v>
      </c>
      <c r="F867" s="0" t="inlineStr">
        <is>
          <t xml:space="preserve">Meridian Health SA</t>
        </is>
      </c>
    </row>
    <row r="868">
      <c r="A868" s="0" t="inlineStr">
        <is>
          <t xml:space="preserve">a0867</t>
        </is>
      </c>
      <c r="B868" s="0" t="inlineStr">
        <is>
          <t xml:space="preserve">energy</t>
        </is>
      </c>
      <c r="C868" s="0" t="inlineStr">
        <is>
          <t xml:space="preserve">emea</t>
        </is>
      </c>
      <c r="D868" s="0" t="inlineStr">
        <is>
          <t xml:space="preserve">smb</t>
        </is>
      </c>
      <c r="E868" s="4">
        <v>25</v>
      </c>
      <c r="F868" s="0" t="inlineStr">
        <is>
          <t xml:space="preserve">Horizon Mobility Partners</t>
        </is>
      </c>
    </row>
    <row r="869">
      <c r="A869" s="0" t="inlineStr">
        <is>
          <t xml:space="preserve">a0868</t>
        </is>
      </c>
      <c r="B869" s="0" t="inlineStr">
        <is>
          <t xml:space="preserve">financial_services</t>
        </is>
      </c>
      <c r="C869" s="0" t="inlineStr">
        <is>
          <t xml:space="preserve">emea</t>
        </is>
      </c>
      <c r="D869" s="0" t="inlineStr">
        <is>
          <t xml:space="preserve">mid_market</t>
        </is>
      </c>
      <c r="E869" s="4">
        <v>268</v>
      </c>
      <c r="F869" s="0" t="inlineStr">
        <is>
          <t xml:space="preserve">Northwind Learning Inc</t>
        </is>
      </c>
    </row>
    <row r="870">
      <c r="A870" s="0" t="inlineStr">
        <is>
          <t xml:space="preserve">a0869</t>
        </is>
      </c>
      <c r="B870" s="0" t="inlineStr">
        <is>
          <t xml:space="preserve">healthcare</t>
        </is>
      </c>
      <c r="C870" s="0" t="inlineStr">
        <is>
          <t xml:space="preserve">emea</t>
        </is>
      </c>
      <c r="D870" s="0" t="inlineStr">
        <is>
          <t xml:space="preserve">smb</t>
        </is>
      </c>
      <c r="E870" s="4">
        <v>23</v>
      </c>
      <c r="F870" s="0" t="inlineStr">
        <is>
          <t xml:space="preserve">Summit Financial AG</t>
        </is>
      </c>
    </row>
    <row r="871">
      <c r="A871" s="0" t="inlineStr">
        <is>
          <t xml:space="preserve">a0870</t>
        </is>
      </c>
      <c r="B871" s="0" t="inlineStr">
        <is>
          <t xml:space="preserve">financial_services</t>
        </is>
      </c>
      <c r="C871" s="0" t="inlineStr">
        <is>
          <t xml:space="preserve">emea</t>
        </is>
      </c>
      <c r="D871" s="0" t="inlineStr">
        <is>
          <t xml:space="preserve">smb</t>
        </is>
      </c>
      <c r="E871" s="4">
        <v>99</v>
      </c>
      <c r="F871" s="0" t="inlineStr">
        <is>
          <t xml:space="preserve">Northwind Learning SA</t>
        </is>
      </c>
    </row>
    <row r="872">
      <c r="A872" s="0" t="inlineStr">
        <is>
          <t xml:space="preserve">a0871</t>
        </is>
      </c>
      <c r="B872" s="0" t="inlineStr">
        <is>
          <t xml:space="preserve">healthcare</t>
        </is>
      </c>
      <c r="C872" s="0" t="inlineStr">
        <is>
          <t xml:space="preserve">emea</t>
        </is>
      </c>
      <c r="D872" s="0" t="inlineStr">
        <is>
          <t xml:space="preserve">smb</t>
        </is>
      </c>
      <c r="E872" s="4">
        <v>91</v>
      </c>
      <c r="F872" s="0" t="inlineStr">
        <is>
          <t xml:space="preserve">Vertex Materials Co</t>
        </is>
      </c>
    </row>
    <row r="873">
      <c r="A873" s="0" t="inlineStr">
        <is>
          <t xml:space="preserve">a0872</t>
        </is>
      </c>
      <c r="B873" s="0" t="inlineStr">
        <is>
          <t xml:space="preserve">healthcare</t>
        </is>
      </c>
      <c r="C873" s="0" t="inlineStr">
        <is>
          <t xml:space="preserve">emea</t>
        </is>
      </c>
      <c r="D873" s="0" t="inlineStr">
        <is>
          <t xml:space="preserve">smb</t>
        </is>
      </c>
      <c r="E873" s="4">
        <v>31</v>
      </c>
      <c r="F873" s="0" t="inlineStr">
        <is>
          <t xml:space="preserve">Aurora Learning Inc</t>
        </is>
      </c>
    </row>
    <row r="874">
      <c r="A874" s="0" t="inlineStr">
        <is>
          <t xml:space="preserve">a0873</t>
        </is>
      </c>
      <c r="B874" s="0" t="inlineStr">
        <is>
          <t xml:space="preserve">logistics</t>
        </is>
      </c>
      <c r="C874" s="0" t="inlineStr">
        <is>
          <t xml:space="preserve">emea</t>
        </is>
      </c>
      <c r="D874" s="0" t="inlineStr">
        <is>
          <t xml:space="preserve">mid_market</t>
        </is>
      </c>
      <c r="E874" s="4">
        <v>1782</v>
      </c>
      <c r="F874" s="0" t="inlineStr">
        <is>
          <t xml:space="preserve">Keystone Media Partners</t>
        </is>
      </c>
    </row>
    <row r="875">
      <c r="A875" s="0" t="inlineStr">
        <is>
          <t xml:space="preserve">a0874</t>
        </is>
      </c>
      <c r="B875" s="0" t="inlineStr">
        <is>
          <t xml:space="preserve">logistics</t>
        </is>
      </c>
      <c r="C875" s="0" t="inlineStr">
        <is>
          <t xml:space="preserve">emea</t>
        </is>
      </c>
      <c r="D875" s="0" t="inlineStr">
        <is>
          <t xml:space="preserve">smb</t>
        </is>
      </c>
      <c r="E875" s="4">
        <v>91</v>
      </c>
      <c r="F875" s="0" t="inlineStr">
        <is>
          <t xml:space="preserve">Sable Energy SA</t>
        </is>
      </c>
    </row>
    <row r="876">
      <c r="A876" s="0" t="inlineStr">
        <is>
          <t xml:space="preserve">a0875</t>
        </is>
      </c>
      <c r="B876" s="0" t="inlineStr">
        <is>
          <t xml:space="preserve">retail</t>
        </is>
      </c>
      <c r="C876" s="0" t="inlineStr">
        <is>
          <t xml:space="preserve">apac</t>
        </is>
      </c>
      <c r="D876" s="0" t="inlineStr">
        <is>
          <t xml:space="preserve">enterprise</t>
        </is>
      </c>
      <c r="E876" s="4">
        <v>5550</v>
      </c>
      <c r="F876" s="0" t="inlineStr">
        <is>
          <t xml:space="preserve">Quantum Mobility Co</t>
        </is>
      </c>
    </row>
    <row r="877">
      <c r="A877" s="0" t="inlineStr">
        <is>
          <t xml:space="preserve">a0876</t>
        </is>
      </c>
      <c r="B877" s="0" t="inlineStr">
        <is>
          <t xml:space="preserve">manufacturing</t>
        </is>
      </c>
      <c r="C877" s="0" t="inlineStr">
        <is>
          <t xml:space="preserve">apac</t>
        </is>
      </c>
      <c r="D877" s="0" t="inlineStr">
        <is>
          <t xml:space="preserve">mid_market</t>
        </is>
      </c>
      <c r="E877" s="4">
        <v>281</v>
      </c>
      <c r="F877" s="0" t="inlineStr">
        <is>
          <t xml:space="preserve">Tidewater Materials Holdings</t>
        </is>
      </c>
    </row>
    <row r="878">
      <c r="A878" s="0" t="inlineStr">
        <is>
          <t xml:space="preserve">a0877</t>
        </is>
      </c>
      <c r="B878" s="0" t="inlineStr">
        <is>
          <t xml:space="preserve">financial_services</t>
        </is>
      </c>
      <c r="C878" s="0" t="inlineStr">
        <is>
          <t xml:space="preserve">apac</t>
        </is>
      </c>
      <c r="D878" s="0" t="inlineStr">
        <is>
          <t xml:space="preserve">smb</t>
        </is>
      </c>
      <c r="E878" s="4">
        <v>92</v>
      </c>
      <c r="F878" s="0" t="inlineStr">
        <is>
          <t xml:space="preserve">Vertex Health Co</t>
        </is>
      </c>
    </row>
    <row r="879">
      <c r="A879" s="0" t="inlineStr">
        <is>
          <t xml:space="preserve">a0878</t>
        </is>
      </c>
      <c r="B879" s="0" t="inlineStr">
        <is>
          <t xml:space="preserve">manufacturing</t>
        </is>
      </c>
      <c r="C879" s="0" t="inlineStr">
        <is>
          <t xml:space="preserve">apac</t>
        </is>
      </c>
      <c r="D879" s="0" t="inlineStr">
        <is>
          <t xml:space="preserve">smb</t>
        </is>
      </c>
      <c r="E879" s="4">
        <v>35</v>
      </c>
      <c r="F879" s="0" t="inlineStr">
        <is>
          <t xml:space="preserve">Vertex Insurance AG</t>
        </is>
      </c>
    </row>
    <row r="880">
      <c r="A880" s="0" t="inlineStr">
        <is>
          <t xml:space="preserve">a0879</t>
        </is>
      </c>
      <c r="B880" s="0" t="inlineStr">
        <is>
          <t xml:space="preserve">software</t>
        </is>
      </c>
      <c r="C880" s="0" t="inlineStr">
        <is>
          <t xml:space="preserve">apac</t>
        </is>
      </c>
      <c r="D880" s="0" t="inlineStr">
        <is>
          <t xml:space="preserve">smb</t>
        </is>
      </c>
      <c r="E880" s="4">
        <v>140</v>
      </c>
      <c r="F880" s="0" t="inlineStr">
        <is>
          <t xml:space="preserve">Northwind Manufacturing Group</t>
        </is>
      </c>
    </row>
    <row r="881">
      <c r="A881" s="0" t="inlineStr">
        <is>
          <t xml:space="preserve">a0880</t>
        </is>
      </c>
      <c r="B881" s="0" t="inlineStr">
        <is>
          <t xml:space="preserve">software</t>
        </is>
      </c>
      <c r="C881" s="0" t="inlineStr">
        <is>
          <t xml:space="preserve">apac</t>
        </is>
      </c>
      <c r="D881" s="0" t="inlineStr">
        <is>
          <t xml:space="preserve">mid_market</t>
        </is>
      </c>
      <c r="E881" s="4">
        <v>344</v>
      </c>
      <c r="F881" s="0" t="inlineStr">
        <is>
          <t xml:space="preserve">Granite Systems SA</t>
        </is>
      </c>
    </row>
    <row r="882">
      <c r="A882" s="0" t="inlineStr">
        <is>
          <t xml:space="preserve">a0881</t>
        </is>
      </c>
      <c r="B882" s="0" t="inlineStr">
        <is>
          <t xml:space="preserve">software</t>
        </is>
      </c>
      <c r="C882" s="0" t="inlineStr">
        <is>
          <t xml:space="preserve">apac</t>
        </is>
      </c>
      <c r="D882" s="0" t="inlineStr">
        <is>
          <t xml:space="preserve">smb</t>
        </is>
      </c>
      <c r="E882" s="4">
        <v>111</v>
      </c>
      <c r="F882" s="0" t="inlineStr">
        <is>
          <t xml:space="preserve">Vertex Analytics Ltd</t>
        </is>
      </c>
    </row>
    <row r="883">
      <c r="A883" s="0" t="inlineStr">
        <is>
          <t xml:space="preserve">a0882</t>
        </is>
      </c>
      <c r="B883" s="0" t="inlineStr">
        <is>
          <t xml:space="preserve">healthcare</t>
        </is>
      </c>
      <c r="C883" s="0" t="inlineStr">
        <is>
          <t xml:space="preserve">apac</t>
        </is>
      </c>
      <c r="D883" s="0" t="inlineStr">
        <is>
          <t xml:space="preserve">enterprise</t>
        </is>
      </c>
      <c r="E883" s="4">
        <v>3082</v>
      </c>
      <c r="F883" s="0" t="inlineStr">
        <is>
          <t xml:space="preserve">Granite Media Group</t>
        </is>
      </c>
    </row>
    <row r="884">
      <c r="A884" s="0" t="inlineStr">
        <is>
          <t xml:space="preserve">a0883</t>
        </is>
      </c>
      <c r="B884" s="0" t="inlineStr">
        <is>
          <t xml:space="preserve">software</t>
        </is>
      </c>
      <c r="C884" s="0" t="inlineStr">
        <is>
          <t xml:space="preserve">apac</t>
        </is>
      </c>
      <c r="D884" s="0" t="inlineStr">
        <is>
          <t xml:space="preserve">mid_market</t>
        </is>
      </c>
      <c r="E884" s="4">
        <v>396</v>
      </c>
      <c r="F884" s="0" t="inlineStr">
        <is>
          <t xml:space="preserve">Quantum Health Co</t>
        </is>
      </c>
    </row>
    <row r="885">
      <c r="A885" s="0" t="inlineStr">
        <is>
          <t xml:space="preserve">a0884</t>
        </is>
      </c>
      <c r="B885" s="0" t="inlineStr">
        <is>
          <t xml:space="preserve">energy</t>
        </is>
      </c>
      <c r="C885" s="0" t="inlineStr">
        <is>
          <t xml:space="preserve">apac</t>
        </is>
      </c>
      <c r="D885" s="0" t="inlineStr">
        <is>
          <t xml:space="preserve">smb</t>
        </is>
      </c>
      <c r="E885" s="4">
        <v>85</v>
      </c>
      <c r="F885" s="0" t="inlineStr">
        <is>
          <t xml:space="preserve">Cobalt Analytics</t>
        </is>
      </c>
    </row>
    <row r="886">
      <c r="A886" s="0" t="inlineStr">
        <is>
          <t xml:space="preserve">a0885</t>
        </is>
      </c>
      <c r="B886" s="0" t="inlineStr">
        <is>
          <t xml:space="preserve">financial_services</t>
        </is>
      </c>
      <c r="C886" s="0" t="inlineStr">
        <is>
          <t xml:space="preserve">apac</t>
        </is>
      </c>
      <c r="D886" s="0" t="inlineStr">
        <is>
          <t xml:space="preserve">smb</t>
        </is>
      </c>
      <c r="E886" s="4">
        <v>67</v>
      </c>
      <c r="F886" s="0" t="inlineStr">
        <is>
          <t xml:space="preserve">Orchard Foods Partners</t>
        </is>
      </c>
    </row>
    <row r="887">
      <c r="A887" s="0" t="inlineStr">
        <is>
          <t xml:space="preserve">a0886</t>
        </is>
      </c>
      <c r="B887" s="0" t="inlineStr">
        <is>
          <t xml:space="preserve">financial_services</t>
        </is>
      </c>
      <c r="C887" s="0" t="inlineStr">
        <is>
          <t xml:space="preserve">amer_east</t>
        </is>
      </c>
      <c r="D887" s="0" t="inlineStr">
        <is>
          <t xml:space="preserve">mid_market</t>
        </is>
      </c>
      <c r="E887" s="4">
        <v>774</v>
      </c>
      <c r="F887" s="0" t="inlineStr">
        <is>
          <t xml:space="preserve">Evergreen Financial</t>
        </is>
      </c>
    </row>
    <row r="888">
      <c r="A888" s="0" t="inlineStr">
        <is>
          <t xml:space="preserve">a0887</t>
        </is>
      </c>
      <c r="B888" s="0" t="inlineStr">
        <is>
          <t xml:space="preserve">manufacturing</t>
        </is>
      </c>
      <c r="C888" s="0" t="inlineStr">
        <is>
          <t xml:space="preserve">amer_east</t>
        </is>
      </c>
      <c r="D888" s="0" t="inlineStr">
        <is>
          <t xml:space="preserve">mid_market</t>
        </is>
      </c>
      <c r="E888" s="4">
        <v>1144</v>
      </c>
      <c r="F888" s="0" t="inlineStr">
        <is>
          <t xml:space="preserve">Evergreen Networks Inc</t>
        </is>
      </c>
    </row>
    <row r="889">
      <c r="A889" s="0" t="inlineStr">
        <is>
          <t xml:space="preserve">a0888</t>
        </is>
      </c>
      <c r="B889" s="0" t="inlineStr">
        <is>
          <t xml:space="preserve">financial_services</t>
        </is>
      </c>
      <c r="C889" s="0" t="inlineStr">
        <is>
          <t xml:space="preserve">amer_east</t>
        </is>
      </c>
      <c r="D889" s="0" t="inlineStr">
        <is>
          <t xml:space="preserve">smb</t>
        </is>
      </c>
      <c r="E889" s="4">
        <v>52</v>
      </c>
      <c r="F889" s="0" t="inlineStr">
        <is>
          <t xml:space="preserve">Sable Materials Co</t>
        </is>
      </c>
    </row>
    <row r="890">
      <c r="A890" s="0" t="inlineStr">
        <is>
          <t xml:space="preserve">a0889</t>
        </is>
      </c>
      <c r="B890" s="0" t="inlineStr">
        <is>
          <t xml:space="preserve">financial_services</t>
        </is>
      </c>
      <c r="C890" s="0" t="inlineStr">
        <is>
          <t xml:space="preserve">amer_east</t>
        </is>
      </c>
      <c r="D890" s="0" t="inlineStr">
        <is>
          <t xml:space="preserve">enterprise</t>
        </is>
      </c>
      <c r="E890" s="4">
        <v>3285</v>
      </c>
      <c r="F890" s="0" t="inlineStr">
        <is>
          <t xml:space="preserve">Silverline Capital</t>
        </is>
      </c>
    </row>
    <row r="891">
      <c r="A891" s="0" t="inlineStr">
        <is>
          <t xml:space="preserve">a0890</t>
        </is>
      </c>
      <c r="B891" s="0" t="inlineStr">
        <is>
          <t xml:space="preserve">logistics</t>
        </is>
      </c>
      <c r="C891" s="0" t="inlineStr">
        <is>
          <t xml:space="preserve">amer_east</t>
        </is>
      </c>
      <c r="D891" s="0" t="inlineStr">
        <is>
          <t xml:space="preserve">enterprise</t>
        </is>
      </c>
      <c r="E891" s="4">
        <v>14992</v>
      </c>
      <c r="F891" s="0" t="inlineStr">
        <is>
          <t xml:space="preserve">Harbor Mobility Holdings</t>
        </is>
      </c>
    </row>
    <row r="892">
      <c r="A892" s="0" t="inlineStr">
        <is>
          <t xml:space="preserve">a0891</t>
        </is>
      </c>
      <c r="B892" s="0" t="inlineStr">
        <is>
          <t xml:space="preserve">manufacturing</t>
        </is>
      </c>
      <c r="C892" s="0" t="inlineStr">
        <is>
          <t xml:space="preserve">amer_east</t>
        </is>
      </c>
      <c r="D892" s="0" t="inlineStr">
        <is>
          <t xml:space="preserve">enterprise</t>
        </is>
      </c>
      <c r="E892" s="4">
        <v>39968</v>
      </c>
      <c r="F892" s="0" t="inlineStr">
        <is>
          <t xml:space="preserve">Horizon Analytics Group</t>
        </is>
      </c>
    </row>
    <row r="893">
      <c r="A893" s="0" t="inlineStr">
        <is>
          <t xml:space="preserve">a0892</t>
        </is>
      </c>
      <c r="B893" s="0" t="inlineStr">
        <is>
          <t xml:space="preserve">financial_services</t>
        </is>
      </c>
      <c r="C893" s="0" t="inlineStr">
        <is>
          <t xml:space="preserve">amer_east</t>
        </is>
      </c>
      <c r="D893" s="0" t="inlineStr">
        <is>
          <t xml:space="preserve">mid_market</t>
        </is>
      </c>
      <c r="E893" s="4">
        <v>1267</v>
      </c>
      <c r="F893" s="0" t="inlineStr">
        <is>
          <t xml:space="preserve">Pioneer Systems Holdings</t>
        </is>
      </c>
    </row>
    <row r="894">
      <c r="A894" s="0" t="inlineStr">
        <is>
          <t xml:space="preserve">a0893</t>
        </is>
      </c>
      <c r="B894" s="0" t="inlineStr">
        <is>
          <t xml:space="preserve">financial_services</t>
        </is>
      </c>
      <c r="C894" s="0" t="inlineStr">
        <is>
          <t xml:space="preserve">amer_east</t>
        </is>
      </c>
      <c r="D894" s="0" t="inlineStr">
        <is>
          <t xml:space="preserve">smb</t>
        </is>
      </c>
      <c r="E894" s="4">
        <v>103</v>
      </c>
      <c r="F894" s="0" t="inlineStr">
        <is>
          <t xml:space="preserve">Umber Systems Inc</t>
        </is>
      </c>
    </row>
    <row r="895">
      <c r="A895" s="0" t="inlineStr">
        <is>
          <t xml:space="preserve">a0894</t>
        </is>
      </c>
      <c r="B895" s="0" t="inlineStr">
        <is>
          <t xml:space="preserve">public_sector</t>
        </is>
      </c>
      <c r="C895" s="0" t="inlineStr">
        <is>
          <t xml:space="preserve">amer_east</t>
        </is>
      </c>
      <c r="D895" s="0" t="inlineStr">
        <is>
          <t xml:space="preserve">mid_market</t>
        </is>
      </c>
      <c r="E895" s="4">
        <v>320</v>
      </c>
      <c r="F895" s="0" t="inlineStr">
        <is>
          <t xml:space="preserve">Cobalt Networks</t>
        </is>
      </c>
    </row>
    <row r="896">
      <c r="A896" s="0" t="inlineStr">
        <is>
          <t xml:space="preserve">a0895</t>
        </is>
      </c>
      <c r="B896" s="0" t="inlineStr">
        <is>
          <t xml:space="preserve">financial_services</t>
        </is>
      </c>
      <c r="C896" s="0" t="inlineStr">
        <is>
          <t xml:space="preserve">amer_east</t>
        </is>
      </c>
      <c r="D896" s="0" t="inlineStr">
        <is>
          <t xml:space="preserve">enterprise</t>
        </is>
      </c>
      <c r="E896" s="4">
        <v>4728</v>
      </c>
      <c r="F896" s="0" t="inlineStr">
        <is>
          <t xml:space="preserve">Sable Biotech Holdings</t>
        </is>
      </c>
    </row>
    <row r="897">
      <c r="A897" s="0" t="inlineStr">
        <is>
          <t xml:space="preserve">a0896</t>
        </is>
      </c>
      <c r="B897" s="0" t="inlineStr">
        <is>
          <t xml:space="preserve">software</t>
        </is>
      </c>
      <c r="C897" s="0" t="inlineStr">
        <is>
          <t xml:space="preserve">amer_east</t>
        </is>
      </c>
      <c r="D897" s="0" t="inlineStr">
        <is>
          <t xml:space="preserve">smb</t>
        </is>
      </c>
      <c r="E897" s="4">
        <v>76</v>
      </c>
      <c r="F897" s="0" t="inlineStr">
        <is>
          <t xml:space="preserve">Aurora Networks</t>
        </is>
      </c>
    </row>
    <row r="898">
      <c r="A898" s="0" t="inlineStr">
        <is>
          <t xml:space="preserve">a0897</t>
        </is>
      </c>
      <c r="B898" s="0" t="inlineStr">
        <is>
          <t xml:space="preserve">retail</t>
        </is>
      </c>
      <c r="C898" s="0" t="inlineStr">
        <is>
          <t xml:space="preserve">amer_east</t>
        </is>
      </c>
      <c r="D898" s="0" t="inlineStr">
        <is>
          <t xml:space="preserve">mid_market</t>
        </is>
      </c>
      <c r="E898" s="4">
        <v>318</v>
      </c>
      <c r="F898" s="0" t="inlineStr">
        <is>
          <t xml:space="preserve">Beacon Labs SA</t>
        </is>
      </c>
    </row>
    <row r="899">
      <c r="A899" s="0" t="inlineStr">
        <is>
          <t xml:space="preserve">a0898</t>
        </is>
      </c>
      <c r="B899" s="0" t="inlineStr">
        <is>
          <t xml:space="preserve">software</t>
        </is>
      </c>
      <c r="C899" s="0" t="inlineStr">
        <is>
          <t xml:space="preserve">amer_east</t>
        </is>
      </c>
      <c r="D899" s="0" t="inlineStr">
        <is>
          <t xml:space="preserve">enterprise</t>
        </is>
      </c>
      <c r="E899" s="4">
        <v>4162</v>
      </c>
      <c r="F899" s="0" t="inlineStr">
        <is>
          <t xml:space="preserve">Cobalt Networks Co</t>
        </is>
      </c>
    </row>
    <row r="900">
      <c r="A900" s="0" t="inlineStr">
        <is>
          <t xml:space="preserve">a0899</t>
        </is>
      </c>
      <c r="B900" s="0" t="inlineStr">
        <is>
          <t xml:space="preserve">logistics</t>
        </is>
      </c>
      <c r="C900" s="0" t="inlineStr">
        <is>
          <t xml:space="preserve">amer_east</t>
        </is>
      </c>
      <c r="D900" s="0" t="inlineStr">
        <is>
          <t xml:space="preserve">enterprise</t>
        </is>
      </c>
      <c r="E900" s="4">
        <v>3152</v>
      </c>
      <c r="F900" s="0" t="inlineStr">
        <is>
          <t xml:space="preserve">Granite Biotech Partners</t>
        </is>
      </c>
    </row>
    <row r="901">
      <c r="A901" s="0" t="inlineStr">
        <is>
          <t xml:space="preserve">a0900</t>
        </is>
      </c>
      <c r="B901" s="0" t="inlineStr">
        <is>
          <t xml:space="preserve">logistics</t>
        </is>
      </c>
      <c r="C901" s="0" t="inlineStr">
        <is>
          <t xml:space="preserve">amer_east</t>
        </is>
      </c>
      <c r="D901" s="0" t="inlineStr">
        <is>
          <t xml:space="preserve">smb</t>
        </is>
      </c>
      <c r="E901" s="4">
        <v>92</v>
      </c>
      <c r="F901" s="0" t="inlineStr">
        <is>
          <t xml:space="preserve">Cobalt Labs AG</t>
        </is>
      </c>
    </row>
    <row r="902">
      <c r="A902" s="0" t="inlineStr">
        <is>
          <t xml:space="preserve">a0901</t>
        </is>
      </c>
      <c r="B902" s="0" t="inlineStr">
        <is>
          <t xml:space="preserve">public_sector</t>
        </is>
      </c>
      <c r="C902" s="0" t="inlineStr">
        <is>
          <t xml:space="preserve">amer_east</t>
        </is>
      </c>
      <c r="D902" s="0" t="inlineStr">
        <is>
          <t xml:space="preserve">enterprise</t>
        </is>
      </c>
      <c r="E902" s="4">
        <v>8811</v>
      </c>
      <c r="F902" s="0" t="inlineStr">
        <is>
          <t xml:space="preserve">Sable Mobility SA</t>
        </is>
      </c>
    </row>
    <row r="903">
      <c r="A903" s="0" t="inlineStr">
        <is>
          <t xml:space="preserve">a0902</t>
        </is>
      </c>
      <c r="B903" s="0" t="inlineStr">
        <is>
          <t xml:space="preserve">energy</t>
        </is>
      </c>
      <c r="C903" s="0" t="inlineStr">
        <is>
          <t xml:space="preserve">amer_east</t>
        </is>
      </c>
      <c r="D903" s="0" t="inlineStr">
        <is>
          <t xml:space="preserve">enterprise</t>
        </is>
      </c>
      <c r="E903" s="4">
        <v>5788</v>
      </c>
      <c r="F903" s="0" t="inlineStr">
        <is>
          <t xml:space="preserve">Harbor Financial Inc</t>
        </is>
      </c>
    </row>
    <row r="904">
      <c r="A904" s="0" t="inlineStr">
        <is>
          <t xml:space="preserve">a0903</t>
        </is>
      </c>
      <c r="B904" s="0" t="inlineStr">
        <is>
          <t xml:space="preserve">retail</t>
        </is>
      </c>
      <c r="C904" s="0" t="inlineStr">
        <is>
          <t xml:space="preserve">amer_east</t>
        </is>
      </c>
      <c r="D904" s="0" t="inlineStr">
        <is>
          <t xml:space="preserve">smb</t>
        </is>
      </c>
      <c r="E904" s="4">
        <v>75</v>
      </c>
      <c r="F904" s="0" t="inlineStr">
        <is>
          <t xml:space="preserve">Beacon Analytics Group</t>
        </is>
      </c>
    </row>
    <row r="905">
      <c r="A905" s="0" t="inlineStr">
        <is>
          <t xml:space="preserve">a0904</t>
        </is>
      </c>
      <c r="B905" s="0" t="inlineStr">
        <is>
          <t xml:space="preserve">media</t>
        </is>
      </c>
      <c r="C905" s="0" t="inlineStr">
        <is>
          <t xml:space="preserve">amer_east</t>
        </is>
      </c>
      <c r="D905" s="0" t="inlineStr">
        <is>
          <t xml:space="preserve">smb</t>
        </is>
      </c>
      <c r="E905" s="4">
        <v>43</v>
      </c>
      <c r="F905" s="0" t="inlineStr">
        <is>
          <t xml:space="preserve">Quantum Mobility Inc</t>
        </is>
      </c>
    </row>
    <row r="906">
      <c r="A906" s="0" t="inlineStr">
        <is>
          <t xml:space="preserve">a0905</t>
        </is>
      </c>
      <c r="B906" s="0" t="inlineStr">
        <is>
          <t xml:space="preserve">software</t>
        </is>
      </c>
      <c r="C906" s="0" t="inlineStr">
        <is>
          <t xml:space="preserve">amer_east</t>
        </is>
      </c>
      <c r="D906" s="0" t="inlineStr">
        <is>
          <t xml:space="preserve">mid_market</t>
        </is>
      </c>
      <c r="E906" s="4">
        <v>473</v>
      </c>
      <c r="F906" s="0" t="inlineStr">
        <is>
          <t xml:space="preserve">Cobalt Networks Partners</t>
        </is>
      </c>
    </row>
    <row r="907">
      <c r="A907" s="0" t="inlineStr">
        <is>
          <t xml:space="preserve">a0906</t>
        </is>
      </c>
      <c r="B907" s="0" t="inlineStr">
        <is>
          <t xml:space="preserve">software</t>
        </is>
      </c>
      <c r="C907" s="0" t="inlineStr">
        <is>
          <t xml:space="preserve">amer_east</t>
        </is>
      </c>
      <c r="D907" s="0" t="inlineStr">
        <is>
          <t xml:space="preserve">mid_market</t>
        </is>
      </c>
      <c r="E907" s="4">
        <v>312</v>
      </c>
      <c r="F907" s="0" t="inlineStr">
        <is>
          <t xml:space="preserve">Lakeside Foods Partners</t>
        </is>
      </c>
    </row>
    <row r="908">
      <c r="A908" s="0" t="inlineStr">
        <is>
          <t xml:space="preserve">a0907</t>
        </is>
      </c>
      <c r="B908" s="0" t="inlineStr">
        <is>
          <t xml:space="preserve">financial_services</t>
        </is>
      </c>
      <c r="C908" s="0" t="inlineStr">
        <is>
          <t xml:space="preserve">amer_east</t>
        </is>
      </c>
      <c r="D908" s="0" t="inlineStr">
        <is>
          <t xml:space="preserve">smb</t>
        </is>
      </c>
      <c r="E908" s="4">
        <v>24</v>
      </c>
      <c r="F908" s="0" t="inlineStr">
        <is>
          <t xml:space="preserve">Tidewater Biotech AG</t>
        </is>
      </c>
    </row>
    <row r="909">
      <c r="A909" s="0" t="inlineStr">
        <is>
          <t xml:space="preserve">a0908</t>
        </is>
      </c>
      <c r="B909" s="0" t="inlineStr">
        <is>
          <t xml:space="preserve">financial_services</t>
        </is>
      </c>
      <c r="C909" s="0" t="inlineStr">
        <is>
          <t xml:space="preserve">amer_east</t>
        </is>
      </c>
      <c r="D909" s="0" t="inlineStr">
        <is>
          <t xml:space="preserve">mid_market</t>
        </is>
      </c>
      <c r="E909" s="4">
        <v>875</v>
      </c>
      <c r="F909" s="0" t="inlineStr">
        <is>
          <t xml:space="preserve">Quantum Materials Group</t>
        </is>
      </c>
    </row>
    <row r="910">
      <c r="A910" s="0" t="inlineStr">
        <is>
          <t xml:space="preserve">a0909</t>
        </is>
      </c>
      <c r="B910" s="0" t="inlineStr">
        <is>
          <t xml:space="preserve">retail</t>
        </is>
      </c>
      <c r="C910" s="0" t="inlineStr">
        <is>
          <t xml:space="preserve">amer_west</t>
        </is>
      </c>
      <c r="D910" s="0" t="inlineStr">
        <is>
          <t xml:space="preserve">mid_market</t>
        </is>
      </c>
      <c r="E910" s="4">
        <v>336</v>
      </c>
      <c r="F910" s="0" t="inlineStr">
        <is>
          <t xml:space="preserve">Lakeside Energy Group</t>
        </is>
      </c>
    </row>
    <row r="911">
      <c r="A911" s="0" t="inlineStr">
        <is>
          <t xml:space="preserve">a0910</t>
        </is>
      </c>
      <c r="B911" s="0" t="inlineStr">
        <is>
          <t xml:space="preserve">logistics</t>
        </is>
      </c>
      <c r="C911" s="0" t="inlineStr">
        <is>
          <t xml:space="preserve">amer_west</t>
        </is>
      </c>
      <c r="D911" s="0" t="inlineStr">
        <is>
          <t xml:space="preserve">mid_market</t>
        </is>
      </c>
      <c r="E911" s="4">
        <v>445</v>
      </c>
      <c r="F911" s="0" t="inlineStr">
        <is>
          <t xml:space="preserve">Ironbridge Labs SA</t>
        </is>
      </c>
    </row>
    <row r="912">
      <c r="A912" s="0" t="inlineStr">
        <is>
          <t xml:space="preserve">a0911</t>
        </is>
      </c>
      <c r="B912" s="0" t="inlineStr">
        <is>
          <t xml:space="preserve">software</t>
        </is>
      </c>
      <c r="C912" s="0" t="inlineStr">
        <is>
          <t xml:space="preserve">amer_west</t>
        </is>
      </c>
      <c r="D912" s="0" t="inlineStr">
        <is>
          <t xml:space="preserve">mid_market</t>
        </is>
      </c>
      <c r="E912" s="4">
        <v>572</v>
      </c>
      <c r="F912" s="0" t="inlineStr">
        <is>
          <t xml:space="preserve">Beacon Capital</t>
        </is>
      </c>
    </row>
    <row r="913">
      <c r="A913" s="0" t="inlineStr">
        <is>
          <t xml:space="preserve">a0912</t>
        </is>
      </c>
      <c r="B913" s="0" t="inlineStr">
        <is>
          <t xml:space="preserve">media</t>
        </is>
      </c>
      <c r="C913" s="0" t="inlineStr">
        <is>
          <t xml:space="preserve">amer_west</t>
        </is>
      </c>
      <c r="D913" s="0" t="inlineStr">
        <is>
          <t xml:space="preserve">mid_market</t>
        </is>
      </c>
      <c r="E913" s="4">
        <v>301</v>
      </c>
      <c r="F913" s="0" t="inlineStr">
        <is>
          <t xml:space="preserve">Sable Mobility Holdings</t>
        </is>
      </c>
    </row>
    <row r="914">
      <c r="A914" s="0" t="inlineStr">
        <is>
          <t xml:space="preserve">a0913</t>
        </is>
      </c>
      <c r="B914" s="0" t="inlineStr">
        <is>
          <t xml:space="preserve">software</t>
        </is>
      </c>
      <c r="C914" s="0" t="inlineStr">
        <is>
          <t xml:space="preserve">amer_west</t>
        </is>
      </c>
      <c r="D914" s="0" t="inlineStr">
        <is>
          <t xml:space="preserve">mid_market</t>
        </is>
      </c>
      <c r="E914" s="4">
        <v>604</v>
      </c>
      <c r="F914" s="0" t="inlineStr">
        <is>
          <t xml:space="preserve">Atlas Energy Co</t>
        </is>
      </c>
    </row>
    <row r="915">
      <c r="A915" s="0" t="inlineStr">
        <is>
          <t xml:space="preserve">a0914</t>
        </is>
      </c>
      <c r="B915" s="0" t="inlineStr">
        <is>
          <t xml:space="preserve">media</t>
        </is>
      </c>
      <c r="C915" s="0" t="inlineStr">
        <is>
          <t xml:space="preserve">amer_west</t>
        </is>
      </c>
      <c r="D915" s="0" t="inlineStr">
        <is>
          <t xml:space="preserve">mid_market</t>
        </is>
      </c>
      <c r="E915" s="4">
        <v>288</v>
      </c>
      <c r="F915" s="0" t="inlineStr">
        <is>
          <t xml:space="preserve">Orchard Analytics Holdings</t>
        </is>
      </c>
    </row>
    <row r="916">
      <c r="A916" s="0" t="inlineStr">
        <is>
          <t xml:space="preserve">a0915</t>
        </is>
      </c>
      <c r="B916" s="0" t="inlineStr">
        <is>
          <t xml:space="preserve">software</t>
        </is>
      </c>
      <c r="C916" s="0" t="inlineStr">
        <is>
          <t xml:space="preserve">amer_west</t>
        </is>
      </c>
      <c r="D916" s="0" t="inlineStr">
        <is>
          <t xml:space="preserve">smb</t>
        </is>
      </c>
      <c r="E916" s="4">
        <v>27</v>
      </c>
      <c r="F916" s="0" t="inlineStr">
        <is>
          <t xml:space="preserve">Juniper Materials Ltd</t>
        </is>
      </c>
    </row>
    <row r="917">
      <c r="A917" s="0" t="inlineStr">
        <is>
          <t xml:space="preserve">a0916</t>
        </is>
      </c>
      <c r="B917" s="0" t="inlineStr">
        <is>
          <t xml:space="preserve">software</t>
        </is>
      </c>
      <c r="C917" s="0" t="inlineStr">
        <is>
          <t xml:space="preserve">amer_west</t>
        </is>
      </c>
      <c r="D917" s="0" t="inlineStr">
        <is>
          <t xml:space="preserve">smb</t>
        </is>
      </c>
      <c r="E917" s="4">
        <v>24</v>
      </c>
      <c r="F917" s="0" t="inlineStr">
        <is>
          <t xml:space="preserve">Cobalt Logistics Partners</t>
        </is>
      </c>
    </row>
    <row r="918">
      <c r="A918" s="0" t="inlineStr">
        <is>
          <t xml:space="preserve">a0917</t>
        </is>
      </c>
      <c r="B918" s="0" t="inlineStr">
        <is>
          <t xml:space="preserve">software</t>
        </is>
      </c>
      <c r="C918" s="0" t="inlineStr">
        <is>
          <t xml:space="preserve">amer_west</t>
        </is>
      </c>
      <c r="D918" s="0" t="inlineStr">
        <is>
          <t xml:space="preserve">mid_market</t>
        </is>
      </c>
      <c r="E918" s="4">
        <v>811</v>
      </c>
      <c r="F918" s="0" t="inlineStr">
        <is>
          <t xml:space="preserve">Falcon Energy AG</t>
        </is>
      </c>
    </row>
    <row r="919">
      <c r="A919" s="0" t="inlineStr">
        <is>
          <t xml:space="preserve">a0918</t>
        </is>
      </c>
      <c r="B919" s="0" t="inlineStr">
        <is>
          <t xml:space="preserve">public_sector</t>
        </is>
      </c>
      <c r="C919" s="0" t="inlineStr">
        <is>
          <t xml:space="preserve">amer_west</t>
        </is>
      </c>
      <c r="D919" s="0" t="inlineStr">
        <is>
          <t xml:space="preserve">mid_market</t>
        </is>
      </c>
      <c r="E919" s="4">
        <v>963</v>
      </c>
      <c r="F919" s="0" t="inlineStr">
        <is>
          <t xml:space="preserve">Cascade Labs Ltd</t>
        </is>
      </c>
    </row>
    <row r="920">
      <c r="A920" s="0" t="inlineStr">
        <is>
          <t xml:space="preserve">a0919</t>
        </is>
      </c>
      <c r="B920" s="0" t="inlineStr">
        <is>
          <t xml:space="preserve">healthcare</t>
        </is>
      </c>
      <c r="C920" s="0" t="inlineStr">
        <is>
          <t xml:space="preserve">amer_west</t>
        </is>
      </c>
      <c r="D920" s="0" t="inlineStr">
        <is>
          <t xml:space="preserve">enterprise</t>
        </is>
      </c>
      <c r="E920" s="4">
        <v>3759</v>
      </c>
      <c r="F920" s="0" t="inlineStr">
        <is>
          <t xml:space="preserve">Orchard Media SA</t>
        </is>
      </c>
    </row>
    <row r="921">
      <c r="A921" s="0" t="inlineStr">
        <is>
          <t xml:space="preserve">a0920</t>
        </is>
      </c>
      <c r="B921" s="0" t="inlineStr">
        <is>
          <t xml:space="preserve">software</t>
        </is>
      </c>
      <c r="C921" s="0" t="inlineStr">
        <is>
          <t xml:space="preserve">amer_west</t>
        </is>
      </c>
      <c r="D921" s="0" t="inlineStr">
        <is>
          <t xml:space="preserve">mid_market</t>
        </is>
      </c>
      <c r="E921" s="4">
        <v>280</v>
      </c>
      <c r="F921" s="0" t="inlineStr">
        <is>
          <t xml:space="preserve">Copper Labs Inc</t>
        </is>
      </c>
    </row>
    <row r="922">
      <c r="A922" s="0" t="inlineStr">
        <is>
          <t xml:space="preserve">a0921</t>
        </is>
      </c>
      <c r="B922" s="0" t="inlineStr">
        <is>
          <t xml:space="preserve">retail</t>
        </is>
      </c>
      <c r="C922" s="0" t="inlineStr">
        <is>
          <t xml:space="preserve">amer_west</t>
        </is>
      </c>
      <c r="D922" s="0" t="inlineStr">
        <is>
          <t xml:space="preserve">smb</t>
        </is>
      </c>
      <c r="E922" s="4">
        <v>42</v>
      </c>
      <c r="F922" s="0" t="inlineStr">
        <is>
          <t xml:space="preserve">Lakeside Foods AG</t>
        </is>
      </c>
    </row>
    <row r="923">
      <c r="A923" s="0" t="inlineStr">
        <is>
          <t xml:space="preserve">a0922</t>
        </is>
      </c>
      <c r="B923" s="0" t="inlineStr">
        <is>
          <t xml:space="preserve">software</t>
        </is>
      </c>
      <c r="C923" s="0" t="inlineStr">
        <is>
          <t xml:space="preserve">amer_west</t>
        </is>
      </c>
      <c r="D923" s="0" t="inlineStr">
        <is>
          <t xml:space="preserve">smb</t>
        </is>
      </c>
      <c r="E923" s="4">
        <v>44</v>
      </c>
      <c r="F923" s="0" t="inlineStr">
        <is>
          <t xml:space="preserve">Keystone Retail AG</t>
        </is>
      </c>
    </row>
    <row r="924">
      <c r="A924" s="0" t="inlineStr">
        <is>
          <t xml:space="preserve">a0923</t>
        </is>
      </c>
      <c r="B924" s="0" t="inlineStr">
        <is>
          <t xml:space="preserve">energy</t>
        </is>
      </c>
      <c r="C924" s="0" t="inlineStr">
        <is>
          <t xml:space="preserve">amer_west</t>
        </is>
      </c>
      <c r="D924" s="0" t="inlineStr">
        <is>
          <t xml:space="preserve">smb</t>
        </is>
      </c>
      <c r="E924" s="4">
        <v>111</v>
      </c>
      <c r="F924" s="0" t="inlineStr">
        <is>
          <t xml:space="preserve">Blue Harbor Logistics Holdings</t>
        </is>
      </c>
    </row>
    <row r="925">
      <c r="A925" s="0" t="inlineStr">
        <is>
          <t xml:space="preserve">a0924</t>
        </is>
      </c>
      <c r="B925" s="0" t="inlineStr">
        <is>
          <t xml:space="preserve">manufacturing</t>
        </is>
      </c>
      <c r="C925" s="0" t="inlineStr">
        <is>
          <t xml:space="preserve">amer_west</t>
        </is>
      </c>
      <c r="D925" s="0" t="inlineStr">
        <is>
          <t xml:space="preserve">mid_market</t>
        </is>
      </c>
      <c r="E925" s="4">
        <v>418</v>
      </c>
      <c r="F925" s="0" t="inlineStr">
        <is>
          <t xml:space="preserve">Redwood Capital Holdings</t>
        </is>
      </c>
    </row>
    <row r="926">
      <c r="A926" s="0" t="inlineStr">
        <is>
          <t xml:space="preserve">a0925</t>
        </is>
      </c>
      <c r="B926" s="0" t="inlineStr">
        <is>
          <t xml:space="preserve">financial_services</t>
        </is>
      </c>
      <c r="C926" s="0" t="inlineStr">
        <is>
          <t xml:space="preserve">amer_west</t>
        </is>
      </c>
      <c r="D926" s="0" t="inlineStr">
        <is>
          <t xml:space="preserve">smb</t>
        </is>
      </c>
      <c r="E926" s="4">
        <v>55</v>
      </c>
      <c r="F926" s="0" t="inlineStr">
        <is>
          <t xml:space="preserve">Umber Materials Inc</t>
        </is>
      </c>
    </row>
    <row r="927">
      <c r="A927" s="0" t="inlineStr">
        <is>
          <t xml:space="preserve">a0926</t>
        </is>
      </c>
      <c r="B927" s="0" t="inlineStr">
        <is>
          <t xml:space="preserve">manufacturing</t>
        </is>
      </c>
      <c r="C927" s="0" t="inlineStr">
        <is>
          <t xml:space="preserve">amer_west</t>
        </is>
      </c>
      <c r="D927" s="0" t="inlineStr">
        <is>
          <t xml:space="preserve">smb</t>
        </is>
      </c>
      <c r="E927" s="4">
        <v>189</v>
      </c>
      <c r="F927" s="0" t="inlineStr">
        <is>
          <t xml:space="preserve">Horizon Mobility Holdings</t>
        </is>
      </c>
    </row>
    <row r="928">
      <c r="A928" s="0" t="inlineStr">
        <is>
          <t xml:space="preserve">a0927</t>
        </is>
      </c>
      <c r="B928" s="0" t="inlineStr">
        <is>
          <t xml:space="preserve">education</t>
        </is>
      </c>
      <c r="C928" s="0" t="inlineStr">
        <is>
          <t xml:space="preserve">amer_west</t>
        </is>
      </c>
      <c r="D928" s="0" t="inlineStr">
        <is>
          <t xml:space="preserve">mid_market</t>
        </is>
      </c>
      <c r="E928" s="4">
        <v>314</v>
      </c>
      <c r="F928" s="0" t="inlineStr">
        <is>
          <t xml:space="preserve">Harbor Manufacturing</t>
        </is>
      </c>
    </row>
    <row r="929">
      <c r="A929" s="0" t="inlineStr">
        <is>
          <t xml:space="preserve">a0928</t>
        </is>
      </c>
      <c r="B929" s="0" t="inlineStr">
        <is>
          <t xml:space="preserve">retail</t>
        </is>
      </c>
      <c r="C929" s="0" t="inlineStr">
        <is>
          <t xml:space="preserve">amer_west</t>
        </is>
      </c>
      <c r="D929" s="0" t="inlineStr">
        <is>
          <t xml:space="preserve">smb</t>
        </is>
      </c>
      <c r="E929" s="4">
        <v>27</v>
      </c>
      <c r="F929" s="0" t="inlineStr">
        <is>
          <t xml:space="preserve">Harbor Financial Partners</t>
        </is>
      </c>
    </row>
    <row r="930">
      <c r="A930" s="0" t="inlineStr">
        <is>
          <t xml:space="preserve">a0929</t>
        </is>
      </c>
      <c r="B930" s="0" t="inlineStr">
        <is>
          <t xml:space="preserve">healthcare</t>
        </is>
      </c>
      <c r="C930" s="0" t="inlineStr">
        <is>
          <t xml:space="preserve">amer_west</t>
        </is>
      </c>
      <c r="D930" s="0" t="inlineStr">
        <is>
          <t xml:space="preserve">enterprise</t>
        </is>
      </c>
      <c r="E930" s="4">
        <v>4831</v>
      </c>
      <c r="F930" s="0" t="inlineStr">
        <is>
          <t xml:space="preserve">Cobalt Labs Holdings</t>
        </is>
      </c>
    </row>
    <row r="931">
      <c r="A931" s="0" t="inlineStr">
        <is>
          <t xml:space="preserve">a0930</t>
        </is>
      </c>
      <c r="B931" s="0" t="inlineStr">
        <is>
          <t xml:space="preserve">software</t>
        </is>
      </c>
      <c r="C931" s="0" t="inlineStr">
        <is>
          <t xml:space="preserve">emea</t>
        </is>
      </c>
      <c r="D931" s="0" t="inlineStr">
        <is>
          <t xml:space="preserve">smb</t>
        </is>
      </c>
      <c r="E931" s="4">
        <v>117</v>
      </c>
      <c r="F931" s="0" t="inlineStr">
        <is>
          <t xml:space="preserve">Falcon Networks Ltd</t>
        </is>
      </c>
    </row>
    <row r="932">
      <c r="A932" s="0" t="inlineStr">
        <is>
          <t xml:space="preserve">a0931</t>
        </is>
      </c>
      <c r="B932" s="0" t="inlineStr">
        <is>
          <t xml:space="preserve">retail</t>
        </is>
      </c>
      <c r="C932" s="0" t="inlineStr">
        <is>
          <t xml:space="preserve">emea</t>
        </is>
      </c>
      <c r="D932" s="0" t="inlineStr">
        <is>
          <t xml:space="preserve">smb</t>
        </is>
      </c>
      <c r="E932" s="4">
        <v>31</v>
      </c>
      <c r="F932" s="0" t="inlineStr">
        <is>
          <t xml:space="preserve">Copper Energy SA</t>
        </is>
      </c>
    </row>
    <row r="933">
      <c r="A933" s="0" t="inlineStr">
        <is>
          <t xml:space="preserve">a0932</t>
        </is>
      </c>
      <c r="B933" s="0" t="inlineStr">
        <is>
          <t xml:space="preserve">software</t>
        </is>
      </c>
      <c r="C933" s="0" t="inlineStr">
        <is>
          <t xml:space="preserve">emea</t>
        </is>
      </c>
      <c r="D933" s="0" t="inlineStr">
        <is>
          <t xml:space="preserve">enterprise</t>
        </is>
      </c>
      <c r="E933" s="4">
        <v>6594</v>
      </c>
      <c r="F933" s="0" t="inlineStr">
        <is>
          <t xml:space="preserve">Umber Insurance Inc</t>
        </is>
      </c>
    </row>
    <row r="934">
      <c r="A934" s="0" t="inlineStr">
        <is>
          <t xml:space="preserve">a0933</t>
        </is>
      </c>
      <c r="B934" s="0" t="inlineStr">
        <is>
          <t xml:space="preserve">manufacturing</t>
        </is>
      </c>
      <c r="C934" s="0" t="inlineStr">
        <is>
          <t xml:space="preserve">emea</t>
        </is>
      </c>
      <c r="D934" s="0" t="inlineStr">
        <is>
          <t xml:space="preserve">mid_market</t>
        </is>
      </c>
      <c r="E934" s="4">
        <v>265</v>
      </c>
      <c r="F934" s="0" t="inlineStr">
        <is>
          <t xml:space="preserve">Atlas Systems AG</t>
        </is>
      </c>
    </row>
    <row r="935">
      <c r="A935" s="0" t="inlineStr">
        <is>
          <t xml:space="preserve">a0934</t>
        </is>
      </c>
      <c r="B935" s="0" t="inlineStr">
        <is>
          <t xml:space="preserve">financial_services</t>
        </is>
      </c>
      <c r="C935" s="0" t="inlineStr">
        <is>
          <t xml:space="preserve">emea</t>
        </is>
      </c>
      <c r="D935" s="0" t="inlineStr">
        <is>
          <t xml:space="preserve">smb</t>
        </is>
      </c>
      <c r="E935" s="4">
        <v>36</v>
      </c>
      <c r="F935" s="0" t="inlineStr">
        <is>
          <t xml:space="preserve">Cobalt Networks SA</t>
        </is>
      </c>
    </row>
    <row r="936">
      <c r="A936" s="0" t="inlineStr">
        <is>
          <t xml:space="preserve">a0935</t>
        </is>
      </c>
      <c r="B936" s="0" t="inlineStr">
        <is>
          <t xml:space="preserve">retail</t>
        </is>
      </c>
      <c r="C936" s="0" t="inlineStr">
        <is>
          <t xml:space="preserve">emea</t>
        </is>
      </c>
      <c r="D936" s="0" t="inlineStr">
        <is>
          <t xml:space="preserve">smb</t>
        </is>
      </c>
      <c r="E936" s="4">
        <v>29</v>
      </c>
      <c r="F936" s="0" t="inlineStr">
        <is>
          <t xml:space="preserve">Copper Financial Inc</t>
        </is>
      </c>
    </row>
    <row r="937">
      <c r="A937" s="0" t="inlineStr">
        <is>
          <t xml:space="preserve">a0936</t>
        </is>
      </c>
      <c r="B937" s="0" t="inlineStr">
        <is>
          <t xml:space="preserve">logistics</t>
        </is>
      </c>
      <c r="C937" s="0" t="inlineStr">
        <is>
          <t xml:space="preserve">emea</t>
        </is>
      </c>
      <c r="D937" s="0" t="inlineStr">
        <is>
          <t xml:space="preserve">smb</t>
        </is>
      </c>
      <c r="E937" s="4">
        <v>20</v>
      </c>
      <c r="F937" s="0" t="inlineStr">
        <is>
          <t xml:space="preserve">Horizon Mobility</t>
        </is>
      </c>
    </row>
    <row r="938">
      <c r="A938" s="0" t="inlineStr">
        <is>
          <t xml:space="preserve">a0937</t>
        </is>
      </c>
      <c r="B938" s="0" t="inlineStr">
        <is>
          <t xml:space="preserve">healthcare</t>
        </is>
      </c>
      <c r="C938" s="0" t="inlineStr">
        <is>
          <t xml:space="preserve">emea</t>
        </is>
      </c>
      <c r="D938" s="0" t="inlineStr">
        <is>
          <t xml:space="preserve">mid_market</t>
        </is>
      </c>
      <c r="E938" s="4">
        <v>313</v>
      </c>
      <c r="F938" s="0" t="inlineStr">
        <is>
          <t xml:space="preserve">Keystone Insurance Holdings</t>
        </is>
      </c>
    </row>
    <row r="939">
      <c r="A939" s="0" t="inlineStr">
        <is>
          <t xml:space="preserve">a0938</t>
        </is>
      </c>
      <c r="B939" s="0" t="inlineStr">
        <is>
          <t xml:space="preserve">software</t>
        </is>
      </c>
      <c r="C939" s="0" t="inlineStr">
        <is>
          <t xml:space="preserve">emea</t>
        </is>
      </c>
      <c r="D939" s="0" t="inlineStr">
        <is>
          <t xml:space="preserve">enterprise</t>
        </is>
      </c>
      <c r="E939" s="4">
        <v>4235</v>
      </c>
      <c r="F939" s="0" t="inlineStr">
        <is>
          <t xml:space="preserve">Horizon Software Group</t>
        </is>
      </c>
    </row>
    <row r="940">
      <c r="A940" s="0" t="inlineStr">
        <is>
          <t xml:space="preserve">a0939</t>
        </is>
      </c>
      <c r="B940" s="0" t="inlineStr">
        <is>
          <t xml:space="preserve">logistics</t>
        </is>
      </c>
      <c r="C940" s="0" t="inlineStr">
        <is>
          <t xml:space="preserve">emea</t>
        </is>
      </c>
      <c r="D940" s="0" t="inlineStr">
        <is>
          <t xml:space="preserve">mid_market</t>
        </is>
      </c>
      <c r="E940" s="4">
        <v>291</v>
      </c>
      <c r="F940" s="0" t="inlineStr">
        <is>
          <t xml:space="preserve">Redwood Energy Co</t>
        </is>
      </c>
    </row>
    <row r="941">
      <c r="A941" s="0" t="inlineStr">
        <is>
          <t xml:space="preserve">a0940</t>
        </is>
      </c>
      <c r="B941" s="0" t="inlineStr">
        <is>
          <t xml:space="preserve">manufacturing</t>
        </is>
      </c>
      <c r="C941" s="0" t="inlineStr">
        <is>
          <t xml:space="preserve">emea</t>
        </is>
      </c>
      <c r="D941" s="0" t="inlineStr">
        <is>
          <t xml:space="preserve">mid_market</t>
        </is>
      </c>
      <c r="E941" s="4">
        <v>515</v>
      </c>
      <c r="F941" s="0" t="inlineStr">
        <is>
          <t xml:space="preserve">Evergreen Energy Ltd</t>
        </is>
      </c>
    </row>
    <row r="942">
      <c r="A942" s="0" t="inlineStr">
        <is>
          <t xml:space="preserve">a0941</t>
        </is>
      </c>
      <c r="B942" s="0" t="inlineStr">
        <is>
          <t xml:space="preserve">retail</t>
        </is>
      </c>
      <c r="C942" s="0" t="inlineStr">
        <is>
          <t xml:space="preserve">emea</t>
        </is>
      </c>
      <c r="D942" s="0" t="inlineStr">
        <is>
          <t xml:space="preserve">enterprise</t>
        </is>
      </c>
      <c r="E942" s="4">
        <v>3791</v>
      </c>
      <c r="F942" s="0" t="inlineStr">
        <is>
          <t xml:space="preserve">Beacon Biotech Partners</t>
        </is>
      </c>
    </row>
    <row r="943">
      <c r="A943" s="0" t="inlineStr">
        <is>
          <t xml:space="preserve">a0942</t>
        </is>
      </c>
      <c r="B943" s="0" t="inlineStr">
        <is>
          <t xml:space="preserve">financial_services</t>
        </is>
      </c>
      <c r="C943" s="0" t="inlineStr">
        <is>
          <t xml:space="preserve">emea</t>
        </is>
      </c>
      <c r="D943" s="0" t="inlineStr">
        <is>
          <t xml:space="preserve">enterprise</t>
        </is>
      </c>
      <c r="E943" s="4">
        <v>3207</v>
      </c>
      <c r="F943" s="0" t="inlineStr">
        <is>
          <t xml:space="preserve">Meridian Robotics SA</t>
        </is>
      </c>
    </row>
    <row r="944">
      <c r="A944" s="0" t="inlineStr">
        <is>
          <t xml:space="preserve">a0943</t>
        </is>
      </c>
      <c r="B944" s="0" t="inlineStr">
        <is>
          <t xml:space="preserve">software</t>
        </is>
      </c>
      <c r="C944" s="0" t="inlineStr">
        <is>
          <t xml:space="preserve">emea</t>
        </is>
      </c>
      <c r="D944" s="0" t="inlineStr">
        <is>
          <t xml:space="preserve">enterprise</t>
        </is>
      </c>
      <c r="E944" s="4">
        <v>3363</v>
      </c>
      <c r="F944" s="0" t="inlineStr">
        <is>
          <t xml:space="preserve">Cascade Energy</t>
        </is>
      </c>
    </row>
    <row r="945">
      <c r="A945" s="0" t="inlineStr">
        <is>
          <t xml:space="preserve">a0944</t>
        </is>
      </c>
      <c r="B945" s="0" t="inlineStr">
        <is>
          <t xml:space="preserve">retail</t>
        </is>
      </c>
      <c r="C945" s="0" t="inlineStr">
        <is>
          <t xml:space="preserve">emea</t>
        </is>
      </c>
      <c r="D945" s="0" t="inlineStr">
        <is>
          <t xml:space="preserve">mid_market</t>
        </is>
      </c>
      <c r="E945" s="4">
        <v>461</v>
      </c>
      <c r="F945" s="0" t="inlineStr">
        <is>
          <t xml:space="preserve">Horizon Systems</t>
        </is>
      </c>
    </row>
    <row r="946">
      <c r="A946" s="0" t="inlineStr">
        <is>
          <t xml:space="preserve">a0945</t>
        </is>
      </c>
      <c r="B946" s="0" t="inlineStr">
        <is>
          <t xml:space="preserve">financial_services</t>
        </is>
      </c>
      <c r="C946" s="0" t="inlineStr">
        <is>
          <t xml:space="preserve">apac</t>
        </is>
      </c>
      <c r="D946" s="0" t="inlineStr">
        <is>
          <t xml:space="preserve">enterprise</t>
        </is>
      </c>
      <c r="E946" s="4">
        <v>13413</v>
      </c>
      <c r="F946" s="0" t="inlineStr">
        <is>
          <t xml:space="preserve">Lakeside Foods</t>
        </is>
      </c>
    </row>
    <row r="947">
      <c r="A947" s="0" t="inlineStr">
        <is>
          <t xml:space="preserve">a0946</t>
        </is>
      </c>
      <c r="B947" s="0" t="inlineStr">
        <is>
          <t xml:space="preserve">logistics</t>
        </is>
      </c>
      <c r="C947" s="0" t="inlineStr">
        <is>
          <t xml:space="preserve">apac</t>
        </is>
      </c>
      <c r="D947" s="0" t="inlineStr">
        <is>
          <t xml:space="preserve">smb</t>
        </is>
      </c>
      <c r="E947" s="4">
        <v>83</v>
      </c>
      <c r="F947" s="0" t="inlineStr">
        <is>
          <t xml:space="preserve">Evergreen Retail Ltd</t>
        </is>
      </c>
    </row>
    <row r="948">
      <c r="A948" s="0" t="inlineStr">
        <is>
          <t xml:space="preserve">a0947</t>
        </is>
      </c>
      <c r="B948" s="0" t="inlineStr">
        <is>
          <t xml:space="preserve">software</t>
        </is>
      </c>
      <c r="C948" s="0" t="inlineStr">
        <is>
          <t xml:space="preserve">apac</t>
        </is>
      </c>
      <c r="D948" s="0" t="inlineStr">
        <is>
          <t xml:space="preserve">mid_market</t>
        </is>
      </c>
      <c r="E948" s="4">
        <v>436</v>
      </c>
      <c r="F948" s="0" t="inlineStr">
        <is>
          <t xml:space="preserve">Falcon Analytics SA</t>
        </is>
      </c>
    </row>
    <row r="949">
      <c r="A949" s="0" t="inlineStr">
        <is>
          <t xml:space="preserve">a0948</t>
        </is>
      </c>
      <c r="B949" s="0" t="inlineStr">
        <is>
          <t xml:space="preserve">energy</t>
        </is>
      </c>
      <c r="C949" s="0" t="inlineStr">
        <is>
          <t xml:space="preserve">apac</t>
        </is>
      </c>
      <c r="D949" s="0" t="inlineStr">
        <is>
          <t xml:space="preserve">smb</t>
        </is>
      </c>
      <c r="E949" s="4">
        <v>31</v>
      </c>
      <c r="F949" s="0" t="inlineStr">
        <is>
          <t xml:space="preserve">Keystone Software Partners</t>
        </is>
      </c>
    </row>
    <row r="950">
      <c r="A950" s="0" t="inlineStr">
        <is>
          <t xml:space="preserve">a0949</t>
        </is>
      </c>
      <c r="B950" s="0" t="inlineStr">
        <is>
          <t xml:space="preserve">healthcare</t>
        </is>
      </c>
      <c r="C950" s="0" t="inlineStr">
        <is>
          <t xml:space="preserve">apac</t>
        </is>
      </c>
      <c r="D950" s="0" t="inlineStr">
        <is>
          <t xml:space="preserve">smb</t>
        </is>
      </c>
      <c r="E950" s="4">
        <v>204</v>
      </c>
      <c r="F950" s="0" t="inlineStr">
        <is>
          <t xml:space="preserve">Juniper Materials Partners</t>
        </is>
      </c>
    </row>
    <row r="951">
      <c r="A951" s="0" t="inlineStr">
        <is>
          <t xml:space="preserve">a0950</t>
        </is>
      </c>
      <c r="B951" s="0" t="inlineStr">
        <is>
          <t xml:space="preserve">financial_services</t>
        </is>
      </c>
      <c r="C951" s="0" t="inlineStr">
        <is>
          <t xml:space="preserve">apac</t>
        </is>
      </c>
      <c r="D951" s="0" t="inlineStr">
        <is>
          <t xml:space="preserve">mid_market</t>
        </is>
      </c>
      <c r="E951" s="4">
        <v>317</v>
      </c>
      <c r="F951" s="0" t="inlineStr">
        <is>
          <t xml:space="preserve">Vertex Foods</t>
        </is>
      </c>
    </row>
    <row r="952">
      <c r="A952" s="0" t="inlineStr">
        <is>
          <t xml:space="preserve">a0951</t>
        </is>
      </c>
      <c r="B952" s="0" t="inlineStr">
        <is>
          <t xml:space="preserve">public_sector</t>
        </is>
      </c>
      <c r="C952" s="0" t="inlineStr">
        <is>
          <t xml:space="preserve">apac</t>
        </is>
      </c>
      <c r="D952" s="0" t="inlineStr">
        <is>
          <t xml:space="preserve">enterprise</t>
        </is>
      </c>
      <c r="E952" s="4">
        <v>3461</v>
      </c>
      <c r="F952" s="0" t="inlineStr">
        <is>
          <t xml:space="preserve">Beacon Software Co</t>
        </is>
      </c>
    </row>
    <row r="953">
      <c r="A953" s="0" t="inlineStr">
        <is>
          <t xml:space="preserve">a0952</t>
        </is>
      </c>
      <c r="B953" s="0" t="inlineStr">
        <is>
          <t xml:space="preserve">public_sector</t>
        </is>
      </c>
      <c r="C953" s="0" t="inlineStr">
        <is>
          <t xml:space="preserve">apac</t>
        </is>
      </c>
      <c r="D953" s="0" t="inlineStr">
        <is>
          <t xml:space="preserve">enterprise</t>
        </is>
      </c>
      <c r="E953" s="4">
        <v>4854</v>
      </c>
      <c r="F953" s="0" t="inlineStr">
        <is>
          <t xml:space="preserve">Juniper Logistics</t>
        </is>
      </c>
    </row>
    <row r="954">
      <c r="A954" s="0" t="inlineStr">
        <is>
          <t xml:space="preserve">a0953</t>
        </is>
      </c>
      <c r="B954" s="0" t="inlineStr">
        <is>
          <t xml:space="preserve">logistics</t>
        </is>
      </c>
      <c r="C954" s="0" t="inlineStr">
        <is>
          <t xml:space="preserve">apac</t>
        </is>
      </c>
      <c r="D954" s="0" t="inlineStr">
        <is>
          <t xml:space="preserve">mid_market</t>
        </is>
      </c>
      <c r="E954" s="4">
        <v>362</v>
      </c>
      <c r="F954" s="0" t="inlineStr">
        <is>
          <t xml:space="preserve">Atlas Energy</t>
        </is>
      </c>
    </row>
    <row r="955">
      <c r="A955" s="0" t="inlineStr">
        <is>
          <t xml:space="preserve">a0954</t>
        </is>
      </c>
      <c r="B955" s="0" t="inlineStr">
        <is>
          <t xml:space="preserve">financial_services</t>
        </is>
      </c>
      <c r="C955" s="0" t="inlineStr">
        <is>
          <t xml:space="preserve">apac</t>
        </is>
      </c>
      <c r="D955" s="0" t="inlineStr">
        <is>
          <t xml:space="preserve">mid_market</t>
        </is>
      </c>
      <c r="E955" s="4">
        <v>346</v>
      </c>
      <c r="F955" s="0" t="inlineStr">
        <is>
          <t xml:space="preserve">Harbor Materials Inc</t>
        </is>
      </c>
    </row>
    <row r="956">
      <c r="A956" s="0" t="inlineStr">
        <is>
          <t xml:space="preserve">a0955</t>
        </is>
      </c>
      <c r="B956" s="0" t="inlineStr">
        <is>
          <t xml:space="preserve">financial_services</t>
        </is>
      </c>
      <c r="C956" s="0" t="inlineStr">
        <is>
          <t xml:space="preserve">apac</t>
        </is>
      </c>
      <c r="D956" s="0" t="inlineStr">
        <is>
          <t xml:space="preserve">smb</t>
        </is>
      </c>
      <c r="E956" s="4">
        <v>63</v>
      </c>
      <c r="F956" s="0" t="inlineStr">
        <is>
          <t xml:space="preserve">Sable Materials Inc</t>
        </is>
      </c>
    </row>
    <row r="957">
      <c r="A957" s="0" t="inlineStr">
        <is>
          <t xml:space="preserve">a0956</t>
        </is>
      </c>
      <c r="B957" s="0" t="inlineStr">
        <is>
          <t xml:space="preserve">public_sector</t>
        </is>
      </c>
      <c r="C957" s="0" t="inlineStr">
        <is>
          <t xml:space="preserve">amer_east</t>
        </is>
      </c>
      <c r="D957" s="0" t="inlineStr">
        <is>
          <t xml:space="preserve">smb</t>
        </is>
      </c>
      <c r="E957" s="4">
        <v>34</v>
      </c>
      <c r="F957" s="0" t="inlineStr">
        <is>
          <t xml:space="preserve">Summit Logistics</t>
        </is>
      </c>
    </row>
    <row r="958">
      <c r="A958" s="0" t="inlineStr">
        <is>
          <t xml:space="preserve">a0957</t>
        </is>
      </c>
      <c r="B958" s="0" t="inlineStr">
        <is>
          <t xml:space="preserve">media</t>
        </is>
      </c>
      <c r="C958" s="0" t="inlineStr">
        <is>
          <t xml:space="preserve">amer_east</t>
        </is>
      </c>
      <c r="D958" s="0" t="inlineStr">
        <is>
          <t xml:space="preserve">smb</t>
        </is>
      </c>
      <c r="E958" s="4">
        <v>32</v>
      </c>
      <c r="F958" s="0" t="inlineStr">
        <is>
          <t xml:space="preserve">Orchard Materials Inc</t>
        </is>
      </c>
    </row>
    <row r="959">
      <c r="A959" s="0" t="inlineStr">
        <is>
          <t xml:space="preserve">a0958</t>
        </is>
      </c>
      <c r="B959" s="0" t="inlineStr">
        <is>
          <t xml:space="preserve">logistics</t>
        </is>
      </c>
      <c r="C959" s="0" t="inlineStr">
        <is>
          <t xml:space="preserve">amer_east</t>
        </is>
      </c>
      <c r="D959" s="0" t="inlineStr">
        <is>
          <t xml:space="preserve">smb</t>
        </is>
      </c>
      <c r="E959" s="4">
        <v>37</v>
      </c>
      <c r="F959" s="0" t="inlineStr">
        <is>
          <t xml:space="preserve">Redwood Foods</t>
        </is>
      </c>
    </row>
    <row r="960">
      <c r="A960" s="0" t="inlineStr">
        <is>
          <t xml:space="preserve">a0959</t>
        </is>
      </c>
      <c r="B960" s="0" t="inlineStr">
        <is>
          <t xml:space="preserve">public_sector</t>
        </is>
      </c>
      <c r="C960" s="0" t="inlineStr">
        <is>
          <t xml:space="preserve">amer_east</t>
        </is>
      </c>
      <c r="D960" s="0" t="inlineStr">
        <is>
          <t xml:space="preserve">mid_market</t>
        </is>
      </c>
      <c r="E960" s="4">
        <v>871</v>
      </c>
      <c r="F960" s="0" t="inlineStr">
        <is>
          <t xml:space="preserve">Pioneer Foods Ltd</t>
        </is>
      </c>
    </row>
    <row r="961">
      <c r="A961" s="0" t="inlineStr">
        <is>
          <t xml:space="preserve">a0960</t>
        </is>
      </c>
      <c r="B961" s="0" t="inlineStr">
        <is>
          <t xml:space="preserve">energy</t>
        </is>
      </c>
      <c r="C961" s="0" t="inlineStr">
        <is>
          <t xml:space="preserve">amer_east</t>
        </is>
      </c>
      <c r="D961" s="0" t="inlineStr">
        <is>
          <t xml:space="preserve">mid_market</t>
        </is>
      </c>
      <c r="E961" s="4">
        <v>371</v>
      </c>
      <c r="F961" s="0" t="inlineStr">
        <is>
          <t xml:space="preserve">Northwind Learning Ltd</t>
        </is>
      </c>
    </row>
    <row r="962">
      <c r="A962" s="0" t="inlineStr">
        <is>
          <t xml:space="preserve">a0961</t>
        </is>
      </c>
      <c r="B962" s="0" t="inlineStr">
        <is>
          <t xml:space="preserve">education</t>
        </is>
      </c>
      <c r="C962" s="0" t="inlineStr">
        <is>
          <t xml:space="preserve">amer_east</t>
        </is>
      </c>
      <c r="D962" s="0" t="inlineStr">
        <is>
          <t xml:space="preserve">mid_market</t>
        </is>
      </c>
      <c r="E962" s="4">
        <v>823</v>
      </c>
      <c r="F962" s="0" t="inlineStr">
        <is>
          <t xml:space="preserve">Falcon Learning Holdings</t>
        </is>
      </c>
    </row>
    <row r="963">
      <c r="A963" s="0" t="inlineStr">
        <is>
          <t xml:space="preserve">a0962</t>
        </is>
      </c>
      <c r="B963" s="0" t="inlineStr">
        <is>
          <t xml:space="preserve">financial_services</t>
        </is>
      </c>
      <c r="C963" s="0" t="inlineStr">
        <is>
          <t xml:space="preserve">amer_east</t>
        </is>
      </c>
      <c r="D963" s="0" t="inlineStr">
        <is>
          <t xml:space="preserve">enterprise</t>
        </is>
      </c>
      <c r="E963" s="4">
        <v>2705</v>
      </c>
      <c r="F963" s="0" t="inlineStr">
        <is>
          <t xml:space="preserve">Orchard Software Co</t>
        </is>
      </c>
    </row>
    <row r="964">
      <c r="A964" s="0" t="inlineStr">
        <is>
          <t xml:space="preserve">a0963</t>
        </is>
      </c>
      <c r="B964" s="0" t="inlineStr">
        <is>
          <t xml:space="preserve">education</t>
        </is>
      </c>
      <c r="C964" s="0" t="inlineStr">
        <is>
          <t xml:space="preserve">amer_east</t>
        </is>
      </c>
      <c r="D964" s="0" t="inlineStr">
        <is>
          <t xml:space="preserve">smb</t>
        </is>
      </c>
      <c r="E964" s="4">
        <v>50</v>
      </c>
      <c r="F964" s="0" t="inlineStr">
        <is>
          <t xml:space="preserve">Redwood Manufacturing SA</t>
        </is>
      </c>
    </row>
    <row r="965">
      <c r="A965" s="0" t="inlineStr">
        <is>
          <t xml:space="preserve">a0964</t>
        </is>
      </c>
      <c r="B965" s="0" t="inlineStr">
        <is>
          <t xml:space="preserve">manufacturing</t>
        </is>
      </c>
      <c r="C965" s="0" t="inlineStr">
        <is>
          <t xml:space="preserve">amer_east</t>
        </is>
      </c>
      <c r="D965" s="0" t="inlineStr">
        <is>
          <t xml:space="preserve">smb</t>
        </is>
      </c>
      <c r="E965" s="4">
        <v>25</v>
      </c>
      <c r="F965" s="0" t="inlineStr">
        <is>
          <t xml:space="preserve">Silverline Networks Group</t>
        </is>
      </c>
    </row>
    <row r="966">
      <c r="A966" s="0" t="inlineStr">
        <is>
          <t xml:space="preserve">a0965</t>
        </is>
      </c>
      <c r="B966" s="0" t="inlineStr">
        <is>
          <t xml:space="preserve">public_sector</t>
        </is>
      </c>
      <c r="C966" s="0" t="inlineStr">
        <is>
          <t xml:space="preserve">amer_east</t>
        </is>
      </c>
      <c r="D966" s="0" t="inlineStr">
        <is>
          <t xml:space="preserve">enterprise</t>
        </is>
      </c>
      <c r="E966" s="4">
        <v>2566</v>
      </c>
      <c r="F966" s="0" t="inlineStr">
        <is>
          <t xml:space="preserve">Atlas Mobility Partners</t>
        </is>
      </c>
    </row>
    <row r="967">
      <c r="A967" s="0" t="inlineStr">
        <is>
          <t xml:space="preserve">a0966</t>
        </is>
      </c>
      <c r="B967" s="0" t="inlineStr">
        <is>
          <t xml:space="preserve">manufacturing</t>
        </is>
      </c>
      <c r="C967" s="0" t="inlineStr">
        <is>
          <t xml:space="preserve">amer_east</t>
        </is>
      </c>
      <c r="D967" s="0" t="inlineStr">
        <is>
          <t xml:space="preserve">mid_market</t>
        </is>
      </c>
      <c r="E967" s="4">
        <v>1557</v>
      </c>
      <c r="F967" s="0" t="inlineStr">
        <is>
          <t xml:space="preserve">Cascade Materials Group</t>
        </is>
      </c>
    </row>
    <row r="968">
      <c r="A968" s="0" t="inlineStr">
        <is>
          <t xml:space="preserve">a0967</t>
        </is>
      </c>
      <c r="B968" s="0" t="inlineStr">
        <is>
          <t xml:space="preserve">healthcare</t>
        </is>
      </c>
      <c r="C968" s="0" t="inlineStr">
        <is>
          <t xml:space="preserve">amer_east</t>
        </is>
      </c>
      <c r="D968" s="0" t="inlineStr">
        <is>
          <t xml:space="preserve">mid_market</t>
        </is>
      </c>
      <c r="E968" s="4">
        <v>1291</v>
      </c>
      <c r="F968" s="0" t="inlineStr">
        <is>
          <t xml:space="preserve">Nimbus Capital Group</t>
        </is>
      </c>
    </row>
    <row r="969">
      <c r="A969" s="0" t="inlineStr">
        <is>
          <t xml:space="preserve">a0968</t>
        </is>
      </c>
      <c r="B969" s="0" t="inlineStr">
        <is>
          <t xml:space="preserve">healthcare</t>
        </is>
      </c>
      <c r="C969" s="0" t="inlineStr">
        <is>
          <t xml:space="preserve">amer_east</t>
        </is>
      </c>
      <c r="D969" s="0" t="inlineStr">
        <is>
          <t xml:space="preserve">mid_market</t>
        </is>
      </c>
      <c r="E969" s="4">
        <v>264</v>
      </c>
      <c r="F969" s="0" t="inlineStr">
        <is>
          <t xml:space="preserve">Silverline Manufacturing SA</t>
        </is>
      </c>
    </row>
    <row r="970">
      <c r="A970" s="0" t="inlineStr">
        <is>
          <t xml:space="preserve">a0969</t>
        </is>
      </c>
      <c r="B970" s="0" t="inlineStr">
        <is>
          <t xml:space="preserve">healthcare</t>
        </is>
      </c>
      <c r="C970" s="0" t="inlineStr">
        <is>
          <t xml:space="preserve">amer_east</t>
        </is>
      </c>
      <c r="D970" s="0" t="inlineStr">
        <is>
          <t xml:space="preserve">mid_market</t>
        </is>
      </c>
      <c r="E970" s="4">
        <v>257</v>
      </c>
      <c r="F970" s="0" t="inlineStr">
        <is>
          <t xml:space="preserve">Cascade Media Inc</t>
        </is>
      </c>
    </row>
    <row r="971">
      <c r="A971" s="0" t="inlineStr">
        <is>
          <t xml:space="preserve">a0970</t>
        </is>
      </c>
      <c r="B971" s="0" t="inlineStr">
        <is>
          <t xml:space="preserve">software</t>
        </is>
      </c>
      <c r="C971" s="0" t="inlineStr">
        <is>
          <t xml:space="preserve">amer_east</t>
        </is>
      </c>
      <c r="D971" s="0" t="inlineStr">
        <is>
          <t xml:space="preserve">enterprise</t>
        </is>
      </c>
      <c r="E971" s="4">
        <v>11706</v>
      </c>
      <c r="F971" s="0" t="inlineStr">
        <is>
          <t xml:space="preserve">Sable Financial</t>
        </is>
      </c>
    </row>
    <row r="972">
      <c r="A972" s="0" t="inlineStr">
        <is>
          <t xml:space="preserve">a0971</t>
        </is>
      </c>
      <c r="B972" s="0" t="inlineStr">
        <is>
          <t xml:space="preserve">education</t>
        </is>
      </c>
      <c r="C972" s="0" t="inlineStr">
        <is>
          <t xml:space="preserve">amer_east</t>
        </is>
      </c>
      <c r="D972" s="0" t="inlineStr">
        <is>
          <t xml:space="preserve">smb</t>
        </is>
      </c>
      <c r="E972" s="4">
        <v>33</v>
      </c>
      <c r="F972" s="0" t="inlineStr">
        <is>
          <t xml:space="preserve">Atlas Labs Holdings</t>
        </is>
      </c>
    </row>
    <row r="973">
      <c r="A973" s="0" t="inlineStr">
        <is>
          <t xml:space="preserve">a0972</t>
        </is>
      </c>
      <c r="B973" s="0" t="inlineStr">
        <is>
          <t xml:space="preserve">logistics</t>
        </is>
      </c>
      <c r="C973" s="0" t="inlineStr">
        <is>
          <t xml:space="preserve">amer_east</t>
        </is>
      </c>
      <c r="D973" s="0" t="inlineStr">
        <is>
          <t xml:space="preserve">smb</t>
        </is>
      </c>
      <c r="E973" s="4">
        <v>20</v>
      </c>
      <c r="F973" s="0" t="inlineStr">
        <is>
          <t xml:space="preserve">Northwind Health Group</t>
        </is>
      </c>
    </row>
    <row r="974">
      <c r="A974" s="0" t="inlineStr">
        <is>
          <t xml:space="preserve">a0973</t>
        </is>
      </c>
      <c r="B974" s="0" t="inlineStr">
        <is>
          <t xml:space="preserve">software</t>
        </is>
      </c>
      <c r="C974" s="0" t="inlineStr">
        <is>
          <t xml:space="preserve">amer_east</t>
        </is>
      </c>
      <c r="D974" s="0" t="inlineStr">
        <is>
          <t xml:space="preserve">smb</t>
        </is>
      </c>
      <c r="E974" s="4">
        <v>60</v>
      </c>
      <c r="F974" s="0" t="inlineStr">
        <is>
          <t xml:space="preserve">Evergreen Networks Group</t>
        </is>
      </c>
    </row>
    <row r="975">
      <c r="A975" s="0" t="inlineStr">
        <is>
          <t xml:space="preserve">a0974</t>
        </is>
      </c>
      <c r="B975" s="0" t="inlineStr">
        <is>
          <t xml:space="preserve">public_sector</t>
        </is>
      </c>
      <c r="C975" s="0" t="inlineStr">
        <is>
          <t xml:space="preserve">amer_east</t>
        </is>
      </c>
      <c r="D975" s="0" t="inlineStr">
        <is>
          <t xml:space="preserve">smb</t>
        </is>
      </c>
      <c r="E975" s="4">
        <v>33</v>
      </c>
      <c r="F975" s="0" t="inlineStr">
        <is>
          <t xml:space="preserve">Blue Harbor Manufacturing Co</t>
        </is>
      </c>
    </row>
    <row r="976">
      <c r="A976" s="0" t="inlineStr">
        <is>
          <t xml:space="preserve">a0975</t>
        </is>
      </c>
      <c r="B976" s="0" t="inlineStr">
        <is>
          <t xml:space="preserve">financial_services</t>
        </is>
      </c>
      <c r="C976" s="0" t="inlineStr">
        <is>
          <t xml:space="preserve">amer_east</t>
        </is>
      </c>
      <c r="D976" s="0" t="inlineStr">
        <is>
          <t xml:space="preserve">enterprise</t>
        </is>
      </c>
      <c r="E976" s="4">
        <v>3520</v>
      </c>
      <c r="F976" s="0" t="inlineStr">
        <is>
          <t xml:space="preserve">Silverline Retail Ltd</t>
        </is>
      </c>
    </row>
    <row r="977">
      <c r="A977" s="0" t="inlineStr">
        <is>
          <t xml:space="preserve">a0976</t>
        </is>
      </c>
      <c r="B977" s="0" t="inlineStr">
        <is>
          <t xml:space="preserve">healthcare</t>
        </is>
      </c>
      <c r="C977" s="0" t="inlineStr">
        <is>
          <t xml:space="preserve">amer_east</t>
        </is>
      </c>
      <c r="D977" s="0" t="inlineStr">
        <is>
          <t xml:space="preserve">mid_market</t>
        </is>
      </c>
      <c r="E977" s="4">
        <v>543</v>
      </c>
      <c r="F977" s="0" t="inlineStr">
        <is>
          <t xml:space="preserve">Atlas Financial Inc</t>
        </is>
      </c>
    </row>
    <row r="978">
      <c r="A978" s="0" t="inlineStr">
        <is>
          <t xml:space="preserve">a0977</t>
        </is>
      </c>
      <c r="B978" s="0" t="inlineStr">
        <is>
          <t xml:space="preserve">software</t>
        </is>
      </c>
      <c r="C978" s="0" t="inlineStr">
        <is>
          <t xml:space="preserve">amer_east</t>
        </is>
      </c>
      <c r="D978" s="0" t="inlineStr">
        <is>
          <t xml:space="preserve">mid_market</t>
        </is>
      </c>
      <c r="E978" s="4">
        <v>536</v>
      </c>
      <c r="F978" s="0" t="inlineStr">
        <is>
          <t xml:space="preserve">Vertex Materials Group</t>
        </is>
      </c>
    </row>
    <row r="979">
      <c r="A979" s="0" t="inlineStr">
        <is>
          <t xml:space="preserve">a0978</t>
        </is>
      </c>
      <c r="B979" s="0" t="inlineStr">
        <is>
          <t xml:space="preserve">retail</t>
        </is>
      </c>
      <c r="C979" s="0" t="inlineStr">
        <is>
          <t xml:space="preserve">amer_east</t>
        </is>
      </c>
      <c r="D979" s="0" t="inlineStr">
        <is>
          <t xml:space="preserve">enterprise</t>
        </is>
      </c>
      <c r="E979" s="4">
        <v>2971</v>
      </c>
      <c r="F979" s="0" t="inlineStr">
        <is>
          <t xml:space="preserve">Juniper Logistics Group</t>
        </is>
      </c>
    </row>
    <row r="980">
      <c r="A980" s="0" t="inlineStr">
        <is>
          <t xml:space="preserve">a0979</t>
        </is>
      </c>
      <c r="B980" s="0" t="inlineStr">
        <is>
          <t xml:space="preserve">retail</t>
        </is>
      </c>
      <c r="C980" s="0" t="inlineStr">
        <is>
          <t xml:space="preserve">amer_west</t>
        </is>
      </c>
      <c r="D980" s="0" t="inlineStr">
        <is>
          <t xml:space="preserve">smb</t>
        </is>
      </c>
      <c r="E980" s="4">
        <v>61</v>
      </c>
      <c r="F980" s="0" t="inlineStr">
        <is>
          <t xml:space="preserve">Horizon Energy</t>
        </is>
      </c>
    </row>
    <row r="981">
      <c r="A981" s="0" t="inlineStr">
        <is>
          <t xml:space="preserve">a0980</t>
        </is>
      </c>
      <c r="B981" s="0" t="inlineStr">
        <is>
          <t xml:space="preserve">financial_services</t>
        </is>
      </c>
      <c r="C981" s="0" t="inlineStr">
        <is>
          <t xml:space="preserve">amer_west</t>
        </is>
      </c>
      <c r="D981" s="0" t="inlineStr">
        <is>
          <t xml:space="preserve">mid_market</t>
        </is>
      </c>
      <c r="E981" s="4">
        <v>1254</v>
      </c>
      <c r="F981" s="0" t="inlineStr">
        <is>
          <t xml:space="preserve">Quantum Retail Holdings</t>
        </is>
      </c>
    </row>
    <row r="982">
      <c r="A982" s="0" t="inlineStr">
        <is>
          <t xml:space="preserve">a0981</t>
        </is>
      </c>
      <c r="B982" s="0" t="inlineStr">
        <is>
          <t xml:space="preserve">software</t>
        </is>
      </c>
      <c r="C982" s="0" t="inlineStr">
        <is>
          <t xml:space="preserve">amer_west</t>
        </is>
      </c>
      <c r="D982" s="0" t="inlineStr">
        <is>
          <t xml:space="preserve">smb</t>
        </is>
      </c>
      <c r="E982" s="4">
        <v>39</v>
      </c>
      <c r="F982" s="0" t="inlineStr">
        <is>
          <t xml:space="preserve">Brightwater Networks</t>
        </is>
      </c>
    </row>
    <row r="983">
      <c r="A983" s="0" t="inlineStr">
        <is>
          <t xml:space="preserve">a0982</t>
        </is>
      </c>
      <c r="B983" s="0" t="inlineStr">
        <is>
          <t xml:space="preserve">healthcare</t>
        </is>
      </c>
      <c r="C983" s="0" t="inlineStr">
        <is>
          <t xml:space="preserve">amer_west</t>
        </is>
      </c>
      <c r="D983" s="0" t="inlineStr">
        <is>
          <t xml:space="preserve">mid_market</t>
        </is>
      </c>
      <c r="E983" s="4">
        <v>534</v>
      </c>
      <c r="F983" s="0" t="inlineStr">
        <is>
          <t xml:space="preserve">Pioneer Health Holdings</t>
        </is>
      </c>
    </row>
    <row r="984">
      <c r="A984" s="0" t="inlineStr">
        <is>
          <t xml:space="preserve">a0983</t>
        </is>
      </c>
      <c r="B984" s="0" t="inlineStr">
        <is>
          <t xml:space="preserve">energy</t>
        </is>
      </c>
      <c r="C984" s="0" t="inlineStr">
        <is>
          <t xml:space="preserve">amer_west</t>
        </is>
      </c>
      <c r="D984" s="0" t="inlineStr">
        <is>
          <t xml:space="preserve">enterprise</t>
        </is>
      </c>
      <c r="E984" s="4">
        <v>5953</v>
      </c>
      <c r="F984" s="0" t="inlineStr">
        <is>
          <t xml:space="preserve">Granite Software Co</t>
        </is>
      </c>
    </row>
    <row r="985">
      <c r="A985" s="0" t="inlineStr">
        <is>
          <t xml:space="preserve">a0984</t>
        </is>
      </c>
      <c r="B985" s="0" t="inlineStr">
        <is>
          <t xml:space="preserve">manufacturing</t>
        </is>
      </c>
      <c r="C985" s="0" t="inlineStr">
        <is>
          <t xml:space="preserve">amer_west</t>
        </is>
      </c>
      <c r="D985" s="0" t="inlineStr">
        <is>
          <t xml:space="preserve">enterprise</t>
        </is>
      </c>
      <c r="E985" s="4">
        <v>2786</v>
      </c>
      <c r="F985" s="0" t="inlineStr">
        <is>
          <t xml:space="preserve">Umber Media Inc</t>
        </is>
      </c>
    </row>
    <row r="986">
      <c r="A986" s="0" t="inlineStr">
        <is>
          <t xml:space="preserve">a0985</t>
        </is>
      </c>
      <c r="B986" s="0" t="inlineStr">
        <is>
          <t xml:space="preserve">software</t>
        </is>
      </c>
      <c r="C986" s="0" t="inlineStr">
        <is>
          <t xml:space="preserve">amer_west</t>
        </is>
      </c>
      <c r="D986" s="0" t="inlineStr">
        <is>
          <t xml:space="preserve">enterprise</t>
        </is>
      </c>
      <c r="E986" s="4">
        <v>3877</v>
      </c>
      <c r="F986" s="0" t="inlineStr">
        <is>
          <t xml:space="preserve">Tidewater Foods AG</t>
        </is>
      </c>
    </row>
    <row r="987">
      <c r="A987" s="0" t="inlineStr">
        <is>
          <t xml:space="preserve">a0986</t>
        </is>
      </c>
      <c r="B987" s="0" t="inlineStr">
        <is>
          <t xml:space="preserve">software</t>
        </is>
      </c>
      <c r="C987" s="0" t="inlineStr">
        <is>
          <t xml:space="preserve">amer_west</t>
        </is>
      </c>
      <c r="D987" s="0" t="inlineStr">
        <is>
          <t xml:space="preserve">mid_market</t>
        </is>
      </c>
      <c r="E987" s="4">
        <v>567</v>
      </c>
      <c r="F987" s="0" t="inlineStr">
        <is>
          <t xml:space="preserve">Aurora Foods</t>
        </is>
      </c>
    </row>
    <row r="988">
      <c r="A988" s="0" t="inlineStr">
        <is>
          <t xml:space="preserve">a0987</t>
        </is>
      </c>
      <c r="B988" s="0" t="inlineStr">
        <is>
          <t xml:space="preserve">financial_services</t>
        </is>
      </c>
      <c r="C988" s="0" t="inlineStr">
        <is>
          <t xml:space="preserve">amer_west</t>
        </is>
      </c>
      <c r="D988" s="0" t="inlineStr">
        <is>
          <t xml:space="preserve">smb</t>
        </is>
      </c>
      <c r="E988" s="4">
        <v>20</v>
      </c>
      <c r="F988" s="0" t="inlineStr">
        <is>
          <t xml:space="preserve">Cobalt Health Group</t>
        </is>
      </c>
    </row>
    <row r="989">
      <c r="A989" s="0" t="inlineStr">
        <is>
          <t xml:space="preserve">a0988</t>
        </is>
      </c>
      <c r="B989" s="0" t="inlineStr">
        <is>
          <t xml:space="preserve">manufacturing</t>
        </is>
      </c>
      <c r="C989" s="0" t="inlineStr">
        <is>
          <t xml:space="preserve">amer_west</t>
        </is>
      </c>
      <c r="D989" s="0" t="inlineStr">
        <is>
          <t xml:space="preserve">mid_market</t>
        </is>
      </c>
      <c r="E989" s="4">
        <v>466</v>
      </c>
      <c r="F989" s="0" t="inlineStr">
        <is>
          <t xml:space="preserve">Horizon Manufacturing Partners</t>
        </is>
      </c>
    </row>
    <row r="990">
      <c r="A990" s="0" t="inlineStr">
        <is>
          <t xml:space="preserve">a0989</t>
        </is>
      </c>
      <c r="B990" s="0" t="inlineStr">
        <is>
          <t xml:space="preserve">software</t>
        </is>
      </c>
      <c r="C990" s="0" t="inlineStr">
        <is>
          <t xml:space="preserve">amer_west</t>
        </is>
      </c>
      <c r="D990" s="0" t="inlineStr">
        <is>
          <t xml:space="preserve">smb</t>
        </is>
      </c>
      <c r="E990" s="4">
        <v>35</v>
      </c>
      <c r="F990" s="0" t="inlineStr">
        <is>
          <t xml:space="preserve">Northwind Media AG</t>
        </is>
      </c>
    </row>
    <row r="991">
      <c r="A991" s="0" t="inlineStr">
        <is>
          <t xml:space="preserve">a0990</t>
        </is>
      </c>
      <c r="B991" s="0" t="inlineStr">
        <is>
          <t xml:space="preserve">logistics</t>
        </is>
      </c>
      <c r="C991" s="0" t="inlineStr">
        <is>
          <t xml:space="preserve">amer_west</t>
        </is>
      </c>
      <c r="D991" s="0" t="inlineStr">
        <is>
          <t xml:space="preserve">smb</t>
        </is>
      </c>
      <c r="E991" s="4">
        <v>115</v>
      </c>
      <c r="F991" s="0" t="inlineStr">
        <is>
          <t xml:space="preserve">Vertex Labs Co</t>
        </is>
      </c>
    </row>
    <row r="992">
      <c r="A992" s="0" t="inlineStr">
        <is>
          <t xml:space="preserve">a0991</t>
        </is>
      </c>
      <c r="B992" s="0" t="inlineStr">
        <is>
          <t xml:space="preserve">education</t>
        </is>
      </c>
      <c r="C992" s="0" t="inlineStr">
        <is>
          <t xml:space="preserve">amer_west</t>
        </is>
      </c>
      <c r="D992" s="0" t="inlineStr">
        <is>
          <t xml:space="preserve">enterprise</t>
        </is>
      </c>
      <c r="E992" s="4">
        <v>3068</v>
      </c>
      <c r="F992" s="0" t="inlineStr">
        <is>
          <t xml:space="preserve">Vertex Logistics Group</t>
        </is>
      </c>
    </row>
    <row r="993">
      <c r="A993" s="0" t="inlineStr">
        <is>
          <t xml:space="preserve">a0992</t>
        </is>
      </c>
      <c r="B993" s="0" t="inlineStr">
        <is>
          <t xml:space="preserve">retail</t>
        </is>
      </c>
      <c r="C993" s="0" t="inlineStr">
        <is>
          <t xml:space="preserve">amer_west</t>
        </is>
      </c>
      <c r="D993" s="0" t="inlineStr">
        <is>
          <t xml:space="preserve">smb</t>
        </is>
      </c>
      <c r="E993" s="4">
        <v>79</v>
      </c>
      <c r="F993" s="0" t="inlineStr">
        <is>
          <t xml:space="preserve">Granite Software Ltd</t>
        </is>
      </c>
    </row>
    <row r="994">
      <c r="A994" s="0" t="inlineStr">
        <is>
          <t xml:space="preserve">a0993</t>
        </is>
      </c>
      <c r="B994" s="0" t="inlineStr">
        <is>
          <t xml:space="preserve">public_sector</t>
        </is>
      </c>
      <c r="C994" s="0" t="inlineStr">
        <is>
          <t xml:space="preserve">amer_west</t>
        </is>
      </c>
      <c r="D994" s="0" t="inlineStr">
        <is>
          <t xml:space="preserve">smb</t>
        </is>
      </c>
      <c r="E994" s="4">
        <v>169</v>
      </c>
      <c r="F994" s="0" t="inlineStr">
        <is>
          <t xml:space="preserve">Copper Energy Ltd</t>
        </is>
      </c>
    </row>
    <row r="995">
      <c r="A995" s="0" t="inlineStr">
        <is>
          <t xml:space="preserve">a0994</t>
        </is>
      </c>
      <c r="B995" s="0" t="inlineStr">
        <is>
          <t xml:space="preserve">manufacturing</t>
        </is>
      </c>
      <c r="C995" s="0" t="inlineStr">
        <is>
          <t xml:space="preserve">amer_west</t>
        </is>
      </c>
      <c r="D995" s="0" t="inlineStr">
        <is>
          <t xml:space="preserve">mid_market</t>
        </is>
      </c>
      <c r="E995" s="4">
        <v>699</v>
      </c>
      <c r="F995" s="0" t="inlineStr">
        <is>
          <t xml:space="preserve">Juniper Retail</t>
        </is>
      </c>
    </row>
    <row r="996">
      <c r="A996" s="0" t="inlineStr">
        <is>
          <t xml:space="preserve">a0995</t>
        </is>
      </c>
      <c r="B996" s="0" t="inlineStr">
        <is>
          <t xml:space="preserve">healthcare</t>
        </is>
      </c>
      <c r="C996" s="0" t="inlineStr">
        <is>
          <t xml:space="preserve">amer_west</t>
        </is>
      </c>
      <c r="D996" s="0" t="inlineStr">
        <is>
          <t xml:space="preserve">mid_market</t>
        </is>
      </c>
      <c r="E996" s="4">
        <v>444</v>
      </c>
      <c r="F996" s="0" t="inlineStr">
        <is>
          <t xml:space="preserve">Keystone Learning SA</t>
        </is>
      </c>
    </row>
    <row r="997">
      <c r="A997" s="0" t="inlineStr">
        <is>
          <t xml:space="preserve">a0996</t>
        </is>
      </c>
      <c r="B997" s="0" t="inlineStr">
        <is>
          <t xml:space="preserve">manufacturing</t>
        </is>
      </c>
      <c r="C997" s="0" t="inlineStr">
        <is>
          <t xml:space="preserve">amer_west</t>
        </is>
      </c>
      <c r="D997" s="0" t="inlineStr">
        <is>
          <t xml:space="preserve">enterprise</t>
        </is>
      </c>
      <c r="E997" s="4">
        <v>22189</v>
      </c>
      <c r="F997" s="0" t="inlineStr">
        <is>
          <t xml:space="preserve">Aurora Energy AG</t>
        </is>
      </c>
    </row>
    <row r="998">
      <c r="A998" s="0" t="inlineStr">
        <is>
          <t xml:space="preserve">a0997</t>
        </is>
      </c>
      <c r="B998" s="0" t="inlineStr">
        <is>
          <t xml:space="preserve">manufacturing</t>
        </is>
      </c>
      <c r="C998" s="0" t="inlineStr">
        <is>
          <t xml:space="preserve">amer_west</t>
        </is>
      </c>
      <c r="D998" s="0" t="inlineStr">
        <is>
          <t xml:space="preserve">smb</t>
        </is>
      </c>
      <c r="E998" s="4">
        <v>26</v>
      </c>
      <c r="F998" s="0" t="inlineStr">
        <is>
          <t xml:space="preserve">Juniper Health SA</t>
        </is>
      </c>
    </row>
    <row r="999">
      <c r="A999" s="0" t="inlineStr">
        <is>
          <t xml:space="preserve">a0998</t>
        </is>
      </c>
      <c r="B999" s="0" t="inlineStr">
        <is>
          <t xml:space="preserve">financial_services</t>
        </is>
      </c>
      <c r="C999" s="0" t="inlineStr">
        <is>
          <t xml:space="preserve">amer_west</t>
        </is>
      </c>
      <c r="D999" s="0" t="inlineStr">
        <is>
          <t xml:space="preserve">smb</t>
        </is>
      </c>
      <c r="E999" s="4">
        <v>61</v>
      </c>
      <c r="F999" s="0" t="inlineStr">
        <is>
          <t xml:space="preserve">Juniper Systems AG</t>
        </is>
      </c>
    </row>
    <row r="1000">
      <c r="A1000" s="0" t="inlineStr">
        <is>
          <t xml:space="preserve">a0999</t>
        </is>
      </c>
      <c r="B1000" s="0" t="inlineStr">
        <is>
          <t xml:space="preserve">logistics</t>
        </is>
      </c>
      <c r="C1000" s="0" t="inlineStr">
        <is>
          <t xml:space="preserve">amer_west</t>
        </is>
      </c>
      <c r="D1000" s="0" t="inlineStr">
        <is>
          <t xml:space="preserve">smb</t>
        </is>
      </c>
      <c r="E1000" s="4">
        <v>106</v>
      </c>
      <c r="F1000" s="0" t="inlineStr">
        <is>
          <t xml:space="preserve">Lakeside Foods Group</t>
        </is>
      </c>
    </row>
    <row r="1001">
      <c r="A1001" s="0" t="inlineStr">
        <is>
          <t xml:space="preserve">a1000</t>
        </is>
      </c>
      <c r="B1001" s="0" t="inlineStr">
        <is>
          <t xml:space="preserve">software</t>
        </is>
      </c>
      <c r="C1001" s="0" t="inlineStr">
        <is>
          <t xml:space="preserve">amer_west</t>
        </is>
      </c>
      <c r="D1001" s="0" t="inlineStr">
        <is>
          <t xml:space="preserve">smb</t>
        </is>
      </c>
      <c r="E1001" s="4">
        <v>25</v>
      </c>
      <c r="F1001" s="0" t="inlineStr">
        <is>
          <t xml:space="preserve">Beacon Mobility AG</t>
        </is>
      </c>
    </row>
    <row r="1002">
      <c r="A1002" s="0" t="inlineStr">
        <is>
          <t xml:space="preserve">a1001</t>
        </is>
      </c>
      <c r="B1002" s="0" t="inlineStr">
        <is>
          <t xml:space="preserve">media</t>
        </is>
      </c>
      <c r="C1002" s="0" t="inlineStr">
        <is>
          <t xml:space="preserve">amer_west</t>
        </is>
      </c>
      <c r="D1002" s="0" t="inlineStr">
        <is>
          <t xml:space="preserve">smb</t>
        </is>
      </c>
      <c r="E1002" s="4">
        <v>53</v>
      </c>
      <c r="F1002" s="0" t="inlineStr">
        <is>
          <t xml:space="preserve">Falcon Analytics Group</t>
        </is>
      </c>
    </row>
    <row r="1003">
      <c r="A1003" s="0" t="inlineStr">
        <is>
          <t xml:space="preserve">a1002</t>
        </is>
      </c>
      <c r="B1003" s="0" t="inlineStr">
        <is>
          <t xml:space="preserve">media</t>
        </is>
      </c>
      <c r="C1003" s="0" t="inlineStr">
        <is>
          <t xml:space="preserve">amer_west</t>
        </is>
      </c>
      <c r="D1003" s="0" t="inlineStr">
        <is>
          <t xml:space="preserve">smb</t>
        </is>
      </c>
      <c r="E1003" s="4">
        <v>31</v>
      </c>
      <c r="F1003" s="0" t="inlineStr">
        <is>
          <t xml:space="preserve">Aurora Systems Ltd</t>
        </is>
      </c>
    </row>
    <row r="1004">
      <c r="A1004" s="0" t="inlineStr">
        <is>
          <t xml:space="preserve">a1003</t>
        </is>
      </c>
      <c r="B1004" s="0" t="inlineStr">
        <is>
          <t xml:space="preserve">logistics</t>
        </is>
      </c>
      <c r="C1004" s="0" t="inlineStr">
        <is>
          <t xml:space="preserve">amer_west</t>
        </is>
      </c>
      <c r="D1004" s="0" t="inlineStr">
        <is>
          <t xml:space="preserve">smb</t>
        </is>
      </c>
      <c r="E1004" s="4">
        <v>27</v>
      </c>
      <c r="F1004" s="0" t="inlineStr">
        <is>
          <t xml:space="preserve">Copper Software Inc</t>
        </is>
      </c>
    </row>
    <row r="1005">
      <c r="A1005" s="0" t="inlineStr">
        <is>
          <t xml:space="preserve">a1004</t>
        </is>
      </c>
      <c r="B1005" s="0" t="inlineStr">
        <is>
          <t xml:space="preserve">media</t>
        </is>
      </c>
      <c r="C1005" s="0" t="inlineStr">
        <is>
          <t xml:space="preserve">amer_west</t>
        </is>
      </c>
      <c r="D1005" s="0" t="inlineStr">
        <is>
          <t xml:space="preserve">smb</t>
        </is>
      </c>
      <c r="E1005" s="4">
        <v>39</v>
      </c>
      <c r="F1005" s="0" t="inlineStr">
        <is>
          <t xml:space="preserve">Pioneer Logistics SA</t>
        </is>
      </c>
    </row>
    <row r="1006">
      <c r="A1006" s="0" t="inlineStr">
        <is>
          <t xml:space="preserve">a1005</t>
        </is>
      </c>
      <c r="B1006" s="0" t="inlineStr">
        <is>
          <t xml:space="preserve">software</t>
        </is>
      </c>
      <c r="C1006" s="0" t="inlineStr">
        <is>
          <t xml:space="preserve">amer_west</t>
        </is>
      </c>
      <c r="D1006" s="0" t="inlineStr">
        <is>
          <t xml:space="preserve">smb</t>
        </is>
      </c>
      <c r="E1006" s="4">
        <v>32</v>
      </c>
      <c r="F1006" s="0" t="inlineStr">
        <is>
          <t xml:space="preserve">Horizon Foods Partners</t>
        </is>
      </c>
    </row>
    <row r="1007">
      <c r="A1007" s="0" t="inlineStr">
        <is>
          <t xml:space="preserve">a1006</t>
        </is>
      </c>
      <c r="B1007" s="0" t="inlineStr">
        <is>
          <t xml:space="preserve">software</t>
        </is>
      </c>
      <c r="C1007" s="0" t="inlineStr">
        <is>
          <t xml:space="preserve">amer_west</t>
        </is>
      </c>
      <c r="D1007" s="0" t="inlineStr">
        <is>
          <t xml:space="preserve">smb</t>
        </is>
      </c>
      <c r="E1007" s="4">
        <v>26</v>
      </c>
      <c r="F1007" s="0" t="inlineStr">
        <is>
          <t xml:space="preserve">Meridian Analytics Partners</t>
        </is>
      </c>
    </row>
    <row r="1008">
      <c r="A1008" s="0" t="inlineStr">
        <is>
          <t xml:space="preserve">a1007</t>
        </is>
      </c>
      <c r="B1008" s="0" t="inlineStr">
        <is>
          <t xml:space="preserve">public_sector</t>
        </is>
      </c>
      <c r="C1008" s="0" t="inlineStr">
        <is>
          <t xml:space="preserve">amer_west</t>
        </is>
      </c>
      <c r="D1008" s="0" t="inlineStr">
        <is>
          <t xml:space="preserve">enterprise</t>
        </is>
      </c>
      <c r="E1008" s="4">
        <v>15485</v>
      </c>
      <c r="F1008" s="0" t="inlineStr">
        <is>
          <t xml:space="preserve">Silverline Financial Group</t>
        </is>
      </c>
    </row>
    <row r="1009">
      <c r="A1009" s="0" t="inlineStr">
        <is>
          <t xml:space="preserve">a1008</t>
        </is>
      </c>
      <c r="B1009" s="0" t="inlineStr">
        <is>
          <t xml:space="preserve">software</t>
        </is>
      </c>
      <c r="C1009" s="0" t="inlineStr">
        <is>
          <t xml:space="preserve">amer_west</t>
        </is>
      </c>
      <c r="D1009" s="0" t="inlineStr">
        <is>
          <t xml:space="preserve">mid_market</t>
        </is>
      </c>
      <c r="E1009" s="4">
        <v>894</v>
      </c>
      <c r="F1009" s="0" t="inlineStr">
        <is>
          <t xml:space="preserve">Summit Media Group</t>
        </is>
      </c>
    </row>
    <row r="1010">
      <c r="A1010" s="0" t="inlineStr">
        <is>
          <t xml:space="preserve">a1009</t>
        </is>
      </c>
      <c r="B1010" s="0" t="inlineStr">
        <is>
          <t xml:space="preserve">software</t>
        </is>
      </c>
      <c r="C1010" s="0" t="inlineStr">
        <is>
          <t xml:space="preserve">amer_west</t>
        </is>
      </c>
      <c r="D1010" s="0" t="inlineStr">
        <is>
          <t xml:space="preserve">mid_market</t>
        </is>
      </c>
      <c r="E1010" s="4">
        <v>1738</v>
      </c>
      <c r="F1010" s="0" t="inlineStr">
        <is>
          <t xml:space="preserve">Beacon Foods Partners</t>
        </is>
      </c>
    </row>
    <row r="1011">
      <c r="A1011" s="0" t="inlineStr">
        <is>
          <t xml:space="preserve">a1010</t>
        </is>
      </c>
      <c r="B1011" s="0" t="inlineStr">
        <is>
          <t xml:space="preserve">retail</t>
        </is>
      </c>
      <c r="C1011" s="0" t="inlineStr">
        <is>
          <t xml:space="preserve">emea</t>
        </is>
      </c>
      <c r="D1011" s="0" t="inlineStr">
        <is>
          <t xml:space="preserve">enterprise</t>
        </is>
      </c>
      <c r="E1011" s="4">
        <v>16687</v>
      </c>
      <c r="F1011" s="0" t="inlineStr">
        <is>
          <t xml:space="preserve">Vertex Energy Holdings</t>
        </is>
      </c>
    </row>
    <row r="1012">
      <c r="A1012" s="0" t="inlineStr">
        <is>
          <t xml:space="preserve">a1011</t>
        </is>
      </c>
      <c r="B1012" s="0" t="inlineStr">
        <is>
          <t xml:space="preserve">energy</t>
        </is>
      </c>
      <c r="C1012" s="0" t="inlineStr">
        <is>
          <t xml:space="preserve">emea</t>
        </is>
      </c>
      <c r="D1012" s="0" t="inlineStr">
        <is>
          <t xml:space="preserve">smb</t>
        </is>
      </c>
      <c r="E1012" s="4">
        <v>21</v>
      </c>
      <c r="F1012" s="0" t="inlineStr">
        <is>
          <t xml:space="preserve">Blue Harbor Robotics Group</t>
        </is>
      </c>
    </row>
    <row r="1013">
      <c r="A1013" s="0" t="inlineStr">
        <is>
          <t xml:space="preserve">a1012</t>
        </is>
      </c>
      <c r="B1013" s="0" t="inlineStr">
        <is>
          <t xml:space="preserve">manufacturing</t>
        </is>
      </c>
      <c r="C1013" s="0" t="inlineStr">
        <is>
          <t xml:space="preserve">emea</t>
        </is>
      </c>
      <c r="D1013" s="0" t="inlineStr">
        <is>
          <t xml:space="preserve">mid_market</t>
        </is>
      </c>
      <c r="E1013" s="4">
        <v>592</v>
      </c>
      <c r="F1013" s="0" t="inlineStr">
        <is>
          <t xml:space="preserve">Nimbus Materials Group</t>
        </is>
      </c>
    </row>
    <row r="1014">
      <c r="A1014" s="0" t="inlineStr">
        <is>
          <t xml:space="preserve">a1013</t>
        </is>
      </c>
      <c r="B1014" s="0" t="inlineStr">
        <is>
          <t xml:space="preserve">manufacturing</t>
        </is>
      </c>
      <c r="C1014" s="0" t="inlineStr">
        <is>
          <t xml:space="preserve">emea</t>
        </is>
      </c>
      <c r="D1014" s="0" t="inlineStr">
        <is>
          <t xml:space="preserve">mid_market</t>
        </is>
      </c>
      <c r="E1014" s="4">
        <v>666</v>
      </c>
      <c r="F1014" s="0" t="inlineStr">
        <is>
          <t xml:space="preserve">Beacon Media</t>
        </is>
      </c>
    </row>
    <row r="1015">
      <c r="A1015" s="0" t="inlineStr">
        <is>
          <t xml:space="preserve">a1014</t>
        </is>
      </c>
      <c r="B1015" s="0" t="inlineStr">
        <is>
          <t xml:space="preserve">logistics</t>
        </is>
      </c>
      <c r="C1015" s="0" t="inlineStr">
        <is>
          <t xml:space="preserve">emea</t>
        </is>
      </c>
      <c r="D1015" s="0" t="inlineStr">
        <is>
          <t xml:space="preserve">enterprise</t>
        </is>
      </c>
      <c r="E1015" s="4">
        <v>3139</v>
      </c>
      <c r="F1015" s="0" t="inlineStr">
        <is>
          <t xml:space="preserve">Juniper Energy AG</t>
        </is>
      </c>
    </row>
    <row r="1016">
      <c r="A1016" s="0" t="inlineStr">
        <is>
          <t xml:space="preserve">a1015</t>
        </is>
      </c>
      <c r="B1016" s="0" t="inlineStr">
        <is>
          <t xml:space="preserve">software</t>
        </is>
      </c>
      <c r="C1016" s="0" t="inlineStr">
        <is>
          <t xml:space="preserve">emea</t>
        </is>
      </c>
      <c r="D1016" s="0" t="inlineStr">
        <is>
          <t xml:space="preserve">smb</t>
        </is>
      </c>
      <c r="E1016" s="4">
        <v>45</v>
      </c>
      <c r="F1016" s="0" t="inlineStr">
        <is>
          <t xml:space="preserve">Evergreen Biotech</t>
        </is>
      </c>
    </row>
    <row r="1017">
      <c r="A1017" s="0" t="inlineStr">
        <is>
          <t xml:space="preserve">a1016</t>
        </is>
      </c>
      <c r="B1017" s="0" t="inlineStr">
        <is>
          <t xml:space="preserve">retail</t>
        </is>
      </c>
      <c r="C1017" s="0" t="inlineStr">
        <is>
          <t xml:space="preserve">emea</t>
        </is>
      </c>
      <c r="D1017" s="0" t="inlineStr">
        <is>
          <t xml:space="preserve">mid_market</t>
        </is>
      </c>
      <c r="E1017" s="4">
        <v>367</v>
      </c>
      <c r="F1017" s="0" t="inlineStr">
        <is>
          <t xml:space="preserve">Beacon Learning Co</t>
        </is>
      </c>
    </row>
    <row r="1018">
      <c r="A1018" s="0" t="inlineStr">
        <is>
          <t xml:space="preserve">a1017</t>
        </is>
      </c>
      <c r="B1018" s="0" t="inlineStr">
        <is>
          <t xml:space="preserve">healthcare</t>
        </is>
      </c>
      <c r="C1018" s="0" t="inlineStr">
        <is>
          <t xml:space="preserve">emea</t>
        </is>
      </c>
      <c r="D1018" s="0" t="inlineStr">
        <is>
          <t xml:space="preserve">enterprise</t>
        </is>
      </c>
      <c r="E1018" s="4">
        <v>3204</v>
      </c>
      <c r="F1018" s="0" t="inlineStr">
        <is>
          <t xml:space="preserve">Harbor Biotech Co</t>
        </is>
      </c>
    </row>
    <row r="1019">
      <c r="A1019" s="0" t="inlineStr">
        <is>
          <t xml:space="preserve">a1018</t>
        </is>
      </c>
      <c r="B1019" s="0" t="inlineStr">
        <is>
          <t xml:space="preserve">software</t>
        </is>
      </c>
      <c r="C1019" s="0" t="inlineStr">
        <is>
          <t xml:space="preserve">emea</t>
        </is>
      </c>
      <c r="D1019" s="0" t="inlineStr">
        <is>
          <t xml:space="preserve">smb</t>
        </is>
      </c>
      <c r="E1019" s="4">
        <v>42</v>
      </c>
      <c r="F1019" s="0" t="inlineStr">
        <is>
          <t xml:space="preserve">Aurora Capital Group</t>
        </is>
      </c>
    </row>
    <row r="1020">
      <c r="A1020" s="0" t="inlineStr">
        <is>
          <t xml:space="preserve">a1019</t>
        </is>
      </c>
      <c r="B1020" s="0" t="inlineStr">
        <is>
          <t xml:space="preserve">healthcare</t>
        </is>
      </c>
      <c r="C1020" s="0" t="inlineStr">
        <is>
          <t xml:space="preserve">emea</t>
        </is>
      </c>
      <c r="D1020" s="0" t="inlineStr">
        <is>
          <t xml:space="preserve">mid_market</t>
        </is>
      </c>
      <c r="E1020" s="4">
        <v>893</v>
      </c>
      <c r="F1020" s="0" t="inlineStr">
        <is>
          <t xml:space="preserve">Umber Capital Holdings</t>
        </is>
      </c>
    </row>
    <row r="1021">
      <c r="A1021" s="0" t="inlineStr">
        <is>
          <t xml:space="preserve">a1020</t>
        </is>
      </c>
      <c r="B1021" s="0" t="inlineStr">
        <is>
          <t xml:space="preserve">software</t>
        </is>
      </c>
      <c r="C1021" s="0" t="inlineStr">
        <is>
          <t xml:space="preserve">emea</t>
        </is>
      </c>
      <c r="D1021" s="0" t="inlineStr">
        <is>
          <t xml:space="preserve">mid_market</t>
        </is>
      </c>
      <c r="E1021" s="4">
        <v>485</v>
      </c>
      <c r="F1021" s="0" t="inlineStr">
        <is>
          <t xml:space="preserve">Juniper Insurance SA</t>
        </is>
      </c>
    </row>
    <row r="1022">
      <c r="A1022" s="0" t="inlineStr">
        <is>
          <t xml:space="preserve">a1021</t>
        </is>
      </c>
      <c r="B1022" s="0" t="inlineStr">
        <is>
          <t xml:space="preserve">healthcare</t>
        </is>
      </c>
      <c r="C1022" s="0" t="inlineStr">
        <is>
          <t xml:space="preserve">emea</t>
        </is>
      </c>
      <c r="D1022" s="0" t="inlineStr">
        <is>
          <t xml:space="preserve">mid_market</t>
        </is>
      </c>
      <c r="E1022" s="4">
        <v>452</v>
      </c>
      <c r="F1022" s="0" t="inlineStr">
        <is>
          <t xml:space="preserve">Lakeside Robotics</t>
        </is>
      </c>
    </row>
    <row r="1023">
      <c r="A1023" s="0" t="inlineStr">
        <is>
          <t xml:space="preserve">a1022</t>
        </is>
      </c>
      <c r="B1023" s="0" t="inlineStr">
        <is>
          <t xml:space="preserve">public_sector</t>
        </is>
      </c>
      <c r="C1023" s="0" t="inlineStr">
        <is>
          <t xml:space="preserve">emea</t>
        </is>
      </c>
      <c r="D1023" s="0" t="inlineStr">
        <is>
          <t xml:space="preserve">mid_market</t>
        </is>
      </c>
      <c r="E1023" s="4">
        <v>757</v>
      </c>
      <c r="F1023" s="0" t="inlineStr">
        <is>
          <t xml:space="preserve">Nimbus Health Inc</t>
        </is>
      </c>
    </row>
    <row r="1024">
      <c r="A1024" s="0" t="inlineStr">
        <is>
          <t xml:space="preserve">a1023</t>
        </is>
      </c>
      <c r="B1024" s="0" t="inlineStr">
        <is>
          <t xml:space="preserve">software</t>
        </is>
      </c>
      <c r="C1024" s="0" t="inlineStr">
        <is>
          <t xml:space="preserve">emea</t>
        </is>
      </c>
      <c r="D1024" s="0" t="inlineStr">
        <is>
          <t xml:space="preserve">smb</t>
        </is>
      </c>
      <c r="E1024" s="4">
        <v>33</v>
      </c>
      <c r="F1024" s="0" t="inlineStr">
        <is>
          <t xml:space="preserve">Beacon Labs AG</t>
        </is>
      </c>
    </row>
    <row r="1025">
      <c r="A1025" s="0" t="inlineStr">
        <is>
          <t xml:space="preserve">a1024</t>
        </is>
      </c>
      <c r="B1025" s="0" t="inlineStr">
        <is>
          <t xml:space="preserve">software</t>
        </is>
      </c>
      <c r="C1025" s="0" t="inlineStr">
        <is>
          <t xml:space="preserve">emea</t>
        </is>
      </c>
      <c r="D1025" s="0" t="inlineStr">
        <is>
          <t xml:space="preserve">smb</t>
        </is>
      </c>
      <c r="E1025" s="4">
        <v>52</v>
      </c>
      <c r="F1025" s="0" t="inlineStr">
        <is>
          <t xml:space="preserve">Beacon Media AG</t>
        </is>
      </c>
    </row>
    <row r="1026">
      <c r="A1026" s="0" t="inlineStr">
        <is>
          <t xml:space="preserve">a1025</t>
        </is>
      </c>
      <c r="B1026" s="0" t="inlineStr">
        <is>
          <t xml:space="preserve">energy</t>
        </is>
      </c>
      <c r="C1026" s="0" t="inlineStr">
        <is>
          <t xml:space="preserve">emea</t>
        </is>
      </c>
      <c r="D1026" s="0" t="inlineStr">
        <is>
          <t xml:space="preserve">mid_market</t>
        </is>
      </c>
      <c r="E1026" s="4">
        <v>972</v>
      </c>
      <c r="F1026" s="0" t="inlineStr">
        <is>
          <t xml:space="preserve">Evergreen Capital</t>
        </is>
      </c>
    </row>
    <row r="1027">
      <c r="A1027" s="0" t="inlineStr">
        <is>
          <t xml:space="preserve">a1026</t>
        </is>
      </c>
      <c r="B1027" s="0" t="inlineStr">
        <is>
          <t xml:space="preserve">media</t>
        </is>
      </c>
      <c r="C1027" s="0" t="inlineStr">
        <is>
          <t xml:space="preserve">emea</t>
        </is>
      </c>
      <c r="D1027" s="0" t="inlineStr">
        <is>
          <t xml:space="preserve">enterprise</t>
        </is>
      </c>
      <c r="E1027" s="4">
        <v>3531</v>
      </c>
      <c r="F1027" s="0" t="inlineStr">
        <is>
          <t xml:space="preserve">Redwood Analytics Group</t>
        </is>
      </c>
    </row>
    <row r="1028">
      <c r="A1028" s="0" t="inlineStr">
        <is>
          <t xml:space="preserve">a1027</t>
        </is>
      </c>
      <c r="B1028" s="0" t="inlineStr">
        <is>
          <t xml:space="preserve">public_sector</t>
        </is>
      </c>
      <c r="C1028" s="0" t="inlineStr">
        <is>
          <t xml:space="preserve">emea</t>
        </is>
      </c>
      <c r="D1028" s="0" t="inlineStr">
        <is>
          <t xml:space="preserve">smb</t>
        </is>
      </c>
      <c r="E1028" s="4">
        <v>29</v>
      </c>
      <c r="F1028" s="0" t="inlineStr">
        <is>
          <t xml:space="preserve">Summit Health Holdings</t>
        </is>
      </c>
    </row>
    <row r="1029">
      <c r="A1029" s="0" t="inlineStr">
        <is>
          <t xml:space="preserve">a1028</t>
        </is>
      </c>
      <c r="B1029" s="0" t="inlineStr">
        <is>
          <t xml:space="preserve">media</t>
        </is>
      </c>
      <c r="C1029" s="0" t="inlineStr">
        <is>
          <t xml:space="preserve">emea</t>
        </is>
      </c>
      <c r="D1029" s="0" t="inlineStr">
        <is>
          <t xml:space="preserve">smb</t>
        </is>
      </c>
      <c r="E1029" s="4">
        <v>147</v>
      </c>
      <c r="F1029" s="0" t="inlineStr">
        <is>
          <t xml:space="preserve">Orchard Mobility</t>
        </is>
      </c>
    </row>
    <row r="1030">
      <c r="A1030" s="0" t="inlineStr">
        <is>
          <t xml:space="preserve">a1029</t>
        </is>
      </c>
      <c r="B1030" s="0" t="inlineStr">
        <is>
          <t xml:space="preserve">logistics</t>
        </is>
      </c>
      <c r="C1030" s="0" t="inlineStr">
        <is>
          <t xml:space="preserve">emea</t>
        </is>
      </c>
      <c r="D1030" s="0" t="inlineStr">
        <is>
          <t xml:space="preserve">enterprise</t>
        </is>
      </c>
      <c r="E1030" s="4">
        <v>3796</v>
      </c>
      <c r="F1030" s="0" t="inlineStr">
        <is>
          <t xml:space="preserve">Keystone Learning AG</t>
        </is>
      </c>
    </row>
    <row r="1031">
      <c r="A1031" s="0" t="inlineStr">
        <is>
          <t xml:space="preserve">a1030</t>
        </is>
      </c>
      <c r="B1031" s="0" t="inlineStr">
        <is>
          <t xml:space="preserve">healthcare</t>
        </is>
      </c>
      <c r="C1031" s="0" t="inlineStr">
        <is>
          <t xml:space="preserve">emea</t>
        </is>
      </c>
      <c r="D1031" s="0" t="inlineStr">
        <is>
          <t xml:space="preserve">mid_market</t>
        </is>
      </c>
      <c r="E1031" s="4">
        <v>920</v>
      </c>
      <c r="F1031" s="0" t="inlineStr">
        <is>
          <t xml:space="preserve">Vertex Biotech Holdings</t>
        </is>
      </c>
    </row>
    <row r="1032">
      <c r="A1032" s="0" t="inlineStr">
        <is>
          <t xml:space="preserve">a1031</t>
        </is>
      </c>
      <c r="B1032" s="0" t="inlineStr">
        <is>
          <t xml:space="preserve">healthcare</t>
        </is>
      </c>
      <c r="C1032" s="0" t="inlineStr">
        <is>
          <t xml:space="preserve">emea</t>
        </is>
      </c>
      <c r="D1032" s="0" t="inlineStr">
        <is>
          <t xml:space="preserve">smb</t>
        </is>
      </c>
      <c r="E1032" s="4">
        <v>21</v>
      </c>
      <c r="F1032" s="0" t="inlineStr">
        <is>
          <t xml:space="preserve">Granite Materials Co</t>
        </is>
      </c>
    </row>
    <row r="1033">
      <c r="A1033" s="0" t="inlineStr">
        <is>
          <t xml:space="preserve">a1032</t>
        </is>
      </c>
      <c r="B1033" s="0" t="inlineStr">
        <is>
          <t xml:space="preserve">financial_services</t>
        </is>
      </c>
      <c r="C1033" s="0" t="inlineStr">
        <is>
          <t xml:space="preserve">emea</t>
        </is>
      </c>
      <c r="D1033" s="0" t="inlineStr">
        <is>
          <t xml:space="preserve">enterprise</t>
        </is>
      </c>
      <c r="E1033" s="4">
        <v>3988</v>
      </c>
      <c r="F1033" s="0" t="inlineStr">
        <is>
          <t xml:space="preserve">Ironbridge Learning Group</t>
        </is>
      </c>
    </row>
    <row r="1034">
      <c r="A1034" s="0" t="inlineStr">
        <is>
          <t xml:space="preserve">a1033</t>
        </is>
      </c>
      <c r="B1034" s="0" t="inlineStr">
        <is>
          <t xml:space="preserve">financial_services</t>
        </is>
      </c>
      <c r="C1034" s="0" t="inlineStr">
        <is>
          <t xml:space="preserve">emea</t>
        </is>
      </c>
      <c r="D1034" s="0" t="inlineStr">
        <is>
          <t xml:space="preserve">smb</t>
        </is>
      </c>
      <c r="E1034" s="4">
        <v>23</v>
      </c>
      <c r="F1034" s="0" t="inlineStr">
        <is>
          <t xml:space="preserve">Lakeside Retail Ltd</t>
        </is>
      </c>
    </row>
    <row r="1035">
      <c r="A1035" s="0" t="inlineStr">
        <is>
          <t xml:space="preserve">a1034</t>
        </is>
      </c>
      <c r="B1035" s="0" t="inlineStr">
        <is>
          <t xml:space="preserve">software</t>
        </is>
      </c>
      <c r="C1035" s="0" t="inlineStr">
        <is>
          <t xml:space="preserve">emea</t>
        </is>
      </c>
      <c r="D1035" s="0" t="inlineStr">
        <is>
          <t xml:space="preserve">enterprise</t>
        </is>
      </c>
      <c r="E1035" s="4">
        <v>2636</v>
      </c>
      <c r="F1035" s="0" t="inlineStr">
        <is>
          <t xml:space="preserve">Cascade Networks Partners</t>
        </is>
      </c>
    </row>
    <row r="1036">
      <c r="A1036" s="0" t="inlineStr">
        <is>
          <t xml:space="preserve">a1035</t>
        </is>
      </c>
      <c r="B1036" s="0" t="inlineStr">
        <is>
          <t xml:space="preserve">healthcare</t>
        </is>
      </c>
      <c r="C1036" s="0" t="inlineStr">
        <is>
          <t xml:space="preserve">emea</t>
        </is>
      </c>
      <c r="D1036" s="0" t="inlineStr">
        <is>
          <t xml:space="preserve">smb</t>
        </is>
      </c>
      <c r="E1036" s="4">
        <v>47</v>
      </c>
      <c r="F1036" s="0" t="inlineStr">
        <is>
          <t xml:space="preserve">Northwind Capital Inc</t>
        </is>
      </c>
    </row>
    <row r="1037">
      <c r="A1037" s="0" t="inlineStr">
        <is>
          <t xml:space="preserve">a1036</t>
        </is>
      </c>
      <c r="B1037" s="0" t="inlineStr">
        <is>
          <t xml:space="preserve">retail</t>
        </is>
      </c>
      <c r="C1037" s="0" t="inlineStr">
        <is>
          <t xml:space="preserve">emea</t>
        </is>
      </c>
      <c r="D1037" s="0" t="inlineStr">
        <is>
          <t xml:space="preserve">smb</t>
        </is>
      </c>
      <c r="E1037" s="4">
        <v>77</v>
      </c>
      <c r="F1037" s="0" t="inlineStr">
        <is>
          <t xml:space="preserve">Vertex Energy</t>
        </is>
      </c>
    </row>
    <row r="1038">
      <c r="A1038" s="0" t="inlineStr">
        <is>
          <t xml:space="preserve">a1037</t>
        </is>
      </c>
      <c r="B1038" s="0" t="inlineStr">
        <is>
          <t xml:space="preserve">manufacturing</t>
        </is>
      </c>
      <c r="C1038" s="0" t="inlineStr">
        <is>
          <t xml:space="preserve">apac</t>
        </is>
      </c>
      <c r="D1038" s="0" t="inlineStr">
        <is>
          <t xml:space="preserve">enterprise</t>
        </is>
      </c>
      <c r="E1038" s="4">
        <v>3550</v>
      </c>
      <c r="F1038" s="0" t="inlineStr">
        <is>
          <t xml:space="preserve">Northwind Analytics</t>
        </is>
      </c>
    </row>
    <row r="1039">
      <c r="A1039" s="0" t="inlineStr">
        <is>
          <t xml:space="preserve">a1038</t>
        </is>
      </c>
      <c r="B1039" s="0" t="inlineStr">
        <is>
          <t xml:space="preserve">media</t>
        </is>
      </c>
      <c r="C1039" s="0" t="inlineStr">
        <is>
          <t xml:space="preserve">apac</t>
        </is>
      </c>
      <c r="D1039" s="0" t="inlineStr">
        <is>
          <t xml:space="preserve">mid_market</t>
        </is>
      </c>
      <c r="E1039" s="4">
        <v>453</v>
      </c>
      <c r="F1039" s="0" t="inlineStr">
        <is>
          <t xml:space="preserve">Silverline Capital AG</t>
        </is>
      </c>
    </row>
    <row r="1040">
      <c r="A1040" s="0" t="inlineStr">
        <is>
          <t xml:space="preserve">a1039</t>
        </is>
      </c>
      <c r="B1040" s="0" t="inlineStr">
        <is>
          <t xml:space="preserve">software</t>
        </is>
      </c>
      <c r="C1040" s="0" t="inlineStr">
        <is>
          <t xml:space="preserve">apac</t>
        </is>
      </c>
      <c r="D1040" s="0" t="inlineStr">
        <is>
          <t xml:space="preserve">mid_market</t>
        </is>
      </c>
      <c r="E1040" s="4">
        <v>439</v>
      </c>
      <c r="F1040" s="0" t="inlineStr">
        <is>
          <t xml:space="preserve">Quantum Financial AG</t>
        </is>
      </c>
    </row>
    <row r="1041">
      <c r="A1041" s="0" t="inlineStr">
        <is>
          <t xml:space="preserve">a1040</t>
        </is>
      </c>
      <c r="B1041" s="0" t="inlineStr">
        <is>
          <t xml:space="preserve">education</t>
        </is>
      </c>
      <c r="C1041" s="0" t="inlineStr">
        <is>
          <t xml:space="preserve">apac</t>
        </is>
      </c>
      <c r="D1041" s="0" t="inlineStr">
        <is>
          <t xml:space="preserve">smb</t>
        </is>
      </c>
      <c r="E1041" s="4">
        <v>48</v>
      </c>
      <c r="F1041" s="0" t="inlineStr">
        <is>
          <t xml:space="preserve">Tidewater Logistics AG</t>
        </is>
      </c>
    </row>
    <row r="1042">
      <c r="A1042" s="0" t="inlineStr">
        <is>
          <t xml:space="preserve">a1041</t>
        </is>
      </c>
      <c r="B1042" s="0" t="inlineStr">
        <is>
          <t xml:space="preserve">manufacturing</t>
        </is>
      </c>
      <c r="C1042" s="0" t="inlineStr">
        <is>
          <t xml:space="preserve">apac</t>
        </is>
      </c>
      <c r="D1042" s="0" t="inlineStr">
        <is>
          <t xml:space="preserve">mid_market</t>
        </is>
      </c>
      <c r="E1042" s="4">
        <v>1948</v>
      </c>
      <c r="F1042" s="0" t="inlineStr">
        <is>
          <t xml:space="preserve">Falcon Learning Inc</t>
        </is>
      </c>
    </row>
    <row r="1043">
      <c r="A1043" s="0" t="inlineStr">
        <is>
          <t xml:space="preserve">a1042</t>
        </is>
      </c>
      <c r="B1043" s="0" t="inlineStr">
        <is>
          <t xml:space="preserve">education</t>
        </is>
      </c>
      <c r="C1043" s="0" t="inlineStr">
        <is>
          <t xml:space="preserve">apac</t>
        </is>
      </c>
      <c r="D1043" s="0" t="inlineStr">
        <is>
          <t xml:space="preserve">smb</t>
        </is>
      </c>
      <c r="E1043" s="4">
        <v>185</v>
      </c>
      <c r="F1043" s="0" t="inlineStr">
        <is>
          <t xml:space="preserve">Orchard Manufacturing Co</t>
        </is>
      </c>
    </row>
    <row r="1044">
      <c r="A1044" s="0" t="inlineStr">
        <is>
          <t xml:space="preserve">a1043</t>
        </is>
      </c>
      <c r="B1044" s="0" t="inlineStr">
        <is>
          <t xml:space="preserve">healthcare</t>
        </is>
      </c>
      <c r="C1044" s="0" t="inlineStr">
        <is>
          <t xml:space="preserve">apac</t>
        </is>
      </c>
      <c r="D1044" s="0" t="inlineStr">
        <is>
          <t xml:space="preserve">smb</t>
        </is>
      </c>
      <c r="E1044" s="4">
        <v>35</v>
      </c>
      <c r="F1044" s="0" t="inlineStr">
        <is>
          <t xml:space="preserve">Juniper Foods Co</t>
        </is>
      </c>
    </row>
    <row r="1045">
      <c r="A1045" s="0" t="inlineStr">
        <is>
          <t xml:space="preserve">a1044</t>
        </is>
      </c>
      <c r="B1045" s="0" t="inlineStr">
        <is>
          <t xml:space="preserve">media</t>
        </is>
      </c>
      <c r="C1045" s="0" t="inlineStr">
        <is>
          <t xml:space="preserve">apac</t>
        </is>
      </c>
      <c r="D1045" s="0" t="inlineStr">
        <is>
          <t xml:space="preserve">mid_market</t>
        </is>
      </c>
      <c r="E1045" s="4">
        <v>570</v>
      </c>
      <c r="F1045" s="0" t="inlineStr">
        <is>
          <t xml:space="preserve">Blue Harbor Learning Co</t>
        </is>
      </c>
    </row>
    <row r="1046">
      <c r="A1046" s="0" t="inlineStr">
        <is>
          <t xml:space="preserve">a1045</t>
        </is>
      </c>
      <c r="B1046" s="0" t="inlineStr">
        <is>
          <t xml:space="preserve">energy</t>
        </is>
      </c>
      <c r="C1046" s="0" t="inlineStr">
        <is>
          <t xml:space="preserve">apac</t>
        </is>
      </c>
      <c r="D1046" s="0" t="inlineStr">
        <is>
          <t xml:space="preserve">smb</t>
        </is>
      </c>
      <c r="E1046" s="4">
        <v>30</v>
      </c>
      <c r="F1046" s="0" t="inlineStr">
        <is>
          <t xml:space="preserve">Vertex Networks AG</t>
        </is>
      </c>
    </row>
    <row r="1047">
      <c r="A1047" s="0" t="inlineStr">
        <is>
          <t xml:space="preserve">a1046</t>
        </is>
      </c>
      <c r="B1047" s="0" t="inlineStr">
        <is>
          <t xml:space="preserve">logistics</t>
        </is>
      </c>
      <c r="C1047" s="0" t="inlineStr">
        <is>
          <t xml:space="preserve">apac</t>
        </is>
      </c>
      <c r="D1047" s="0" t="inlineStr">
        <is>
          <t xml:space="preserve">mid_market</t>
        </is>
      </c>
      <c r="E1047" s="4">
        <v>285</v>
      </c>
      <c r="F1047" s="0" t="inlineStr">
        <is>
          <t xml:space="preserve">Atlas Networks Co</t>
        </is>
      </c>
    </row>
    <row r="1048">
      <c r="A1048" s="0" t="inlineStr">
        <is>
          <t xml:space="preserve">a1047</t>
        </is>
      </c>
      <c r="B1048" s="0" t="inlineStr">
        <is>
          <t xml:space="preserve">public_sector</t>
        </is>
      </c>
      <c r="C1048" s="0" t="inlineStr">
        <is>
          <t xml:space="preserve">apac</t>
        </is>
      </c>
      <c r="D1048" s="0" t="inlineStr">
        <is>
          <t xml:space="preserve">mid_market</t>
        </is>
      </c>
      <c r="E1048" s="4">
        <v>517</v>
      </c>
      <c r="F1048" s="0" t="inlineStr">
        <is>
          <t xml:space="preserve">Sable Manufacturing Co</t>
        </is>
      </c>
    </row>
    <row r="1049">
      <c r="A1049" s="0" t="inlineStr">
        <is>
          <t xml:space="preserve">a1048</t>
        </is>
      </c>
      <c r="B1049" s="0" t="inlineStr">
        <is>
          <t xml:space="preserve">public_sector</t>
        </is>
      </c>
      <c r="C1049" s="0" t="inlineStr">
        <is>
          <t xml:space="preserve">apac</t>
        </is>
      </c>
      <c r="D1049" s="0" t="inlineStr">
        <is>
          <t xml:space="preserve">smb</t>
        </is>
      </c>
      <c r="E1049" s="4">
        <v>22</v>
      </c>
      <c r="F1049" s="0" t="inlineStr">
        <is>
          <t xml:space="preserve">Tidewater Materials Partners</t>
        </is>
      </c>
    </row>
    <row r="1050">
      <c r="A1050" s="0" t="inlineStr">
        <is>
          <t xml:space="preserve">a1049</t>
        </is>
      </c>
      <c r="B1050" s="0" t="inlineStr">
        <is>
          <t xml:space="preserve">education</t>
        </is>
      </c>
      <c r="C1050" s="0" t="inlineStr">
        <is>
          <t xml:space="preserve">apac</t>
        </is>
      </c>
      <c r="D1050" s="0" t="inlineStr">
        <is>
          <t xml:space="preserve">mid_market</t>
        </is>
      </c>
      <c r="E1050" s="4">
        <v>262</v>
      </c>
      <c r="F1050" s="0" t="inlineStr">
        <is>
          <t xml:space="preserve">Evergreen Financial SA</t>
        </is>
      </c>
    </row>
    <row r="1051">
      <c r="A1051" s="0" t="inlineStr">
        <is>
          <t xml:space="preserve">a1050</t>
        </is>
      </c>
      <c r="B1051" s="0" t="inlineStr">
        <is>
          <t xml:space="preserve">software</t>
        </is>
      </c>
      <c r="C1051" s="0" t="inlineStr">
        <is>
          <t xml:space="preserve">apac</t>
        </is>
      </c>
      <c r="D1051" s="0" t="inlineStr">
        <is>
          <t xml:space="preserve">smb</t>
        </is>
      </c>
      <c r="E1051" s="4">
        <v>55</v>
      </c>
      <c r="F1051" s="0" t="inlineStr">
        <is>
          <t xml:space="preserve">Cobalt Manufacturing Co</t>
        </is>
      </c>
    </row>
    <row r="1052">
      <c r="A1052" s="0" t="inlineStr">
        <is>
          <t xml:space="preserve">a1051</t>
        </is>
      </c>
      <c r="B1052" s="0" t="inlineStr">
        <is>
          <t xml:space="preserve">public_sector</t>
        </is>
      </c>
      <c r="C1052" s="0" t="inlineStr">
        <is>
          <t xml:space="preserve">apac</t>
        </is>
      </c>
      <c r="D1052" s="0" t="inlineStr">
        <is>
          <t xml:space="preserve">smb</t>
        </is>
      </c>
      <c r="E1052" s="4">
        <v>26</v>
      </c>
      <c r="F1052" s="0" t="inlineStr">
        <is>
          <t xml:space="preserve">Evergreen Software Partners</t>
        </is>
      </c>
    </row>
    <row r="1053">
      <c r="A1053" s="0" t="inlineStr">
        <is>
          <t xml:space="preserve">a1052</t>
        </is>
      </c>
      <c r="B1053" s="0" t="inlineStr">
        <is>
          <t xml:space="preserve">public_sector</t>
        </is>
      </c>
      <c r="C1053" s="0" t="inlineStr">
        <is>
          <t xml:space="preserve">apac</t>
        </is>
      </c>
      <c r="D1053" s="0" t="inlineStr">
        <is>
          <t xml:space="preserve">mid_market</t>
        </is>
      </c>
      <c r="E1053" s="4">
        <v>335</v>
      </c>
      <c r="F1053" s="0" t="inlineStr">
        <is>
          <t xml:space="preserve">Silverline Systems Partners</t>
        </is>
      </c>
    </row>
    <row r="1054">
      <c r="A1054" s="0" t="inlineStr">
        <is>
          <t xml:space="preserve">a1053</t>
        </is>
      </c>
      <c r="B1054" s="0" t="inlineStr">
        <is>
          <t xml:space="preserve">software</t>
        </is>
      </c>
      <c r="C1054" s="0" t="inlineStr">
        <is>
          <t xml:space="preserve">apac</t>
        </is>
      </c>
      <c r="D1054" s="0" t="inlineStr">
        <is>
          <t xml:space="preserve">smb</t>
        </is>
      </c>
      <c r="E1054" s="4">
        <v>195</v>
      </c>
      <c r="F1054" s="0" t="inlineStr">
        <is>
          <t xml:space="preserve">Granite Health AG</t>
        </is>
      </c>
    </row>
    <row r="1055">
      <c r="A1055" s="0" t="inlineStr">
        <is>
          <t xml:space="preserve">a1054</t>
        </is>
      </c>
      <c r="B1055" s="0" t="inlineStr">
        <is>
          <t xml:space="preserve">software</t>
        </is>
      </c>
      <c r="C1055" s="0" t="inlineStr">
        <is>
          <t xml:space="preserve">apac</t>
        </is>
      </c>
      <c r="D1055" s="0" t="inlineStr">
        <is>
          <t xml:space="preserve">smb</t>
        </is>
      </c>
      <c r="E1055" s="4">
        <v>41</v>
      </c>
      <c r="F1055" s="0" t="inlineStr">
        <is>
          <t xml:space="preserve">Redwood Insurance Group</t>
        </is>
      </c>
    </row>
    <row r="1056">
      <c r="A1056" s="0" t="inlineStr">
        <is>
          <t xml:space="preserve">a1055</t>
        </is>
      </c>
      <c r="B1056" s="0" t="inlineStr">
        <is>
          <t xml:space="preserve">logistics</t>
        </is>
      </c>
      <c r="C1056" s="0" t="inlineStr">
        <is>
          <t xml:space="preserve">apac</t>
        </is>
      </c>
      <c r="D1056" s="0" t="inlineStr">
        <is>
          <t xml:space="preserve">mid_market</t>
        </is>
      </c>
      <c r="E1056" s="4">
        <v>259</v>
      </c>
      <c r="F1056" s="0" t="inlineStr">
        <is>
          <t xml:space="preserve">Horizon Biotech AG</t>
        </is>
      </c>
    </row>
    <row r="1057">
      <c r="A1057" s="0" t="inlineStr">
        <is>
          <t xml:space="preserve">a1056</t>
        </is>
      </c>
      <c r="B1057" s="0" t="inlineStr">
        <is>
          <t xml:space="preserve">healthcare</t>
        </is>
      </c>
      <c r="C1057" s="0" t="inlineStr">
        <is>
          <t xml:space="preserve">apac</t>
        </is>
      </c>
      <c r="D1057" s="0" t="inlineStr">
        <is>
          <t xml:space="preserve">enterprise</t>
        </is>
      </c>
      <c r="E1057" s="4">
        <v>25680</v>
      </c>
      <c r="F1057" s="0" t="inlineStr">
        <is>
          <t xml:space="preserve">Pioneer Software Partners</t>
        </is>
      </c>
    </row>
    <row r="1058">
      <c r="A1058" s="0" t="inlineStr">
        <is>
          <t xml:space="preserve">a1057</t>
        </is>
      </c>
      <c r="B1058" s="0" t="inlineStr">
        <is>
          <t xml:space="preserve">energy</t>
        </is>
      </c>
      <c r="C1058" s="0" t="inlineStr">
        <is>
          <t xml:space="preserve">apac</t>
        </is>
      </c>
      <c r="D1058" s="0" t="inlineStr">
        <is>
          <t xml:space="preserve">enterprise</t>
        </is>
      </c>
      <c r="E1058" s="4">
        <v>7082</v>
      </c>
      <c r="F1058" s="0" t="inlineStr">
        <is>
          <t xml:space="preserve">Falcon Manufacturing Ltd</t>
        </is>
      </c>
    </row>
    <row r="1059">
      <c r="A1059" s="0" t="inlineStr">
        <is>
          <t xml:space="preserve">a1058</t>
        </is>
      </c>
      <c r="B1059" s="0" t="inlineStr">
        <is>
          <t xml:space="preserve">software</t>
        </is>
      </c>
      <c r="C1059" s="0" t="inlineStr">
        <is>
          <t xml:space="preserve">apac</t>
        </is>
      </c>
      <c r="D1059" s="0" t="inlineStr">
        <is>
          <t xml:space="preserve">smb</t>
        </is>
      </c>
      <c r="E1059" s="4">
        <v>128</v>
      </c>
      <c r="F1059" s="0" t="inlineStr">
        <is>
          <t xml:space="preserve">Beacon Financial AG</t>
        </is>
      </c>
    </row>
    <row r="1060">
      <c r="A1060" s="0" t="inlineStr">
        <is>
          <t xml:space="preserve">a1059</t>
        </is>
      </c>
      <c r="B1060" s="0" t="inlineStr">
        <is>
          <t xml:space="preserve">energy</t>
        </is>
      </c>
      <c r="C1060" s="0" t="inlineStr">
        <is>
          <t xml:space="preserve">apac</t>
        </is>
      </c>
      <c r="D1060" s="0" t="inlineStr">
        <is>
          <t xml:space="preserve">smb</t>
        </is>
      </c>
      <c r="E1060" s="4">
        <v>20</v>
      </c>
      <c r="F1060" s="0" t="inlineStr">
        <is>
          <t xml:space="preserve">Redwood Materials Holdings</t>
        </is>
      </c>
    </row>
    <row r="1061">
      <c r="A1061" s="0" t="inlineStr">
        <is>
          <t xml:space="preserve">a1060</t>
        </is>
      </c>
      <c r="B1061" s="0" t="inlineStr">
        <is>
          <t xml:space="preserve">software</t>
        </is>
      </c>
      <c r="C1061" s="0" t="inlineStr">
        <is>
          <t xml:space="preserve">apac</t>
        </is>
      </c>
      <c r="D1061" s="0" t="inlineStr">
        <is>
          <t xml:space="preserve">mid_market</t>
        </is>
      </c>
      <c r="E1061" s="4">
        <v>722</v>
      </c>
      <c r="F1061" s="0" t="inlineStr">
        <is>
          <t xml:space="preserve">Meridian Manufacturing Ltd</t>
        </is>
      </c>
    </row>
    <row r="1062">
      <c r="A1062" s="0" t="inlineStr">
        <is>
          <t xml:space="preserve">a1061</t>
        </is>
      </c>
      <c r="B1062" s="0" t="inlineStr">
        <is>
          <t xml:space="preserve">financial_services</t>
        </is>
      </c>
      <c r="C1062" s="0" t="inlineStr">
        <is>
          <t xml:space="preserve">apac</t>
        </is>
      </c>
      <c r="D1062" s="0" t="inlineStr">
        <is>
          <t xml:space="preserve">smb</t>
        </is>
      </c>
      <c r="E1062" s="4">
        <v>22</v>
      </c>
      <c r="F1062" s="0" t="inlineStr">
        <is>
          <t xml:space="preserve">Northwind Networks Co</t>
        </is>
      </c>
    </row>
    <row r="1063">
      <c r="A1063" s="0" t="inlineStr">
        <is>
          <t xml:space="preserve">a1062</t>
        </is>
      </c>
      <c r="B1063" s="0" t="inlineStr">
        <is>
          <t xml:space="preserve">healthcare</t>
        </is>
      </c>
      <c r="C1063" s="0" t="inlineStr">
        <is>
          <t xml:space="preserve">amer_east</t>
        </is>
      </c>
      <c r="D1063" s="0" t="inlineStr">
        <is>
          <t xml:space="preserve">smb</t>
        </is>
      </c>
      <c r="E1063" s="4">
        <v>47</v>
      </c>
      <c r="F1063" s="0" t="inlineStr">
        <is>
          <t xml:space="preserve">Silverline Biotech</t>
        </is>
      </c>
    </row>
    <row r="1064">
      <c r="A1064" s="0" t="inlineStr">
        <is>
          <t xml:space="preserve">a1063</t>
        </is>
      </c>
      <c r="B1064" s="0" t="inlineStr">
        <is>
          <t xml:space="preserve">software</t>
        </is>
      </c>
      <c r="C1064" s="0" t="inlineStr">
        <is>
          <t xml:space="preserve">amer_east</t>
        </is>
      </c>
      <c r="D1064" s="0" t="inlineStr">
        <is>
          <t xml:space="preserve">smb</t>
        </is>
      </c>
      <c r="E1064" s="4">
        <v>148</v>
      </c>
      <c r="F1064" s="0" t="inlineStr">
        <is>
          <t xml:space="preserve">Juniper Retail Inc</t>
        </is>
      </c>
    </row>
    <row r="1065">
      <c r="A1065" s="0" t="inlineStr">
        <is>
          <t xml:space="preserve">a1064</t>
        </is>
      </c>
      <c r="B1065" s="0" t="inlineStr">
        <is>
          <t xml:space="preserve">software</t>
        </is>
      </c>
      <c r="C1065" s="0" t="inlineStr">
        <is>
          <t xml:space="preserve">amer_east</t>
        </is>
      </c>
      <c r="D1065" s="0" t="inlineStr">
        <is>
          <t xml:space="preserve">smb</t>
        </is>
      </c>
      <c r="E1065" s="4">
        <v>74</v>
      </c>
      <c r="F1065" s="0" t="inlineStr">
        <is>
          <t xml:space="preserve">Evergreen Insurance AG</t>
        </is>
      </c>
    </row>
    <row r="1066">
      <c r="A1066" s="0" t="inlineStr">
        <is>
          <t xml:space="preserve">a1065</t>
        </is>
      </c>
      <c r="B1066" s="0" t="inlineStr">
        <is>
          <t xml:space="preserve">software</t>
        </is>
      </c>
      <c r="C1066" s="0" t="inlineStr">
        <is>
          <t xml:space="preserve">amer_east</t>
        </is>
      </c>
      <c r="D1066" s="0" t="inlineStr">
        <is>
          <t xml:space="preserve">smb</t>
        </is>
      </c>
      <c r="E1066" s="4">
        <v>44</v>
      </c>
      <c r="F1066" s="0" t="inlineStr">
        <is>
          <t xml:space="preserve">Summit Energy</t>
        </is>
      </c>
    </row>
    <row r="1067">
      <c r="A1067" s="0" t="inlineStr">
        <is>
          <t xml:space="preserve">a1066</t>
        </is>
      </c>
      <c r="B1067" s="0" t="inlineStr">
        <is>
          <t xml:space="preserve">energy</t>
        </is>
      </c>
      <c r="C1067" s="0" t="inlineStr">
        <is>
          <t xml:space="preserve">amer_east</t>
        </is>
      </c>
      <c r="D1067" s="0" t="inlineStr">
        <is>
          <t xml:space="preserve">smb</t>
        </is>
      </c>
      <c r="E1067" s="4">
        <v>34</v>
      </c>
      <c r="F1067" s="0" t="inlineStr">
        <is>
          <t xml:space="preserve">Northwind Financial Ltd</t>
        </is>
      </c>
    </row>
    <row r="1068">
      <c r="A1068" s="0" t="inlineStr">
        <is>
          <t xml:space="preserve">a1067</t>
        </is>
      </c>
      <c r="B1068" s="0" t="inlineStr">
        <is>
          <t xml:space="preserve">retail</t>
        </is>
      </c>
      <c r="C1068" s="0" t="inlineStr">
        <is>
          <t xml:space="preserve">amer_east</t>
        </is>
      </c>
      <c r="D1068" s="0" t="inlineStr">
        <is>
          <t xml:space="preserve">mid_market</t>
        </is>
      </c>
      <c r="E1068" s="4">
        <v>379</v>
      </c>
      <c r="F1068" s="0" t="inlineStr">
        <is>
          <t xml:space="preserve">Cascade Mobility SA</t>
        </is>
      </c>
    </row>
    <row r="1069">
      <c r="A1069" s="0" t="inlineStr">
        <is>
          <t xml:space="preserve">a1068</t>
        </is>
      </c>
      <c r="B1069" s="0" t="inlineStr">
        <is>
          <t xml:space="preserve">retail</t>
        </is>
      </c>
      <c r="C1069" s="0" t="inlineStr">
        <is>
          <t xml:space="preserve">amer_east</t>
        </is>
      </c>
      <c r="D1069" s="0" t="inlineStr">
        <is>
          <t xml:space="preserve">smb</t>
        </is>
      </c>
      <c r="E1069" s="4">
        <v>30</v>
      </c>
      <c r="F1069" s="0" t="inlineStr">
        <is>
          <t xml:space="preserve">Silverline Insurance SA</t>
        </is>
      </c>
    </row>
    <row r="1070">
      <c r="A1070" s="0" t="inlineStr">
        <is>
          <t xml:space="preserve">a1069</t>
        </is>
      </c>
      <c r="B1070" s="0" t="inlineStr">
        <is>
          <t xml:space="preserve">healthcare</t>
        </is>
      </c>
      <c r="C1070" s="0" t="inlineStr">
        <is>
          <t xml:space="preserve">amer_east</t>
        </is>
      </c>
      <c r="D1070" s="0" t="inlineStr">
        <is>
          <t xml:space="preserve">smb</t>
        </is>
      </c>
      <c r="E1070" s="4">
        <v>91</v>
      </c>
      <c r="F1070" s="0" t="inlineStr">
        <is>
          <t xml:space="preserve">Redwood Systems</t>
        </is>
      </c>
    </row>
    <row r="1071">
      <c r="A1071" s="0" t="inlineStr">
        <is>
          <t xml:space="preserve">a1070</t>
        </is>
      </c>
      <c r="B1071" s="0" t="inlineStr">
        <is>
          <t xml:space="preserve">public_sector</t>
        </is>
      </c>
      <c r="C1071" s="0" t="inlineStr">
        <is>
          <t xml:space="preserve">amer_east</t>
        </is>
      </c>
      <c r="D1071" s="0" t="inlineStr">
        <is>
          <t xml:space="preserve">smb</t>
        </is>
      </c>
      <c r="E1071" s="4">
        <v>38</v>
      </c>
      <c r="F1071" s="0" t="inlineStr">
        <is>
          <t xml:space="preserve">Keystone Health</t>
        </is>
      </c>
    </row>
    <row r="1072">
      <c r="A1072" s="0" t="inlineStr">
        <is>
          <t xml:space="preserve">a1071</t>
        </is>
      </c>
      <c r="B1072" s="0" t="inlineStr">
        <is>
          <t xml:space="preserve">education</t>
        </is>
      </c>
      <c r="C1072" s="0" t="inlineStr">
        <is>
          <t xml:space="preserve">amer_east</t>
        </is>
      </c>
      <c r="D1072" s="0" t="inlineStr">
        <is>
          <t xml:space="preserve">smb</t>
        </is>
      </c>
      <c r="E1072" s="4">
        <v>27</v>
      </c>
      <c r="F1072" s="0" t="inlineStr">
        <is>
          <t xml:space="preserve">Silverline Biotech Group</t>
        </is>
      </c>
    </row>
    <row r="1073">
      <c r="A1073" s="0" t="inlineStr">
        <is>
          <t xml:space="preserve">a1072</t>
        </is>
      </c>
      <c r="B1073" s="0" t="inlineStr">
        <is>
          <t xml:space="preserve">logistics</t>
        </is>
      </c>
      <c r="C1073" s="0" t="inlineStr">
        <is>
          <t xml:space="preserve">amer_east</t>
        </is>
      </c>
      <c r="D1073" s="0" t="inlineStr">
        <is>
          <t xml:space="preserve">smb</t>
        </is>
      </c>
      <c r="E1073" s="4">
        <v>31</v>
      </c>
      <c r="F1073" s="0" t="inlineStr">
        <is>
          <t xml:space="preserve">Tidewater Biotech Partners</t>
        </is>
      </c>
    </row>
    <row r="1074">
      <c r="A1074" s="0" t="inlineStr">
        <is>
          <t xml:space="preserve">a1073</t>
        </is>
      </c>
      <c r="B1074" s="0" t="inlineStr">
        <is>
          <t xml:space="preserve">logistics</t>
        </is>
      </c>
      <c r="C1074" s="0" t="inlineStr">
        <is>
          <t xml:space="preserve">amer_east</t>
        </is>
      </c>
      <c r="D1074" s="0" t="inlineStr">
        <is>
          <t xml:space="preserve">smb</t>
        </is>
      </c>
      <c r="E1074" s="4">
        <v>20</v>
      </c>
      <c r="F1074" s="0" t="inlineStr">
        <is>
          <t xml:space="preserve">Harbor Software Ltd</t>
        </is>
      </c>
    </row>
    <row r="1075">
      <c r="A1075" s="0" t="inlineStr">
        <is>
          <t xml:space="preserve">a1074</t>
        </is>
      </c>
      <c r="B1075" s="0" t="inlineStr">
        <is>
          <t xml:space="preserve">manufacturing</t>
        </is>
      </c>
      <c r="C1075" s="0" t="inlineStr">
        <is>
          <t xml:space="preserve">amer_east</t>
        </is>
      </c>
      <c r="D1075" s="0" t="inlineStr">
        <is>
          <t xml:space="preserve">smb</t>
        </is>
      </c>
      <c r="E1075" s="4">
        <v>20</v>
      </c>
      <c r="F1075" s="0" t="inlineStr">
        <is>
          <t xml:space="preserve">Falcon Software Co</t>
        </is>
      </c>
    </row>
    <row r="1076">
      <c r="A1076" s="0" t="inlineStr">
        <is>
          <t xml:space="preserve">a1075</t>
        </is>
      </c>
      <c r="B1076" s="0" t="inlineStr">
        <is>
          <t xml:space="preserve">public_sector</t>
        </is>
      </c>
      <c r="C1076" s="0" t="inlineStr">
        <is>
          <t xml:space="preserve">amer_east</t>
        </is>
      </c>
      <c r="D1076" s="0" t="inlineStr">
        <is>
          <t xml:space="preserve">enterprise</t>
        </is>
      </c>
      <c r="E1076" s="4">
        <v>11716</v>
      </c>
      <c r="F1076" s="0" t="inlineStr">
        <is>
          <t xml:space="preserve">Brightwater Energy SA</t>
        </is>
      </c>
    </row>
    <row r="1077">
      <c r="A1077" s="0" t="inlineStr">
        <is>
          <t xml:space="preserve">a1076</t>
        </is>
      </c>
      <c r="B1077" s="0" t="inlineStr">
        <is>
          <t xml:space="preserve">education</t>
        </is>
      </c>
      <c r="C1077" s="0" t="inlineStr">
        <is>
          <t xml:space="preserve">amer_east</t>
        </is>
      </c>
      <c r="D1077" s="0" t="inlineStr">
        <is>
          <t xml:space="preserve">mid_market</t>
        </is>
      </c>
      <c r="E1077" s="4">
        <v>883</v>
      </c>
      <c r="F1077" s="0" t="inlineStr">
        <is>
          <t xml:space="preserve">Horizon Logistics Ltd</t>
        </is>
      </c>
    </row>
    <row r="1078">
      <c r="A1078" s="0" t="inlineStr">
        <is>
          <t xml:space="preserve">a1077</t>
        </is>
      </c>
      <c r="B1078" s="0" t="inlineStr">
        <is>
          <t xml:space="preserve">public_sector</t>
        </is>
      </c>
      <c r="C1078" s="0" t="inlineStr">
        <is>
          <t xml:space="preserve">amer_east</t>
        </is>
      </c>
      <c r="D1078" s="0" t="inlineStr">
        <is>
          <t xml:space="preserve">mid_market</t>
        </is>
      </c>
      <c r="E1078" s="4">
        <v>422</v>
      </c>
      <c r="F1078" s="0" t="inlineStr">
        <is>
          <t xml:space="preserve">Falcon Logistics Co</t>
        </is>
      </c>
    </row>
    <row r="1079">
      <c r="A1079" s="0" t="inlineStr">
        <is>
          <t xml:space="preserve">a1078</t>
        </is>
      </c>
      <c r="B1079" s="0" t="inlineStr">
        <is>
          <t xml:space="preserve">manufacturing</t>
        </is>
      </c>
      <c r="C1079" s="0" t="inlineStr">
        <is>
          <t xml:space="preserve">amer_east</t>
        </is>
      </c>
      <c r="D1079" s="0" t="inlineStr">
        <is>
          <t xml:space="preserve">smb</t>
        </is>
      </c>
      <c r="E1079" s="4">
        <v>57</v>
      </c>
      <c r="F1079" s="0" t="inlineStr">
        <is>
          <t xml:space="preserve">Cobalt Biotech</t>
        </is>
      </c>
    </row>
    <row r="1080">
      <c r="A1080" s="0" t="inlineStr">
        <is>
          <t xml:space="preserve">a1079</t>
        </is>
      </c>
      <c r="B1080" s="0" t="inlineStr">
        <is>
          <t xml:space="preserve">logistics</t>
        </is>
      </c>
      <c r="C1080" s="0" t="inlineStr">
        <is>
          <t xml:space="preserve">amer_east</t>
        </is>
      </c>
      <c r="D1080" s="0" t="inlineStr">
        <is>
          <t xml:space="preserve">smb</t>
        </is>
      </c>
      <c r="E1080" s="4">
        <v>51</v>
      </c>
      <c r="F1080" s="0" t="inlineStr">
        <is>
          <t xml:space="preserve">Harbor Insurance Group</t>
        </is>
      </c>
    </row>
    <row r="1081">
      <c r="A1081" s="0" t="inlineStr">
        <is>
          <t xml:space="preserve">a1080</t>
        </is>
      </c>
      <c r="B1081" s="0" t="inlineStr">
        <is>
          <t xml:space="preserve">healthcare</t>
        </is>
      </c>
      <c r="C1081" s="0" t="inlineStr">
        <is>
          <t xml:space="preserve">amer_east</t>
        </is>
      </c>
      <c r="D1081" s="0" t="inlineStr">
        <is>
          <t xml:space="preserve">mid_market</t>
        </is>
      </c>
      <c r="E1081" s="4">
        <v>605</v>
      </c>
      <c r="F1081" s="0" t="inlineStr">
        <is>
          <t xml:space="preserve">Summit Labs Ltd</t>
        </is>
      </c>
    </row>
    <row r="1082">
      <c r="A1082" s="0" t="inlineStr">
        <is>
          <t xml:space="preserve">a1081</t>
        </is>
      </c>
      <c r="B1082" s="0" t="inlineStr">
        <is>
          <t xml:space="preserve">manufacturing</t>
        </is>
      </c>
      <c r="C1082" s="0" t="inlineStr">
        <is>
          <t xml:space="preserve">amer_east</t>
        </is>
      </c>
      <c r="D1082" s="0" t="inlineStr">
        <is>
          <t xml:space="preserve">mid_market</t>
        </is>
      </c>
      <c r="E1082" s="4">
        <v>320</v>
      </c>
      <c r="F1082" s="0" t="inlineStr">
        <is>
          <t xml:space="preserve">Summit Foods Partners</t>
        </is>
      </c>
    </row>
    <row r="1083">
      <c r="A1083" s="0" t="inlineStr">
        <is>
          <t xml:space="preserve">a1082</t>
        </is>
      </c>
      <c r="B1083" s="0" t="inlineStr">
        <is>
          <t xml:space="preserve">financial_services</t>
        </is>
      </c>
      <c r="C1083" s="0" t="inlineStr">
        <is>
          <t xml:space="preserve">amer_east</t>
        </is>
      </c>
      <c r="D1083" s="0" t="inlineStr">
        <is>
          <t xml:space="preserve">smb</t>
        </is>
      </c>
      <c r="E1083" s="4">
        <v>51</v>
      </c>
      <c r="F1083" s="0" t="inlineStr">
        <is>
          <t xml:space="preserve">Redwood Analytics AG</t>
        </is>
      </c>
    </row>
    <row r="1084">
      <c r="A1084" s="0" t="inlineStr">
        <is>
          <t xml:space="preserve">a1083</t>
        </is>
      </c>
      <c r="B1084" s="0" t="inlineStr">
        <is>
          <t xml:space="preserve">media</t>
        </is>
      </c>
      <c r="C1084" s="0" t="inlineStr">
        <is>
          <t xml:space="preserve">amer_east</t>
        </is>
      </c>
      <c r="D1084" s="0" t="inlineStr">
        <is>
          <t xml:space="preserve">smb</t>
        </is>
      </c>
      <c r="E1084" s="4">
        <v>45</v>
      </c>
      <c r="F1084" s="0" t="inlineStr">
        <is>
          <t xml:space="preserve">Tidewater Logistics SA</t>
        </is>
      </c>
    </row>
    <row r="1085">
      <c r="A1085" s="0" t="inlineStr">
        <is>
          <t xml:space="preserve">a1084</t>
        </is>
      </c>
      <c r="B1085" s="0" t="inlineStr">
        <is>
          <t xml:space="preserve">healthcare</t>
        </is>
      </c>
      <c r="C1085" s="0" t="inlineStr">
        <is>
          <t xml:space="preserve">amer_east</t>
        </is>
      </c>
      <c r="D1085" s="0" t="inlineStr">
        <is>
          <t xml:space="preserve">smb</t>
        </is>
      </c>
      <c r="E1085" s="4">
        <v>25</v>
      </c>
      <c r="F1085" s="0" t="inlineStr">
        <is>
          <t xml:space="preserve">Silverline Robotics Holdings</t>
        </is>
      </c>
    </row>
    <row r="1086">
      <c r="A1086" s="0" t="inlineStr">
        <is>
          <t xml:space="preserve">a1085</t>
        </is>
      </c>
      <c r="B1086" s="0" t="inlineStr">
        <is>
          <t xml:space="preserve">logistics</t>
        </is>
      </c>
      <c r="C1086" s="0" t="inlineStr">
        <is>
          <t xml:space="preserve">amer_east</t>
        </is>
      </c>
      <c r="D1086" s="0" t="inlineStr">
        <is>
          <t xml:space="preserve">mid_market</t>
        </is>
      </c>
      <c r="E1086" s="4">
        <v>415</v>
      </c>
      <c r="F1086" s="0" t="inlineStr">
        <is>
          <t xml:space="preserve">Tidewater Biotech Group</t>
        </is>
      </c>
    </row>
    <row r="1087">
      <c r="A1087" s="0" t="inlineStr">
        <is>
          <t xml:space="preserve">a1086</t>
        </is>
      </c>
      <c r="B1087" s="0" t="inlineStr">
        <is>
          <t xml:space="preserve">software</t>
        </is>
      </c>
      <c r="C1087" s="0" t="inlineStr">
        <is>
          <t xml:space="preserve">amer_east</t>
        </is>
      </c>
      <c r="D1087" s="0" t="inlineStr">
        <is>
          <t xml:space="preserve">enterprise</t>
        </is>
      </c>
      <c r="E1087" s="4">
        <v>2858</v>
      </c>
      <c r="F1087" s="0" t="inlineStr">
        <is>
          <t xml:space="preserve">Aurora Software AG</t>
        </is>
      </c>
    </row>
    <row r="1088">
      <c r="A1088" s="0" t="inlineStr">
        <is>
          <t xml:space="preserve">a1087</t>
        </is>
      </c>
      <c r="B1088" s="0" t="inlineStr">
        <is>
          <t xml:space="preserve">education</t>
        </is>
      </c>
      <c r="C1088" s="0" t="inlineStr">
        <is>
          <t xml:space="preserve">amer_east</t>
        </is>
      </c>
      <c r="D1088" s="0" t="inlineStr">
        <is>
          <t xml:space="preserve">smb</t>
        </is>
      </c>
      <c r="E1088" s="4">
        <v>28</v>
      </c>
      <c r="F1088" s="0" t="inlineStr">
        <is>
          <t xml:space="preserve">Atlas Analytics</t>
        </is>
      </c>
    </row>
    <row r="1089">
      <c r="A1089" s="0" t="inlineStr">
        <is>
          <t xml:space="preserve">a1088</t>
        </is>
      </c>
      <c r="B1089" s="0" t="inlineStr">
        <is>
          <t xml:space="preserve">healthcare</t>
        </is>
      </c>
      <c r="C1089" s="0" t="inlineStr">
        <is>
          <t xml:space="preserve">amer_west</t>
        </is>
      </c>
      <c r="D1089" s="0" t="inlineStr">
        <is>
          <t xml:space="preserve">mid_market</t>
        </is>
      </c>
      <c r="E1089" s="4">
        <v>380</v>
      </c>
      <c r="F1089" s="0" t="inlineStr">
        <is>
          <t xml:space="preserve">Horizon Logistics</t>
        </is>
      </c>
    </row>
    <row r="1090">
      <c r="A1090" s="0" t="inlineStr">
        <is>
          <t xml:space="preserve">a1089</t>
        </is>
      </c>
      <c r="B1090" s="0" t="inlineStr">
        <is>
          <t xml:space="preserve">healthcare</t>
        </is>
      </c>
      <c r="C1090" s="0" t="inlineStr">
        <is>
          <t xml:space="preserve">amer_west</t>
        </is>
      </c>
      <c r="D1090" s="0" t="inlineStr">
        <is>
          <t xml:space="preserve">mid_market</t>
        </is>
      </c>
      <c r="E1090" s="4">
        <v>340</v>
      </c>
      <c r="F1090" s="0" t="inlineStr">
        <is>
          <t xml:space="preserve">Juniper Analytics Inc</t>
        </is>
      </c>
    </row>
    <row r="1091">
      <c r="A1091" s="0" t="inlineStr">
        <is>
          <t xml:space="preserve">a1090</t>
        </is>
      </c>
      <c r="B1091" s="0" t="inlineStr">
        <is>
          <t xml:space="preserve">healthcare</t>
        </is>
      </c>
      <c r="C1091" s="0" t="inlineStr">
        <is>
          <t xml:space="preserve">amer_west</t>
        </is>
      </c>
      <c r="D1091" s="0" t="inlineStr">
        <is>
          <t xml:space="preserve">enterprise</t>
        </is>
      </c>
      <c r="E1091" s="4">
        <v>9898</v>
      </c>
      <c r="F1091" s="0" t="inlineStr">
        <is>
          <t xml:space="preserve">Atlas Foods</t>
        </is>
      </c>
    </row>
    <row r="1092">
      <c r="A1092" s="0" t="inlineStr">
        <is>
          <t xml:space="preserve">a1091</t>
        </is>
      </c>
      <c r="B1092" s="0" t="inlineStr">
        <is>
          <t xml:space="preserve">manufacturing</t>
        </is>
      </c>
      <c r="C1092" s="0" t="inlineStr">
        <is>
          <t xml:space="preserve">amer_west</t>
        </is>
      </c>
      <c r="D1092" s="0" t="inlineStr">
        <is>
          <t xml:space="preserve">mid_market</t>
        </is>
      </c>
      <c r="E1092" s="4">
        <v>879</v>
      </c>
      <c r="F1092" s="0" t="inlineStr">
        <is>
          <t xml:space="preserve">Ironbridge Insurance Holdings</t>
        </is>
      </c>
    </row>
    <row r="1093">
      <c r="A1093" s="0" t="inlineStr">
        <is>
          <t xml:space="preserve">a1092</t>
        </is>
      </c>
      <c r="B1093" s="0" t="inlineStr">
        <is>
          <t xml:space="preserve">software</t>
        </is>
      </c>
      <c r="C1093" s="0" t="inlineStr">
        <is>
          <t xml:space="preserve">amer_west</t>
        </is>
      </c>
      <c r="D1093" s="0" t="inlineStr">
        <is>
          <t xml:space="preserve">mid_market</t>
        </is>
      </c>
      <c r="E1093" s="4">
        <v>253</v>
      </c>
      <c r="F1093" s="0" t="inlineStr">
        <is>
          <t xml:space="preserve">Redwood Insurance Inc</t>
        </is>
      </c>
    </row>
    <row r="1094">
      <c r="A1094" s="0" t="inlineStr">
        <is>
          <t xml:space="preserve">a1093</t>
        </is>
      </c>
      <c r="B1094" s="0" t="inlineStr">
        <is>
          <t xml:space="preserve">energy</t>
        </is>
      </c>
      <c r="C1094" s="0" t="inlineStr">
        <is>
          <t xml:space="preserve">amer_west</t>
        </is>
      </c>
      <c r="D1094" s="0" t="inlineStr">
        <is>
          <t xml:space="preserve">smb</t>
        </is>
      </c>
      <c r="E1094" s="4">
        <v>22</v>
      </c>
      <c r="F1094" s="0" t="inlineStr">
        <is>
          <t xml:space="preserve">Falcon Capital Ltd</t>
        </is>
      </c>
    </row>
    <row r="1095">
      <c r="A1095" s="0" t="inlineStr">
        <is>
          <t xml:space="preserve">a1094</t>
        </is>
      </c>
      <c r="B1095" s="0" t="inlineStr">
        <is>
          <t xml:space="preserve">manufacturing</t>
        </is>
      </c>
      <c r="C1095" s="0" t="inlineStr">
        <is>
          <t xml:space="preserve">amer_west</t>
        </is>
      </c>
      <c r="D1095" s="0" t="inlineStr">
        <is>
          <t xml:space="preserve">mid_market</t>
        </is>
      </c>
      <c r="E1095" s="4">
        <v>511</v>
      </c>
      <c r="F1095" s="0" t="inlineStr">
        <is>
          <t xml:space="preserve">Pioneer Labs SA</t>
        </is>
      </c>
    </row>
    <row r="1096">
      <c r="A1096" s="0" t="inlineStr">
        <is>
          <t xml:space="preserve">a1095</t>
        </is>
      </c>
      <c r="B1096" s="0" t="inlineStr">
        <is>
          <t xml:space="preserve">retail</t>
        </is>
      </c>
      <c r="C1096" s="0" t="inlineStr">
        <is>
          <t xml:space="preserve">amer_west</t>
        </is>
      </c>
      <c r="D1096" s="0" t="inlineStr">
        <is>
          <t xml:space="preserve">mid_market</t>
        </is>
      </c>
      <c r="E1096" s="4">
        <v>260</v>
      </c>
      <c r="F1096" s="0" t="inlineStr">
        <is>
          <t xml:space="preserve">Sable Software Co</t>
        </is>
      </c>
    </row>
    <row r="1097">
      <c r="A1097" s="0" t="inlineStr">
        <is>
          <t xml:space="preserve">a1096</t>
        </is>
      </c>
      <c r="B1097" s="0" t="inlineStr">
        <is>
          <t xml:space="preserve">software</t>
        </is>
      </c>
      <c r="C1097" s="0" t="inlineStr">
        <is>
          <t xml:space="preserve">amer_west</t>
        </is>
      </c>
      <c r="D1097" s="0" t="inlineStr">
        <is>
          <t xml:space="preserve">mid_market</t>
        </is>
      </c>
      <c r="E1097" s="4">
        <v>275</v>
      </c>
      <c r="F1097" s="0" t="inlineStr">
        <is>
          <t xml:space="preserve">Beacon Materials AG</t>
        </is>
      </c>
    </row>
    <row r="1098">
      <c r="A1098" s="0" t="inlineStr">
        <is>
          <t xml:space="preserve">a1097</t>
        </is>
      </c>
      <c r="B1098" s="0" t="inlineStr">
        <is>
          <t xml:space="preserve">education</t>
        </is>
      </c>
      <c r="C1098" s="0" t="inlineStr">
        <is>
          <t xml:space="preserve">amer_west</t>
        </is>
      </c>
      <c r="D1098" s="0" t="inlineStr">
        <is>
          <t xml:space="preserve">smb</t>
        </is>
      </c>
      <c r="E1098" s="4">
        <v>114</v>
      </c>
      <c r="F1098" s="0" t="inlineStr">
        <is>
          <t xml:space="preserve">Quantum Capital Partners</t>
        </is>
      </c>
    </row>
    <row r="1099">
      <c r="A1099" s="0" t="inlineStr">
        <is>
          <t xml:space="preserve">a1098</t>
        </is>
      </c>
      <c r="B1099" s="0" t="inlineStr">
        <is>
          <t xml:space="preserve">manufacturing</t>
        </is>
      </c>
      <c r="C1099" s="0" t="inlineStr">
        <is>
          <t xml:space="preserve">amer_west</t>
        </is>
      </c>
      <c r="D1099" s="0" t="inlineStr">
        <is>
          <t xml:space="preserve">mid_market</t>
        </is>
      </c>
      <c r="E1099" s="4">
        <v>1004</v>
      </c>
      <c r="F1099" s="0" t="inlineStr">
        <is>
          <t xml:space="preserve">Silverline Insurance Co</t>
        </is>
      </c>
    </row>
    <row r="1100">
      <c r="A1100" s="0" t="inlineStr">
        <is>
          <t xml:space="preserve">a1099</t>
        </is>
      </c>
      <c r="B1100" s="0" t="inlineStr">
        <is>
          <t xml:space="preserve">healthcare</t>
        </is>
      </c>
      <c r="C1100" s="0" t="inlineStr">
        <is>
          <t xml:space="preserve">amer_west</t>
        </is>
      </c>
      <c r="D1100" s="0" t="inlineStr">
        <is>
          <t xml:space="preserve">mid_market</t>
        </is>
      </c>
      <c r="E1100" s="4">
        <v>398</v>
      </c>
      <c r="F1100" s="0" t="inlineStr">
        <is>
          <t xml:space="preserve">Beacon Robotics Co</t>
        </is>
      </c>
    </row>
    <row r="1101">
      <c r="A1101" s="0" t="inlineStr">
        <is>
          <t xml:space="preserve">a1100</t>
        </is>
      </c>
      <c r="B1101" s="0" t="inlineStr">
        <is>
          <t xml:space="preserve">software</t>
        </is>
      </c>
      <c r="C1101" s="0" t="inlineStr">
        <is>
          <t xml:space="preserve">amer_west</t>
        </is>
      </c>
      <c r="D1101" s="0" t="inlineStr">
        <is>
          <t xml:space="preserve">mid_market</t>
        </is>
      </c>
      <c r="E1101" s="4">
        <v>1620</v>
      </c>
      <c r="F1101" s="0" t="inlineStr">
        <is>
          <t xml:space="preserve">Beacon Labs Inc</t>
        </is>
      </c>
    </row>
    <row r="1102">
      <c r="A1102" s="0" t="inlineStr">
        <is>
          <t xml:space="preserve">a1101</t>
        </is>
      </c>
      <c r="B1102" s="0" t="inlineStr">
        <is>
          <t xml:space="preserve">retail</t>
        </is>
      </c>
      <c r="C1102" s="0" t="inlineStr">
        <is>
          <t xml:space="preserve">amer_west</t>
        </is>
      </c>
      <c r="D1102" s="0" t="inlineStr">
        <is>
          <t xml:space="preserve">smb</t>
        </is>
      </c>
      <c r="E1102" s="4">
        <v>67</v>
      </c>
      <c r="F1102" s="0" t="inlineStr">
        <is>
          <t xml:space="preserve">Juniper Capital Holdings</t>
        </is>
      </c>
    </row>
    <row r="1103">
      <c r="A1103" s="0" t="inlineStr">
        <is>
          <t xml:space="preserve">a1102</t>
        </is>
      </c>
      <c r="B1103" s="0" t="inlineStr">
        <is>
          <t xml:space="preserve">healthcare</t>
        </is>
      </c>
      <c r="C1103" s="0" t="inlineStr">
        <is>
          <t xml:space="preserve">amer_west</t>
        </is>
      </c>
      <c r="D1103" s="0" t="inlineStr">
        <is>
          <t xml:space="preserve">smb</t>
        </is>
      </c>
      <c r="E1103" s="4">
        <v>21</v>
      </c>
      <c r="F1103" s="0" t="inlineStr">
        <is>
          <t xml:space="preserve">Northwind Materials</t>
        </is>
      </c>
    </row>
    <row r="1104">
      <c r="A1104" s="0" t="inlineStr">
        <is>
          <t xml:space="preserve">a1103</t>
        </is>
      </c>
      <c r="B1104" s="0" t="inlineStr">
        <is>
          <t xml:space="preserve">energy</t>
        </is>
      </c>
      <c r="C1104" s="0" t="inlineStr">
        <is>
          <t xml:space="preserve">amer_west</t>
        </is>
      </c>
      <c r="D1104" s="0" t="inlineStr">
        <is>
          <t xml:space="preserve">mid_market</t>
        </is>
      </c>
      <c r="E1104" s="4">
        <v>297</v>
      </c>
      <c r="F1104" s="0" t="inlineStr">
        <is>
          <t xml:space="preserve">Cascade Logistics</t>
        </is>
      </c>
    </row>
    <row r="1105">
      <c r="A1105" s="0" t="inlineStr">
        <is>
          <t xml:space="preserve">a1104</t>
        </is>
      </c>
      <c r="B1105" s="0" t="inlineStr">
        <is>
          <t xml:space="preserve">manufacturing</t>
        </is>
      </c>
      <c r="C1105" s="0" t="inlineStr">
        <is>
          <t xml:space="preserve">amer_west</t>
        </is>
      </c>
      <c r="D1105" s="0" t="inlineStr">
        <is>
          <t xml:space="preserve">mid_market</t>
        </is>
      </c>
      <c r="E1105" s="4">
        <v>482</v>
      </c>
      <c r="F1105" s="0" t="inlineStr">
        <is>
          <t xml:space="preserve">Evergreen Materials SA</t>
        </is>
      </c>
    </row>
    <row r="1106">
      <c r="A1106" s="0" t="inlineStr">
        <is>
          <t xml:space="preserve">a1105</t>
        </is>
      </c>
      <c r="B1106" s="0" t="inlineStr">
        <is>
          <t xml:space="preserve">financial_services</t>
        </is>
      </c>
      <c r="C1106" s="0" t="inlineStr">
        <is>
          <t xml:space="preserve">amer_west</t>
        </is>
      </c>
      <c r="D1106" s="0" t="inlineStr">
        <is>
          <t xml:space="preserve">smb</t>
        </is>
      </c>
      <c r="E1106" s="4">
        <v>21</v>
      </c>
      <c r="F1106" s="0" t="inlineStr">
        <is>
          <t xml:space="preserve">Pioneer Mobility Holdings</t>
        </is>
      </c>
    </row>
    <row r="1107">
      <c r="A1107" s="0" t="inlineStr">
        <is>
          <t xml:space="preserve">a1106</t>
        </is>
      </c>
      <c r="B1107" s="0" t="inlineStr">
        <is>
          <t xml:space="preserve">energy</t>
        </is>
      </c>
      <c r="C1107" s="0" t="inlineStr">
        <is>
          <t xml:space="preserve">amer_west</t>
        </is>
      </c>
      <c r="D1107" s="0" t="inlineStr">
        <is>
          <t xml:space="preserve">smb</t>
        </is>
      </c>
      <c r="E1107" s="4">
        <v>37</v>
      </c>
      <c r="F1107" s="0" t="inlineStr">
        <is>
          <t xml:space="preserve">Sable Labs Holdings</t>
        </is>
      </c>
    </row>
    <row r="1108">
      <c r="A1108" s="0" t="inlineStr">
        <is>
          <t xml:space="preserve">a1107</t>
        </is>
      </c>
      <c r="B1108" s="0" t="inlineStr">
        <is>
          <t xml:space="preserve">public_sector</t>
        </is>
      </c>
      <c r="C1108" s="0" t="inlineStr">
        <is>
          <t xml:space="preserve">amer_west</t>
        </is>
      </c>
      <c r="D1108" s="0" t="inlineStr">
        <is>
          <t xml:space="preserve">smb</t>
        </is>
      </c>
      <c r="E1108" s="4">
        <v>117</v>
      </c>
      <c r="F1108" s="0" t="inlineStr">
        <is>
          <t xml:space="preserve">Nimbus Learning</t>
        </is>
      </c>
    </row>
    <row r="1109">
      <c r="A1109" s="0" t="inlineStr">
        <is>
          <t xml:space="preserve">a1108</t>
        </is>
      </c>
      <c r="B1109" s="0" t="inlineStr">
        <is>
          <t xml:space="preserve">software</t>
        </is>
      </c>
      <c r="C1109" s="0" t="inlineStr">
        <is>
          <t xml:space="preserve">amer_west</t>
        </is>
      </c>
      <c r="D1109" s="0" t="inlineStr">
        <is>
          <t xml:space="preserve">smb</t>
        </is>
      </c>
      <c r="E1109" s="4">
        <v>25</v>
      </c>
      <c r="F1109" s="0" t="inlineStr">
        <is>
          <t xml:space="preserve">Cobalt Labs Partners</t>
        </is>
      </c>
    </row>
    <row r="1110">
      <c r="A1110" s="0" t="inlineStr">
        <is>
          <t xml:space="preserve">a1109</t>
        </is>
      </c>
      <c r="B1110" s="0" t="inlineStr">
        <is>
          <t xml:space="preserve">software</t>
        </is>
      </c>
      <c r="C1110" s="0" t="inlineStr">
        <is>
          <t xml:space="preserve">amer_west</t>
        </is>
      </c>
      <c r="D1110" s="0" t="inlineStr">
        <is>
          <t xml:space="preserve">smb</t>
        </is>
      </c>
      <c r="E1110" s="4">
        <v>92</v>
      </c>
      <c r="F1110" s="0" t="inlineStr">
        <is>
          <t xml:space="preserve">Nimbus Financial Partners</t>
        </is>
      </c>
    </row>
    <row r="1111">
      <c r="A1111" s="0" t="inlineStr">
        <is>
          <t xml:space="preserve">a1110</t>
        </is>
      </c>
      <c r="B1111" s="0" t="inlineStr">
        <is>
          <t xml:space="preserve">retail</t>
        </is>
      </c>
      <c r="C1111" s="0" t="inlineStr">
        <is>
          <t xml:space="preserve">amer_west</t>
        </is>
      </c>
      <c r="D1111" s="0" t="inlineStr">
        <is>
          <t xml:space="preserve">enterprise</t>
        </is>
      </c>
      <c r="E1111" s="4">
        <v>3231</v>
      </c>
      <c r="F1111" s="0" t="inlineStr">
        <is>
          <t xml:space="preserve">Atlas Networks SA</t>
        </is>
      </c>
    </row>
    <row r="1112">
      <c r="A1112" s="0" t="inlineStr">
        <is>
          <t xml:space="preserve">a1111</t>
        </is>
      </c>
      <c r="B1112" s="0" t="inlineStr">
        <is>
          <t xml:space="preserve">education</t>
        </is>
      </c>
      <c r="C1112" s="0" t="inlineStr">
        <is>
          <t xml:space="preserve">amer_west</t>
        </is>
      </c>
      <c r="D1112" s="0" t="inlineStr">
        <is>
          <t xml:space="preserve">mid_market</t>
        </is>
      </c>
      <c r="E1112" s="4">
        <v>2025</v>
      </c>
      <c r="F1112" s="0" t="inlineStr">
        <is>
          <t xml:space="preserve">Ironbridge Energy</t>
        </is>
      </c>
    </row>
    <row r="1113">
      <c r="A1113" s="0" t="inlineStr">
        <is>
          <t xml:space="preserve">a1112</t>
        </is>
      </c>
      <c r="B1113" s="0" t="inlineStr">
        <is>
          <t xml:space="preserve">financial_services</t>
        </is>
      </c>
      <c r="C1113" s="0" t="inlineStr">
        <is>
          <t xml:space="preserve">amer_west</t>
        </is>
      </c>
      <c r="D1113" s="0" t="inlineStr">
        <is>
          <t xml:space="preserve">enterprise</t>
        </is>
      </c>
      <c r="E1113" s="4">
        <v>5310</v>
      </c>
      <c r="F1113" s="0" t="inlineStr">
        <is>
          <t xml:space="preserve">Pioneer Health</t>
        </is>
      </c>
    </row>
    <row r="1114">
      <c r="A1114" s="0" t="inlineStr">
        <is>
          <t xml:space="preserve">a1113</t>
        </is>
      </c>
      <c r="B1114" s="0" t="inlineStr">
        <is>
          <t xml:space="preserve">logistics</t>
        </is>
      </c>
      <c r="C1114" s="0" t="inlineStr">
        <is>
          <t xml:space="preserve">amer_west</t>
        </is>
      </c>
      <c r="D1114" s="0" t="inlineStr">
        <is>
          <t xml:space="preserve">mid_market</t>
        </is>
      </c>
      <c r="E1114" s="4">
        <v>337</v>
      </c>
      <c r="F1114" s="0" t="inlineStr">
        <is>
          <t xml:space="preserve">Atlas Labs Inc</t>
        </is>
      </c>
    </row>
    <row r="1115">
      <c r="A1115" s="0" t="inlineStr">
        <is>
          <t xml:space="preserve">a1114</t>
        </is>
      </c>
      <c r="B1115" s="0" t="inlineStr">
        <is>
          <t xml:space="preserve">manufacturing</t>
        </is>
      </c>
      <c r="C1115" s="0" t="inlineStr">
        <is>
          <t xml:space="preserve">emea</t>
        </is>
      </c>
      <c r="D1115" s="0" t="inlineStr">
        <is>
          <t xml:space="preserve">mid_market</t>
        </is>
      </c>
      <c r="E1115" s="4">
        <v>1154</v>
      </c>
      <c r="F1115" s="0" t="inlineStr">
        <is>
          <t xml:space="preserve">Northwind Analytics Group</t>
        </is>
      </c>
    </row>
    <row r="1116">
      <c r="A1116" s="0" t="inlineStr">
        <is>
          <t xml:space="preserve">a1115</t>
        </is>
      </c>
      <c r="B1116" s="0" t="inlineStr">
        <is>
          <t xml:space="preserve">financial_services</t>
        </is>
      </c>
      <c r="C1116" s="0" t="inlineStr">
        <is>
          <t xml:space="preserve">emea</t>
        </is>
      </c>
      <c r="D1116" s="0" t="inlineStr">
        <is>
          <t xml:space="preserve">smb</t>
        </is>
      </c>
      <c r="E1116" s="4">
        <v>21</v>
      </c>
      <c r="F1116" s="0" t="inlineStr">
        <is>
          <t xml:space="preserve">Ironbridge Capital Co</t>
        </is>
      </c>
    </row>
    <row r="1117">
      <c r="A1117" s="0" t="inlineStr">
        <is>
          <t xml:space="preserve">a1116</t>
        </is>
      </c>
      <c r="B1117" s="0" t="inlineStr">
        <is>
          <t xml:space="preserve">manufacturing</t>
        </is>
      </c>
      <c r="C1117" s="0" t="inlineStr">
        <is>
          <t xml:space="preserve">emea</t>
        </is>
      </c>
      <c r="D1117" s="0" t="inlineStr">
        <is>
          <t xml:space="preserve">mid_market</t>
        </is>
      </c>
      <c r="E1117" s="4">
        <v>330</v>
      </c>
      <c r="F1117" s="0" t="inlineStr">
        <is>
          <t xml:space="preserve">Nimbus Energy Holdings</t>
        </is>
      </c>
    </row>
    <row r="1118">
      <c r="A1118" s="0" t="inlineStr">
        <is>
          <t xml:space="preserve">a1117</t>
        </is>
      </c>
      <c r="B1118" s="0" t="inlineStr">
        <is>
          <t xml:space="preserve">manufacturing</t>
        </is>
      </c>
      <c r="C1118" s="0" t="inlineStr">
        <is>
          <t xml:space="preserve">emea</t>
        </is>
      </c>
      <c r="D1118" s="0" t="inlineStr">
        <is>
          <t xml:space="preserve">smb</t>
        </is>
      </c>
      <c r="E1118" s="4">
        <v>67</v>
      </c>
      <c r="F1118" s="0" t="inlineStr">
        <is>
          <t xml:space="preserve">Copper Insurance Co</t>
        </is>
      </c>
    </row>
    <row r="1119">
      <c r="A1119" s="0" t="inlineStr">
        <is>
          <t xml:space="preserve">a1118</t>
        </is>
      </c>
      <c r="B1119" s="0" t="inlineStr">
        <is>
          <t xml:space="preserve">media</t>
        </is>
      </c>
      <c r="C1119" s="0" t="inlineStr">
        <is>
          <t xml:space="preserve">emea</t>
        </is>
      </c>
      <c r="D1119" s="0" t="inlineStr">
        <is>
          <t xml:space="preserve">smb</t>
        </is>
      </c>
      <c r="E1119" s="4">
        <v>69</v>
      </c>
      <c r="F1119" s="0" t="inlineStr">
        <is>
          <t xml:space="preserve">Umber Analytics</t>
        </is>
      </c>
    </row>
    <row r="1120">
      <c r="A1120" s="0" t="inlineStr">
        <is>
          <t xml:space="preserve">a1119</t>
        </is>
      </c>
      <c r="B1120" s="0" t="inlineStr">
        <is>
          <t xml:space="preserve">financial_services</t>
        </is>
      </c>
      <c r="C1120" s="0" t="inlineStr">
        <is>
          <t xml:space="preserve">emea</t>
        </is>
      </c>
      <c r="D1120" s="0" t="inlineStr">
        <is>
          <t xml:space="preserve">smb</t>
        </is>
      </c>
      <c r="E1120" s="4">
        <v>35</v>
      </c>
      <c r="F1120" s="0" t="inlineStr">
        <is>
          <t xml:space="preserve">Cascade Financial Group</t>
        </is>
      </c>
    </row>
    <row r="1121">
      <c r="A1121" s="0" t="inlineStr">
        <is>
          <t xml:space="preserve">a1120</t>
        </is>
      </c>
      <c r="B1121" s="0" t="inlineStr">
        <is>
          <t xml:space="preserve">logistics</t>
        </is>
      </c>
      <c r="C1121" s="0" t="inlineStr">
        <is>
          <t xml:space="preserve">emea</t>
        </is>
      </c>
      <c r="D1121" s="0" t="inlineStr">
        <is>
          <t xml:space="preserve">smb</t>
        </is>
      </c>
      <c r="E1121" s="4">
        <v>21</v>
      </c>
      <c r="F1121" s="0" t="inlineStr">
        <is>
          <t xml:space="preserve">Redwood Labs Ltd</t>
        </is>
      </c>
    </row>
    <row r="1122">
      <c r="A1122" s="0" t="inlineStr">
        <is>
          <t xml:space="preserve">a1121</t>
        </is>
      </c>
      <c r="B1122" s="0" t="inlineStr">
        <is>
          <t xml:space="preserve">public_sector</t>
        </is>
      </c>
      <c r="C1122" s="0" t="inlineStr">
        <is>
          <t xml:space="preserve">emea</t>
        </is>
      </c>
      <c r="D1122" s="0" t="inlineStr">
        <is>
          <t xml:space="preserve">mid_market</t>
        </is>
      </c>
      <c r="E1122" s="4">
        <v>264</v>
      </c>
      <c r="F1122" s="0" t="inlineStr">
        <is>
          <t xml:space="preserve">Umber Networks Partners</t>
        </is>
      </c>
    </row>
    <row r="1123">
      <c r="A1123" s="0" t="inlineStr">
        <is>
          <t xml:space="preserve">a1122</t>
        </is>
      </c>
      <c r="B1123" s="0" t="inlineStr">
        <is>
          <t xml:space="preserve">software</t>
        </is>
      </c>
      <c r="C1123" s="0" t="inlineStr">
        <is>
          <t xml:space="preserve">emea</t>
        </is>
      </c>
      <c r="D1123" s="0" t="inlineStr">
        <is>
          <t xml:space="preserve">mid_market</t>
        </is>
      </c>
      <c r="E1123" s="4">
        <v>352</v>
      </c>
      <c r="F1123" s="0" t="inlineStr">
        <is>
          <t xml:space="preserve">Cobalt Energy AG</t>
        </is>
      </c>
    </row>
    <row r="1124">
      <c r="A1124" s="0" t="inlineStr">
        <is>
          <t xml:space="preserve">a1123</t>
        </is>
      </c>
      <c r="B1124" s="0" t="inlineStr">
        <is>
          <t xml:space="preserve">manufacturing</t>
        </is>
      </c>
      <c r="C1124" s="0" t="inlineStr">
        <is>
          <t xml:space="preserve">emea</t>
        </is>
      </c>
      <c r="D1124" s="0" t="inlineStr">
        <is>
          <t xml:space="preserve">smb</t>
        </is>
      </c>
      <c r="E1124" s="4">
        <v>22</v>
      </c>
      <c r="F1124" s="0" t="inlineStr">
        <is>
          <t xml:space="preserve">Juniper Materials Holdings</t>
        </is>
      </c>
    </row>
    <row r="1125">
      <c r="A1125" s="0" t="inlineStr">
        <is>
          <t xml:space="preserve">a1124</t>
        </is>
      </c>
      <c r="B1125" s="0" t="inlineStr">
        <is>
          <t xml:space="preserve">healthcare</t>
        </is>
      </c>
      <c r="C1125" s="0" t="inlineStr">
        <is>
          <t xml:space="preserve">emea</t>
        </is>
      </c>
      <c r="D1125" s="0" t="inlineStr">
        <is>
          <t xml:space="preserve">enterprise</t>
        </is>
      </c>
      <c r="E1125" s="4">
        <v>11421</v>
      </c>
      <c r="F1125" s="0" t="inlineStr">
        <is>
          <t xml:space="preserve">Ironbridge Health Partners</t>
        </is>
      </c>
    </row>
    <row r="1126">
      <c r="A1126" s="0" t="inlineStr">
        <is>
          <t xml:space="preserve">a1125</t>
        </is>
      </c>
      <c r="B1126" s="0" t="inlineStr">
        <is>
          <t xml:space="preserve">public_sector</t>
        </is>
      </c>
      <c r="C1126" s="0" t="inlineStr">
        <is>
          <t xml:space="preserve">emea</t>
        </is>
      </c>
      <c r="D1126" s="0" t="inlineStr">
        <is>
          <t xml:space="preserve">enterprise</t>
        </is>
      </c>
      <c r="E1126" s="4">
        <v>6907</v>
      </c>
      <c r="F1126" s="0" t="inlineStr">
        <is>
          <t xml:space="preserve">Vertex Learning Ltd</t>
        </is>
      </c>
    </row>
    <row r="1127">
      <c r="A1127" s="0" t="inlineStr">
        <is>
          <t xml:space="preserve">a1126</t>
        </is>
      </c>
      <c r="B1127" s="0" t="inlineStr">
        <is>
          <t xml:space="preserve">software</t>
        </is>
      </c>
      <c r="C1127" s="0" t="inlineStr">
        <is>
          <t xml:space="preserve">emea</t>
        </is>
      </c>
      <c r="D1127" s="0" t="inlineStr">
        <is>
          <t xml:space="preserve">enterprise</t>
        </is>
      </c>
      <c r="E1127" s="4">
        <v>6960</v>
      </c>
      <c r="F1127" s="0" t="inlineStr">
        <is>
          <t xml:space="preserve">Redwood Capital Partners</t>
        </is>
      </c>
    </row>
    <row r="1128">
      <c r="A1128" s="0" t="inlineStr">
        <is>
          <t xml:space="preserve">a1127</t>
        </is>
      </c>
      <c r="B1128" s="0" t="inlineStr">
        <is>
          <t xml:space="preserve">financial_services</t>
        </is>
      </c>
      <c r="C1128" s="0" t="inlineStr">
        <is>
          <t xml:space="preserve">emea</t>
        </is>
      </c>
      <c r="D1128" s="0" t="inlineStr">
        <is>
          <t xml:space="preserve">mid_market</t>
        </is>
      </c>
      <c r="E1128" s="4">
        <v>382</v>
      </c>
      <c r="F1128" s="0" t="inlineStr">
        <is>
          <t xml:space="preserve">Pioneer Labs Partners</t>
        </is>
      </c>
    </row>
    <row r="1129">
      <c r="A1129" s="0" t="inlineStr">
        <is>
          <t xml:space="preserve">a1128</t>
        </is>
      </c>
      <c r="B1129" s="0" t="inlineStr">
        <is>
          <t xml:space="preserve">retail</t>
        </is>
      </c>
      <c r="C1129" s="0" t="inlineStr">
        <is>
          <t xml:space="preserve">emea</t>
        </is>
      </c>
      <c r="D1129" s="0" t="inlineStr">
        <is>
          <t xml:space="preserve">smb</t>
        </is>
      </c>
      <c r="E1129" s="4">
        <v>34</v>
      </c>
      <c r="F1129" s="0" t="inlineStr">
        <is>
          <t xml:space="preserve">Sable Capital Inc</t>
        </is>
      </c>
    </row>
    <row r="1130">
      <c r="A1130" s="0" t="inlineStr">
        <is>
          <t xml:space="preserve">a1129</t>
        </is>
      </c>
      <c r="B1130" s="0" t="inlineStr">
        <is>
          <t xml:space="preserve">public_sector</t>
        </is>
      </c>
      <c r="C1130" s="0" t="inlineStr">
        <is>
          <t xml:space="preserve">emea</t>
        </is>
      </c>
      <c r="D1130" s="0" t="inlineStr">
        <is>
          <t xml:space="preserve">smb</t>
        </is>
      </c>
      <c r="E1130" s="4">
        <v>30</v>
      </c>
      <c r="F1130" s="0" t="inlineStr">
        <is>
          <t xml:space="preserve">Northwind Energy AG</t>
        </is>
      </c>
    </row>
    <row r="1131">
      <c r="A1131" s="0" t="inlineStr">
        <is>
          <t xml:space="preserve">a1130</t>
        </is>
      </c>
      <c r="B1131" s="0" t="inlineStr">
        <is>
          <t xml:space="preserve">financial_services</t>
        </is>
      </c>
      <c r="C1131" s="0" t="inlineStr">
        <is>
          <t xml:space="preserve">emea</t>
        </is>
      </c>
      <c r="D1131" s="0" t="inlineStr">
        <is>
          <t xml:space="preserve">smb</t>
        </is>
      </c>
      <c r="E1131" s="4">
        <v>20</v>
      </c>
      <c r="F1131" s="0" t="inlineStr">
        <is>
          <t xml:space="preserve">Northwind Insurance Ltd</t>
        </is>
      </c>
    </row>
    <row r="1132">
      <c r="A1132" s="0" t="inlineStr">
        <is>
          <t xml:space="preserve">a1131</t>
        </is>
      </c>
      <c r="B1132" s="0" t="inlineStr">
        <is>
          <t xml:space="preserve">retail</t>
        </is>
      </c>
      <c r="C1132" s="0" t="inlineStr">
        <is>
          <t xml:space="preserve">emea</t>
        </is>
      </c>
      <c r="D1132" s="0" t="inlineStr">
        <is>
          <t xml:space="preserve">smb</t>
        </is>
      </c>
      <c r="E1132" s="4">
        <v>28</v>
      </c>
      <c r="F1132" s="0" t="inlineStr">
        <is>
          <t xml:space="preserve">Cascade Networks Holdings</t>
        </is>
      </c>
    </row>
    <row r="1133">
      <c r="A1133" s="0" t="inlineStr">
        <is>
          <t xml:space="preserve">a1132</t>
        </is>
      </c>
      <c r="B1133" s="0" t="inlineStr">
        <is>
          <t xml:space="preserve">healthcare</t>
        </is>
      </c>
      <c r="C1133" s="0" t="inlineStr">
        <is>
          <t xml:space="preserve">apac</t>
        </is>
      </c>
      <c r="D1133" s="0" t="inlineStr">
        <is>
          <t xml:space="preserve">enterprise</t>
        </is>
      </c>
      <c r="E1133" s="4">
        <v>3634</v>
      </c>
      <c r="F1133" s="0" t="inlineStr">
        <is>
          <t xml:space="preserve">Northwind Analytics SA</t>
        </is>
      </c>
    </row>
    <row r="1134">
      <c r="A1134" s="0" t="inlineStr">
        <is>
          <t xml:space="preserve">a1133</t>
        </is>
      </c>
      <c r="B1134" s="0" t="inlineStr">
        <is>
          <t xml:space="preserve">software</t>
        </is>
      </c>
      <c r="C1134" s="0" t="inlineStr">
        <is>
          <t xml:space="preserve">apac</t>
        </is>
      </c>
      <c r="D1134" s="0" t="inlineStr">
        <is>
          <t xml:space="preserve">mid_market</t>
        </is>
      </c>
      <c r="E1134" s="4">
        <v>277</v>
      </c>
      <c r="F1134" s="0" t="inlineStr">
        <is>
          <t xml:space="preserve">Meridian Retail</t>
        </is>
      </c>
    </row>
    <row r="1135">
      <c r="A1135" s="0" t="inlineStr">
        <is>
          <t xml:space="preserve">a1134</t>
        </is>
      </c>
      <c r="B1135" s="0" t="inlineStr">
        <is>
          <t xml:space="preserve">financial_services</t>
        </is>
      </c>
      <c r="C1135" s="0" t="inlineStr">
        <is>
          <t xml:space="preserve">apac</t>
        </is>
      </c>
      <c r="D1135" s="0" t="inlineStr">
        <is>
          <t xml:space="preserve">smb</t>
        </is>
      </c>
      <c r="E1135" s="4">
        <v>50</v>
      </c>
      <c r="F1135" s="0" t="inlineStr">
        <is>
          <t xml:space="preserve">Atlas Foods SA</t>
        </is>
      </c>
    </row>
    <row r="1136">
      <c r="A1136" s="0" t="inlineStr">
        <is>
          <t xml:space="preserve">a1135</t>
        </is>
      </c>
      <c r="B1136" s="0" t="inlineStr">
        <is>
          <t xml:space="preserve">education</t>
        </is>
      </c>
      <c r="C1136" s="0" t="inlineStr">
        <is>
          <t xml:space="preserve">apac</t>
        </is>
      </c>
      <c r="D1136" s="0" t="inlineStr">
        <is>
          <t xml:space="preserve">mid_market</t>
        </is>
      </c>
      <c r="E1136" s="4">
        <v>262</v>
      </c>
      <c r="F1136" s="0" t="inlineStr">
        <is>
          <t xml:space="preserve">Granite Financial Inc</t>
        </is>
      </c>
    </row>
    <row r="1137">
      <c r="A1137" s="0" t="inlineStr">
        <is>
          <t xml:space="preserve">a1136</t>
        </is>
      </c>
      <c r="B1137" s="0" t="inlineStr">
        <is>
          <t xml:space="preserve">public_sector</t>
        </is>
      </c>
      <c r="C1137" s="0" t="inlineStr">
        <is>
          <t xml:space="preserve">apac</t>
        </is>
      </c>
      <c r="D1137" s="0" t="inlineStr">
        <is>
          <t xml:space="preserve">mid_market</t>
        </is>
      </c>
      <c r="E1137" s="4">
        <v>467</v>
      </c>
      <c r="F1137" s="0" t="inlineStr">
        <is>
          <t xml:space="preserve">Summit Retail Co</t>
        </is>
      </c>
    </row>
    <row r="1138">
      <c r="A1138" s="0" t="inlineStr">
        <is>
          <t xml:space="preserve">a1137</t>
        </is>
      </c>
      <c r="B1138" s="0" t="inlineStr">
        <is>
          <t xml:space="preserve">healthcare</t>
        </is>
      </c>
      <c r="C1138" s="0" t="inlineStr">
        <is>
          <t xml:space="preserve">apac</t>
        </is>
      </c>
      <c r="D1138" s="0" t="inlineStr">
        <is>
          <t xml:space="preserve">mid_market</t>
        </is>
      </c>
      <c r="E1138" s="4">
        <v>328</v>
      </c>
      <c r="F1138" s="0" t="inlineStr">
        <is>
          <t xml:space="preserve">Redwood Manufacturing</t>
        </is>
      </c>
    </row>
    <row r="1139">
      <c r="A1139" s="0" t="inlineStr">
        <is>
          <t xml:space="preserve">a1138</t>
        </is>
      </c>
      <c r="B1139" s="0" t="inlineStr">
        <is>
          <t xml:space="preserve">healthcare</t>
        </is>
      </c>
      <c r="C1139" s="0" t="inlineStr">
        <is>
          <t xml:space="preserve">apac</t>
        </is>
      </c>
      <c r="D1139" s="0" t="inlineStr">
        <is>
          <t xml:space="preserve">smb</t>
        </is>
      </c>
      <c r="E1139" s="4">
        <v>22</v>
      </c>
      <c r="F1139" s="0" t="inlineStr">
        <is>
          <t xml:space="preserve">Northwind Health Holdings</t>
        </is>
      </c>
    </row>
    <row r="1140">
      <c r="A1140" s="0" t="inlineStr">
        <is>
          <t xml:space="preserve">a1139</t>
        </is>
      </c>
      <c r="B1140" s="0" t="inlineStr">
        <is>
          <t xml:space="preserve">media</t>
        </is>
      </c>
      <c r="C1140" s="0" t="inlineStr">
        <is>
          <t xml:space="preserve">apac</t>
        </is>
      </c>
      <c r="D1140" s="0" t="inlineStr">
        <is>
          <t xml:space="preserve">smb</t>
        </is>
      </c>
      <c r="E1140" s="4">
        <v>20</v>
      </c>
      <c r="F1140" s="0" t="inlineStr">
        <is>
          <t xml:space="preserve">Copper Health Co</t>
        </is>
      </c>
    </row>
    <row r="1141">
      <c r="A1141" s="0" t="inlineStr">
        <is>
          <t xml:space="preserve">a1140</t>
        </is>
      </c>
      <c r="B1141" s="0" t="inlineStr">
        <is>
          <t xml:space="preserve">manufacturing</t>
        </is>
      </c>
      <c r="C1141" s="0" t="inlineStr">
        <is>
          <t xml:space="preserve">apac</t>
        </is>
      </c>
      <c r="D1141" s="0" t="inlineStr">
        <is>
          <t xml:space="preserve">mid_market</t>
        </is>
      </c>
      <c r="E1141" s="4">
        <v>391</v>
      </c>
      <c r="F1141" s="0" t="inlineStr">
        <is>
          <t xml:space="preserve">Harbor Logistics Holdings</t>
        </is>
      </c>
    </row>
    <row r="1142">
      <c r="A1142" s="0" t="inlineStr">
        <is>
          <t xml:space="preserve">a1141</t>
        </is>
      </c>
      <c r="B1142" s="0" t="inlineStr">
        <is>
          <t xml:space="preserve">software</t>
        </is>
      </c>
      <c r="C1142" s="0" t="inlineStr">
        <is>
          <t xml:space="preserve">apac</t>
        </is>
      </c>
      <c r="D1142" s="0" t="inlineStr">
        <is>
          <t xml:space="preserve">mid_market</t>
        </is>
      </c>
      <c r="E1142" s="4">
        <v>413</v>
      </c>
      <c r="F1142" s="0" t="inlineStr">
        <is>
          <t xml:space="preserve">Umber Manufacturing</t>
        </is>
      </c>
    </row>
    <row r="1143">
      <c r="A1143" s="0" t="inlineStr">
        <is>
          <t xml:space="preserve">a1142</t>
        </is>
      </c>
      <c r="B1143" s="0" t="inlineStr">
        <is>
          <t xml:space="preserve">software</t>
        </is>
      </c>
      <c r="C1143" s="0" t="inlineStr">
        <is>
          <t xml:space="preserve">amer_east</t>
        </is>
      </c>
      <c r="D1143" s="0" t="inlineStr">
        <is>
          <t xml:space="preserve">mid_market</t>
        </is>
      </c>
      <c r="E1143" s="4">
        <v>437</v>
      </c>
      <c r="F1143" s="0" t="inlineStr">
        <is>
          <t xml:space="preserve">Beacon Analytics Partners</t>
        </is>
      </c>
    </row>
    <row r="1144">
      <c r="A1144" s="0" t="inlineStr">
        <is>
          <t xml:space="preserve">a1143</t>
        </is>
      </c>
      <c r="B1144" s="0" t="inlineStr">
        <is>
          <t xml:space="preserve">media</t>
        </is>
      </c>
      <c r="C1144" s="0" t="inlineStr">
        <is>
          <t xml:space="preserve">amer_east</t>
        </is>
      </c>
      <c r="D1144" s="0" t="inlineStr">
        <is>
          <t xml:space="preserve">mid_market</t>
        </is>
      </c>
      <c r="E1144" s="4">
        <v>351</v>
      </c>
      <c r="F1144" s="0" t="inlineStr">
        <is>
          <t xml:space="preserve">Redwood Energy AG</t>
        </is>
      </c>
    </row>
    <row r="1145">
      <c r="A1145" s="0" t="inlineStr">
        <is>
          <t xml:space="preserve">a1144</t>
        </is>
      </c>
      <c r="B1145" s="0" t="inlineStr">
        <is>
          <t xml:space="preserve">logistics</t>
        </is>
      </c>
      <c r="C1145" s="0" t="inlineStr">
        <is>
          <t xml:space="preserve">amer_east</t>
        </is>
      </c>
      <c r="D1145" s="0" t="inlineStr">
        <is>
          <t xml:space="preserve">smb</t>
        </is>
      </c>
      <c r="E1145" s="4">
        <v>34</v>
      </c>
      <c r="F1145" s="0" t="inlineStr">
        <is>
          <t xml:space="preserve">Keystone Insurance</t>
        </is>
      </c>
    </row>
    <row r="1146">
      <c r="A1146" s="0" t="inlineStr">
        <is>
          <t xml:space="preserve">a1145</t>
        </is>
      </c>
      <c r="B1146" s="0" t="inlineStr">
        <is>
          <t xml:space="preserve">healthcare</t>
        </is>
      </c>
      <c r="C1146" s="0" t="inlineStr">
        <is>
          <t xml:space="preserve">amer_east</t>
        </is>
      </c>
      <c r="D1146" s="0" t="inlineStr">
        <is>
          <t xml:space="preserve">enterprise</t>
        </is>
      </c>
      <c r="E1146" s="4">
        <v>7075</v>
      </c>
      <c r="F1146" s="0" t="inlineStr">
        <is>
          <t xml:space="preserve">Copper Learning Co</t>
        </is>
      </c>
    </row>
    <row r="1147">
      <c r="A1147" s="0" t="inlineStr">
        <is>
          <t xml:space="preserve">a1146</t>
        </is>
      </c>
      <c r="B1147" s="0" t="inlineStr">
        <is>
          <t xml:space="preserve">education</t>
        </is>
      </c>
      <c r="C1147" s="0" t="inlineStr">
        <is>
          <t xml:space="preserve">amer_east</t>
        </is>
      </c>
      <c r="D1147" s="0" t="inlineStr">
        <is>
          <t xml:space="preserve">mid_market</t>
        </is>
      </c>
      <c r="E1147" s="4">
        <v>1846</v>
      </c>
      <c r="F1147" s="0" t="inlineStr">
        <is>
          <t xml:space="preserve">Aurora Software Group</t>
        </is>
      </c>
    </row>
    <row r="1148">
      <c r="A1148" s="0" t="inlineStr">
        <is>
          <t xml:space="preserve">a1147</t>
        </is>
      </c>
      <c r="B1148" s="0" t="inlineStr">
        <is>
          <t xml:space="preserve">financial_services</t>
        </is>
      </c>
      <c r="C1148" s="0" t="inlineStr">
        <is>
          <t xml:space="preserve">amer_east</t>
        </is>
      </c>
      <c r="D1148" s="0" t="inlineStr">
        <is>
          <t xml:space="preserve">mid_market</t>
        </is>
      </c>
      <c r="E1148" s="4">
        <v>590</v>
      </c>
      <c r="F1148" s="0" t="inlineStr">
        <is>
          <t xml:space="preserve">Keystone Mobility Group</t>
        </is>
      </c>
    </row>
    <row r="1149">
      <c r="A1149" s="0" t="inlineStr">
        <is>
          <t xml:space="preserve">a1148</t>
        </is>
      </c>
      <c r="B1149" s="0" t="inlineStr">
        <is>
          <t xml:space="preserve">media</t>
        </is>
      </c>
      <c r="C1149" s="0" t="inlineStr">
        <is>
          <t xml:space="preserve">amer_east</t>
        </is>
      </c>
      <c r="D1149" s="0" t="inlineStr">
        <is>
          <t xml:space="preserve">enterprise</t>
        </is>
      </c>
      <c r="E1149" s="4">
        <v>11881</v>
      </c>
      <c r="F1149" s="0" t="inlineStr">
        <is>
          <t xml:space="preserve">Blue Harbor Insurance Inc</t>
        </is>
      </c>
    </row>
    <row r="1150">
      <c r="A1150" s="0" t="inlineStr">
        <is>
          <t xml:space="preserve">a1149</t>
        </is>
      </c>
      <c r="B1150" s="0" t="inlineStr">
        <is>
          <t xml:space="preserve">software</t>
        </is>
      </c>
      <c r="C1150" s="0" t="inlineStr">
        <is>
          <t xml:space="preserve">amer_east</t>
        </is>
      </c>
      <c r="D1150" s="0" t="inlineStr">
        <is>
          <t xml:space="preserve">smb</t>
        </is>
      </c>
      <c r="E1150" s="4">
        <v>29</v>
      </c>
      <c r="F1150" s="0" t="inlineStr">
        <is>
          <t xml:space="preserve">Evergreen Health SA</t>
        </is>
      </c>
    </row>
    <row r="1151">
      <c r="A1151" s="0" t="inlineStr">
        <is>
          <t xml:space="preserve">a1150</t>
        </is>
      </c>
      <c r="B1151" s="0" t="inlineStr">
        <is>
          <t xml:space="preserve">software</t>
        </is>
      </c>
      <c r="C1151" s="0" t="inlineStr">
        <is>
          <t xml:space="preserve">amer_east</t>
        </is>
      </c>
      <c r="D1151" s="0" t="inlineStr">
        <is>
          <t xml:space="preserve">mid_market</t>
        </is>
      </c>
      <c r="E1151" s="4">
        <v>327</v>
      </c>
      <c r="F1151" s="0" t="inlineStr">
        <is>
          <t xml:space="preserve">Blue Harbor Software</t>
        </is>
      </c>
    </row>
    <row r="1152">
      <c r="A1152" s="0" t="inlineStr">
        <is>
          <t xml:space="preserve">a1151</t>
        </is>
      </c>
      <c r="B1152" s="0" t="inlineStr">
        <is>
          <t xml:space="preserve">software</t>
        </is>
      </c>
      <c r="C1152" s="0" t="inlineStr">
        <is>
          <t xml:space="preserve">amer_east</t>
        </is>
      </c>
      <c r="D1152" s="0" t="inlineStr">
        <is>
          <t xml:space="preserve">smb</t>
        </is>
      </c>
      <c r="E1152" s="4">
        <v>40</v>
      </c>
      <c r="F1152" s="0" t="inlineStr">
        <is>
          <t xml:space="preserve">Meridian Robotics Holdings</t>
        </is>
      </c>
    </row>
    <row r="1153">
      <c r="A1153" s="0" t="inlineStr">
        <is>
          <t xml:space="preserve">a1152</t>
        </is>
      </c>
      <c r="B1153" s="0" t="inlineStr">
        <is>
          <t xml:space="preserve">retail</t>
        </is>
      </c>
      <c r="C1153" s="0" t="inlineStr">
        <is>
          <t xml:space="preserve">amer_east</t>
        </is>
      </c>
      <c r="D1153" s="0" t="inlineStr">
        <is>
          <t xml:space="preserve">mid_market</t>
        </is>
      </c>
      <c r="E1153" s="4">
        <v>260</v>
      </c>
      <c r="F1153" s="0" t="inlineStr">
        <is>
          <t xml:space="preserve">Lakeside Learning Co</t>
        </is>
      </c>
    </row>
    <row r="1154">
      <c r="A1154" s="0" t="inlineStr">
        <is>
          <t xml:space="preserve">a1153</t>
        </is>
      </c>
      <c r="B1154" s="0" t="inlineStr">
        <is>
          <t xml:space="preserve">logistics</t>
        </is>
      </c>
      <c r="C1154" s="0" t="inlineStr">
        <is>
          <t xml:space="preserve">amer_east</t>
        </is>
      </c>
      <c r="D1154" s="0" t="inlineStr">
        <is>
          <t xml:space="preserve">smb</t>
        </is>
      </c>
      <c r="E1154" s="4">
        <v>33</v>
      </c>
      <c r="F1154" s="0" t="inlineStr">
        <is>
          <t xml:space="preserve">Nimbus Media SA</t>
        </is>
      </c>
    </row>
    <row r="1155">
      <c r="A1155" s="0" t="inlineStr">
        <is>
          <t xml:space="preserve">a1154</t>
        </is>
      </c>
      <c r="B1155" s="0" t="inlineStr">
        <is>
          <t xml:space="preserve">financial_services</t>
        </is>
      </c>
      <c r="C1155" s="0" t="inlineStr">
        <is>
          <t xml:space="preserve">amer_east</t>
        </is>
      </c>
      <c r="D1155" s="0" t="inlineStr">
        <is>
          <t xml:space="preserve">smb</t>
        </is>
      </c>
      <c r="E1155" s="4">
        <v>24</v>
      </c>
      <c r="F1155" s="0" t="inlineStr">
        <is>
          <t xml:space="preserve">Lakeside Analytics Partners</t>
        </is>
      </c>
    </row>
    <row r="1156">
      <c r="A1156" s="0" t="inlineStr">
        <is>
          <t xml:space="preserve">a1155</t>
        </is>
      </c>
      <c r="B1156" s="0" t="inlineStr">
        <is>
          <t xml:space="preserve">manufacturing</t>
        </is>
      </c>
      <c r="C1156" s="0" t="inlineStr">
        <is>
          <t xml:space="preserve">amer_east</t>
        </is>
      </c>
      <c r="D1156" s="0" t="inlineStr">
        <is>
          <t xml:space="preserve">smb</t>
        </is>
      </c>
      <c r="E1156" s="4">
        <v>20</v>
      </c>
      <c r="F1156" s="0" t="inlineStr">
        <is>
          <t xml:space="preserve">Nimbus Logistics</t>
        </is>
      </c>
    </row>
    <row r="1157">
      <c r="A1157" s="0" t="inlineStr">
        <is>
          <t xml:space="preserve">a1156</t>
        </is>
      </c>
      <c r="B1157" s="0" t="inlineStr">
        <is>
          <t xml:space="preserve">retail</t>
        </is>
      </c>
      <c r="C1157" s="0" t="inlineStr">
        <is>
          <t xml:space="preserve">amer_east</t>
        </is>
      </c>
      <c r="D1157" s="0" t="inlineStr">
        <is>
          <t xml:space="preserve">mid_market</t>
        </is>
      </c>
      <c r="E1157" s="4">
        <v>579</v>
      </c>
      <c r="F1157" s="0" t="inlineStr">
        <is>
          <t xml:space="preserve">Pioneer Foods AG</t>
        </is>
      </c>
    </row>
    <row r="1158">
      <c r="A1158" s="0" t="inlineStr">
        <is>
          <t xml:space="preserve">a1157</t>
        </is>
      </c>
      <c r="B1158" s="0" t="inlineStr">
        <is>
          <t xml:space="preserve">software</t>
        </is>
      </c>
      <c r="C1158" s="0" t="inlineStr">
        <is>
          <t xml:space="preserve">amer_east</t>
        </is>
      </c>
      <c r="D1158" s="0" t="inlineStr">
        <is>
          <t xml:space="preserve">smb</t>
        </is>
      </c>
      <c r="E1158" s="4">
        <v>23</v>
      </c>
      <c r="F1158" s="0" t="inlineStr">
        <is>
          <t xml:space="preserve">Atlas Labs</t>
        </is>
      </c>
    </row>
    <row r="1159">
      <c r="A1159" s="0" t="inlineStr">
        <is>
          <t xml:space="preserve">a1158</t>
        </is>
      </c>
      <c r="B1159" s="0" t="inlineStr">
        <is>
          <t xml:space="preserve">logistics</t>
        </is>
      </c>
      <c r="C1159" s="0" t="inlineStr">
        <is>
          <t xml:space="preserve">amer_east</t>
        </is>
      </c>
      <c r="D1159" s="0" t="inlineStr">
        <is>
          <t xml:space="preserve">smb</t>
        </is>
      </c>
      <c r="E1159" s="4">
        <v>39</v>
      </c>
      <c r="F1159" s="0" t="inlineStr">
        <is>
          <t xml:space="preserve">Granite Foods Inc</t>
        </is>
      </c>
    </row>
    <row r="1160">
      <c r="A1160" s="0" t="inlineStr">
        <is>
          <t xml:space="preserve">a1159</t>
        </is>
      </c>
      <c r="B1160" s="0" t="inlineStr">
        <is>
          <t xml:space="preserve">software</t>
        </is>
      </c>
      <c r="C1160" s="0" t="inlineStr">
        <is>
          <t xml:space="preserve">amer_east</t>
        </is>
      </c>
      <c r="D1160" s="0" t="inlineStr">
        <is>
          <t xml:space="preserve">smb</t>
        </is>
      </c>
      <c r="E1160" s="4">
        <v>20</v>
      </c>
      <c r="F1160" s="0" t="inlineStr">
        <is>
          <t xml:space="preserve">Aurora Health Ltd</t>
        </is>
      </c>
    </row>
    <row r="1161">
      <c r="A1161" s="0" t="inlineStr">
        <is>
          <t xml:space="preserve">a1160</t>
        </is>
      </c>
      <c r="B1161" s="0" t="inlineStr">
        <is>
          <t xml:space="preserve">software</t>
        </is>
      </c>
      <c r="C1161" s="0" t="inlineStr">
        <is>
          <t xml:space="preserve">amer_east</t>
        </is>
      </c>
      <c r="D1161" s="0" t="inlineStr">
        <is>
          <t xml:space="preserve">smb</t>
        </is>
      </c>
      <c r="E1161" s="4">
        <v>26</v>
      </c>
      <c r="F1161" s="0" t="inlineStr">
        <is>
          <t xml:space="preserve">Nimbus Foods AG</t>
        </is>
      </c>
    </row>
    <row r="1162">
      <c r="A1162" s="0" t="inlineStr">
        <is>
          <t xml:space="preserve">a1161</t>
        </is>
      </c>
      <c r="B1162" s="0" t="inlineStr">
        <is>
          <t xml:space="preserve">logistics</t>
        </is>
      </c>
      <c r="C1162" s="0" t="inlineStr">
        <is>
          <t xml:space="preserve">amer_east</t>
        </is>
      </c>
      <c r="D1162" s="0" t="inlineStr">
        <is>
          <t xml:space="preserve">mid_market</t>
        </is>
      </c>
      <c r="E1162" s="4">
        <v>629</v>
      </c>
      <c r="F1162" s="0" t="inlineStr">
        <is>
          <t xml:space="preserve">Redwood Biotech SA</t>
        </is>
      </c>
    </row>
    <row r="1163">
      <c r="A1163" s="0" t="inlineStr">
        <is>
          <t xml:space="preserve">a1162</t>
        </is>
      </c>
      <c r="B1163" s="0" t="inlineStr">
        <is>
          <t xml:space="preserve">manufacturing</t>
        </is>
      </c>
      <c r="C1163" s="0" t="inlineStr">
        <is>
          <t xml:space="preserve">amer_east</t>
        </is>
      </c>
      <c r="D1163" s="0" t="inlineStr">
        <is>
          <t xml:space="preserve">mid_market</t>
        </is>
      </c>
      <c r="E1163" s="4">
        <v>408</v>
      </c>
      <c r="F1163" s="0" t="inlineStr">
        <is>
          <t xml:space="preserve">Tidewater Systems Holdings</t>
        </is>
      </c>
    </row>
    <row r="1164">
      <c r="A1164" s="0" t="inlineStr">
        <is>
          <t xml:space="preserve">a1163</t>
        </is>
      </c>
      <c r="B1164" s="0" t="inlineStr">
        <is>
          <t xml:space="preserve">software</t>
        </is>
      </c>
      <c r="C1164" s="0" t="inlineStr">
        <is>
          <t xml:space="preserve">amer_east</t>
        </is>
      </c>
      <c r="D1164" s="0" t="inlineStr">
        <is>
          <t xml:space="preserve">smb</t>
        </is>
      </c>
      <c r="E1164" s="4">
        <v>65</v>
      </c>
      <c r="F1164" s="0" t="inlineStr">
        <is>
          <t xml:space="preserve">Granite Media</t>
        </is>
      </c>
    </row>
    <row r="1165">
      <c r="A1165" s="0" t="inlineStr">
        <is>
          <t xml:space="preserve">a1164</t>
        </is>
      </c>
      <c r="B1165" s="0" t="inlineStr">
        <is>
          <t xml:space="preserve">public_sector</t>
        </is>
      </c>
      <c r="C1165" s="0" t="inlineStr">
        <is>
          <t xml:space="preserve">amer_east</t>
        </is>
      </c>
      <c r="D1165" s="0" t="inlineStr">
        <is>
          <t xml:space="preserve">smb</t>
        </is>
      </c>
      <c r="E1165" s="4">
        <v>62</v>
      </c>
      <c r="F1165" s="0" t="inlineStr">
        <is>
          <t xml:space="preserve">Sable Software</t>
        </is>
      </c>
    </row>
    <row r="1166">
      <c r="A1166" s="0" t="inlineStr">
        <is>
          <t xml:space="preserve">a1165</t>
        </is>
      </c>
      <c r="B1166" s="0" t="inlineStr">
        <is>
          <t xml:space="preserve">manufacturing</t>
        </is>
      </c>
      <c r="C1166" s="0" t="inlineStr">
        <is>
          <t xml:space="preserve">amer_east</t>
        </is>
      </c>
      <c r="D1166" s="0" t="inlineStr">
        <is>
          <t xml:space="preserve">smb</t>
        </is>
      </c>
      <c r="E1166" s="4">
        <v>35</v>
      </c>
      <c r="F1166" s="0" t="inlineStr">
        <is>
          <t xml:space="preserve">Sable Materials</t>
        </is>
      </c>
    </row>
    <row r="1167">
      <c r="A1167" s="0" t="inlineStr">
        <is>
          <t xml:space="preserve">a1166</t>
        </is>
      </c>
      <c r="B1167" s="0" t="inlineStr">
        <is>
          <t xml:space="preserve">financial_services</t>
        </is>
      </c>
      <c r="C1167" s="0" t="inlineStr">
        <is>
          <t xml:space="preserve">amer_east</t>
        </is>
      </c>
      <c r="D1167" s="0" t="inlineStr">
        <is>
          <t xml:space="preserve">enterprise</t>
        </is>
      </c>
      <c r="E1167" s="4">
        <v>7796</v>
      </c>
      <c r="F1167" s="0" t="inlineStr">
        <is>
          <t xml:space="preserve">Cobalt Robotics Inc</t>
        </is>
      </c>
    </row>
    <row r="1168">
      <c r="A1168" s="0" t="inlineStr">
        <is>
          <t xml:space="preserve">a1167</t>
        </is>
      </c>
      <c r="B1168" s="0" t="inlineStr">
        <is>
          <t xml:space="preserve">public_sector</t>
        </is>
      </c>
      <c r="C1168" s="0" t="inlineStr">
        <is>
          <t xml:space="preserve">amer_west</t>
        </is>
      </c>
      <c r="D1168" s="0" t="inlineStr">
        <is>
          <t xml:space="preserve">smb</t>
        </is>
      </c>
      <c r="E1168" s="4">
        <v>29</v>
      </c>
      <c r="F1168" s="0" t="inlineStr">
        <is>
          <t xml:space="preserve">Pioneer Media Ltd</t>
        </is>
      </c>
    </row>
    <row r="1169">
      <c r="A1169" s="0" t="inlineStr">
        <is>
          <t xml:space="preserve">a1168</t>
        </is>
      </c>
      <c r="B1169" s="0" t="inlineStr">
        <is>
          <t xml:space="preserve">healthcare</t>
        </is>
      </c>
      <c r="C1169" s="0" t="inlineStr">
        <is>
          <t xml:space="preserve">amer_west</t>
        </is>
      </c>
      <c r="D1169" s="0" t="inlineStr">
        <is>
          <t xml:space="preserve">smb</t>
        </is>
      </c>
      <c r="E1169" s="4">
        <v>103</v>
      </c>
      <c r="F1169" s="0" t="inlineStr">
        <is>
          <t xml:space="preserve">Quantum Labs</t>
        </is>
      </c>
    </row>
    <row r="1170">
      <c r="A1170" s="0" t="inlineStr">
        <is>
          <t xml:space="preserve">a1169</t>
        </is>
      </c>
      <c r="B1170" s="0" t="inlineStr">
        <is>
          <t xml:space="preserve">manufacturing</t>
        </is>
      </c>
      <c r="C1170" s="0" t="inlineStr">
        <is>
          <t xml:space="preserve">amer_west</t>
        </is>
      </c>
      <c r="D1170" s="0" t="inlineStr">
        <is>
          <t xml:space="preserve">smb</t>
        </is>
      </c>
      <c r="E1170" s="4">
        <v>111</v>
      </c>
      <c r="F1170" s="0" t="inlineStr">
        <is>
          <t xml:space="preserve">Harbor Energy Inc</t>
        </is>
      </c>
    </row>
    <row r="1171">
      <c r="A1171" s="0" t="inlineStr">
        <is>
          <t xml:space="preserve">a1170</t>
        </is>
      </c>
      <c r="B1171" s="0" t="inlineStr">
        <is>
          <t xml:space="preserve">software</t>
        </is>
      </c>
      <c r="C1171" s="0" t="inlineStr">
        <is>
          <t xml:space="preserve">amer_west</t>
        </is>
      </c>
      <c r="D1171" s="0" t="inlineStr">
        <is>
          <t xml:space="preserve">mid_market</t>
        </is>
      </c>
      <c r="E1171" s="4">
        <v>317</v>
      </c>
      <c r="F1171" s="0" t="inlineStr">
        <is>
          <t xml:space="preserve">Granite Networks Holdings</t>
        </is>
      </c>
    </row>
    <row r="1172">
      <c r="A1172" s="0" t="inlineStr">
        <is>
          <t xml:space="preserve">a1171</t>
        </is>
      </c>
      <c r="B1172" s="0" t="inlineStr">
        <is>
          <t xml:space="preserve">manufacturing</t>
        </is>
      </c>
      <c r="C1172" s="0" t="inlineStr">
        <is>
          <t xml:space="preserve">amer_west</t>
        </is>
      </c>
      <c r="D1172" s="0" t="inlineStr">
        <is>
          <t xml:space="preserve">mid_market</t>
        </is>
      </c>
      <c r="E1172" s="4">
        <v>1067</v>
      </c>
      <c r="F1172" s="0" t="inlineStr">
        <is>
          <t xml:space="preserve">Atlas Robotics Partners</t>
        </is>
      </c>
    </row>
    <row r="1173">
      <c r="A1173" s="0" t="inlineStr">
        <is>
          <t xml:space="preserve">a1172</t>
        </is>
      </c>
      <c r="B1173" s="0" t="inlineStr">
        <is>
          <t xml:space="preserve">education</t>
        </is>
      </c>
      <c r="C1173" s="0" t="inlineStr">
        <is>
          <t xml:space="preserve">amer_west</t>
        </is>
      </c>
      <c r="D1173" s="0" t="inlineStr">
        <is>
          <t xml:space="preserve">smb</t>
        </is>
      </c>
      <c r="E1173" s="4">
        <v>209</v>
      </c>
      <c r="F1173" s="0" t="inlineStr">
        <is>
          <t xml:space="preserve">Atlas Materials SA</t>
        </is>
      </c>
    </row>
    <row r="1174">
      <c r="A1174" s="0" t="inlineStr">
        <is>
          <t xml:space="preserve">a1173</t>
        </is>
      </c>
      <c r="B1174" s="0" t="inlineStr">
        <is>
          <t xml:space="preserve">financial_services</t>
        </is>
      </c>
      <c r="C1174" s="0" t="inlineStr">
        <is>
          <t xml:space="preserve">amer_west</t>
        </is>
      </c>
      <c r="D1174" s="0" t="inlineStr">
        <is>
          <t xml:space="preserve">smb</t>
        </is>
      </c>
      <c r="E1174" s="4">
        <v>32</v>
      </c>
      <c r="F1174" s="0" t="inlineStr">
        <is>
          <t xml:space="preserve">Pioneer Learning SA</t>
        </is>
      </c>
    </row>
    <row r="1175">
      <c r="A1175" s="0" t="inlineStr">
        <is>
          <t xml:space="preserve">a1174</t>
        </is>
      </c>
      <c r="B1175" s="0" t="inlineStr">
        <is>
          <t xml:space="preserve">logistics</t>
        </is>
      </c>
      <c r="C1175" s="0" t="inlineStr">
        <is>
          <t xml:space="preserve">amer_west</t>
        </is>
      </c>
      <c r="D1175" s="0" t="inlineStr">
        <is>
          <t xml:space="preserve">smb</t>
        </is>
      </c>
      <c r="E1175" s="4">
        <v>28</v>
      </c>
      <c r="F1175" s="0" t="inlineStr">
        <is>
          <t xml:space="preserve">Granite Software Group</t>
        </is>
      </c>
    </row>
    <row r="1176">
      <c r="A1176" s="0" t="inlineStr">
        <is>
          <t xml:space="preserve">a1175</t>
        </is>
      </c>
      <c r="B1176" s="0" t="inlineStr">
        <is>
          <t xml:space="preserve">logistics</t>
        </is>
      </c>
      <c r="C1176" s="0" t="inlineStr">
        <is>
          <t xml:space="preserve">amer_west</t>
        </is>
      </c>
      <c r="D1176" s="0" t="inlineStr">
        <is>
          <t xml:space="preserve">smb</t>
        </is>
      </c>
      <c r="E1176" s="4">
        <v>33</v>
      </c>
      <c r="F1176" s="0" t="inlineStr">
        <is>
          <t xml:space="preserve">Keystone Robotics AG</t>
        </is>
      </c>
    </row>
    <row r="1177">
      <c r="A1177" s="0" t="inlineStr">
        <is>
          <t xml:space="preserve">a1176</t>
        </is>
      </c>
      <c r="B1177" s="0" t="inlineStr">
        <is>
          <t xml:space="preserve">software</t>
        </is>
      </c>
      <c r="C1177" s="0" t="inlineStr">
        <is>
          <t xml:space="preserve">amer_west</t>
        </is>
      </c>
      <c r="D1177" s="0" t="inlineStr">
        <is>
          <t xml:space="preserve">mid_market</t>
        </is>
      </c>
      <c r="E1177" s="4">
        <v>381</v>
      </c>
      <c r="F1177" s="0" t="inlineStr">
        <is>
          <t xml:space="preserve">Vertex Health Inc</t>
        </is>
      </c>
    </row>
    <row r="1178">
      <c r="A1178" s="0" t="inlineStr">
        <is>
          <t xml:space="preserve">a1177</t>
        </is>
      </c>
      <c r="B1178" s="0" t="inlineStr">
        <is>
          <t xml:space="preserve">software</t>
        </is>
      </c>
      <c r="C1178" s="0" t="inlineStr">
        <is>
          <t xml:space="preserve">amer_west</t>
        </is>
      </c>
      <c r="D1178" s="0" t="inlineStr">
        <is>
          <t xml:space="preserve">mid_market</t>
        </is>
      </c>
      <c r="E1178" s="4">
        <v>291</v>
      </c>
      <c r="F1178" s="0" t="inlineStr">
        <is>
          <t xml:space="preserve">Nimbus Health Group</t>
        </is>
      </c>
    </row>
    <row r="1179">
      <c r="A1179" s="0" t="inlineStr">
        <is>
          <t xml:space="preserve">a1178</t>
        </is>
      </c>
      <c r="B1179" s="0" t="inlineStr">
        <is>
          <t xml:space="preserve">software</t>
        </is>
      </c>
      <c r="C1179" s="0" t="inlineStr">
        <is>
          <t xml:space="preserve">amer_west</t>
        </is>
      </c>
      <c r="D1179" s="0" t="inlineStr">
        <is>
          <t xml:space="preserve">mid_market</t>
        </is>
      </c>
      <c r="E1179" s="4">
        <v>326</v>
      </c>
      <c r="F1179" s="0" t="inlineStr">
        <is>
          <t xml:space="preserve">Ironbridge Retail Group</t>
        </is>
      </c>
    </row>
    <row r="1180">
      <c r="A1180" s="0" t="inlineStr">
        <is>
          <t xml:space="preserve">a1179</t>
        </is>
      </c>
      <c r="B1180" s="0" t="inlineStr">
        <is>
          <t xml:space="preserve">media</t>
        </is>
      </c>
      <c r="C1180" s="0" t="inlineStr">
        <is>
          <t xml:space="preserve">emea</t>
        </is>
      </c>
      <c r="D1180" s="0" t="inlineStr">
        <is>
          <t xml:space="preserve">enterprise</t>
        </is>
      </c>
      <c r="E1180" s="4">
        <v>3440</v>
      </c>
      <c r="F1180" s="0" t="inlineStr">
        <is>
          <t xml:space="preserve">Vertex Networks Holdings</t>
        </is>
      </c>
    </row>
    <row r="1181">
      <c r="A1181" s="0" t="inlineStr">
        <is>
          <t xml:space="preserve">a1180</t>
        </is>
      </c>
      <c r="B1181" s="0" t="inlineStr">
        <is>
          <t xml:space="preserve">financial_services</t>
        </is>
      </c>
      <c r="C1181" s="0" t="inlineStr">
        <is>
          <t xml:space="preserve">emea</t>
        </is>
      </c>
      <c r="D1181" s="0" t="inlineStr">
        <is>
          <t xml:space="preserve">smb</t>
        </is>
      </c>
      <c r="E1181" s="4">
        <v>189</v>
      </c>
      <c r="F1181" s="0" t="inlineStr">
        <is>
          <t xml:space="preserve">Nimbus Health Holdings</t>
        </is>
      </c>
    </row>
    <row r="1182">
      <c r="A1182" s="0" t="inlineStr">
        <is>
          <t xml:space="preserve">a1181</t>
        </is>
      </c>
      <c r="B1182" s="0" t="inlineStr">
        <is>
          <t xml:space="preserve">energy</t>
        </is>
      </c>
      <c r="C1182" s="0" t="inlineStr">
        <is>
          <t xml:space="preserve">emea</t>
        </is>
      </c>
      <c r="D1182" s="0" t="inlineStr">
        <is>
          <t xml:space="preserve">smb</t>
        </is>
      </c>
      <c r="E1182" s="4">
        <v>103</v>
      </c>
      <c r="F1182" s="0" t="inlineStr">
        <is>
          <t xml:space="preserve">Evergreen Foods Inc</t>
        </is>
      </c>
    </row>
    <row r="1183">
      <c r="A1183" s="0" t="inlineStr">
        <is>
          <t xml:space="preserve">a1182</t>
        </is>
      </c>
      <c r="B1183" s="0" t="inlineStr">
        <is>
          <t xml:space="preserve">manufacturing</t>
        </is>
      </c>
      <c r="C1183" s="0" t="inlineStr">
        <is>
          <t xml:space="preserve">emea</t>
        </is>
      </c>
      <c r="D1183" s="0" t="inlineStr">
        <is>
          <t xml:space="preserve">enterprise</t>
        </is>
      </c>
      <c r="E1183" s="4">
        <v>3464</v>
      </c>
      <c r="F1183" s="0" t="inlineStr">
        <is>
          <t xml:space="preserve">Copper Materials</t>
        </is>
      </c>
    </row>
    <row r="1184">
      <c r="A1184" s="0" t="inlineStr">
        <is>
          <t xml:space="preserve">a1183</t>
        </is>
      </c>
      <c r="B1184" s="0" t="inlineStr">
        <is>
          <t xml:space="preserve">software</t>
        </is>
      </c>
      <c r="C1184" s="0" t="inlineStr">
        <is>
          <t xml:space="preserve">emea</t>
        </is>
      </c>
      <c r="D1184" s="0" t="inlineStr">
        <is>
          <t xml:space="preserve">enterprise</t>
        </is>
      </c>
      <c r="E1184" s="4">
        <v>3794</v>
      </c>
      <c r="F1184" s="0" t="inlineStr">
        <is>
          <t xml:space="preserve">Meridian Health Partners</t>
        </is>
      </c>
    </row>
    <row r="1185">
      <c r="A1185" s="0" t="inlineStr">
        <is>
          <t xml:space="preserve">a1184</t>
        </is>
      </c>
      <c r="B1185" s="0" t="inlineStr">
        <is>
          <t xml:space="preserve">software</t>
        </is>
      </c>
      <c r="C1185" s="0" t="inlineStr">
        <is>
          <t xml:space="preserve">emea</t>
        </is>
      </c>
      <c r="D1185" s="0" t="inlineStr">
        <is>
          <t xml:space="preserve">mid_market</t>
        </is>
      </c>
      <c r="E1185" s="4">
        <v>282</v>
      </c>
      <c r="F1185" s="0" t="inlineStr">
        <is>
          <t xml:space="preserve">Orchard Capital Co</t>
        </is>
      </c>
    </row>
    <row r="1186">
      <c r="A1186" s="0" t="inlineStr">
        <is>
          <t xml:space="preserve">a1185</t>
        </is>
      </c>
      <c r="B1186" s="0" t="inlineStr">
        <is>
          <t xml:space="preserve">financial_services</t>
        </is>
      </c>
      <c r="C1186" s="0" t="inlineStr">
        <is>
          <t xml:space="preserve">emea</t>
        </is>
      </c>
      <c r="D1186" s="0" t="inlineStr">
        <is>
          <t xml:space="preserve">enterprise</t>
        </is>
      </c>
      <c r="E1186" s="4">
        <v>2741</v>
      </c>
      <c r="F1186" s="0" t="inlineStr">
        <is>
          <t xml:space="preserve">Summit Capital Inc</t>
        </is>
      </c>
    </row>
    <row r="1187">
      <c r="A1187" s="0" t="inlineStr">
        <is>
          <t xml:space="preserve">a1186</t>
        </is>
      </c>
      <c r="B1187" s="0" t="inlineStr">
        <is>
          <t xml:space="preserve">financial_services</t>
        </is>
      </c>
      <c r="C1187" s="0" t="inlineStr">
        <is>
          <t xml:space="preserve">emea</t>
        </is>
      </c>
      <c r="D1187" s="0" t="inlineStr">
        <is>
          <t xml:space="preserve">smb</t>
        </is>
      </c>
      <c r="E1187" s="4">
        <v>103</v>
      </c>
      <c r="F1187" s="0" t="inlineStr">
        <is>
          <t xml:space="preserve">Beacon Materials</t>
        </is>
      </c>
    </row>
    <row r="1188">
      <c r="A1188" s="0" t="inlineStr">
        <is>
          <t xml:space="preserve">a1187</t>
        </is>
      </c>
      <c r="B1188" s="0" t="inlineStr">
        <is>
          <t xml:space="preserve">healthcare</t>
        </is>
      </c>
      <c r="C1188" s="0" t="inlineStr">
        <is>
          <t xml:space="preserve">emea</t>
        </is>
      </c>
      <c r="D1188" s="0" t="inlineStr">
        <is>
          <t xml:space="preserve">smb</t>
        </is>
      </c>
      <c r="E1188" s="4">
        <v>23</v>
      </c>
      <c r="F1188" s="0" t="inlineStr">
        <is>
          <t xml:space="preserve">Aurora Logistics</t>
        </is>
      </c>
    </row>
    <row r="1189">
      <c r="A1189" s="0" t="inlineStr">
        <is>
          <t xml:space="preserve">a1188</t>
        </is>
      </c>
      <c r="B1189" s="0" t="inlineStr">
        <is>
          <t xml:space="preserve">healthcare</t>
        </is>
      </c>
      <c r="C1189" s="0" t="inlineStr">
        <is>
          <t xml:space="preserve">emea</t>
        </is>
      </c>
      <c r="D1189" s="0" t="inlineStr">
        <is>
          <t xml:space="preserve">mid_market</t>
        </is>
      </c>
      <c r="E1189" s="4">
        <v>332</v>
      </c>
      <c r="F1189" s="0" t="inlineStr">
        <is>
          <t xml:space="preserve">Quantum Foods Partners</t>
        </is>
      </c>
    </row>
    <row r="1190">
      <c r="A1190" s="0" t="inlineStr">
        <is>
          <t xml:space="preserve">a1189</t>
        </is>
      </c>
      <c r="B1190" s="0" t="inlineStr">
        <is>
          <t xml:space="preserve">media</t>
        </is>
      </c>
      <c r="C1190" s="0" t="inlineStr">
        <is>
          <t xml:space="preserve">emea</t>
        </is>
      </c>
      <c r="D1190" s="0" t="inlineStr">
        <is>
          <t xml:space="preserve">smb</t>
        </is>
      </c>
      <c r="E1190" s="4">
        <v>49</v>
      </c>
      <c r="F1190" s="0" t="inlineStr">
        <is>
          <t xml:space="preserve">Evergreen Biotech Inc</t>
        </is>
      </c>
    </row>
    <row r="1191">
      <c r="A1191" s="0" t="inlineStr">
        <is>
          <t xml:space="preserve">a1190</t>
        </is>
      </c>
      <c r="B1191" s="0" t="inlineStr">
        <is>
          <t xml:space="preserve">financial_services</t>
        </is>
      </c>
      <c r="C1191" s="0" t="inlineStr">
        <is>
          <t xml:space="preserve">emea</t>
        </is>
      </c>
      <c r="D1191" s="0" t="inlineStr">
        <is>
          <t xml:space="preserve">mid_market</t>
        </is>
      </c>
      <c r="E1191" s="4">
        <v>450</v>
      </c>
      <c r="F1191" s="0" t="inlineStr">
        <is>
          <t xml:space="preserve">Vertex Software Inc</t>
        </is>
      </c>
    </row>
    <row r="1192">
      <c r="A1192" s="0" t="inlineStr">
        <is>
          <t xml:space="preserve">a1191</t>
        </is>
      </c>
      <c r="B1192" s="0" t="inlineStr">
        <is>
          <t xml:space="preserve">logistics</t>
        </is>
      </c>
      <c r="C1192" s="0" t="inlineStr">
        <is>
          <t xml:space="preserve">emea</t>
        </is>
      </c>
      <c r="D1192" s="0" t="inlineStr">
        <is>
          <t xml:space="preserve">mid_market</t>
        </is>
      </c>
      <c r="E1192" s="4">
        <v>518</v>
      </c>
      <c r="F1192" s="0" t="inlineStr">
        <is>
          <t xml:space="preserve">Vertex Manufacturing Ltd</t>
        </is>
      </c>
    </row>
    <row r="1193">
      <c r="A1193" s="0" t="inlineStr">
        <is>
          <t xml:space="preserve">a1192</t>
        </is>
      </c>
      <c r="B1193" s="0" t="inlineStr">
        <is>
          <t xml:space="preserve">energy</t>
        </is>
      </c>
      <c r="C1193" s="0" t="inlineStr">
        <is>
          <t xml:space="preserve">emea</t>
        </is>
      </c>
      <c r="D1193" s="0" t="inlineStr">
        <is>
          <t xml:space="preserve">smb</t>
        </is>
      </c>
      <c r="E1193" s="4">
        <v>20</v>
      </c>
      <c r="F1193" s="0" t="inlineStr">
        <is>
          <t xml:space="preserve">Harbor Foods AG</t>
        </is>
      </c>
    </row>
    <row r="1194">
      <c r="A1194" s="0" t="inlineStr">
        <is>
          <t xml:space="preserve">a1193</t>
        </is>
      </c>
      <c r="B1194" s="0" t="inlineStr">
        <is>
          <t xml:space="preserve">financial_services</t>
        </is>
      </c>
      <c r="C1194" s="0" t="inlineStr">
        <is>
          <t xml:space="preserve">emea</t>
        </is>
      </c>
      <c r="D1194" s="0" t="inlineStr">
        <is>
          <t xml:space="preserve">smb</t>
        </is>
      </c>
      <c r="E1194" s="4">
        <v>32</v>
      </c>
      <c r="F1194" s="0" t="inlineStr">
        <is>
          <t xml:space="preserve">Meridian Robotics Partners</t>
        </is>
      </c>
    </row>
    <row r="1195">
      <c r="A1195" s="0" t="inlineStr">
        <is>
          <t xml:space="preserve">a1194</t>
        </is>
      </c>
      <c r="B1195" s="0" t="inlineStr">
        <is>
          <t xml:space="preserve">public_sector</t>
        </is>
      </c>
      <c r="C1195" s="0" t="inlineStr">
        <is>
          <t xml:space="preserve">emea</t>
        </is>
      </c>
      <c r="D1195" s="0" t="inlineStr">
        <is>
          <t xml:space="preserve">smb</t>
        </is>
      </c>
      <c r="E1195" s="4">
        <v>161</v>
      </c>
      <c r="F1195" s="0" t="inlineStr">
        <is>
          <t xml:space="preserve">Cobalt Labs Group</t>
        </is>
      </c>
    </row>
    <row r="1196">
      <c r="A1196" s="0" t="inlineStr">
        <is>
          <t xml:space="preserve">a1195</t>
        </is>
      </c>
      <c r="B1196" s="0" t="inlineStr">
        <is>
          <t xml:space="preserve">software</t>
        </is>
      </c>
      <c r="C1196" s="0" t="inlineStr">
        <is>
          <t xml:space="preserve">emea</t>
        </is>
      </c>
      <c r="D1196" s="0" t="inlineStr">
        <is>
          <t xml:space="preserve">smb</t>
        </is>
      </c>
      <c r="E1196" s="4">
        <v>48</v>
      </c>
      <c r="F1196" s="0" t="inlineStr">
        <is>
          <t xml:space="preserve">Tidewater Networks SA</t>
        </is>
      </c>
    </row>
    <row r="1197">
      <c r="A1197" s="0" t="inlineStr">
        <is>
          <t xml:space="preserve">a1196</t>
        </is>
      </c>
      <c r="B1197" s="0" t="inlineStr">
        <is>
          <t xml:space="preserve">software</t>
        </is>
      </c>
      <c r="C1197" s="0" t="inlineStr">
        <is>
          <t xml:space="preserve">apac</t>
        </is>
      </c>
      <c r="D1197" s="0" t="inlineStr">
        <is>
          <t xml:space="preserve">mid_market</t>
        </is>
      </c>
      <c r="E1197" s="4">
        <v>785</v>
      </c>
      <c r="F1197" s="0" t="inlineStr">
        <is>
          <t xml:space="preserve">Horizon Financial Group</t>
        </is>
      </c>
    </row>
    <row r="1198">
      <c r="A1198" s="0" t="inlineStr">
        <is>
          <t xml:space="preserve">a1197</t>
        </is>
      </c>
      <c r="B1198" s="0" t="inlineStr">
        <is>
          <t xml:space="preserve">healthcare</t>
        </is>
      </c>
      <c r="C1198" s="0" t="inlineStr">
        <is>
          <t xml:space="preserve">apac</t>
        </is>
      </c>
      <c r="D1198" s="0" t="inlineStr">
        <is>
          <t xml:space="preserve">enterprise</t>
        </is>
      </c>
      <c r="E1198" s="4">
        <v>3486</v>
      </c>
      <c r="F1198" s="0" t="inlineStr">
        <is>
          <t xml:space="preserve">Atlas Materials</t>
        </is>
      </c>
    </row>
    <row r="1199">
      <c r="A1199" s="0" t="inlineStr">
        <is>
          <t xml:space="preserve">a1198</t>
        </is>
      </c>
      <c r="B1199" s="0" t="inlineStr">
        <is>
          <t xml:space="preserve">retail</t>
        </is>
      </c>
      <c r="C1199" s="0" t="inlineStr">
        <is>
          <t xml:space="preserve">apac</t>
        </is>
      </c>
      <c r="D1199" s="0" t="inlineStr">
        <is>
          <t xml:space="preserve">mid_market</t>
        </is>
      </c>
      <c r="E1199" s="4">
        <v>389</v>
      </c>
      <c r="F1199" s="0" t="inlineStr">
        <is>
          <t xml:space="preserve">Cascade Networks SA</t>
        </is>
      </c>
    </row>
    <row r="1200">
      <c r="A1200" s="0" t="inlineStr">
        <is>
          <t xml:space="preserve">a1199</t>
        </is>
      </c>
      <c r="B1200" s="0" t="inlineStr">
        <is>
          <t xml:space="preserve">retail</t>
        </is>
      </c>
      <c r="C1200" s="0" t="inlineStr">
        <is>
          <t xml:space="preserve">apac</t>
        </is>
      </c>
      <c r="D1200" s="0" t="inlineStr">
        <is>
          <t xml:space="preserve">smb</t>
        </is>
      </c>
      <c r="E1200" s="4">
        <v>81</v>
      </c>
      <c r="F1200" s="0" t="inlineStr">
        <is>
          <t xml:space="preserve">Horizon Analytics</t>
        </is>
      </c>
    </row>
    <row r="1201">
      <c r="A1201" s="0" t="inlineStr">
        <is>
          <t xml:space="preserve">a1200</t>
        </is>
      </c>
      <c r="B1201" s="0" t="inlineStr">
        <is>
          <t xml:space="preserve">software</t>
        </is>
      </c>
      <c r="C1201" s="0" t="inlineStr">
        <is>
          <t xml:space="preserve">apac</t>
        </is>
      </c>
      <c r="D1201" s="0" t="inlineStr">
        <is>
          <t xml:space="preserve">mid_market</t>
        </is>
      </c>
      <c r="E1201" s="4">
        <v>1137</v>
      </c>
      <c r="F1201" s="0" t="inlineStr">
        <is>
          <t xml:space="preserve">Sable Labs Ltd</t>
        </is>
      </c>
    </row>
    <row r="1202">
      <c r="A1202" s="0" t="inlineStr">
        <is>
          <t xml:space="preserve">a1201</t>
        </is>
      </c>
      <c r="B1202" s="0" t="inlineStr">
        <is>
          <t xml:space="preserve">financial_services</t>
        </is>
      </c>
      <c r="C1202" s="0" t="inlineStr">
        <is>
          <t xml:space="preserve">apac</t>
        </is>
      </c>
      <c r="D1202" s="0" t="inlineStr">
        <is>
          <t xml:space="preserve">enterprise</t>
        </is>
      </c>
      <c r="E1202" s="4">
        <v>2980</v>
      </c>
      <c r="F1202" s="0" t="inlineStr">
        <is>
          <t xml:space="preserve">Redwood Materials Group</t>
        </is>
      </c>
    </row>
    <row r="1203">
      <c r="A1203" s="0" t="inlineStr">
        <is>
          <t xml:space="preserve">a1202</t>
        </is>
      </c>
      <c r="B1203" s="0" t="inlineStr">
        <is>
          <t xml:space="preserve">financial_services</t>
        </is>
      </c>
      <c r="C1203" s="0" t="inlineStr">
        <is>
          <t xml:space="preserve">apac</t>
        </is>
      </c>
      <c r="D1203" s="0" t="inlineStr">
        <is>
          <t xml:space="preserve">enterprise</t>
        </is>
      </c>
      <c r="E1203" s="4">
        <v>4673</v>
      </c>
      <c r="F1203" s="0" t="inlineStr">
        <is>
          <t xml:space="preserve">Orchard Retail Inc</t>
        </is>
      </c>
    </row>
    <row r="1204">
      <c r="A1204" s="0" t="inlineStr">
        <is>
          <t xml:space="preserve">a1203</t>
        </is>
      </c>
      <c r="B1204" s="0" t="inlineStr">
        <is>
          <t xml:space="preserve">healthcare</t>
        </is>
      </c>
      <c r="C1204" s="0" t="inlineStr">
        <is>
          <t xml:space="preserve">apac</t>
        </is>
      </c>
      <c r="D1204" s="0" t="inlineStr">
        <is>
          <t xml:space="preserve">mid_market</t>
        </is>
      </c>
      <c r="E1204" s="4">
        <v>421</v>
      </c>
      <c r="F1204" s="0" t="inlineStr">
        <is>
          <t xml:space="preserve">Atlas Systems</t>
        </is>
      </c>
    </row>
    <row r="1205">
      <c r="A1205" s="0" t="inlineStr">
        <is>
          <t xml:space="preserve">a1204</t>
        </is>
      </c>
      <c r="B1205" s="0" t="inlineStr">
        <is>
          <t xml:space="preserve">manufacturing</t>
        </is>
      </c>
      <c r="C1205" s="0" t="inlineStr">
        <is>
          <t xml:space="preserve">apac</t>
        </is>
      </c>
      <c r="D1205" s="0" t="inlineStr">
        <is>
          <t xml:space="preserve">smb</t>
        </is>
      </c>
      <c r="E1205" s="4">
        <v>21</v>
      </c>
      <c r="F1205" s="0" t="inlineStr">
        <is>
          <t xml:space="preserve">Beacon Financial Holdings</t>
        </is>
      </c>
    </row>
    <row r="1206">
      <c r="A1206" s="0" t="inlineStr">
        <is>
          <t xml:space="preserve">a1205</t>
        </is>
      </c>
      <c r="B1206" s="0" t="inlineStr">
        <is>
          <t xml:space="preserve">healthcare</t>
        </is>
      </c>
      <c r="C1206" s="0" t="inlineStr">
        <is>
          <t xml:space="preserve">apac</t>
        </is>
      </c>
      <c r="D1206" s="0" t="inlineStr">
        <is>
          <t xml:space="preserve">smb</t>
        </is>
      </c>
      <c r="E1206" s="4">
        <v>28</v>
      </c>
      <c r="F1206" s="0" t="inlineStr">
        <is>
          <t xml:space="preserve">Redwood Manufacturing Holdings</t>
        </is>
      </c>
    </row>
    <row r="1207">
      <c r="A1207" s="0" t="inlineStr">
        <is>
          <t xml:space="preserve">a1206</t>
        </is>
      </c>
      <c r="B1207" s="0" t="inlineStr">
        <is>
          <t xml:space="preserve">energy</t>
        </is>
      </c>
      <c r="C1207" s="0" t="inlineStr">
        <is>
          <t xml:space="preserve">apac</t>
        </is>
      </c>
      <c r="D1207" s="0" t="inlineStr">
        <is>
          <t xml:space="preserve">enterprise</t>
        </is>
      </c>
      <c r="E1207" s="4">
        <v>3102</v>
      </c>
      <c r="F1207" s="0" t="inlineStr">
        <is>
          <t xml:space="preserve">Summit Learning Inc</t>
        </is>
      </c>
    </row>
    <row r="1208">
      <c r="A1208" s="0" t="inlineStr">
        <is>
          <t xml:space="preserve">a1207</t>
        </is>
      </c>
      <c r="B1208" s="0" t="inlineStr">
        <is>
          <t xml:space="preserve">manufacturing</t>
        </is>
      </c>
      <c r="C1208" s="0" t="inlineStr">
        <is>
          <t xml:space="preserve">apac</t>
        </is>
      </c>
      <c r="D1208" s="0" t="inlineStr">
        <is>
          <t xml:space="preserve">smb</t>
        </is>
      </c>
      <c r="E1208" s="4">
        <v>23</v>
      </c>
      <c r="F1208" s="0" t="inlineStr">
        <is>
          <t xml:space="preserve">Nimbus Systems Group</t>
        </is>
      </c>
    </row>
    <row r="1209">
      <c r="A1209" s="0" t="inlineStr">
        <is>
          <t xml:space="preserve">a1208</t>
        </is>
      </c>
      <c r="B1209" s="0" t="inlineStr">
        <is>
          <t xml:space="preserve">education</t>
        </is>
      </c>
      <c r="C1209" s="0" t="inlineStr">
        <is>
          <t xml:space="preserve">apac</t>
        </is>
      </c>
      <c r="D1209" s="0" t="inlineStr">
        <is>
          <t xml:space="preserve">enterprise</t>
        </is>
      </c>
      <c r="E1209" s="4">
        <v>4282</v>
      </c>
      <c r="F1209" s="0" t="inlineStr">
        <is>
          <t xml:space="preserve">Evergreen Mobility Ltd</t>
        </is>
      </c>
    </row>
    <row r="1210">
      <c r="A1210" s="0" t="inlineStr">
        <is>
          <t xml:space="preserve">a1209</t>
        </is>
      </c>
      <c r="B1210" s="0" t="inlineStr">
        <is>
          <t xml:space="preserve">financial_services</t>
        </is>
      </c>
      <c r="C1210" s="0" t="inlineStr">
        <is>
          <t xml:space="preserve">apac</t>
        </is>
      </c>
      <c r="D1210" s="0" t="inlineStr">
        <is>
          <t xml:space="preserve">enterprise</t>
        </is>
      </c>
      <c r="E1210" s="4">
        <v>52825</v>
      </c>
      <c r="F1210" s="0" t="inlineStr">
        <is>
          <t xml:space="preserve">Aurora Logistics Inc</t>
        </is>
      </c>
    </row>
    <row r="1211">
      <c r="A1211" s="0" t="inlineStr">
        <is>
          <t xml:space="preserve">a1210</t>
        </is>
      </c>
      <c r="B1211" s="0" t="inlineStr">
        <is>
          <t xml:space="preserve">financial_services</t>
        </is>
      </c>
      <c r="C1211" s="0" t="inlineStr">
        <is>
          <t xml:space="preserve">amer_east</t>
        </is>
      </c>
      <c r="D1211" s="0" t="inlineStr">
        <is>
          <t xml:space="preserve">enterprise</t>
        </is>
      </c>
      <c r="E1211" s="4">
        <v>3469</v>
      </c>
      <c r="F1211" s="0" t="inlineStr">
        <is>
          <t xml:space="preserve">Ironbridge Materials Inc</t>
        </is>
      </c>
    </row>
    <row r="1212">
      <c r="A1212" s="0" t="inlineStr">
        <is>
          <t xml:space="preserve">a1211</t>
        </is>
      </c>
      <c r="B1212" s="0" t="inlineStr">
        <is>
          <t xml:space="preserve">manufacturing</t>
        </is>
      </c>
      <c r="C1212" s="0" t="inlineStr">
        <is>
          <t xml:space="preserve">amer_east</t>
        </is>
      </c>
      <c r="D1212" s="0" t="inlineStr">
        <is>
          <t xml:space="preserve">mid_market</t>
        </is>
      </c>
      <c r="E1212" s="4">
        <v>453</v>
      </c>
      <c r="F1212" s="0" t="inlineStr">
        <is>
          <t xml:space="preserve">Cascade Systems SA</t>
        </is>
      </c>
    </row>
    <row r="1213">
      <c r="A1213" s="0" t="inlineStr">
        <is>
          <t xml:space="preserve">a1212</t>
        </is>
      </c>
      <c r="B1213" s="0" t="inlineStr">
        <is>
          <t xml:space="preserve">logistics</t>
        </is>
      </c>
      <c r="C1213" s="0" t="inlineStr">
        <is>
          <t xml:space="preserve">amer_east</t>
        </is>
      </c>
      <c r="D1213" s="0" t="inlineStr">
        <is>
          <t xml:space="preserve">enterprise</t>
        </is>
      </c>
      <c r="E1213" s="4">
        <v>38021</v>
      </c>
      <c r="F1213" s="0" t="inlineStr">
        <is>
          <t xml:space="preserve">Blue Harbor Retail Group</t>
        </is>
      </c>
    </row>
    <row r="1214">
      <c r="A1214" s="0" t="inlineStr">
        <is>
          <t xml:space="preserve">a1213</t>
        </is>
      </c>
      <c r="B1214" s="0" t="inlineStr">
        <is>
          <t xml:space="preserve">healthcare</t>
        </is>
      </c>
      <c r="C1214" s="0" t="inlineStr">
        <is>
          <t xml:space="preserve">amer_east</t>
        </is>
      </c>
      <c r="D1214" s="0" t="inlineStr">
        <is>
          <t xml:space="preserve">mid_market</t>
        </is>
      </c>
      <c r="E1214" s="4">
        <v>410</v>
      </c>
      <c r="F1214" s="0" t="inlineStr">
        <is>
          <t xml:space="preserve">Cobalt Labs</t>
        </is>
      </c>
    </row>
    <row r="1215">
      <c r="A1215" s="0" t="inlineStr">
        <is>
          <t xml:space="preserve">a1214</t>
        </is>
      </c>
      <c r="B1215" s="0" t="inlineStr">
        <is>
          <t xml:space="preserve">manufacturing</t>
        </is>
      </c>
      <c r="C1215" s="0" t="inlineStr">
        <is>
          <t xml:space="preserve">amer_east</t>
        </is>
      </c>
      <c r="D1215" s="0" t="inlineStr">
        <is>
          <t xml:space="preserve">smb</t>
        </is>
      </c>
      <c r="E1215" s="4">
        <v>148</v>
      </c>
      <c r="F1215" s="0" t="inlineStr">
        <is>
          <t xml:space="preserve">Cobalt Learning SA</t>
        </is>
      </c>
    </row>
    <row r="1216">
      <c r="A1216" s="0" t="inlineStr">
        <is>
          <t xml:space="preserve">a1215</t>
        </is>
      </c>
      <c r="B1216" s="0" t="inlineStr">
        <is>
          <t xml:space="preserve">manufacturing</t>
        </is>
      </c>
      <c r="C1216" s="0" t="inlineStr">
        <is>
          <t xml:space="preserve">amer_east</t>
        </is>
      </c>
      <c r="D1216" s="0" t="inlineStr">
        <is>
          <t xml:space="preserve">enterprise</t>
        </is>
      </c>
      <c r="E1216" s="4">
        <v>54927</v>
      </c>
      <c r="F1216" s="0" t="inlineStr">
        <is>
          <t xml:space="preserve">Sable Energy AG</t>
        </is>
      </c>
    </row>
    <row r="1217">
      <c r="A1217" s="0" t="inlineStr">
        <is>
          <t xml:space="preserve">a1216</t>
        </is>
      </c>
      <c r="B1217" s="0" t="inlineStr">
        <is>
          <t xml:space="preserve">education</t>
        </is>
      </c>
      <c r="C1217" s="0" t="inlineStr">
        <is>
          <t xml:space="preserve">amer_east</t>
        </is>
      </c>
      <c r="D1217" s="0" t="inlineStr">
        <is>
          <t xml:space="preserve">mid_market</t>
        </is>
      </c>
      <c r="E1217" s="4">
        <v>983</v>
      </c>
      <c r="F1217" s="0" t="inlineStr">
        <is>
          <t xml:space="preserve">Silverline Retail</t>
        </is>
      </c>
    </row>
    <row r="1218">
      <c r="A1218" s="0" t="inlineStr">
        <is>
          <t xml:space="preserve">a1217</t>
        </is>
      </c>
      <c r="B1218" s="0" t="inlineStr">
        <is>
          <t xml:space="preserve">public_sector</t>
        </is>
      </c>
      <c r="C1218" s="0" t="inlineStr">
        <is>
          <t xml:space="preserve">amer_east</t>
        </is>
      </c>
      <c r="D1218" s="0" t="inlineStr">
        <is>
          <t xml:space="preserve">enterprise</t>
        </is>
      </c>
      <c r="E1218" s="4">
        <v>2588</v>
      </c>
      <c r="F1218" s="0" t="inlineStr">
        <is>
          <t xml:space="preserve">Falcon Energy Co</t>
        </is>
      </c>
    </row>
    <row r="1219">
      <c r="A1219" s="0" t="inlineStr">
        <is>
          <t xml:space="preserve">a1218</t>
        </is>
      </c>
      <c r="B1219" s="0" t="inlineStr">
        <is>
          <t xml:space="preserve">retail</t>
        </is>
      </c>
      <c r="C1219" s="0" t="inlineStr">
        <is>
          <t xml:space="preserve">amer_east</t>
        </is>
      </c>
      <c r="D1219" s="0" t="inlineStr">
        <is>
          <t xml:space="preserve">enterprise</t>
        </is>
      </c>
      <c r="E1219" s="4">
        <v>5160</v>
      </c>
      <c r="F1219" s="0" t="inlineStr">
        <is>
          <t xml:space="preserve">Pioneer Labs Ltd</t>
        </is>
      </c>
    </row>
    <row r="1220">
      <c r="A1220" s="0" t="inlineStr">
        <is>
          <t xml:space="preserve">a1219</t>
        </is>
      </c>
      <c r="B1220" s="0" t="inlineStr">
        <is>
          <t xml:space="preserve">manufacturing</t>
        </is>
      </c>
      <c r="C1220" s="0" t="inlineStr">
        <is>
          <t xml:space="preserve">amer_east</t>
        </is>
      </c>
      <c r="D1220" s="0" t="inlineStr">
        <is>
          <t xml:space="preserve">smb</t>
        </is>
      </c>
      <c r="E1220" s="4">
        <v>96</v>
      </c>
      <c r="F1220" s="0" t="inlineStr">
        <is>
          <t xml:space="preserve">Orchard Logistics Holdings</t>
        </is>
      </c>
    </row>
    <row r="1221">
      <c r="A1221" s="0" t="inlineStr">
        <is>
          <t xml:space="preserve">a1220</t>
        </is>
      </c>
      <c r="B1221" s="0" t="inlineStr">
        <is>
          <t xml:space="preserve">manufacturing</t>
        </is>
      </c>
      <c r="C1221" s="0" t="inlineStr">
        <is>
          <t xml:space="preserve">amer_east</t>
        </is>
      </c>
      <c r="D1221" s="0" t="inlineStr">
        <is>
          <t xml:space="preserve">enterprise</t>
        </is>
      </c>
      <c r="E1221" s="4">
        <v>9289</v>
      </c>
      <c r="F1221" s="0" t="inlineStr">
        <is>
          <t xml:space="preserve">Granite Robotics</t>
        </is>
      </c>
    </row>
    <row r="1222">
      <c r="A1222" s="0" t="inlineStr">
        <is>
          <t xml:space="preserve">a1221</t>
        </is>
      </c>
      <c r="B1222" s="0" t="inlineStr">
        <is>
          <t xml:space="preserve">healthcare</t>
        </is>
      </c>
      <c r="C1222" s="0" t="inlineStr">
        <is>
          <t xml:space="preserve">amer_east</t>
        </is>
      </c>
      <c r="D1222" s="0" t="inlineStr">
        <is>
          <t xml:space="preserve">mid_market</t>
        </is>
      </c>
      <c r="E1222" s="4">
        <v>523</v>
      </c>
      <c r="F1222" s="0" t="inlineStr">
        <is>
          <t xml:space="preserve">Atlas Media AG</t>
        </is>
      </c>
    </row>
    <row r="1223">
      <c r="A1223" s="0" t="inlineStr">
        <is>
          <t xml:space="preserve">a1222</t>
        </is>
      </c>
      <c r="B1223" s="0" t="inlineStr">
        <is>
          <t xml:space="preserve">healthcare</t>
        </is>
      </c>
      <c r="C1223" s="0" t="inlineStr">
        <is>
          <t xml:space="preserve">amer_east</t>
        </is>
      </c>
      <c r="D1223" s="0" t="inlineStr">
        <is>
          <t xml:space="preserve">smb</t>
        </is>
      </c>
      <c r="E1223" s="4">
        <v>156</v>
      </c>
      <c r="F1223" s="0" t="inlineStr">
        <is>
          <t xml:space="preserve">Northwind Materials Group</t>
        </is>
      </c>
    </row>
    <row r="1224">
      <c r="A1224" s="0" t="inlineStr">
        <is>
          <t xml:space="preserve">a1223</t>
        </is>
      </c>
      <c r="B1224" s="0" t="inlineStr">
        <is>
          <t xml:space="preserve">financial_services</t>
        </is>
      </c>
      <c r="C1224" s="0" t="inlineStr">
        <is>
          <t xml:space="preserve">amer_east</t>
        </is>
      </c>
      <c r="D1224" s="0" t="inlineStr">
        <is>
          <t xml:space="preserve">mid_market</t>
        </is>
      </c>
      <c r="E1224" s="4">
        <v>334</v>
      </c>
      <c r="F1224" s="0" t="inlineStr">
        <is>
          <t xml:space="preserve">Quantum Systems Ltd</t>
        </is>
      </c>
    </row>
    <row r="1225">
      <c r="A1225" s="0" t="inlineStr">
        <is>
          <t xml:space="preserve">a1224</t>
        </is>
      </c>
      <c r="B1225" s="0" t="inlineStr">
        <is>
          <t xml:space="preserve">software</t>
        </is>
      </c>
      <c r="C1225" s="0" t="inlineStr">
        <is>
          <t xml:space="preserve">amer_east</t>
        </is>
      </c>
      <c r="D1225" s="0" t="inlineStr">
        <is>
          <t xml:space="preserve">smb</t>
        </is>
      </c>
      <c r="E1225" s="4">
        <v>46</v>
      </c>
      <c r="F1225" s="0" t="inlineStr">
        <is>
          <t xml:space="preserve">Atlas Insurance Group</t>
        </is>
      </c>
    </row>
    <row r="1226">
      <c r="A1226" s="0" t="inlineStr">
        <is>
          <t xml:space="preserve">a1225</t>
        </is>
      </c>
      <c r="B1226" s="0" t="inlineStr">
        <is>
          <t xml:space="preserve">software</t>
        </is>
      </c>
      <c r="C1226" s="0" t="inlineStr">
        <is>
          <t xml:space="preserve">amer_east</t>
        </is>
      </c>
      <c r="D1226" s="0" t="inlineStr">
        <is>
          <t xml:space="preserve">mid_market</t>
        </is>
      </c>
      <c r="E1226" s="4">
        <v>258</v>
      </c>
      <c r="F1226" s="0" t="inlineStr">
        <is>
          <t xml:space="preserve">Blue Harbor Learning Holdings</t>
        </is>
      </c>
    </row>
    <row r="1227">
      <c r="A1227" s="0" t="inlineStr">
        <is>
          <t xml:space="preserve">a1226</t>
        </is>
      </c>
      <c r="B1227" s="0" t="inlineStr">
        <is>
          <t xml:space="preserve">manufacturing</t>
        </is>
      </c>
      <c r="C1227" s="0" t="inlineStr">
        <is>
          <t xml:space="preserve">amer_east</t>
        </is>
      </c>
      <c r="D1227" s="0" t="inlineStr">
        <is>
          <t xml:space="preserve">smb</t>
        </is>
      </c>
      <c r="E1227" s="4">
        <v>72</v>
      </c>
      <c r="F1227" s="0" t="inlineStr">
        <is>
          <t xml:space="preserve">Keystone Logistics Ltd</t>
        </is>
      </c>
    </row>
    <row r="1228">
      <c r="A1228" s="0" t="inlineStr">
        <is>
          <t xml:space="preserve">a1227</t>
        </is>
      </c>
      <c r="B1228" s="0" t="inlineStr">
        <is>
          <t xml:space="preserve">financial_services</t>
        </is>
      </c>
      <c r="C1228" s="0" t="inlineStr">
        <is>
          <t xml:space="preserve">amer_east</t>
        </is>
      </c>
      <c r="D1228" s="0" t="inlineStr">
        <is>
          <t xml:space="preserve">smb</t>
        </is>
      </c>
      <c r="E1228" s="4">
        <v>26</v>
      </c>
      <c r="F1228" s="0" t="inlineStr">
        <is>
          <t xml:space="preserve">Redwood Logistics</t>
        </is>
      </c>
    </row>
    <row r="1229">
      <c r="A1229" s="0" t="inlineStr">
        <is>
          <t xml:space="preserve">a1228</t>
        </is>
      </c>
      <c r="B1229" s="0" t="inlineStr">
        <is>
          <t xml:space="preserve">logistics</t>
        </is>
      </c>
      <c r="C1229" s="0" t="inlineStr">
        <is>
          <t xml:space="preserve">amer_east</t>
        </is>
      </c>
      <c r="D1229" s="0" t="inlineStr">
        <is>
          <t xml:space="preserve">mid_market</t>
        </is>
      </c>
      <c r="E1229" s="4">
        <v>557</v>
      </c>
      <c r="F1229" s="0" t="inlineStr">
        <is>
          <t xml:space="preserve">Summit Robotics Inc</t>
        </is>
      </c>
    </row>
    <row r="1230">
      <c r="A1230" s="0" t="inlineStr">
        <is>
          <t xml:space="preserve">a1229</t>
        </is>
      </c>
      <c r="B1230" s="0" t="inlineStr">
        <is>
          <t xml:space="preserve">retail</t>
        </is>
      </c>
      <c r="C1230" s="0" t="inlineStr">
        <is>
          <t xml:space="preserve">amer_east</t>
        </is>
      </c>
      <c r="D1230" s="0" t="inlineStr">
        <is>
          <t xml:space="preserve">mid_market</t>
        </is>
      </c>
      <c r="E1230" s="4">
        <v>409</v>
      </c>
      <c r="F1230" s="0" t="inlineStr">
        <is>
          <t xml:space="preserve">Meridian Mobility Co</t>
        </is>
      </c>
    </row>
    <row r="1231">
      <c r="A1231" s="0" t="inlineStr">
        <is>
          <t xml:space="preserve">a1230</t>
        </is>
      </c>
      <c r="B1231" s="0" t="inlineStr">
        <is>
          <t xml:space="preserve">software</t>
        </is>
      </c>
      <c r="C1231" s="0" t="inlineStr">
        <is>
          <t xml:space="preserve">amer_east</t>
        </is>
      </c>
      <c r="D1231" s="0" t="inlineStr">
        <is>
          <t xml:space="preserve">smb</t>
        </is>
      </c>
      <c r="E1231" s="4">
        <v>46</v>
      </c>
      <c r="F1231" s="0" t="inlineStr">
        <is>
          <t xml:space="preserve">Lakeside Learning</t>
        </is>
      </c>
    </row>
    <row r="1232">
      <c r="A1232" s="0" t="inlineStr">
        <is>
          <t xml:space="preserve">a1231</t>
        </is>
      </c>
      <c r="B1232" s="0" t="inlineStr">
        <is>
          <t xml:space="preserve">financial_services</t>
        </is>
      </c>
      <c r="C1232" s="0" t="inlineStr">
        <is>
          <t xml:space="preserve">amer_east</t>
        </is>
      </c>
      <c r="D1232" s="0" t="inlineStr">
        <is>
          <t xml:space="preserve">mid_market</t>
        </is>
      </c>
      <c r="E1232" s="4">
        <v>389</v>
      </c>
      <c r="F1232" s="0" t="inlineStr">
        <is>
          <t xml:space="preserve">Northwind Energy</t>
        </is>
      </c>
    </row>
    <row r="1233">
      <c r="A1233" s="0" t="inlineStr">
        <is>
          <t xml:space="preserve">a1232</t>
        </is>
      </c>
      <c r="B1233" s="0" t="inlineStr">
        <is>
          <t xml:space="preserve">healthcare</t>
        </is>
      </c>
      <c r="C1233" s="0" t="inlineStr">
        <is>
          <t xml:space="preserve">amer_east</t>
        </is>
      </c>
      <c r="D1233" s="0" t="inlineStr">
        <is>
          <t xml:space="preserve">smb</t>
        </is>
      </c>
      <c r="E1233" s="4">
        <v>20</v>
      </c>
      <c r="F1233" s="0" t="inlineStr">
        <is>
          <t xml:space="preserve">Quantum Financial Inc</t>
        </is>
      </c>
    </row>
    <row r="1234">
      <c r="A1234" s="0" t="inlineStr">
        <is>
          <t xml:space="preserve">a1233</t>
        </is>
      </c>
      <c r="B1234" s="0" t="inlineStr">
        <is>
          <t xml:space="preserve">software</t>
        </is>
      </c>
      <c r="C1234" s="0" t="inlineStr">
        <is>
          <t xml:space="preserve">amer_east</t>
        </is>
      </c>
      <c r="D1234" s="0" t="inlineStr">
        <is>
          <t xml:space="preserve">smb</t>
        </is>
      </c>
      <c r="E1234" s="4">
        <v>29</v>
      </c>
      <c r="F1234" s="0" t="inlineStr">
        <is>
          <t xml:space="preserve">Beacon Biotech Co</t>
        </is>
      </c>
    </row>
    <row r="1235">
      <c r="A1235" s="0" t="inlineStr">
        <is>
          <t xml:space="preserve">a1234</t>
        </is>
      </c>
      <c r="B1235" s="0" t="inlineStr">
        <is>
          <t xml:space="preserve">manufacturing</t>
        </is>
      </c>
      <c r="C1235" s="0" t="inlineStr">
        <is>
          <t xml:space="preserve">amer_east</t>
        </is>
      </c>
      <c r="D1235" s="0" t="inlineStr">
        <is>
          <t xml:space="preserve">mid_market</t>
        </is>
      </c>
      <c r="E1235" s="4">
        <v>298</v>
      </c>
      <c r="F1235" s="0" t="inlineStr">
        <is>
          <t xml:space="preserve">Harbor Networks Co</t>
        </is>
      </c>
    </row>
    <row r="1236">
      <c r="A1236" s="0" t="inlineStr">
        <is>
          <t xml:space="preserve">a1235</t>
        </is>
      </c>
      <c r="B1236" s="0" t="inlineStr">
        <is>
          <t xml:space="preserve">software</t>
        </is>
      </c>
      <c r="C1236" s="0" t="inlineStr">
        <is>
          <t xml:space="preserve">amer_west</t>
        </is>
      </c>
      <c r="D1236" s="0" t="inlineStr">
        <is>
          <t xml:space="preserve">mid_market</t>
        </is>
      </c>
      <c r="E1236" s="4">
        <v>319</v>
      </c>
      <c r="F1236" s="0" t="inlineStr">
        <is>
          <t xml:space="preserve">Juniper Capital</t>
        </is>
      </c>
    </row>
    <row r="1237">
      <c r="A1237" s="0" t="inlineStr">
        <is>
          <t xml:space="preserve">a1236</t>
        </is>
      </c>
      <c r="B1237" s="0" t="inlineStr">
        <is>
          <t xml:space="preserve">retail</t>
        </is>
      </c>
      <c r="C1237" s="0" t="inlineStr">
        <is>
          <t xml:space="preserve">amer_west</t>
        </is>
      </c>
      <c r="D1237" s="0" t="inlineStr">
        <is>
          <t xml:space="preserve">smb</t>
        </is>
      </c>
      <c r="E1237" s="4">
        <v>43</v>
      </c>
      <c r="F1237" s="0" t="inlineStr">
        <is>
          <t xml:space="preserve">Nimbus Software</t>
        </is>
      </c>
    </row>
    <row r="1238">
      <c r="A1238" s="0" t="inlineStr">
        <is>
          <t xml:space="preserve">a1237</t>
        </is>
      </c>
      <c r="B1238" s="0" t="inlineStr">
        <is>
          <t xml:space="preserve">financial_services</t>
        </is>
      </c>
      <c r="C1238" s="0" t="inlineStr">
        <is>
          <t xml:space="preserve">amer_west</t>
        </is>
      </c>
      <c r="D1238" s="0" t="inlineStr">
        <is>
          <t xml:space="preserve">mid_market</t>
        </is>
      </c>
      <c r="E1238" s="4">
        <v>549</v>
      </c>
      <c r="F1238" s="0" t="inlineStr">
        <is>
          <t xml:space="preserve">Copper Networks Holdings</t>
        </is>
      </c>
    </row>
    <row r="1239">
      <c r="A1239" s="0" t="inlineStr">
        <is>
          <t xml:space="preserve">a1238</t>
        </is>
      </c>
      <c r="B1239" s="0" t="inlineStr">
        <is>
          <t xml:space="preserve">financial_services</t>
        </is>
      </c>
      <c r="C1239" s="0" t="inlineStr">
        <is>
          <t xml:space="preserve">amer_west</t>
        </is>
      </c>
      <c r="D1239" s="0" t="inlineStr">
        <is>
          <t xml:space="preserve">enterprise</t>
        </is>
      </c>
      <c r="E1239" s="4">
        <v>4593</v>
      </c>
      <c r="F1239" s="0" t="inlineStr">
        <is>
          <t xml:space="preserve">Ironbridge Manufacturing AG</t>
        </is>
      </c>
    </row>
    <row r="1240">
      <c r="A1240" s="0" t="inlineStr">
        <is>
          <t xml:space="preserve">a1239</t>
        </is>
      </c>
      <c r="B1240" s="0" t="inlineStr">
        <is>
          <t xml:space="preserve">logistics</t>
        </is>
      </c>
      <c r="C1240" s="0" t="inlineStr">
        <is>
          <t xml:space="preserve">amer_west</t>
        </is>
      </c>
      <c r="D1240" s="0" t="inlineStr">
        <is>
          <t xml:space="preserve">mid_market</t>
        </is>
      </c>
      <c r="E1240" s="4">
        <v>353</v>
      </c>
      <c r="F1240" s="0" t="inlineStr">
        <is>
          <t xml:space="preserve">Silverline Networks AG</t>
        </is>
      </c>
    </row>
    <row r="1241">
      <c r="A1241" s="0" t="inlineStr">
        <is>
          <t xml:space="preserve">a1240</t>
        </is>
      </c>
      <c r="B1241" s="0" t="inlineStr">
        <is>
          <t xml:space="preserve">logistics</t>
        </is>
      </c>
      <c r="C1241" s="0" t="inlineStr">
        <is>
          <t xml:space="preserve">amer_west</t>
        </is>
      </c>
      <c r="D1241" s="0" t="inlineStr">
        <is>
          <t xml:space="preserve">smb</t>
        </is>
      </c>
      <c r="E1241" s="4">
        <v>23</v>
      </c>
      <c r="F1241" s="0" t="inlineStr">
        <is>
          <t xml:space="preserve">Northwind Insurance Holdings</t>
        </is>
      </c>
    </row>
    <row r="1242">
      <c r="A1242" s="0" t="inlineStr">
        <is>
          <t xml:space="preserve">a1241</t>
        </is>
      </c>
      <c r="B1242" s="0" t="inlineStr">
        <is>
          <t xml:space="preserve">software</t>
        </is>
      </c>
      <c r="C1242" s="0" t="inlineStr">
        <is>
          <t xml:space="preserve">amer_west</t>
        </is>
      </c>
      <c r="D1242" s="0" t="inlineStr">
        <is>
          <t xml:space="preserve">smb</t>
        </is>
      </c>
      <c r="E1242" s="4">
        <v>39</v>
      </c>
      <c r="F1242" s="0" t="inlineStr">
        <is>
          <t xml:space="preserve">Summit Analytics Co</t>
        </is>
      </c>
    </row>
    <row r="1243">
      <c r="A1243" s="0" t="inlineStr">
        <is>
          <t xml:space="preserve">a1242</t>
        </is>
      </c>
      <c r="B1243" s="0" t="inlineStr">
        <is>
          <t xml:space="preserve">financial_services</t>
        </is>
      </c>
      <c r="C1243" s="0" t="inlineStr">
        <is>
          <t xml:space="preserve">amer_west</t>
        </is>
      </c>
      <c r="D1243" s="0" t="inlineStr">
        <is>
          <t xml:space="preserve">mid_market</t>
        </is>
      </c>
      <c r="E1243" s="4">
        <v>1114</v>
      </c>
      <c r="F1243" s="0" t="inlineStr">
        <is>
          <t xml:space="preserve">Aurora Energy Ltd</t>
        </is>
      </c>
    </row>
    <row r="1244">
      <c r="A1244" s="0" t="inlineStr">
        <is>
          <t xml:space="preserve">a1243</t>
        </is>
      </c>
      <c r="B1244" s="0" t="inlineStr">
        <is>
          <t xml:space="preserve">software</t>
        </is>
      </c>
      <c r="C1244" s="0" t="inlineStr">
        <is>
          <t xml:space="preserve">amer_west</t>
        </is>
      </c>
      <c r="D1244" s="0" t="inlineStr">
        <is>
          <t xml:space="preserve">smb</t>
        </is>
      </c>
      <c r="E1244" s="4">
        <v>44</v>
      </c>
      <c r="F1244" s="0" t="inlineStr">
        <is>
          <t xml:space="preserve">Granite Analytics Inc</t>
        </is>
      </c>
    </row>
    <row r="1245">
      <c r="A1245" s="0" t="inlineStr">
        <is>
          <t xml:space="preserve">a1244</t>
        </is>
      </c>
      <c r="B1245" s="0" t="inlineStr">
        <is>
          <t xml:space="preserve">healthcare</t>
        </is>
      </c>
      <c r="C1245" s="0" t="inlineStr">
        <is>
          <t xml:space="preserve">amer_west</t>
        </is>
      </c>
      <c r="D1245" s="0" t="inlineStr">
        <is>
          <t xml:space="preserve">mid_market</t>
        </is>
      </c>
      <c r="E1245" s="4">
        <v>445</v>
      </c>
      <c r="F1245" s="0" t="inlineStr">
        <is>
          <t xml:space="preserve">Redwood Mobility Partners</t>
        </is>
      </c>
    </row>
    <row r="1246">
      <c r="A1246" s="0" t="inlineStr">
        <is>
          <t xml:space="preserve">a1245</t>
        </is>
      </c>
      <c r="B1246" s="0" t="inlineStr">
        <is>
          <t xml:space="preserve">software</t>
        </is>
      </c>
      <c r="C1246" s="0" t="inlineStr">
        <is>
          <t xml:space="preserve">amer_west</t>
        </is>
      </c>
      <c r="D1246" s="0" t="inlineStr">
        <is>
          <t xml:space="preserve">smb</t>
        </is>
      </c>
      <c r="E1246" s="4">
        <v>25</v>
      </c>
      <c r="F1246" s="0" t="inlineStr">
        <is>
          <t xml:space="preserve">Pioneer Systems Co</t>
        </is>
      </c>
    </row>
    <row r="1247">
      <c r="A1247" s="0" t="inlineStr">
        <is>
          <t xml:space="preserve">a1246</t>
        </is>
      </c>
      <c r="B1247" s="0" t="inlineStr">
        <is>
          <t xml:space="preserve">retail</t>
        </is>
      </c>
      <c r="C1247" s="0" t="inlineStr">
        <is>
          <t xml:space="preserve">amer_west</t>
        </is>
      </c>
      <c r="D1247" s="0" t="inlineStr">
        <is>
          <t xml:space="preserve">mid_market</t>
        </is>
      </c>
      <c r="E1247" s="4">
        <v>255</v>
      </c>
      <c r="F1247" s="0" t="inlineStr">
        <is>
          <t xml:space="preserve">Granite Labs</t>
        </is>
      </c>
    </row>
    <row r="1248">
      <c r="A1248" s="0" t="inlineStr">
        <is>
          <t xml:space="preserve">a1247</t>
        </is>
      </c>
      <c r="B1248" s="0" t="inlineStr">
        <is>
          <t xml:space="preserve">financial_services</t>
        </is>
      </c>
      <c r="C1248" s="0" t="inlineStr">
        <is>
          <t xml:space="preserve">emea</t>
        </is>
      </c>
      <c r="D1248" s="0" t="inlineStr">
        <is>
          <t xml:space="preserve">enterprise</t>
        </is>
      </c>
      <c r="E1248" s="4">
        <v>13802</v>
      </c>
      <c r="F1248" s="0" t="inlineStr">
        <is>
          <t xml:space="preserve">Northwind Media SA</t>
        </is>
      </c>
    </row>
    <row r="1249">
      <c r="A1249" s="0" t="inlineStr">
        <is>
          <t xml:space="preserve">a1248</t>
        </is>
      </c>
      <c r="B1249" s="0" t="inlineStr">
        <is>
          <t xml:space="preserve">public_sector</t>
        </is>
      </c>
      <c r="C1249" s="0" t="inlineStr">
        <is>
          <t xml:space="preserve">emea</t>
        </is>
      </c>
      <c r="D1249" s="0" t="inlineStr">
        <is>
          <t xml:space="preserve">smb</t>
        </is>
      </c>
      <c r="E1249" s="4">
        <v>51</v>
      </c>
      <c r="F1249" s="0" t="inlineStr">
        <is>
          <t xml:space="preserve">Blue Harbor Labs SA</t>
        </is>
      </c>
    </row>
    <row r="1250">
      <c r="A1250" s="0" t="inlineStr">
        <is>
          <t xml:space="preserve">a1249</t>
        </is>
      </c>
      <c r="B1250" s="0" t="inlineStr">
        <is>
          <t xml:space="preserve">financial_services</t>
        </is>
      </c>
      <c r="C1250" s="0" t="inlineStr">
        <is>
          <t xml:space="preserve">emea</t>
        </is>
      </c>
      <c r="D1250" s="0" t="inlineStr">
        <is>
          <t xml:space="preserve">mid_market</t>
        </is>
      </c>
      <c r="E1250" s="4">
        <v>644</v>
      </c>
      <c r="F1250" s="0" t="inlineStr">
        <is>
          <t xml:space="preserve">Quantum Retail Ltd</t>
        </is>
      </c>
    </row>
    <row r="1251">
      <c r="A1251" s="0" t="inlineStr">
        <is>
          <t xml:space="preserve">a1250</t>
        </is>
      </c>
      <c r="B1251" s="0" t="inlineStr">
        <is>
          <t xml:space="preserve">energy</t>
        </is>
      </c>
      <c r="C1251" s="0" t="inlineStr">
        <is>
          <t xml:space="preserve">emea</t>
        </is>
      </c>
      <c r="D1251" s="0" t="inlineStr">
        <is>
          <t xml:space="preserve">smb</t>
        </is>
      </c>
      <c r="E1251" s="4">
        <v>43</v>
      </c>
      <c r="F1251" s="0" t="inlineStr">
        <is>
          <t xml:space="preserve">Blue Harbor Mobility AG</t>
        </is>
      </c>
    </row>
    <row r="1252">
      <c r="A1252" s="0" t="inlineStr">
        <is>
          <t xml:space="preserve">a1251</t>
        </is>
      </c>
      <c r="B1252" s="0" t="inlineStr">
        <is>
          <t xml:space="preserve">logistics</t>
        </is>
      </c>
      <c r="C1252" s="0" t="inlineStr">
        <is>
          <t xml:space="preserve">emea</t>
        </is>
      </c>
      <c r="D1252" s="0" t="inlineStr">
        <is>
          <t xml:space="preserve">mid_market</t>
        </is>
      </c>
      <c r="E1252" s="4">
        <v>276</v>
      </c>
      <c r="F1252" s="0" t="inlineStr">
        <is>
          <t xml:space="preserve">Pioneer Foods Inc</t>
        </is>
      </c>
    </row>
    <row r="1253">
      <c r="A1253" s="0" t="inlineStr">
        <is>
          <t xml:space="preserve">a1252</t>
        </is>
      </c>
      <c r="B1253" s="0" t="inlineStr">
        <is>
          <t xml:space="preserve">healthcare</t>
        </is>
      </c>
      <c r="C1253" s="0" t="inlineStr">
        <is>
          <t xml:space="preserve">emea</t>
        </is>
      </c>
      <c r="D1253" s="0" t="inlineStr">
        <is>
          <t xml:space="preserve">mid_market</t>
        </is>
      </c>
      <c r="E1253" s="4">
        <v>289</v>
      </c>
      <c r="F1253" s="0" t="inlineStr">
        <is>
          <t xml:space="preserve">Aurora Retail</t>
        </is>
      </c>
    </row>
    <row r="1254">
      <c r="A1254" s="0" t="inlineStr">
        <is>
          <t xml:space="preserve">a1253</t>
        </is>
      </c>
      <c r="B1254" s="0" t="inlineStr">
        <is>
          <t xml:space="preserve">financial_services</t>
        </is>
      </c>
      <c r="C1254" s="0" t="inlineStr">
        <is>
          <t xml:space="preserve">emea</t>
        </is>
      </c>
      <c r="D1254" s="0" t="inlineStr">
        <is>
          <t xml:space="preserve">smb</t>
        </is>
      </c>
      <c r="E1254" s="4">
        <v>21</v>
      </c>
      <c r="F1254" s="0" t="inlineStr">
        <is>
          <t xml:space="preserve">Keystone Energy AG</t>
        </is>
      </c>
    </row>
    <row r="1255">
      <c r="A1255" s="0" t="inlineStr">
        <is>
          <t xml:space="preserve">a1254</t>
        </is>
      </c>
      <c r="B1255" s="0" t="inlineStr">
        <is>
          <t xml:space="preserve">financial_services</t>
        </is>
      </c>
      <c r="C1255" s="0" t="inlineStr">
        <is>
          <t xml:space="preserve">apac</t>
        </is>
      </c>
      <c r="D1255" s="0" t="inlineStr">
        <is>
          <t xml:space="preserve">smb</t>
        </is>
      </c>
      <c r="E1255" s="4">
        <v>30</v>
      </c>
      <c r="F1255" s="0" t="inlineStr">
        <is>
          <t xml:space="preserve">Falcon Analytics Inc</t>
        </is>
      </c>
    </row>
    <row r="1256">
      <c r="A1256" s="0" t="inlineStr">
        <is>
          <t xml:space="preserve">a1255</t>
        </is>
      </c>
      <c r="B1256" s="0" t="inlineStr">
        <is>
          <t xml:space="preserve">healthcare</t>
        </is>
      </c>
      <c r="C1256" s="0" t="inlineStr">
        <is>
          <t xml:space="preserve">apac</t>
        </is>
      </c>
      <c r="D1256" s="0" t="inlineStr">
        <is>
          <t xml:space="preserve">smb</t>
        </is>
      </c>
      <c r="E1256" s="4">
        <v>20</v>
      </c>
      <c r="F1256" s="0" t="inlineStr">
        <is>
          <t xml:space="preserve">Harbor Materials Holdings</t>
        </is>
      </c>
    </row>
    <row r="1257">
      <c r="A1257" s="0" t="inlineStr">
        <is>
          <t xml:space="preserve">a1256</t>
        </is>
      </c>
      <c r="B1257" s="0" t="inlineStr">
        <is>
          <t xml:space="preserve">financial_services</t>
        </is>
      </c>
      <c r="C1257" s="0" t="inlineStr">
        <is>
          <t xml:space="preserve">apac</t>
        </is>
      </c>
      <c r="D1257" s="0" t="inlineStr">
        <is>
          <t xml:space="preserve">smb</t>
        </is>
      </c>
      <c r="E1257" s="4">
        <v>20</v>
      </c>
      <c r="F1257" s="0" t="inlineStr">
        <is>
          <t xml:space="preserve">Orchard Labs</t>
        </is>
      </c>
    </row>
    <row r="1258">
      <c r="A1258" s="0" t="inlineStr">
        <is>
          <t xml:space="preserve">a1257</t>
        </is>
      </c>
      <c r="B1258" s="0" t="inlineStr">
        <is>
          <t xml:space="preserve">healthcare</t>
        </is>
      </c>
      <c r="C1258" s="0" t="inlineStr">
        <is>
          <t xml:space="preserve">apac</t>
        </is>
      </c>
      <c r="D1258" s="0" t="inlineStr">
        <is>
          <t xml:space="preserve">mid_market</t>
        </is>
      </c>
      <c r="E1258" s="4">
        <v>357</v>
      </c>
      <c r="F1258" s="0" t="inlineStr">
        <is>
          <t xml:space="preserve">Horizon Energy Co</t>
        </is>
      </c>
    </row>
    <row r="1259">
      <c r="A1259" s="0" t="inlineStr">
        <is>
          <t xml:space="preserve">a1258</t>
        </is>
      </c>
      <c r="B1259" s="0" t="inlineStr">
        <is>
          <t xml:space="preserve">retail</t>
        </is>
      </c>
      <c r="C1259" s="0" t="inlineStr">
        <is>
          <t xml:space="preserve">apac</t>
        </is>
      </c>
      <c r="D1259" s="0" t="inlineStr">
        <is>
          <t xml:space="preserve">smb</t>
        </is>
      </c>
      <c r="E1259" s="4">
        <v>101</v>
      </c>
      <c r="F1259" s="0" t="inlineStr">
        <is>
          <t xml:space="preserve">Northwind Learning AG</t>
        </is>
      </c>
    </row>
    <row r="1260">
      <c r="A1260" s="0" t="inlineStr">
        <is>
          <t xml:space="preserve">a1259</t>
        </is>
      </c>
      <c r="B1260" s="0" t="inlineStr">
        <is>
          <t xml:space="preserve">financial_services</t>
        </is>
      </c>
      <c r="C1260" s="0" t="inlineStr">
        <is>
          <t xml:space="preserve">apac</t>
        </is>
      </c>
      <c r="D1260" s="0" t="inlineStr">
        <is>
          <t xml:space="preserve">smb</t>
        </is>
      </c>
      <c r="E1260" s="4">
        <v>64</v>
      </c>
      <c r="F1260" s="0" t="inlineStr">
        <is>
          <t xml:space="preserve">Pioneer Systems SA</t>
        </is>
      </c>
    </row>
    <row r="1261">
      <c r="A1261" s="0" t="inlineStr">
        <is>
          <t xml:space="preserve">a1260</t>
        </is>
      </c>
      <c r="B1261" s="0" t="inlineStr">
        <is>
          <t xml:space="preserve">software</t>
        </is>
      </c>
      <c r="C1261" s="0" t="inlineStr">
        <is>
          <t xml:space="preserve">apac</t>
        </is>
      </c>
      <c r="D1261" s="0" t="inlineStr">
        <is>
          <t xml:space="preserve">enterprise</t>
        </is>
      </c>
      <c r="E1261" s="4">
        <v>4656</v>
      </c>
      <c r="F1261" s="0" t="inlineStr">
        <is>
          <t xml:space="preserve">Atlas Biotech</t>
        </is>
      </c>
    </row>
    <row r="1262">
      <c r="A1262" s="0" t="inlineStr">
        <is>
          <t xml:space="preserve">a1261</t>
        </is>
      </c>
      <c r="B1262" s="0" t="inlineStr">
        <is>
          <t xml:space="preserve">manufacturing</t>
        </is>
      </c>
      <c r="C1262" s="0" t="inlineStr">
        <is>
          <t xml:space="preserve">apac</t>
        </is>
      </c>
      <c r="D1262" s="0" t="inlineStr">
        <is>
          <t xml:space="preserve">mid_market</t>
        </is>
      </c>
      <c r="E1262" s="4">
        <v>254</v>
      </c>
      <c r="F1262" s="0" t="inlineStr">
        <is>
          <t xml:space="preserve">Silverline Logistics AG</t>
        </is>
      </c>
    </row>
    <row r="1263">
      <c r="A1263" s="0" t="inlineStr">
        <is>
          <t xml:space="preserve">a1262</t>
        </is>
      </c>
      <c r="B1263" s="0" t="inlineStr">
        <is>
          <t xml:space="preserve">logistics</t>
        </is>
      </c>
      <c r="C1263" s="0" t="inlineStr">
        <is>
          <t xml:space="preserve">apac</t>
        </is>
      </c>
      <c r="D1263" s="0" t="inlineStr">
        <is>
          <t xml:space="preserve">smb</t>
        </is>
      </c>
      <c r="E1263" s="4">
        <v>42</v>
      </c>
      <c r="F1263" s="0" t="inlineStr">
        <is>
          <t xml:space="preserve">Cascade Learning Co</t>
        </is>
      </c>
    </row>
    <row r="1264">
      <c r="A1264" s="0" t="inlineStr">
        <is>
          <t xml:space="preserve">a1263</t>
        </is>
      </c>
      <c r="B1264" s="0" t="inlineStr">
        <is>
          <t xml:space="preserve">retail</t>
        </is>
      </c>
      <c r="C1264" s="0" t="inlineStr">
        <is>
          <t xml:space="preserve">apac</t>
        </is>
      </c>
      <c r="D1264" s="0" t="inlineStr">
        <is>
          <t xml:space="preserve">mid_market</t>
        </is>
      </c>
      <c r="E1264" s="4">
        <v>437</v>
      </c>
      <c r="F1264" s="0" t="inlineStr">
        <is>
          <t xml:space="preserve">Tidewater Insurance Inc</t>
        </is>
      </c>
    </row>
    <row r="1265">
      <c r="A1265" s="0" t="inlineStr">
        <is>
          <t xml:space="preserve">a1264</t>
        </is>
      </c>
      <c r="B1265" s="0" t="inlineStr">
        <is>
          <t xml:space="preserve">manufacturing</t>
        </is>
      </c>
      <c r="C1265" s="0" t="inlineStr">
        <is>
          <t xml:space="preserve">apac</t>
        </is>
      </c>
      <c r="D1265" s="0" t="inlineStr">
        <is>
          <t xml:space="preserve">smb</t>
        </is>
      </c>
      <c r="E1265" s="4">
        <v>30</v>
      </c>
      <c r="F1265" s="0" t="inlineStr">
        <is>
          <t xml:space="preserve">Harbor Manufacturing Co</t>
        </is>
      </c>
    </row>
    <row r="1266">
      <c r="A1266" s="0" t="inlineStr">
        <is>
          <t xml:space="preserve">a1265</t>
        </is>
      </c>
      <c r="B1266" s="0" t="inlineStr">
        <is>
          <t xml:space="preserve">financial_services</t>
        </is>
      </c>
      <c r="C1266" s="0" t="inlineStr">
        <is>
          <t xml:space="preserve">apac</t>
        </is>
      </c>
      <c r="D1266" s="0" t="inlineStr">
        <is>
          <t xml:space="preserve">enterprise</t>
        </is>
      </c>
      <c r="E1266" s="4">
        <v>3231</v>
      </c>
      <c r="F1266" s="0" t="inlineStr">
        <is>
          <t xml:space="preserve">Copper Retail</t>
        </is>
      </c>
    </row>
    <row r="1267">
      <c r="A1267" s="0" t="inlineStr">
        <is>
          <t xml:space="preserve">a1266</t>
        </is>
      </c>
      <c r="B1267" s="0" t="inlineStr">
        <is>
          <t xml:space="preserve">retail</t>
        </is>
      </c>
      <c r="C1267" s="0" t="inlineStr">
        <is>
          <t xml:space="preserve">apac</t>
        </is>
      </c>
      <c r="D1267" s="0" t="inlineStr">
        <is>
          <t xml:space="preserve">mid_market</t>
        </is>
      </c>
      <c r="E1267" s="4">
        <v>496</v>
      </c>
      <c r="F1267" s="0" t="inlineStr">
        <is>
          <t xml:space="preserve">Blue Harbor Media</t>
        </is>
      </c>
    </row>
    <row r="1268">
      <c r="A1268" s="0" t="inlineStr">
        <is>
          <t xml:space="preserve">a1267</t>
        </is>
      </c>
      <c r="B1268" s="0" t="inlineStr">
        <is>
          <t xml:space="preserve">retail</t>
        </is>
      </c>
      <c r="C1268" s="0" t="inlineStr">
        <is>
          <t xml:space="preserve">apac</t>
        </is>
      </c>
      <c r="D1268" s="0" t="inlineStr">
        <is>
          <t xml:space="preserve">enterprise</t>
        </is>
      </c>
      <c r="E1268" s="4">
        <v>10641</v>
      </c>
      <c r="F1268" s="0" t="inlineStr">
        <is>
          <t xml:space="preserve">Aurora Learning Co</t>
        </is>
      </c>
    </row>
    <row r="1269">
      <c r="A1269" s="0" t="inlineStr">
        <is>
          <t xml:space="preserve">a1268</t>
        </is>
      </c>
      <c r="B1269" s="0" t="inlineStr">
        <is>
          <t xml:space="preserve">logistics</t>
        </is>
      </c>
      <c r="C1269" s="0" t="inlineStr">
        <is>
          <t xml:space="preserve">apac</t>
        </is>
      </c>
      <c r="D1269" s="0" t="inlineStr">
        <is>
          <t xml:space="preserve">smb</t>
        </is>
      </c>
      <c r="E1269" s="4">
        <v>27</v>
      </c>
      <c r="F1269" s="0" t="inlineStr">
        <is>
          <t xml:space="preserve">Orchard Energy Ltd</t>
        </is>
      </c>
    </row>
    <row r="1270">
      <c r="A1270" s="0" t="inlineStr">
        <is>
          <t xml:space="preserve">a1269</t>
        </is>
      </c>
      <c r="B1270" s="0" t="inlineStr">
        <is>
          <t xml:space="preserve">manufacturing</t>
        </is>
      </c>
      <c r="C1270" s="0" t="inlineStr">
        <is>
          <t xml:space="preserve">apac</t>
        </is>
      </c>
      <c r="D1270" s="0" t="inlineStr">
        <is>
          <t xml:space="preserve">smb</t>
        </is>
      </c>
      <c r="E1270" s="4">
        <v>156</v>
      </c>
      <c r="F1270" s="0" t="inlineStr">
        <is>
          <t xml:space="preserve">Meridian Learning</t>
        </is>
      </c>
    </row>
    <row r="1271">
      <c r="A1271" s="0" t="inlineStr">
        <is>
          <t xml:space="preserve">a1270</t>
        </is>
      </c>
      <c r="B1271" s="0" t="inlineStr">
        <is>
          <t xml:space="preserve">healthcare</t>
        </is>
      </c>
      <c r="C1271" s="0" t="inlineStr">
        <is>
          <t xml:space="preserve">apac</t>
        </is>
      </c>
      <c r="D1271" s="0" t="inlineStr">
        <is>
          <t xml:space="preserve">mid_market</t>
        </is>
      </c>
      <c r="E1271" s="4">
        <v>1157</v>
      </c>
      <c r="F1271" s="0" t="inlineStr">
        <is>
          <t xml:space="preserve">Quantum Manufacturing Partners</t>
        </is>
      </c>
    </row>
    <row r="1272">
      <c r="A1272" s="0" t="inlineStr">
        <is>
          <t xml:space="preserve">a1271</t>
        </is>
      </c>
      <c r="B1272" s="0" t="inlineStr">
        <is>
          <t xml:space="preserve">education</t>
        </is>
      </c>
      <c r="C1272" s="0" t="inlineStr">
        <is>
          <t xml:space="preserve">apac</t>
        </is>
      </c>
      <c r="D1272" s="0" t="inlineStr">
        <is>
          <t xml:space="preserve">mid_market</t>
        </is>
      </c>
      <c r="E1272" s="4">
        <v>544</v>
      </c>
      <c r="F1272" s="0" t="inlineStr">
        <is>
          <t xml:space="preserve">Keystone Biotech Partners</t>
        </is>
      </c>
    </row>
    <row r="1273">
      <c r="A1273" s="0" t="inlineStr">
        <is>
          <t xml:space="preserve">a1272</t>
        </is>
      </c>
      <c r="B1273" s="0" t="inlineStr">
        <is>
          <t xml:space="preserve">logistics</t>
        </is>
      </c>
      <c r="C1273" s="0" t="inlineStr">
        <is>
          <t xml:space="preserve">amer_east</t>
        </is>
      </c>
      <c r="D1273" s="0" t="inlineStr">
        <is>
          <t xml:space="preserve">smb</t>
        </is>
      </c>
      <c r="E1273" s="4">
        <v>201</v>
      </c>
      <c r="F1273" s="0" t="inlineStr">
        <is>
          <t xml:space="preserve">Granite Health SA</t>
        </is>
      </c>
    </row>
    <row r="1274">
      <c r="A1274" s="0" t="inlineStr">
        <is>
          <t xml:space="preserve">a1273</t>
        </is>
      </c>
      <c r="B1274" s="0" t="inlineStr">
        <is>
          <t xml:space="preserve">financial_services</t>
        </is>
      </c>
      <c r="C1274" s="0" t="inlineStr">
        <is>
          <t xml:space="preserve">amer_east</t>
        </is>
      </c>
      <c r="D1274" s="0" t="inlineStr">
        <is>
          <t xml:space="preserve">smb</t>
        </is>
      </c>
      <c r="E1274" s="4">
        <v>183</v>
      </c>
      <c r="F1274" s="0" t="inlineStr">
        <is>
          <t xml:space="preserve">Falcon Systems</t>
        </is>
      </c>
    </row>
    <row r="1275">
      <c r="A1275" s="0" t="inlineStr">
        <is>
          <t xml:space="preserve">a1274</t>
        </is>
      </c>
      <c r="B1275" s="0" t="inlineStr">
        <is>
          <t xml:space="preserve">media</t>
        </is>
      </c>
      <c r="C1275" s="0" t="inlineStr">
        <is>
          <t xml:space="preserve">amer_east</t>
        </is>
      </c>
      <c r="D1275" s="0" t="inlineStr">
        <is>
          <t xml:space="preserve">smb</t>
        </is>
      </c>
      <c r="E1275" s="4">
        <v>33</v>
      </c>
      <c r="F1275" s="0" t="inlineStr">
        <is>
          <t xml:space="preserve">Falcon Analytics</t>
        </is>
      </c>
    </row>
    <row r="1276">
      <c r="A1276" s="0" t="inlineStr">
        <is>
          <t xml:space="preserve">a1275</t>
        </is>
      </c>
      <c r="B1276" s="0" t="inlineStr">
        <is>
          <t xml:space="preserve">education</t>
        </is>
      </c>
      <c r="C1276" s="0" t="inlineStr">
        <is>
          <t xml:space="preserve">amer_east</t>
        </is>
      </c>
      <c r="D1276" s="0" t="inlineStr">
        <is>
          <t xml:space="preserve">smb</t>
        </is>
      </c>
      <c r="E1276" s="4">
        <v>88</v>
      </c>
      <c r="F1276" s="0" t="inlineStr">
        <is>
          <t xml:space="preserve">Cascade Foods Group</t>
        </is>
      </c>
    </row>
    <row r="1277">
      <c r="A1277" s="0" t="inlineStr">
        <is>
          <t xml:space="preserve">a1276</t>
        </is>
      </c>
      <c r="B1277" s="0" t="inlineStr">
        <is>
          <t xml:space="preserve">financial_services</t>
        </is>
      </c>
      <c r="C1277" s="0" t="inlineStr">
        <is>
          <t xml:space="preserve">amer_east</t>
        </is>
      </c>
      <c r="D1277" s="0" t="inlineStr">
        <is>
          <t xml:space="preserve">mid_market</t>
        </is>
      </c>
      <c r="E1277" s="4">
        <v>260</v>
      </c>
      <c r="F1277" s="0" t="inlineStr">
        <is>
          <t xml:space="preserve">Orchard Capital Holdings</t>
        </is>
      </c>
    </row>
    <row r="1278">
      <c r="A1278" s="0" t="inlineStr">
        <is>
          <t xml:space="preserve">a1277</t>
        </is>
      </c>
      <c r="B1278" s="0" t="inlineStr">
        <is>
          <t xml:space="preserve">logistics</t>
        </is>
      </c>
      <c r="C1278" s="0" t="inlineStr">
        <is>
          <t xml:space="preserve">amer_east</t>
        </is>
      </c>
      <c r="D1278" s="0" t="inlineStr">
        <is>
          <t xml:space="preserve">mid_market</t>
        </is>
      </c>
      <c r="E1278" s="4">
        <v>250</v>
      </c>
      <c r="F1278" s="0" t="inlineStr">
        <is>
          <t xml:space="preserve">Cobalt Health SA</t>
        </is>
      </c>
    </row>
    <row r="1279">
      <c r="A1279" s="0" t="inlineStr">
        <is>
          <t xml:space="preserve">a1278</t>
        </is>
      </c>
      <c r="B1279" s="0" t="inlineStr">
        <is>
          <t xml:space="preserve">financial_services</t>
        </is>
      </c>
      <c r="C1279" s="0" t="inlineStr">
        <is>
          <t xml:space="preserve">amer_east</t>
        </is>
      </c>
      <c r="D1279" s="0" t="inlineStr">
        <is>
          <t xml:space="preserve">enterprise</t>
        </is>
      </c>
      <c r="E1279" s="4">
        <v>2676</v>
      </c>
      <c r="F1279" s="0" t="inlineStr">
        <is>
          <t xml:space="preserve">Vertex Biotech Co</t>
        </is>
      </c>
    </row>
    <row r="1280">
      <c r="A1280" s="0" t="inlineStr">
        <is>
          <t xml:space="preserve">a1279</t>
        </is>
      </c>
      <c r="B1280" s="0" t="inlineStr">
        <is>
          <t xml:space="preserve">software</t>
        </is>
      </c>
      <c r="C1280" s="0" t="inlineStr">
        <is>
          <t xml:space="preserve">amer_east</t>
        </is>
      </c>
      <c r="D1280" s="0" t="inlineStr">
        <is>
          <t xml:space="preserve">mid_market</t>
        </is>
      </c>
      <c r="E1280" s="4">
        <v>544</v>
      </c>
      <c r="F1280" s="0" t="inlineStr">
        <is>
          <t xml:space="preserve">Atlas Health Holdings</t>
        </is>
      </c>
    </row>
    <row r="1281">
      <c r="A1281" s="0" t="inlineStr">
        <is>
          <t xml:space="preserve">a1280</t>
        </is>
      </c>
      <c r="B1281" s="0" t="inlineStr">
        <is>
          <t xml:space="preserve">manufacturing</t>
        </is>
      </c>
      <c r="C1281" s="0" t="inlineStr">
        <is>
          <t xml:space="preserve">amer_east</t>
        </is>
      </c>
      <c r="D1281" s="0" t="inlineStr">
        <is>
          <t xml:space="preserve">enterprise</t>
        </is>
      </c>
      <c r="E1281" s="4">
        <v>7520</v>
      </c>
      <c r="F1281" s="0" t="inlineStr">
        <is>
          <t xml:space="preserve">Redwood Materials</t>
        </is>
      </c>
    </row>
    <row r="1282">
      <c r="A1282" s="0" t="inlineStr">
        <is>
          <t xml:space="preserve">a1281</t>
        </is>
      </c>
      <c r="B1282" s="0" t="inlineStr">
        <is>
          <t xml:space="preserve">retail</t>
        </is>
      </c>
      <c r="C1282" s="0" t="inlineStr">
        <is>
          <t xml:space="preserve">amer_east</t>
        </is>
      </c>
      <c r="D1282" s="0" t="inlineStr">
        <is>
          <t xml:space="preserve">mid_market</t>
        </is>
      </c>
      <c r="E1282" s="4">
        <v>323</v>
      </c>
      <c r="F1282" s="0" t="inlineStr">
        <is>
          <t xml:space="preserve">Tidewater Capital</t>
        </is>
      </c>
    </row>
    <row r="1283">
      <c r="A1283" s="0" t="inlineStr">
        <is>
          <t xml:space="preserve">a1282</t>
        </is>
      </c>
      <c r="B1283" s="0" t="inlineStr">
        <is>
          <t xml:space="preserve">software</t>
        </is>
      </c>
      <c r="C1283" s="0" t="inlineStr">
        <is>
          <t xml:space="preserve">amer_east</t>
        </is>
      </c>
      <c r="D1283" s="0" t="inlineStr">
        <is>
          <t xml:space="preserve">smb</t>
        </is>
      </c>
      <c r="E1283" s="4">
        <v>28</v>
      </c>
      <c r="F1283" s="0" t="inlineStr">
        <is>
          <t xml:space="preserve">Copper Media Partners</t>
        </is>
      </c>
    </row>
    <row r="1284">
      <c r="A1284" s="0" t="inlineStr">
        <is>
          <t xml:space="preserve">a1283</t>
        </is>
      </c>
      <c r="B1284" s="0" t="inlineStr">
        <is>
          <t xml:space="preserve">software</t>
        </is>
      </c>
      <c r="C1284" s="0" t="inlineStr">
        <is>
          <t xml:space="preserve">amer_east</t>
        </is>
      </c>
      <c r="D1284" s="0" t="inlineStr">
        <is>
          <t xml:space="preserve">smb</t>
        </is>
      </c>
      <c r="E1284" s="4">
        <v>38</v>
      </c>
      <c r="F1284" s="0" t="inlineStr">
        <is>
          <t xml:space="preserve">Granite Analytics Co</t>
        </is>
      </c>
    </row>
    <row r="1285">
      <c r="A1285" s="0" t="inlineStr">
        <is>
          <t xml:space="preserve">a1284</t>
        </is>
      </c>
      <c r="B1285" s="0" t="inlineStr">
        <is>
          <t xml:space="preserve">software</t>
        </is>
      </c>
      <c r="C1285" s="0" t="inlineStr">
        <is>
          <t xml:space="preserve">amer_east</t>
        </is>
      </c>
      <c r="D1285" s="0" t="inlineStr">
        <is>
          <t xml:space="preserve">enterprise</t>
        </is>
      </c>
      <c r="E1285" s="4">
        <v>2902</v>
      </c>
      <c r="F1285" s="0" t="inlineStr">
        <is>
          <t xml:space="preserve">Orchard Analytics AG</t>
        </is>
      </c>
    </row>
    <row r="1286">
      <c r="A1286" s="0" t="inlineStr">
        <is>
          <t xml:space="preserve">a1285</t>
        </is>
      </c>
      <c r="B1286" s="0" t="inlineStr">
        <is>
          <t xml:space="preserve">public_sector</t>
        </is>
      </c>
      <c r="C1286" s="0" t="inlineStr">
        <is>
          <t xml:space="preserve">amer_east</t>
        </is>
      </c>
      <c r="D1286" s="0" t="inlineStr">
        <is>
          <t xml:space="preserve">smb</t>
        </is>
      </c>
      <c r="E1286" s="4">
        <v>31</v>
      </c>
      <c r="F1286" s="0" t="inlineStr">
        <is>
          <t xml:space="preserve">Cobalt Mobility Holdings</t>
        </is>
      </c>
    </row>
    <row r="1287">
      <c r="A1287" s="0" t="inlineStr">
        <is>
          <t xml:space="preserve">a1286</t>
        </is>
      </c>
      <c r="B1287" s="0" t="inlineStr">
        <is>
          <t xml:space="preserve">retail</t>
        </is>
      </c>
      <c r="C1287" s="0" t="inlineStr">
        <is>
          <t xml:space="preserve">amer_east</t>
        </is>
      </c>
      <c r="D1287" s="0" t="inlineStr">
        <is>
          <t xml:space="preserve">smb</t>
        </is>
      </c>
      <c r="E1287" s="4">
        <v>65</v>
      </c>
      <c r="F1287" s="0" t="inlineStr">
        <is>
          <t xml:space="preserve">Quantum Biotech Co</t>
        </is>
      </c>
    </row>
    <row r="1288">
      <c r="A1288" s="0" t="inlineStr">
        <is>
          <t xml:space="preserve">a1287</t>
        </is>
      </c>
      <c r="B1288" s="0" t="inlineStr">
        <is>
          <t xml:space="preserve">logistics</t>
        </is>
      </c>
      <c r="C1288" s="0" t="inlineStr">
        <is>
          <t xml:space="preserve">amer_east</t>
        </is>
      </c>
      <c r="D1288" s="0" t="inlineStr">
        <is>
          <t xml:space="preserve">enterprise</t>
        </is>
      </c>
      <c r="E1288" s="4">
        <v>3815</v>
      </c>
      <c r="F1288" s="0" t="inlineStr">
        <is>
          <t xml:space="preserve">Silverline Software</t>
        </is>
      </c>
    </row>
    <row r="1289">
      <c r="A1289" s="0" t="inlineStr">
        <is>
          <t xml:space="preserve">a1288</t>
        </is>
      </c>
      <c r="B1289" s="0" t="inlineStr">
        <is>
          <t xml:space="preserve">retail</t>
        </is>
      </c>
      <c r="C1289" s="0" t="inlineStr">
        <is>
          <t xml:space="preserve">amer_east</t>
        </is>
      </c>
      <c r="D1289" s="0" t="inlineStr">
        <is>
          <t xml:space="preserve">mid_market</t>
        </is>
      </c>
      <c r="E1289" s="4">
        <v>301</v>
      </c>
      <c r="F1289" s="0" t="inlineStr">
        <is>
          <t xml:space="preserve">Umber Systems</t>
        </is>
      </c>
    </row>
    <row r="1290">
      <c r="A1290" s="0" t="inlineStr">
        <is>
          <t xml:space="preserve">a1289</t>
        </is>
      </c>
      <c r="B1290" s="0" t="inlineStr">
        <is>
          <t xml:space="preserve">public_sector</t>
        </is>
      </c>
      <c r="C1290" s="0" t="inlineStr">
        <is>
          <t xml:space="preserve">amer_east</t>
        </is>
      </c>
      <c r="D1290" s="0" t="inlineStr">
        <is>
          <t xml:space="preserve">mid_market</t>
        </is>
      </c>
      <c r="E1290" s="4">
        <v>478</v>
      </c>
      <c r="F1290" s="0" t="inlineStr">
        <is>
          <t xml:space="preserve">Beacon Learning</t>
        </is>
      </c>
    </row>
    <row r="1291">
      <c r="A1291" s="0" t="inlineStr">
        <is>
          <t xml:space="preserve">a1290</t>
        </is>
      </c>
      <c r="B1291" s="0" t="inlineStr">
        <is>
          <t xml:space="preserve">manufacturing</t>
        </is>
      </c>
      <c r="C1291" s="0" t="inlineStr">
        <is>
          <t xml:space="preserve">amer_east</t>
        </is>
      </c>
      <c r="D1291" s="0" t="inlineStr">
        <is>
          <t xml:space="preserve">mid_market</t>
        </is>
      </c>
      <c r="E1291" s="4">
        <v>562</v>
      </c>
      <c r="F1291" s="0" t="inlineStr">
        <is>
          <t xml:space="preserve">Juniper Systems Partners</t>
        </is>
      </c>
    </row>
    <row r="1292">
      <c r="A1292" s="0" t="inlineStr">
        <is>
          <t xml:space="preserve">a1291</t>
        </is>
      </c>
      <c r="B1292" s="0" t="inlineStr">
        <is>
          <t xml:space="preserve">manufacturing</t>
        </is>
      </c>
      <c r="C1292" s="0" t="inlineStr">
        <is>
          <t xml:space="preserve">amer_east</t>
        </is>
      </c>
      <c r="D1292" s="0" t="inlineStr">
        <is>
          <t xml:space="preserve">smb</t>
        </is>
      </c>
      <c r="E1292" s="4">
        <v>165</v>
      </c>
      <c r="F1292" s="0" t="inlineStr">
        <is>
          <t xml:space="preserve">Granite Learning Inc</t>
        </is>
      </c>
    </row>
    <row r="1293">
      <c r="A1293" s="0" t="inlineStr">
        <is>
          <t xml:space="preserve">a1292</t>
        </is>
      </c>
      <c r="B1293" s="0" t="inlineStr">
        <is>
          <t xml:space="preserve">healthcare</t>
        </is>
      </c>
      <c r="C1293" s="0" t="inlineStr">
        <is>
          <t xml:space="preserve">amer_east</t>
        </is>
      </c>
      <c r="D1293" s="0" t="inlineStr">
        <is>
          <t xml:space="preserve">enterprise</t>
        </is>
      </c>
      <c r="E1293" s="4">
        <v>2652</v>
      </c>
      <c r="F1293" s="0" t="inlineStr">
        <is>
          <t xml:space="preserve">Ironbridge Capital Group</t>
        </is>
      </c>
    </row>
    <row r="1294">
      <c r="A1294" s="0" t="inlineStr">
        <is>
          <t xml:space="preserve">a1293</t>
        </is>
      </c>
      <c r="B1294" s="0" t="inlineStr">
        <is>
          <t xml:space="preserve">software</t>
        </is>
      </c>
      <c r="C1294" s="0" t="inlineStr">
        <is>
          <t xml:space="preserve">amer_east</t>
        </is>
      </c>
      <c r="D1294" s="0" t="inlineStr">
        <is>
          <t xml:space="preserve">mid_market</t>
        </is>
      </c>
      <c r="E1294" s="4">
        <v>334</v>
      </c>
      <c r="F1294" s="0" t="inlineStr">
        <is>
          <t xml:space="preserve">Blue Harbor Biotech Partners</t>
        </is>
      </c>
    </row>
    <row r="1295">
      <c r="A1295" s="0" t="inlineStr">
        <is>
          <t xml:space="preserve">a1294</t>
        </is>
      </c>
      <c r="B1295" s="0" t="inlineStr">
        <is>
          <t xml:space="preserve">retail</t>
        </is>
      </c>
      <c r="C1295" s="0" t="inlineStr">
        <is>
          <t xml:space="preserve">amer_east</t>
        </is>
      </c>
      <c r="D1295" s="0" t="inlineStr">
        <is>
          <t xml:space="preserve">smb</t>
        </is>
      </c>
      <c r="E1295" s="4">
        <v>132</v>
      </c>
      <c r="F1295" s="0" t="inlineStr">
        <is>
          <t xml:space="preserve">Silverline Learning Co</t>
        </is>
      </c>
    </row>
    <row r="1296">
      <c r="A1296" s="0" t="inlineStr">
        <is>
          <t xml:space="preserve">a1295</t>
        </is>
      </c>
      <c r="B1296" s="0" t="inlineStr">
        <is>
          <t xml:space="preserve">retail</t>
        </is>
      </c>
      <c r="C1296" s="0" t="inlineStr">
        <is>
          <t xml:space="preserve">amer_east</t>
        </is>
      </c>
      <c r="D1296" s="0" t="inlineStr">
        <is>
          <t xml:space="preserve">mid_market</t>
        </is>
      </c>
      <c r="E1296" s="4">
        <v>296</v>
      </c>
      <c r="F1296" s="0" t="inlineStr">
        <is>
          <t xml:space="preserve">Keystone Retail Partners</t>
        </is>
      </c>
    </row>
    <row r="1297">
      <c r="A1297" s="0" t="inlineStr">
        <is>
          <t xml:space="preserve">a1296</t>
        </is>
      </c>
      <c r="B1297" s="0" t="inlineStr">
        <is>
          <t xml:space="preserve">logistics</t>
        </is>
      </c>
      <c r="C1297" s="0" t="inlineStr">
        <is>
          <t xml:space="preserve">amer_east</t>
        </is>
      </c>
      <c r="D1297" s="0" t="inlineStr">
        <is>
          <t xml:space="preserve">enterprise</t>
        </is>
      </c>
      <c r="E1297" s="4">
        <v>3101</v>
      </c>
      <c r="F1297" s="0" t="inlineStr">
        <is>
          <t xml:space="preserve">Juniper Robotics Co</t>
        </is>
      </c>
    </row>
    <row r="1298">
      <c r="A1298" s="0" t="inlineStr">
        <is>
          <t xml:space="preserve">a1297</t>
        </is>
      </c>
      <c r="B1298" s="0" t="inlineStr">
        <is>
          <t xml:space="preserve">media</t>
        </is>
      </c>
      <c r="C1298" s="0" t="inlineStr">
        <is>
          <t xml:space="preserve">amer_east</t>
        </is>
      </c>
      <c r="D1298" s="0" t="inlineStr">
        <is>
          <t xml:space="preserve">enterprise</t>
        </is>
      </c>
      <c r="E1298" s="4">
        <v>2967</v>
      </c>
      <c r="F1298" s="0" t="inlineStr">
        <is>
          <t xml:space="preserve">Orchard Capital Group</t>
        </is>
      </c>
    </row>
    <row r="1299">
      <c r="A1299" s="0" t="inlineStr">
        <is>
          <t xml:space="preserve">a1298</t>
        </is>
      </c>
      <c r="B1299" s="0" t="inlineStr">
        <is>
          <t xml:space="preserve">manufacturing</t>
        </is>
      </c>
      <c r="C1299" s="0" t="inlineStr">
        <is>
          <t xml:space="preserve">amer_west</t>
        </is>
      </c>
      <c r="D1299" s="0" t="inlineStr">
        <is>
          <t xml:space="preserve">mid_market</t>
        </is>
      </c>
      <c r="E1299" s="4">
        <v>1274</v>
      </c>
      <c r="F1299" s="0" t="inlineStr">
        <is>
          <t xml:space="preserve">Umber Materials</t>
        </is>
      </c>
    </row>
    <row r="1300">
      <c r="A1300" s="0" t="inlineStr">
        <is>
          <t xml:space="preserve">a1299</t>
        </is>
      </c>
      <c r="B1300" s="0" t="inlineStr">
        <is>
          <t xml:space="preserve">healthcare</t>
        </is>
      </c>
      <c r="C1300" s="0" t="inlineStr">
        <is>
          <t xml:space="preserve">amer_west</t>
        </is>
      </c>
      <c r="D1300" s="0" t="inlineStr">
        <is>
          <t xml:space="preserve">smb</t>
        </is>
      </c>
      <c r="E1300" s="4">
        <v>94</v>
      </c>
      <c r="F1300" s="0" t="inlineStr">
        <is>
          <t xml:space="preserve">Copper Learning SA</t>
        </is>
      </c>
    </row>
    <row r="1301">
      <c r="A1301" s="0" t="inlineStr">
        <is>
          <t xml:space="preserve">a1300</t>
        </is>
      </c>
      <c r="B1301" s="0" t="inlineStr">
        <is>
          <t xml:space="preserve">healthcare</t>
        </is>
      </c>
      <c r="C1301" s="0" t="inlineStr">
        <is>
          <t xml:space="preserve">amer_west</t>
        </is>
      </c>
      <c r="D1301" s="0" t="inlineStr">
        <is>
          <t xml:space="preserve">mid_market</t>
        </is>
      </c>
      <c r="E1301" s="4">
        <v>1397</v>
      </c>
      <c r="F1301" s="0" t="inlineStr">
        <is>
          <t xml:space="preserve">Evergreen Health Co</t>
        </is>
      </c>
    </row>
    <row r="1302">
      <c r="A1302" s="0" t="inlineStr">
        <is>
          <t xml:space="preserve">a1301</t>
        </is>
      </c>
      <c r="B1302" s="0" t="inlineStr">
        <is>
          <t xml:space="preserve">software</t>
        </is>
      </c>
      <c r="C1302" s="0" t="inlineStr">
        <is>
          <t xml:space="preserve">amer_west</t>
        </is>
      </c>
      <c r="D1302" s="0" t="inlineStr">
        <is>
          <t xml:space="preserve">mid_market</t>
        </is>
      </c>
      <c r="E1302" s="4">
        <v>959</v>
      </c>
      <c r="F1302" s="0" t="inlineStr">
        <is>
          <t xml:space="preserve">Nimbus Materials Holdings</t>
        </is>
      </c>
    </row>
    <row r="1303">
      <c r="A1303" s="0" t="inlineStr">
        <is>
          <t xml:space="preserve">a1302</t>
        </is>
      </c>
      <c r="B1303" s="0" t="inlineStr">
        <is>
          <t xml:space="preserve">public_sector</t>
        </is>
      </c>
      <c r="C1303" s="0" t="inlineStr">
        <is>
          <t xml:space="preserve">amer_west</t>
        </is>
      </c>
      <c r="D1303" s="0" t="inlineStr">
        <is>
          <t xml:space="preserve">enterprise</t>
        </is>
      </c>
      <c r="E1303" s="4">
        <v>2587</v>
      </c>
      <c r="F1303" s="0" t="inlineStr">
        <is>
          <t xml:space="preserve">Keystone Networks Inc</t>
        </is>
      </c>
    </row>
    <row r="1304">
      <c r="A1304" s="0" t="inlineStr">
        <is>
          <t xml:space="preserve">a1303</t>
        </is>
      </c>
      <c r="B1304" s="0" t="inlineStr">
        <is>
          <t xml:space="preserve">logistics</t>
        </is>
      </c>
      <c r="C1304" s="0" t="inlineStr">
        <is>
          <t xml:space="preserve">amer_west</t>
        </is>
      </c>
      <c r="D1304" s="0" t="inlineStr">
        <is>
          <t xml:space="preserve">smb</t>
        </is>
      </c>
      <c r="E1304" s="4">
        <v>31</v>
      </c>
      <c r="F1304" s="0" t="inlineStr">
        <is>
          <t xml:space="preserve">Cascade Media SA</t>
        </is>
      </c>
    </row>
    <row r="1305">
      <c r="A1305" s="0" t="inlineStr">
        <is>
          <t xml:space="preserve">a1304</t>
        </is>
      </c>
      <c r="B1305" s="0" t="inlineStr">
        <is>
          <t xml:space="preserve">software</t>
        </is>
      </c>
      <c r="C1305" s="0" t="inlineStr">
        <is>
          <t xml:space="preserve">amer_west</t>
        </is>
      </c>
      <c r="D1305" s="0" t="inlineStr">
        <is>
          <t xml:space="preserve">smb</t>
        </is>
      </c>
      <c r="E1305" s="4">
        <v>28</v>
      </c>
      <c r="F1305" s="0" t="inlineStr">
        <is>
          <t xml:space="preserve">Juniper Networks Ltd</t>
        </is>
      </c>
    </row>
    <row r="1306">
      <c r="A1306" s="0" t="inlineStr">
        <is>
          <t xml:space="preserve">a1305</t>
        </is>
      </c>
      <c r="B1306" s="0" t="inlineStr">
        <is>
          <t xml:space="preserve">public_sector</t>
        </is>
      </c>
      <c r="C1306" s="0" t="inlineStr">
        <is>
          <t xml:space="preserve">amer_west</t>
        </is>
      </c>
      <c r="D1306" s="0" t="inlineStr">
        <is>
          <t xml:space="preserve">mid_market</t>
        </is>
      </c>
      <c r="E1306" s="4">
        <v>286</v>
      </c>
      <c r="F1306" s="0" t="inlineStr">
        <is>
          <t xml:space="preserve">Meridian Materials Ltd</t>
        </is>
      </c>
    </row>
    <row r="1307">
      <c r="A1307" s="0" t="inlineStr">
        <is>
          <t xml:space="preserve">a1306</t>
        </is>
      </c>
      <c r="B1307" s="0" t="inlineStr">
        <is>
          <t xml:space="preserve">healthcare</t>
        </is>
      </c>
      <c r="C1307" s="0" t="inlineStr">
        <is>
          <t xml:space="preserve">amer_west</t>
        </is>
      </c>
      <c r="D1307" s="0" t="inlineStr">
        <is>
          <t xml:space="preserve">mid_market</t>
        </is>
      </c>
      <c r="E1307" s="4">
        <v>1034</v>
      </c>
      <c r="F1307" s="0" t="inlineStr">
        <is>
          <t xml:space="preserve">Nimbus Biotech Group</t>
        </is>
      </c>
    </row>
    <row r="1308">
      <c r="A1308" s="0" t="inlineStr">
        <is>
          <t xml:space="preserve">a1307</t>
        </is>
      </c>
      <c r="B1308" s="0" t="inlineStr">
        <is>
          <t xml:space="preserve">software</t>
        </is>
      </c>
      <c r="C1308" s="0" t="inlineStr">
        <is>
          <t xml:space="preserve">amer_west</t>
        </is>
      </c>
      <c r="D1308" s="0" t="inlineStr">
        <is>
          <t xml:space="preserve">enterprise</t>
        </is>
      </c>
      <c r="E1308" s="4">
        <v>2836</v>
      </c>
      <c r="F1308" s="0" t="inlineStr">
        <is>
          <t xml:space="preserve">Evergreen Systems</t>
        </is>
      </c>
    </row>
    <row r="1309">
      <c r="A1309" s="0" t="inlineStr">
        <is>
          <t xml:space="preserve">a1308</t>
        </is>
      </c>
      <c r="B1309" s="0" t="inlineStr">
        <is>
          <t xml:space="preserve">logistics</t>
        </is>
      </c>
      <c r="C1309" s="0" t="inlineStr">
        <is>
          <t xml:space="preserve">amer_west</t>
        </is>
      </c>
      <c r="D1309" s="0" t="inlineStr">
        <is>
          <t xml:space="preserve">smb</t>
        </is>
      </c>
      <c r="E1309" s="4">
        <v>190</v>
      </c>
      <c r="F1309" s="0" t="inlineStr">
        <is>
          <t xml:space="preserve">Nimbus Software Holdings</t>
        </is>
      </c>
    </row>
    <row r="1310">
      <c r="A1310" s="0" t="inlineStr">
        <is>
          <t xml:space="preserve">a1309</t>
        </is>
      </c>
      <c r="B1310" s="0" t="inlineStr">
        <is>
          <t xml:space="preserve">public_sector</t>
        </is>
      </c>
      <c r="C1310" s="0" t="inlineStr">
        <is>
          <t xml:space="preserve">amer_west</t>
        </is>
      </c>
      <c r="D1310" s="0" t="inlineStr">
        <is>
          <t xml:space="preserve">smb</t>
        </is>
      </c>
      <c r="E1310" s="4">
        <v>56</v>
      </c>
      <c r="F1310" s="0" t="inlineStr">
        <is>
          <t xml:space="preserve">Silverline Energy Inc</t>
        </is>
      </c>
    </row>
    <row r="1311">
      <c r="A1311" s="0" t="inlineStr">
        <is>
          <t xml:space="preserve">a1310</t>
        </is>
      </c>
      <c r="B1311" s="0" t="inlineStr">
        <is>
          <t xml:space="preserve">education</t>
        </is>
      </c>
      <c r="C1311" s="0" t="inlineStr">
        <is>
          <t xml:space="preserve">amer_west</t>
        </is>
      </c>
      <c r="D1311" s="0" t="inlineStr">
        <is>
          <t xml:space="preserve">smb</t>
        </is>
      </c>
      <c r="E1311" s="4">
        <v>20</v>
      </c>
      <c r="F1311" s="0" t="inlineStr">
        <is>
          <t xml:space="preserve">Granite Retail Holdings</t>
        </is>
      </c>
    </row>
    <row r="1312">
      <c r="A1312" s="0" t="inlineStr">
        <is>
          <t xml:space="preserve">a1311</t>
        </is>
      </c>
      <c r="B1312" s="0" t="inlineStr">
        <is>
          <t xml:space="preserve">energy</t>
        </is>
      </c>
      <c r="C1312" s="0" t="inlineStr">
        <is>
          <t xml:space="preserve">amer_west</t>
        </is>
      </c>
      <c r="D1312" s="0" t="inlineStr">
        <is>
          <t xml:space="preserve">mid_market</t>
        </is>
      </c>
      <c r="E1312" s="4">
        <v>305</v>
      </c>
      <c r="F1312" s="0" t="inlineStr">
        <is>
          <t xml:space="preserve">Cascade Systems Ltd</t>
        </is>
      </c>
    </row>
    <row r="1313">
      <c r="A1313" s="0" t="inlineStr">
        <is>
          <t xml:space="preserve">a1312</t>
        </is>
      </c>
      <c r="B1313" s="0" t="inlineStr">
        <is>
          <t xml:space="preserve">education</t>
        </is>
      </c>
      <c r="C1313" s="0" t="inlineStr">
        <is>
          <t xml:space="preserve">amer_west</t>
        </is>
      </c>
      <c r="D1313" s="0" t="inlineStr">
        <is>
          <t xml:space="preserve">smb</t>
        </is>
      </c>
      <c r="E1313" s="4">
        <v>24</v>
      </c>
      <c r="F1313" s="0" t="inlineStr">
        <is>
          <t xml:space="preserve">Horizon Foods Group</t>
        </is>
      </c>
    </row>
    <row r="1314">
      <c r="A1314" s="0" t="inlineStr">
        <is>
          <t xml:space="preserve">a1313</t>
        </is>
      </c>
      <c r="B1314" s="0" t="inlineStr">
        <is>
          <t xml:space="preserve">financial_services</t>
        </is>
      </c>
      <c r="C1314" s="0" t="inlineStr">
        <is>
          <t xml:space="preserve">amer_west</t>
        </is>
      </c>
      <c r="D1314" s="0" t="inlineStr">
        <is>
          <t xml:space="preserve">mid_market</t>
        </is>
      </c>
      <c r="E1314" s="4">
        <v>317</v>
      </c>
      <c r="F1314" s="0" t="inlineStr">
        <is>
          <t xml:space="preserve">Evergreen Analytics Inc</t>
        </is>
      </c>
    </row>
    <row r="1315">
      <c r="A1315" s="0" t="inlineStr">
        <is>
          <t xml:space="preserve">a1314</t>
        </is>
      </c>
      <c r="B1315" s="0" t="inlineStr">
        <is>
          <t xml:space="preserve">financial_services</t>
        </is>
      </c>
      <c r="C1315" s="0" t="inlineStr">
        <is>
          <t xml:space="preserve">amer_west</t>
        </is>
      </c>
      <c r="D1315" s="0" t="inlineStr">
        <is>
          <t xml:space="preserve">mid_market</t>
        </is>
      </c>
      <c r="E1315" s="4">
        <v>252</v>
      </c>
      <c r="F1315" s="0" t="inlineStr">
        <is>
          <t xml:space="preserve">Vertex Manufacturing Partners</t>
        </is>
      </c>
    </row>
    <row r="1316">
      <c r="A1316" s="0" t="inlineStr">
        <is>
          <t xml:space="preserve">a1315</t>
        </is>
      </c>
      <c r="B1316" s="0" t="inlineStr">
        <is>
          <t xml:space="preserve">retail</t>
        </is>
      </c>
      <c r="C1316" s="0" t="inlineStr">
        <is>
          <t xml:space="preserve">amer_west</t>
        </is>
      </c>
      <c r="D1316" s="0" t="inlineStr">
        <is>
          <t xml:space="preserve">smb</t>
        </is>
      </c>
      <c r="E1316" s="4">
        <v>70</v>
      </c>
      <c r="F1316" s="0" t="inlineStr">
        <is>
          <t xml:space="preserve">Juniper Robotics</t>
        </is>
      </c>
    </row>
    <row r="1317">
      <c r="A1317" s="0" t="inlineStr">
        <is>
          <t xml:space="preserve">a1316</t>
        </is>
      </c>
      <c r="B1317" s="0" t="inlineStr">
        <is>
          <t xml:space="preserve">financial_services</t>
        </is>
      </c>
      <c r="C1317" s="0" t="inlineStr">
        <is>
          <t xml:space="preserve">amer_west</t>
        </is>
      </c>
      <c r="D1317" s="0" t="inlineStr">
        <is>
          <t xml:space="preserve">smb</t>
        </is>
      </c>
      <c r="E1317" s="4">
        <v>49</v>
      </c>
      <c r="F1317" s="0" t="inlineStr">
        <is>
          <t xml:space="preserve">Cascade Networks Ltd</t>
        </is>
      </c>
    </row>
    <row r="1318">
      <c r="A1318" s="0" t="inlineStr">
        <is>
          <t xml:space="preserve">a1317</t>
        </is>
      </c>
      <c r="B1318" s="0" t="inlineStr">
        <is>
          <t xml:space="preserve">retail</t>
        </is>
      </c>
      <c r="C1318" s="0" t="inlineStr">
        <is>
          <t xml:space="preserve">amer_west</t>
        </is>
      </c>
      <c r="D1318" s="0" t="inlineStr">
        <is>
          <t xml:space="preserve">mid_market</t>
        </is>
      </c>
      <c r="E1318" s="4">
        <v>332</v>
      </c>
      <c r="F1318" s="0" t="inlineStr">
        <is>
          <t xml:space="preserve">Atlas Health SA</t>
        </is>
      </c>
    </row>
    <row r="1319">
      <c r="A1319" s="0" t="inlineStr">
        <is>
          <t xml:space="preserve">a1318</t>
        </is>
      </c>
      <c r="B1319" s="0" t="inlineStr">
        <is>
          <t xml:space="preserve">retail</t>
        </is>
      </c>
      <c r="C1319" s="0" t="inlineStr">
        <is>
          <t xml:space="preserve">emea</t>
        </is>
      </c>
      <c r="D1319" s="0" t="inlineStr">
        <is>
          <t xml:space="preserve">smb</t>
        </is>
      </c>
      <c r="E1319" s="4">
        <v>51</v>
      </c>
      <c r="F1319" s="0" t="inlineStr">
        <is>
          <t xml:space="preserve">Harbor Mobility SA</t>
        </is>
      </c>
    </row>
    <row r="1320">
      <c r="A1320" s="0" t="inlineStr">
        <is>
          <t xml:space="preserve">a1319</t>
        </is>
      </c>
      <c r="B1320" s="0" t="inlineStr">
        <is>
          <t xml:space="preserve">software</t>
        </is>
      </c>
      <c r="C1320" s="0" t="inlineStr">
        <is>
          <t xml:space="preserve">emea</t>
        </is>
      </c>
      <c r="D1320" s="0" t="inlineStr">
        <is>
          <t xml:space="preserve">smb</t>
        </is>
      </c>
      <c r="E1320" s="4">
        <v>21</v>
      </c>
      <c r="F1320" s="0" t="inlineStr">
        <is>
          <t xml:space="preserve">Meridian Financial Ltd</t>
        </is>
      </c>
    </row>
    <row r="1321">
      <c r="A1321" s="0" t="inlineStr">
        <is>
          <t xml:space="preserve">a1320</t>
        </is>
      </c>
      <c r="B1321" s="0" t="inlineStr">
        <is>
          <t xml:space="preserve">manufacturing</t>
        </is>
      </c>
      <c r="C1321" s="0" t="inlineStr">
        <is>
          <t xml:space="preserve">emea</t>
        </is>
      </c>
      <c r="D1321" s="0" t="inlineStr">
        <is>
          <t xml:space="preserve">mid_market</t>
        </is>
      </c>
      <c r="E1321" s="4">
        <v>592</v>
      </c>
      <c r="F1321" s="0" t="inlineStr">
        <is>
          <t xml:space="preserve">Cobalt Health Inc</t>
        </is>
      </c>
    </row>
    <row r="1322">
      <c r="A1322" s="0" t="inlineStr">
        <is>
          <t xml:space="preserve">a1321</t>
        </is>
      </c>
      <c r="B1322" s="0" t="inlineStr">
        <is>
          <t xml:space="preserve">software</t>
        </is>
      </c>
      <c r="C1322" s="0" t="inlineStr">
        <is>
          <t xml:space="preserve">emea</t>
        </is>
      </c>
      <c r="D1322" s="0" t="inlineStr">
        <is>
          <t xml:space="preserve">smb</t>
        </is>
      </c>
      <c r="E1322" s="4">
        <v>39</v>
      </c>
      <c r="F1322" s="0" t="inlineStr">
        <is>
          <t xml:space="preserve">Summit Networks Ltd</t>
        </is>
      </c>
    </row>
    <row r="1323">
      <c r="A1323" s="0" t="inlineStr">
        <is>
          <t xml:space="preserve">a1322</t>
        </is>
      </c>
      <c r="B1323" s="0" t="inlineStr">
        <is>
          <t xml:space="preserve">education</t>
        </is>
      </c>
      <c r="C1323" s="0" t="inlineStr">
        <is>
          <t xml:space="preserve">emea</t>
        </is>
      </c>
      <c r="D1323" s="0" t="inlineStr">
        <is>
          <t xml:space="preserve">mid_market</t>
        </is>
      </c>
      <c r="E1323" s="4">
        <v>282</v>
      </c>
      <c r="F1323" s="0" t="inlineStr">
        <is>
          <t xml:space="preserve">Sable Insurance Inc</t>
        </is>
      </c>
    </row>
    <row r="1324">
      <c r="A1324" s="0" t="inlineStr">
        <is>
          <t xml:space="preserve">a1323</t>
        </is>
      </c>
      <c r="B1324" s="0" t="inlineStr">
        <is>
          <t xml:space="preserve">healthcare</t>
        </is>
      </c>
      <c r="C1324" s="0" t="inlineStr">
        <is>
          <t xml:space="preserve">emea</t>
        </is>
      </c>
      <c r="D1324" s="0" t="inlineStr">
        <is>
          <t xml:space="preserve">mid_market</t>
        </is>
      </c>
      <c r="E1324" s="4">
        <v>370</v>
      </c>
      <c r="F1324" s="0" t="inlineStr">
        <is>
          <t xml:space="preserve">Umber Foods AG</t>
        </is>
      </c>
    </row>
    <row r="1325">
      <c r="A1325" s="0" t="inlineStr">
        <is>
          <t xml:space="preserve">a1324</t>
        </is>
      </c>
      <c r="B1325" s="0" t="inlineStr">
        <is>
          <t xml:space="preserve">software</t>
        </is>
      </c>
      <c r="C1325" s="0" t="inlineStr">
        <is>
          <t xml:space="preserve">emea</t>
        </is>
      </c>
      <c r="D1325" s="0" t="inlineStr">
        <is>
          <t xml:space="preserve">smb</t>
        </is>
      </c>
      <c r="E1325" s="4">
        <v>40</v>
      </c>
      <c r="F1325" s="0" t="inlineStr">
        <is>
          <t xml:space="preserve">Copper Health Group</t>
        </is>
      </c>
    </row>
    <row r="1326">
      <c r="A1326" s="0" t="inlineStr">
        <is>
          <t xml:space="preserve">a1325</t>
        </is>
      </c>
      <c r="B1326" s="0" t="inlineStr">
        <is>
          <t xml:space="preserve">healthcare</t>
        </is>
      </c>
      <c r="C1326" s="0" t="inlineStr">
        <is>
          <t xml:space="preserve">emea</t>
        </is>
      </c>
      <c r="D1326" s="0" t="inlineStr">
        <is>
          <t xml:space="preserve">enterprise</t>
        </is>
      </c>
      <c r="E1326" s="4">
        <v>5104</v>
      </c>
      <c r="F1326" s="0" t="inlineStr">
        <is>
          <t xml:space="preserve">Summit Manufacturing Ltd</t>
        </is>
      </c>
    </row>
    <row r="1327">
      <c r="A1327" s="0" t="inlineStr">
        <is>
          <t xml:space="preserve">a1326</t>
        </is>
      </c>
      <c r="B1327" s="0" t="inlineStr">
        <is>
          <t xml:space="preserve">financial_services</t>
        </is>
      </c>
      <c r="C1327" s="0" t="inlineStr">
        <is>
          <t xml:space="preserve">emea</t>
        </is>
      </c>
      <c r="D1327" s="0" t="inlineStr">
        <is>
          <t xml:space="preserve">enterprise</t>
        </is>
      </c>
      <c r="E1327" s="4">
        <v>10578</v>
      </c>
      <c r="F1327" s="0" t="inlineStr">
        <is>
          <t xml:space="preserve">Vertex Media Partners</t>
        </is>
      </c>
    </row>
    <row r="1328">
      <c r="A1328" s="0" t="inlineStr">
        <is>
          <t xml:space="preserve">a1327</t>
        </is>
      </c>
      <c r="B1328" s="0" t="inlineStr">
        <is>
          <t xml:space="preserve">financial_services</t>
        </is>
      </c>
      <c r="C1328" s="0" t="inlineStr">
        <is>
          <t xml:space="preserve">emea</t>
        </is>
      </c>
      <c r="D1328" s="0" t="inlineStr">
        <is>
          <t xml:space="preserve">enterprise</t>
        </is>
      </c>
      <c r="E1328" s="4">
        <v>2809</v>
      </c>
      <c r="F1328" s="0" t="inlineStr">
        <is>
          <t xml:space="preserve">Copper Health Holdings</t>
        </is>
      </c>
    </row>
    <row r="1329">
      <c r="A1329" s="0" t="inlineStr">
        <is>
          <t xml:space="preserve">a1328</t>
        </is>
      </c>
      <c r="B1329" s="0" t="inlineStr">
        <is>
          <t xml:space="preserve">software</t>
        </is>
      </c>
      <c r="C1329" s="0" t="inlineStr">
        <is>
          <t xml:space="preserve">emea</t>
        </is>
      </c>
      <c r="D1329" s="0" t="inlineStr">
        <is>
          <t xml:space="preserve">mid_market</t>
        </is>
      </c>
      <c r="E1329" s="4">
        <v>679</v>
      </c>
      <c r="F1329" s="0" t="inlineStr">
        <is>
          <t xml:space="preserve">Beacon Biotech Inc</t>
        </is>
      </c>
    </row>
    <row r="1330">
      <c r="A1330" s="0" t="inlineStr">
        <is>
          <t xml:space="preserve">a1329</t>
        </is>
      </c>
      <c r="B1330" s="0" t="inlineStr">
        <is>
          <t xml:space="preserve">logistics</t>
        </is>
      </c>
      <c r="C1330" s="0" t="inlineStr">
        <is>
          <t xml:space="preserve">emea</t>
        </is>
      </c>
      <c r="D1330" s="0" t="inlineStr">
        <is>
          <t xml:space="preserve">smb</t>
        </is>
      </c>
      <c r="E1330" s="4">
        <v>31</v>
      </c>
      <c r="F1330" s="0" t="inlineStr">
        <is>
          <t xml:space="preserve">Orchard Media Inc</t>
        </is>
      </c>
    </row>
    <row r="1331">
      <c r="A1331" s="0" t="inlineStr">
        <is>
          <t xml:space="preserve">a1330</t>
        </is>
      </c>
      <c r="B1331" s="0" t="inlineStr">
        <is>
          <t xml:space="preserve">software</t>
        </is>
      </c>
      <c r="C1331" s="0" t="inlineStr">
        <is>
          <t xml:space="preserve">emea</t>
        </is>
      </c>
      <c r="D1331" s="0" t="inlineStr">
        <is>
          <t xml:space="preserve">enterprise</t>
        </is>
      </c>
      <c r="E1331" s="4">
        <v>5073</v>
      </c>
      <c r="F1331" s="0" t="inlineStr">
        <is>
          <t xml:space="preserve">Harbor Financial SA</t>
        </is>
      </c>
    </row>
    <row r="1332">
      <c r="A1332" s="0" t="inlineStr">
        <is>
          <t xml:space="preserve">a1331</t>
        </is>
      </c>
      <c r="B1332" s="0" t="inlineStr">
        <is>
          <t xml:space="preserve">retail</t>
        </is>
      </c>
      <c r="C1332" s="0" t="inlineStr">
        <is>
          <t xml:space="preserve">emea</t>
        </is>
      </c>
      <c r="D1332" s="0" t="inlineStr">
        <is>
          <t xml:space="preserve">mid_market</t>
        </is>
      </c>
      <c r="E1332" s="4">
        <v>765</v>
      </c>
      <c r="F1332" s="0" t="inlineStr">
        <is>
          <t xml:space="preserve">Meridian Labs</t>
        </is>
      </c>
    </row>
    <row r="1333">
      <c r="A1333" s="0" t="inlineStr">
        <is>
          <t xml:space="preserve">a1332</t>
        </is>
      </c>
      <c r="B1333" s="0" t="inlineStr">
        <is>
          <t xml:space="preserve">public_sector</t>
        </is>
      </c>
      <c r="C1333" s="0" t="inlineStr">
        <is>
          <t xml:space="preserve">emea</t>
        </is>
      </c>
      <c r="D1333" s="0" t="inlineStr">
        <is>
          <t xml:space="preserve">mid_market</t>
        </is>
      </c>
      <c r="E1333" s="4">
        <v>342</v>
      </c>
      <c r="F1333" s="0" t="inlineStr">
        <is>
          <t xml:space="preserve">Evergreen Networks Co</t>
        </is>
      </c>
    </row>
    <row r="1334">
      <c r="A1334" s="0" t="inlineStr">
        <is>
          <t xml:space="preserve">a1333</t>
        </is>
      </c>
      <c r="B1334" s="0" t="inlineStr">
        <is>
          <t xml:space="preserve">public_sector</t>
        </is>
      </c>
      <c r="C1334" s="0" t="inlineStr">
        <is>
          <t xml:space="preserve">emea</t>
        </is>
      </c>
      <c r="D1334" s="0" t="inlineStr">
        <is>
          <t xml:space="preserve">mid_market</t>
        </is>
      </c>
      <c r="E1334" s="4">
        <v>413</v>
      </c>
      <c r="F1334" s="0" t="inlineStr">
        <is>
          <t xml:space="preserve">Vertex Systems SA</t>
        </is>
      </c>
    </row>
    <row r="1335">
      <c r="A1335" s="0" t="inlineStr">
        <is>
          <t xml:space="preserve">a1334</t>
        </is>
      </c>
      <c r="B1335" s="0" t="inlineStr">
        <is>
          <t xml:space="preserve">media</t>
        </is>
      </c>
      <c r="C1335" s="0" t="inlineStr">
        <is>
          <t xml:space="preserve">emea</t>
        </is>
      </c>
      <c r="D1335" s="0" t="inlineStr">
        <is>
          <t xml:space="preserve">mid_market</t>
        </is>
      </c>
      <c r="E1335" s="4">
        <v>403</v>
      </c>
      <c r="F1335" s="0" t="inlineStr">
        <is>
          <t xml:space="preserve">Orchard Materials AG</t>
        </is>
      </c>
    </row>
    <row r="1336">
      <c r="A1336" s="0" t="inlineStr">
        <is>
          <t xml:space="preserve">a1335</t>
        </is>
      </c>
      <c r="B1336" s="0" t="inlineStr">
        <is>
          <t xml:space="preserve">logistics</t>
        </is>
      </c>
      <c r="C1336" s="0" t="inlineStr">
        <is>
          <t xml:space="preserve">emea</t>
        </is>
      </c>
      <c r="D1336" s="0" t="inlineStr">
        <is>
          <t xml:space="preserve">smb</t>
        </is>
      </c>
      <c r="E1336" s="4">
        <v>59</v>
      </c>
      <c r="F1336" s="0" t="inlineStr">
        <is>
          <t xml:space="preserve">Cobalt Retail Holdings</t>
        </is>
      </c>
    </row>
    <row r="1337">
      <c r="A1337" s="0" t="inlineStr">
        <is>
          <t xml:space="preserve">a1336</t>
        </is>
      </c>
      <c r="B1337" s="0" t="inlineStr">
        <is>
          <t xml:space="preserve">logistics</t>
        </is>
      </c>
      <c r="C1337" s="0" t="inlineStr">
        <is>
          <t xml:space="preserve">emea</t>
        </is>
      </c>
      <c r="D1337" s="0" t="inlineStr">
        <is>
          <t xml:space="preserve">enterprise</t>
        </is>
      </c>
      <c r="E1337" s="4">
        <v>2657</v>
      </c>
      <c r="F1337" s="0" t="inlineStr">
        <is>
          <t xml:space="preserve">Aurora Health Holdings</t>
        </is>
      </c>
    </row>
    <row r="1338">
      <c r="A1338" s="0" t="inlineStr">
        <is>
          <t xml:space="preserve">a1337</t>
        </is>
      </c>
      <c r="B1338" s="0" t="inlineStr">
        <is>
          <t xml:space="preserve">energy</t>
        </is>
      </c>
      <c r="C1338" s="0" t="inlineStr">
        <is>
          <t xml:space="preserve">emea</t>
        </is>
      </c>
      <c r="D1338" s="0" t="inlineStr">
        <is>
          <t xml:space="preserve">smb</t>
        </is>
      </c>
      <c r="E1338" s="4">
        <v>48</v>
      </c>
      <c r="F1338" s="0" t="inlineStr">
        <is>
          <t xml:space="preserve">Vertex Health</t>
        </is>
      </c>
    </row>
    <row r="1339">
      <c r="A1339" s="0" t="inlineStr">
        <is>
          <t xml:space="preserve">a1338</t>
        </is>
      </c>
      <c r="B1339" s="0" t="inlineStr">
        <is>
          <t xml:space="preserve">software</t>
        </is>
      </c>
      <c r="C1339" s="0" t="inlineStr">
        <is>
          <t xml:space="preserve">emea</t>
        </is>
      </c>
      <c r="D1339" s="0" t="inlineStr">
        <is>
          <t xml:space="preserve">mid_market</t>
        </is>
      </c>
      <c r="E1339" s="4">
        <v>851</v>
      </c>
      <c r="F1339" s="0" t="inlineStr">
        <is>
          <t xml:space="preserve">Beacon Materials Co</t>
        </is>
      </c>
    </row>
    <row r="1340">
      <c r="A1340" s="0" t="inlineStr">
        <is>
          <t xml:space="preserve">a1339</t>
        </is>
      </c>
      <c r="B1340" s="0" t="inlineStr">
        <is>
          <t xml:space="preserve">logistics</t>
        </is>
      </c>
      <c r="C1340" s="0" t="inlineStr">
        <is>
          <t xml:space="preserve">apac</t>
        </is>
      </c>
      <c r="D1340" s="0" t="inlineStr">
        <is>
          <t xml:space="preserve">enterprise</t>
        </is>
      </c>
      <c r="E1340" s="4">
        <v>3640</v>
      </c>
      <c r="F1340" s="0" t="inlineStr">
        <is>
          <t xml:space="preserve">Nimbus Manufacturing</t>
        </is>
      </c>
    </row>
    <row r="1341">
      <c r="A1341" s="0" t="inlineStr">
        <is>
          <t xml:space="preserve">a1340</t>
        </is>
      </c>
      <c r="B1341" s="0" t="inlineStr">
        <is>
          <t xml:space="preserve">financial_services</t>
        </is>
      </c>
      <c r="C1341" s="0" t="inlineStr">
        <is>
          <t xml:space="preserve">apac</t>
        </is>
      </c>
      <c r="D1341" s="0" t="inlineStr">
        <is>
          <t xml:space="preserve">smb</t>
        </is>
      </c>
      <c r="E1341" s="4">
        <v>33</v>
      </c>
      <c r="F1341" s="0" t="inlineStr">
        <is>
          <t xml:space="preserve">Keystone Biotech AG</t>
        </is>
      </c>
    </row>
    <row r="1342">
      <c r="A1342" s="0" t="inlineStr">
        <is>
          <t xml:space="preserve">a1341</t>
        </is>
      </c>
      <c r="B1342" s="0" t="inlineStr">
        <is>
          <t xml:space="preserve">retail</t>
        </is>
      </c>
      <c r="C1342" s="0" t="inlineStr">
        <is>
          <t xml:space="preserve">apac</t>
        </is>
      </c>
      <c r="D1342" s="0" t="inlineStr">
        <is>
          <t xml:space="preserve">smb</t>
        </is>
      </c>
      <c r="E1342" s="4">
        <v>36</v>
      </c>
      <c r="F1342" s="0" t="inlineStr">
        <is>
          <t xml:space="preserve">Tidewater Materials SA</t>
        </is>
      </c>
    </row>
    <row r="1343">
      <c r="A1343" s="0" t="inlineStr">
        <is>
          <t xml:space="preserve">a1342</t>
        </is>
      </c>
      <c r="B1343" s="0" t="inlineStr">
        <is>
          <t xml:space="preserve">financial_services</t>
        </is>
      </c>
      <c r="C1343" s="0" t="inlineStr">
        <is>
          <t xml:space="preserve">apac</t>
        </is>
      </c>
      <c r="D1343" s="0" t="inlineStr">
        <is>
          <t xml:space="preserve">mid_market</t>
        </is>
      </c>
      <c r="E1343" s="4">
        <v>273</v>
      </c>
      <c r="F1343" s="0" t="inlineStr">
        <is>
          <t xml:space="preserve">Blue Harbor Robotics Co</t>
        </is>
      </c>
    </row>
    <row r="1344">
      <c r="A1344" s="0" t="inlineStr">
        <is>
          <t xml:space="preserve">a1343</t>
        </is>
      </c>
      <c r="B1344" s="0" t="inlineStr">
        <is>
          <t xml:space="preserve">financial_services</t>
        </is>
      </c>
      <c r="C1344" s="0" t="inlineStr">
        <is>
          <t xml:space="preserve">apac</t>
        </is>
      </c>
      <c r="D1344" s="0" t="inlineStr">
        <is>
          <t xml:space="preserve">smb</t>
        </is>
      </c>
      <c r="E1344" s="4">
        <v>85</v>
      </c>
      <c r="F1344" s="0" t="inlineStr">
        <is>
          <t xml:space="preserve">Copper Energy Co</t>
        </is>
      </c>
    </row>
    <row r="1345">
      <c r="A1345" s="0" t="inlineStr">
        <is>
          <t xml:space="preserve">a1344</t>
        </is>
      </c>
      <c r="B1345" s="0" t="inlineStr">
        <is>
          <t xml:space="preserve">healthcare</t>
        </is>
      </c>
      <c r="C1345" s="0" t="inlineStr">
        <is>
          <t xml:space="preserve">apac</t>
        </is>
      </c>
      <c r="D1345" s="0" t="inlineStr">
        <is>
          <t xml:space="preserve">smb</t>
        </is>
      </c>
      <c r="E1345" s="4">
        <v>159</v>
      </c>
      <c r="F1345" s="0" t="inlineStr">
        <is>
          <t xml:space="preserve">Pioneer Analytics AG</t>
        </is>
      </c>
    </row>
    <row r="1346">
      <c r="A1346" s="0" t="inlineStr">
        <is>
          <t xml:space="preserve">a1345</t>
        </is>
      </c>
      <c r="B1346" s="0" t="inlineStr">
        <is>
          <t xml:space="preserve">healthcare</t>
        </is>
      </c>
      <c r="C1346" s="0" t="inlineStr">
        <is>
          <t xml:space="preserve">apac</t>
        </is>
      </c>
      <c r="D1346" s="0" t="inlineStr">
        <is>
          <t xml:space="preserve">mid_market</t>
        </is>
      </c>
      <c r="E1346" s="4">
        <v>374</v>
      </c>
      <c r="F1346" s="0" t="inlineStr">
        <is>
          <t xml:space="preserve">Juniper Media Ltd</t>
        </is>
      </c>
    </row>
    <row r="1347">
      <c r="A1347" s="0" t="inlineStr">
        <is>
          <t xml:space="preserve">a1346</t>
        </is>
      </c>
      <c r="B1347" s="0" t="inlineStr">
        <is>
          <t xml:space="preserve">software</t>
        </is>
      </c>
      <c r="C1347" s="0" t="inlineStr">
        <is>
          <t xml:space="preserve">apac</t>
        </is>
      </c>
      <c r="D1347" s="0" t="inlineStr">
        <is>
          <t xml:space="preserve">smb</t>
        </is>
      </c>
      <c r="E1347" s="4">
        <v>33</v>
      </c>
      <c r="F1347" s="0" t="inlineStr">
        <is>
          <t xml:space="preserve">Pioneer Materials</t>
        </is>
      </c>
    </row>
    <row r="1348">
      <c r="A1348" s="0" t="inlineStr">
        <is>
          <t xml:space="preserve">a1347</t>
        </is>
      </c>
      <c r="B1348" s="0" t="inlineStr">
        <is>
          <t xml:space="preserve">energy</t>
        </is>
      </c>
      <c r="C1348" s="0" t="inlineStr">
        <is>
          <t xml:space="preserve">apac</t>
        </is>
      </c>
      <c r="D1348" s="0" t="inlineStr">
        <is>
          <t xml:space="preserve">mid_market</t>
        </is>
      </c>
      <c r="E1348" s="4">
        <v>252</v>
      </c>
      <c r="F1348" s="0" t="inlineStr">
        <is>
          <t xml:space="preserve">Atlas Retail Inc</t>
        </is>
      </c>
    </row>
    <row r="1349">
      <c r="A1349" s="0" t="inlineStr">
        <is>
          <t xml:space="preserve">a1348</t>
        </is>
      </c>
      <c r="B1349" s="0" t="inlineStr">
        <is>
          <t xml:space="preserve">public_sector</t>
        </is>
      </c>
      <c r="C1349" s="0" t="inlineStr">
        <is>
          <t xml:space="preserve">apac</t>
        </is>
      </c>
      <c r="D1349" s="0" t="inlineStr">
        <is>
          <t xml:space="preserve">smb</t>
        </is>
      </c>
      <c r="E1349" s="4">
        <v>47</v>
      </c>
      <c r="F1349" s="0" t="inlineStr">
        <is>
          <t xml:space="preserve">Keystone Learning Group</t>
        </is>
      </c>
    </row>
    <row r="1350">
      <c r="A1350" s="0" t="inlineStr">
        <is>
          <t xml:space="preserve">a1349</t>
        </is>
      </c>
      <c r="B1350" s="0" t="inlineStr">
        <is>
          <t xml:space="preserve">financial_services</t>
        </is>
      </c>
      <c r="C1350" s="0" t="inlineStr">
        <is>
          <t xml:space="preserve">amer_east</t>
        </is>
      </c>
      <c r="D1350" s="0" t="inlineStr">
        <is>
          <t xml:space="preserve">smb</t>
        </is>
      </c>
      <c r="E1350" s="4">
        <v>70</v>
      </c>
      <c r="F1350" s="0" t="inlineStr">
        <is>
          <t xml:space="preserve">Lakeside Mobility Partners</t>
        </is>
      </c>
    </row>
    <row r="1351">
      <c r="A1351" s="0" t="inlineStr">
        <is>
          <t xml:space="preserve">a1350</t>
        </is>
      </c>
      <c r="B1351" s="0" t="inlineStr">
        <is>
          <t xml:space="preserve">software</t>
        </is>
      </c>
      <c r="C1351" s="0" t="inlineStr">
        <is>
          <t xml:space="preserve">amer_east</t>
        </is>
      </c>
      <c r="D1351" s="0" t="inlineStr">
        <is>
          <t xml:space="preserve">smb</t>
        </is>
      </c>
      <c r="E1351" s="4">
        <v>28</v>
      </c>
      <c r="F1351" s="0" t="inlineStr">
        <is>
          <t xml:space="preserve">Redwood Retail Group</t>
        </is>
      </c>
    </row>
    <row r="1352">
      <c r="A1352" s="0" t="inlineStr">
        <is>
          <t xml:space="preserve">a1351</t>
        </is>
      </c>
      <c r="B1352" s="0" t="inlineStr">
        <is>
          <t xml:space="preserve">logistics</t>
        </is>
      </c>
      <c r="C1352" s="0" t="inlineStr">
        <is>
          <t xml:space="preserve">amer_east</t>
        </is>
      </c>
      <c r="D1352" s="0" t="inlineStr">
        <is>
          <t xml:space="preserve">smb</t>
        </is>
      </c>
      <c r="E1352" s="4">
        <v>50</v>
      </c>
      <c r="F1352" s="0" t="inlineStr">
        <is>
          <t xml:space="preserve">Juniper Software Inc</t>
        </is>
      </c>
    </row>
    <row r="1353">
      <c r="A1353" s="0" t="inlineStr">
        <is>
          <t xml:space="preserve">a1352</t>
        </is>
      </c>
      <c r="B1353" s="0" t="inlineStr">
        <is>
          <t xml:space="preserve">education</t>
        </is>
      </c>
      <c r="C1353" s="0" t="inlineStr">
        <is>
          <t xml:space="preserve">amer_east</t>
        </is>
      </c>
      <c r="D1353" s="0" t="inlineStr">
        <is>
          <t xml:space="preserve">mid_market</t>
        </is>
      </c>
      <c r="E1353" s="4">
        <v>887</v>
      </c>
      <c r="F1353" s="0" t="inlineStr">
        <is>
          <t xml:space="preserve">Cobalt Energy</t>
        </is>
      </c>
    </row>
    <row r="1354">
      <c r="A1354" s="0" t="inlineStr">
        <is>
          <t xml:space="preserve">a1353</t>
        </is>
      </c>
      <c r="B1354" s="0" t="inlineStr">
        <is>
          <t xml:space="preserve">logistics</t>
        </is>
      </c>
      <c r="C1354" s="0" t="inlineStr">
        <is>
          <t xml:space="preserve">amer_east</t>
        </is>
      </c>
      <c r="D1354" s="0" t="inlineStr">
        <is>
          <t xml:space="preserve">smb</t>
        </is>
      </c>
      <c r="E1354" s="4">
        <v>25</v>
      </c>
      <c r="F1354" s="0" t="inlineStr">
        <is>
          <t xml:space="preserve">Vertex Systems Ltd</t>
        </is>
      </c>
    </row>
    <row r="1355">
      <c r="A1355" s="0" t="inlineStr">
        <is>
          <t xml:space="preserve">a1354</t>
        </is>
      </c>
      <c r="B1355" s="0" t="inlineStr">
        <is>
          <t xml:space="preserve">financial_services</t>
        </is>
      </c>
      <c r="C1355" s="0" t="inlineStr">
        <is>
          <t xml:space="preserve">amer_east</t>
        </is>
      </c>
      <c r="D1355" s="0" t="inlineStr">
        <is>
          <t xml:space="preserve">smb</t>
        </is>
      </c>
      <c r="E1355" s="4">
        <v>64</v>
      </c>
      <c r="F1355" s="0" t="inlineStr">
        <is>
          <t xml:space="preserve">Granite Robotics SA</t>
        </is>
      </c>
    </row>
    <row r="1356">
      <c r="A1356" s="0" t="inlineStr">
        <is>
          <t xml:space="preserve">a1355</t>
        </is>
      </c>
      <c r="B1356" s="0" t="inlineStr">
        <is>
          <t xml:space="preserve">healthcare</t>
        </is>
      </c>
      <c r="C1356" s="0" t="inlineStr">
        <is>
          <t xml:space="preserve">amer_east</t>
        </is>
      </c>
      <c r="D1356" s="0" t="inlineStr">
        <is>
          <t xml:space="preserve">smb</t>
        </is>
      </c>
      <c r="E1356" s="4">
        <v>206</v>
      </c>
      <c r="F1356" s="0" t="inlineStr">
        <is>
          <t xml:space="preserve">Brightwater Insurance</t>
        </is>
      </c>
    </row>
    <row r="1357">
      <c r="A1357" s="0" t="inlineStr">
        <is>
          <t xml:space="preserve">a1356</t>
        </is>
      </c>
      <c r="B1357" s="0" t="inlineStr">
        <is>
          <t xml:space="preserve">education</t>
        </is>
      </c>
      <c r="C1357" s="0" t="inlineStr">
        <is>
          <t xml:space="preserve">amer_east</t>
        </is>
      </c>
      <c r="D1357" s="0" t="inlineStr">
        <is>
          <t xml:space="preserve">mid_market</t>
        </is>
      </c>
      <c r="E1357" s="4">
        <v>824</v>
      </c>
      <c r="F1357" s="0" t="inlineStr">
        <is>
          <t xml:space="preserve">Sable Logistics Holdings</t>
        </is>
      </c>
    </row>
    <row r="1358">
      <c r="A1358" s="0" t="inlineStr">
        <is>
          <t xml:space="preserve">a1357</t>
        </is>
      </c>
      <c r="B1358" s="0" t="inlineStr">
        <is>
          <t xml:space="preserve">software</t>
        </is>
      </c>
      <c r="C1358" s="0" t="inlineStr">
        <is>
          <t xml:space="preserve">amer_east</t>
        </is>
      </c>
      <c r="D1358" s="0" t="inlineStr">
        <is>
          <t xml:space="preserve">mid_market</t>
        </is>
      </c>
      <c r="E1358" s="4">
        <v>457</v>
      </c>
      <c r="F1358" s="0" t="inlineStr">
        <is>
          <t xml:space="preserve">Quantum Capital Co</t>
        </is>
      </c>
    </row>
    <row r="1359">
      <c r="A1359" s="0" t="inlineStr">
        <is>
          <t xml:space="preserve">a1358</t>
        </is>
      </c>
      <c r="B1359" s="0" t="inlineStr">
        <is>
          <t xml:space="preserve">healthcare</t>
        </is>
      </c>
      <c r="C1359" s="0" t="inlineStr">
        <is>
          <t xml:space="preserve">amer_east</t>
        </is>
      </c>
      <c r="D1359" s="0" t="inlineStr">
        <is>
          <t xml:space="preserve">smb</t>
        </is>
      </c>
      <c r="E1359" s="4">
        <v>51</v>
      </c>
      <c r="F1359" s="0" t="inlineStr">
        <is>
          <t xml:space="preserve">Vertex Media AG</t>
        </is>
      </c>
    </row>
    <row r="1360">
      <c r="A1360" s="0" t="inlineStr">
        <is>
          <t xml:space="preserve">a1359</t>
        </is>
      </c>
      <c r="B1360" s="0" t="inlineStr">
        <is>
          <t xml:space="preserve">logistics</t>
        </is>
      </c>
      <c r="C1360" s="0" t="inlineStr">
        <is>
          <t xml:space="preserve">amer_east</t>
        </is>
      </c>
      <c r="D1360" s="0" t="inlineStr">
        <is>
          <t xml:space="preserve">smb</t>
        </is>
      </c>
      <c r="E1360" s="4">
        <v>30</v>
      </c>
      <c r="F1360" s="0" t="inlineStr">
        <is>
          <t xml:space="preserve">Aurora Retail Co</t>
        </is>
      </c>
    </row>
    <row r="1361">
      <c r="A1361" s="0" t="inlineStr">
        <is>
          <t xml:space="preserve">a1360</t>
        </is>
      </c>
      <c r="B1361" s="0" t="inlineStr">
        <is>
          <t xml:space="preserve">logistics</t>
        </is>
      </c>
      <c r="C1361" s="0" t="inlineStr">
        <is>
          <t xml:space="preserve">amer_east</t>
        </is>
      </c>
      <c r="D1361" s="0" t="inlineStr">
        <is>
          <t xml:space="preserve">smb</t>
        </is>
      </c>
      <c r="E1361" s="4">
        <v>63</v>
      </c>
      <c r="F1361" s="0" t="inlineStr">
        <is>
          <t xml:space="preserve">Northwind Manufacturing</t>
        </is>
      </c>
    </row>
    <row r="1362">
      <c r="A1362" s="0" t="inlineStr">
        <is>
          <t xml:space="preserve">a1361</t>
        </is>
      </c>
      <c r="B1362" s="0" t="inlineStr">
        <is>
          <t xml:space="preserve">energy</t>
        </is>
      </c>
      <c r="C1362" s="0" t="inlineStr">
        <is>
          <t xml:space="preserve">amer_east</t>
        </is>
      </c>
      <c r="D1362" s="0" t="inlineStr">
        <is>
          <t xml:space="preserve">mid_market</t>
        </is>
      </c>
      <c r="E1362" s="4">
        <v>260</v>
      </c>
      <c r="F1362" s="0" t="inlineStr">
        <is>
          <t xml:space="preserve">Juniper Software Co</t>
        </is>
      </c>
    </row>
    <row r="1363">
      <c r="A1363" s="0" t="inlineStr">
        <is>
          <t xml:space="preserve">a1362</t>
        </is>
      </c>
      <c r="B1363" s="0" t="inlineStr">
        <is>
          <t xml:space="preserve">financial_services</t>
        </is>
      </c>
      <c r="C1363" s="0" t="inlineStr">
        <is>
          <t xml:space="preserve">amer_east</t>
        </is>
      </c>
      <c r="D1363" s="0" t="inlineStr">
        <is>
          <t xml:space="preserve">smb</t>
        </is>
      </c>
      <c r="E1363" s="4">
        <v>25</v>
      </c>
      <c r="F1363" s="0" t="inlineStr">
        <is>
          <t xml:space="preserve">Pioneer Learning Ltd</t>
        </is>
      </c>
    </row>
    <row r="1364">
      <c r="A1364" s="0" t="inlineStr">
        <is>
          <t xml:space="preserve">a1363</t>
        </is>
      </c>
      <c r="B1364" s="0" t="inlineStr">
        <is>
          <t xml:space="preserve">healthcare</t>
        </is>
      </c>
      <c r="C1364" s="0" t="inlineStr">
        <is>
          <t xml:space="preserve">amer_east</t>
        </is>
      </c>
      <c r="D1364" s="0" t="inlineStr">
        <is>
          <t xml:space="preserve">mid_market</t>
        </is>
      </c>
      <c r="E1364" s="4">
        <v>490</v>
      </c>
      <c r="F1364" s="0" t="inlineStr">
        <is>
          <t xml:space="preserve">Orchard Health Group</t>
        </is>
      </c>
    </row>
    <row r="1365">
      <c r="A1365" s="0" t="inlineStr">
        <is>
          <t xml:space="preserve">a1364</t>
        </is>
      </c>
      <c r="B1365" s="0" t="inlineStr">
        <is>
          <t xml:space="preserve">logistics</t>
        </is>
      </c>
      <c r="C1365" s="0" t="inlineStr">
        <is>
          <t xml:space="preserve">amer_east</t>
        </is>
      </c>
      <c r="D1365" s="0" t="inlineStr">
        <is>
          <t xml:space="preserve">mid_market</t>
        </is>
      </c>
      <c r="E1365" s="4">
        <v>334</v>
      </c>
      <c r="F1365" s="0" t="inlineStr">
        <is>
          <t xml:space="preserve">Atlas Materials Holdings</t>
        </is>
      </c>
    </row>
    <row r="1366">
      <c r="A1366" s="0" t="inlineStr">
        <is>
          <t xml:space="preserve">a1365</t>
        </is>
      </c>
      <c r="B1366" s="0" t="inlineStr">
        <is>
          <t xml:space="preserve">software</t>
        </is>
      </c>
      <c r="C1366" s="0" t="inlineStr">
        <is>
          <t xml:space="preserve">amer_east</t>
        </is>
      </c>
      <c r="D1366" s="0" t="inlineStr">
        <is>
          <t xml:space="preserve">smb</t>
        </is>
      </c>
      <c r="E1366" s="4">
        <v>33</v>
      </c>
      <c r="F1366" s="0" t="inlineStr">
        <is>
          <t xml:space="preserve">Aurora Health SA</t>
        </is>
      </c>
    </row>
    <row r="1367">
      <c r="A1367" s="0" t="inlineStr">
        <is>
          <t xml:space="preserve">a1366</t>
        </is>
      </c>
      <c r="B1367" s="0" t="inlineStr">
        <is>
          <t xml:space="preserve">energy</t>
        </is>
      </c>
      <c r="C1367" s="0" t="inlineStr">
        <is>
          <t xml:space="preserve">amer_east</t>
        </is>
      </c>
      <c r="D1367" s="0" t="inlineStr">
        <is>
          <t xml:space="preserve">enterprise</t>
        </is>
      </c>
      <c r="E1367" s="4">
        <v>8117</v>
      </c>
      <c r="F1367" s="0" t="inlineStr">
        <is>
          <t xml:space="preserve">Lakeside Foods Inc</t>
        </is>
      </c>
    </row>
    <row r="1368">
      <c r="A1368" s="0" t="inlineStr">
        <is>
          <t xml:space="preserve">a1367</t>
        </is>
      </c>
      <c r="B1368" s="0" t="inlineStr">
        <is>
          <t xml:space="preserve">healthcare</t>
        </is>
      </c>
      <c r="C1368" s="0" t="inlineStr">
        <is>
          <t xml:space="preserve">amer_east</t>
        </is>
      </c>
      <c r="D1368" s="0" t="inlineStr">
        <is>
          <t xml:space="preserve">enterprise</t>
        </is>
      </c>
      <c r="E1368" s="4">
        <v>4450</v>
      </c>
      <c r="F1368" s="0" t="inlineStr">
        <is>
          <t xml:space="preserve">Silverline Financial Partners</t>
        </is>
      </c>
    </row>
    <row r="1369">
      <c r="A1369" s="0" t="inlineStr">
        <is>
          <t xml:space="preserve">a1368</t>
        </is>
      </c>
      <c r="B1369" s="0" t="inlineStr">
        <is>
          <t xml:space="preserve">software</t>
        </is>
      </c>
      <c r="C1369" s="0" t="inlineStr">
        <is>
          <t xml:space="preserve">amer_east</t>
        </is>
      </c>
      <c r="D1369" s="0" t="inlineStr">
        <is>
          <t xml:space="preserve">smb</t>
        </is>
      </c>
      <c r="E1369" s="4">
        <v>34</v>
      </c>
      <c r="F1369" s="0" t="inlineStr">
        <is>
          <t xml:space="preserve">Harbor Manufacturing Partners</t>
        </is>
      </c>
    </row>
    <row r="1370">
      <c r="A1370" s="0" t="inlineStr">
        <is>
          <t xml:space="preserve">a1369</t>
        </is>
      </c>
      <c r="B1370" s="0" t="inlineStr">
        <is>
          <t xml:space="preserve">financial_services</t>
        </is>
      </c>
      <c r="C1370" s="0" t="inlineStr">
        <is>
          <t xml:space="preserve">amer_east</t>
        </is>
      </c>
      <c r="D1370" s="0" t="inlineStr">
        <is>
          <t xml:space="preserve">mid_market</t>
        </is>
      </c>
      <c r="E1370" s="4">
        <v>983</v>
      </c>
      <c r="F1370" s="0" t="inlineStr">
        <is>
          <t xml:space="preserve">Copper Systems Holdings</t>
        </is>
      </c>
    </row>
    <row r="1371">
      <c r="A1371" s="0" t="inlineStr">
        <is>
          <t xml:space="preserve">a1370</t>
        </is>
      </c>
      <c r="B1371" s="0" t="inlineStr">
        <is>
          <t xml:space="preserve">software</t>
        </is>
      </c>
      <c r="C1371" s="0" t="inlineStr">
        <is>
          <t xml:space="preserve">amer_east</t>
        </is>
      </c>
      <c r="D1371" s="0" t="inlineStr">
        <is>
          <t xml:space="preserve">smb</t>
        </is>
      </c>
      <c r="E1371" s="4">
        <v>24</v>
      </c>
      <c r="F1371" s="0" t="inlineStr">
        <is>
          <t xml:space="preserve">Blue Harbor Labs Inc</t>
        </is>
      </c>
    </row>
    <row r="1372">
      <c r="A1372" s="0" t="inlineStr">
        <is>
          <t xml:space="preserve">a1371</t>
        </is>
      </c>
      <c r="B1372" s="0" t="inlineStr">
        <is>
          <t xml:space="preserve">software</t>
        </is>
      </c>
      <c r="C1372" s="0" t="inlineStr">
        <is>
          <t xml:space="preserve">amer_west</t>
        </is>
      </c>
      <c r="D1372" s="0" t="inlineStr">
        <is>
          <t xml:space="preserve">smb</t>
        </is>
      </c>
      <c r="E1372" s="4">
        <v>25</v>
      </c>
      <c r="F1372" s="0" t="inlineStr">
        <is>
          <t xml:space="preserve">Beacon Software AG</t>
        </is>
      </c>
    </row>
    <row r="1373">
      <c r="A1373" s="0" t="inlineStr">
        <is>
          <t xml:space="preserve">a1372</t>
        </is>
      </c>
      <c r="B1373" s="0" t="inlineStr">
        <is>
          <t xml:space="preserve">software</t>
        </is>
      </c>
      <c r="C1373" s="0" t="inlineStr">
        <is>
          <t xml:space="preserve">amer_west</t>
        </is>
      </c>
      <c r="D1373" s="0" t="inlineStr">
        <is>
          <t xml:space="preserve">smb</t>
        </is>
      </c>
      <c r="E1373" s="4">
        <v>52</v>
      </c>
      <c r="F1373" s="0" t="inlineStr">
        <is>
          <t xml:space="preserve">Brightwater Biotech SA</t>
        </is>
      </c>
    </row>
    <row r="1374">
      <c r="A1374" s="0" t="inlineStr">
        <is>
          <t xml:space="preserve">a1373</t>
        </is>
      </c>
      <c r="B1374" s="0" t="inlineStr">
        <is>
          <t xml:space="preserve">retail</t>
        </is>
      </c>
      <c r="C1374" s="0" t="inlineStr">
        <is>
          <t xml:space="preserve">amer_west</t>
        </is>
      </c>
      <c r="D1374" s="0" t="inlineStr">
        <is>
          <t xml:space="preserve">mid_market</t>
        </is>
      </c>
      <c r="E1374" s="4">
        <v>398</v>
      </c>
      <c r="F1374" s="0" t="inlineStr">
        <is>
          <t xml:space="preserve">Harbor Media AG</t>
        </is>
      </c>
    </row>
    <row r="1375">
      <c r="A1375" s="0" t="inlineStr">
        <is>
          <t xml:space="preserve">a1374</t>
        </is>
      </c>
      <c r="B1375" s="0" t="inlineStr">
        <is>
          <t xml:space="preserve">financial_services</t>
        </is>
      </c>
      <c r="C1375" s="0" t="inlineStr">
        <is>
          <t xml:space="preserve">amer_west</t>
        </is>
      </c>
      <c r="D1375" s="0" t="inlineStr">
        <is>
          <t xml:space="preserve">enterprise</t>
        </is>
      </c>
      <c r="E1375" s="4">
        <v>2694</v>
      </c>
      <c r="F1375" s="0" t="inlineStr">
        <is>
          <t xml:space="preserve">Ironbridge Materials SA</t>
        </is>
      </c>
    </row>
    <row r="1376">
      <c r="A1376" s="0" t="inlineStr">
        <is>
          <t xml:space="preserve">a1375</t>
        </is>
      </c>
      <c r="B1376" s="0" t="inlineStr">
        <is>
          <t xml:space="preserve">financial_services</t>
        </is>
      </c>
      <c r="C1376" s="0" t="inlineStr">
        <is>
          <t xml:space="preserve">amer_west</t>
        </is>
      </c>
      <c r="D1376" s="0" t="inlineStr">
        <is>
          <t xml:space="preserve">smb</t>
        </is>
      </c>
      <c r="E1376" s="4">
        <v>20</v>
      </c>
      <c r="F1376" s="0" t="inlineStr">
        <is>
          <t xml:space="preserve">Cobalt Manufacturing SA</t>
        </is>
      </c>
    </row>
    <row r="1377">
      <c r="A1377" s="0" t="inlineStr">
        <is>
          <t xml:space="preserve">a1376</t>
        </is>
      </c>
      <c r="B1377" s="0" t="inlineStr">
        <is>
          <t xml:space="preserve">logistics</t>
        </is>
      </c>
      <c r="C1377" s="0" t="inlineStr">
        <is>
          <t xml:space="preserve">amer_west</t>
        </is>
      </c>
      <c r="D1377" s="0" t="inlineStr">
        <is>
          <t xml:space="preserve">smb</t>
        </is>
      </c>
      <c r="E1377" s="4">
        <v>21</v>
      </c>
      <c r="F1377" s="0" t="inlineStr">
        <is>
          <t xml:space="preserve">Tidewater Materials</t>
        </is>
      </c>
    </row>
    <row r="1378">
      <c r="A1378" s="0" t="inlineStr">
        <is>
          <t xml:space="preserve">a1377</t>
        </is>
      </c>
      <c r="B1378" s="0" t="inlineStr">
        <is>
          <t xml:space="preserve">healthcare</t>
        </is>
      </c>
      <c r="C1378" s="0" t="inlineStr">
        <is>
          <t xml:space="preserve">amer_west</t>
        </is>
      </c>
      <c r="D1378" s="0" t="inlineStr">
        <is>
          <t xml:space="preserve">mid_market</t>
        </is>
      </c>
      <c r="E1378" s="4">
        <v>340</v>
      </c>
      <c r="F1378" s="0" t="inlineStr">
        <is>
          <t xml:space="preserve">Orchard Networks Co</t>
        </is>
      </c>
    </row>
    <row r="1379">
      <c r="A1379" s="0" t="inlineStr">
        <is>
          <t xml:space="preserve">a1378</t>
        </is>
      </c>
      <c r="B1379" s="0" t="inlineStr">
        <is>
          <t xml:space="preserve">logistics</t>
        </is>
      </c>
      <c r="C1379" s="0" t="inlineStr">
        <is>
          <t xml:space="preserve">amer_west</t>
        </is>
      </c>
      <c r="D1379" s="0" t="inlineStr">
        <is>
          <t xml:space="preserve">smb</t>
        </is>
      </c>
      <c r="E1379" s="4">
        <v>23</v>
      </c>
      <c r="F1379" s="0" t="inlineStr">
        <is>
          <t xml:space="preserve">Copper Retail AG</t>
        </is>
      </c>
    </row>
    <row r="1380">
      <c r="A1380" s="0" t="inlineStr">
        <is>
          <t xml:space="preserve">a1379</t>
        </is>
      </c>
      <c r="B1380" s="0" t="inlineStr">
        <is>
          <t xml:space="preserve">software</t>
        </is>
      </c>
      <c r="C1380" s="0" t="inlineStr">
        <is>
          <t xml:space="preserve">amer_west</t>
        </is>
      </c>
      <c r="D1380" s="0" t="inlineStr">
        <is>
          <t xml:space="preserve">mid_market</t>
        </is>
      </c>
      <c r="E1380" s="4">
        <v>324</v>
      </c>
      <c r="F1380" s="0" t="inlineStr">
        <is>
          <t xml:space="preserve">Meridian Labs Partners</t>
        </is>
      </c>
    </row>
    <row r="1381">
      <c r="A1381" s="0" t="inlineStr">
        <is>
          <t xml:space="preserve">a1380</t>
        </is>
      </c>
      <c r="B1381" s="0" t="inlineStr">
        <is>
          <t xml:space="preserve">financial_services</t>
        </is>
      </c>
      <c r="C1381" s="0" t="inlineStr">
        <is>
          <t xml:space="preserve">amer_west</t>
        </is>
      </c>
      <c r="D1381" s="0" t="inlineStr">
        <is>
          <t xml:space="preserve">enterprise</t>
        </is>
      </c>
      <c r="E1381" s="4">
        <v>7394</v>
      </c>
      <c r="F1381" s="0" t="inlineStr">
        <is>
          <t xml:space="preserve">Juniper Foods</t>
        </is>
      </c>
    </row>
    <row r="1382">
      <c r="A1382" s="0" t="inlineStr">
        <is>
          <t xml:space="preserve">a1381</t>
        </is>
      </c>
      <c r="B1382" s="0" t="inlineStr">
        <is>
          <t xml:space="preserve">retail</t>
        </is>
      </c>
      <c r="C1382" s="0" t="inlineStr">
        <is>
          <t xml:space="preserve">amer_west</t>
        </is>
      </c>
      <c r="D1382" s="0" t="inlineStr">
        <is>
          <t xml:space="preserve">mid_market</t>
        </is>
      </c>
      <c r="E1382" s="4">
        <v>508</v>
      </c>
      <c r="F1382" s="0" t="inlineStr">
        <is>
          <t xml:space="preserve">Brightwater Capital Partners</t>
        </is>
      </c>
    </row>
    <row r="1383">
      <c r="A1383" s="0" t="inlineStr">
        <is>
          <t xml:space="preserve">a1382</t>
        </is>
      </c>
      <c r="B1383" s="0" t="inlineStr">
        <is>
          <t xml:space="preserve">software</t>
        </is>
      </c>
      <c r="C1383" s="0" t="inlineStr">
        <is>
          <t xml:space="preserve">amer_west</t>
        </is>
      </c>
      <c r="D1383" s="0" t="inlineStr">
        <is>
          <t xml:space="preserve">smb</t>
        </is>
      </c>
      <c r="E1383" s="4">
        <v>23</v>
      </c>
      <c r="F1383" s="0" t="inlineStr">
        <is>
          <t xml:space="preserve">Copper Foods Group</t>
        </is>
      </c>
    </row>
    <row r="1384">
      <c r="A1384" s="0" t="inlineStr">
        <is>
          <t xml:space="preserve">a1383</t>
        </is>
      </c>
      <c r="B1384" s="0" t="inlineStr">
        <is>
          <t xml:space="preserve">financial_services</t>
        </is>
      </c>
      <c r="C1384" s="0" t="inlineStr">
        <is>
          <t xml:space="preserve">amer_west</t>
        </is>
      </c>
      <c r="D1384" s="0" t="inlineStr">
        <is>
          <t xml:space="preserve">enterprise</t>
        </is>
      </c>
      <c r="E1384" s="4">
        <v>7153</v>
      </c>
      <c r="F1384" s="0" t="inlineStr">
        <is>
          <t xml:space="preserve">Quantum Financial Holdings</t>
        </is>
      </c>
    </row>
    <row r="1385">
      <c r="A1385" s="0" t="inlineStr">
        <is>
          <t xml:space="preserve">a1384</t>
        </is>
      </c>
      <c r="B1385" s="0" t="inlineStr">
        <is>
          <t xml:space="preserve">software</t>
        </is>
      </c>
      <c r="C1385" s="0" t="inlineStr">
        <is>
          <t xml:space="preserve">amer_west</t>
        </is>
      </c>
      <c r="D1385" s="0" t="inlineStr">
        <is>
          <t xml:space="preserve">mid_market</t>
        </is>
      </c>
      <c r="E1385" s="4">
        <v>362</v>
      </c>
      <c r="F1385" s="0" t="inlineStr">
        <is>
          <t xml:space="preserve">Juniper Financial Group</t>
        </is>
      </c>
    </row>
    <row r="1386">
      <c r="A1386" s="0" t="inlineStr">
        <is>
          <t xml:space="preserve">a1385</t>
        </is>
      </c>
      <c r="B1386" s="0" t="inlineStr">
        <is>
          <t xml:space="preserve">software</t>
        </is>
      </c>
      <c r="C1386" s="0" t="inlineStr">
        <is>
          <t xml:space="preserve">emea</t>
        </is>
      </c>
      <c r="D1386" s="0" t="inlineStr">
        <is>
          <t xml:space="preserve">smb</t>
        </is>
      </c>
      <c r="E1386" s="4">
        <v>20</v>
      </c>
      <c r="F1386" s="0" t="inlineStr">
        <is>
          <t xml:space="preserve">Cobalt Mobility Co</t>
        </is>
      </c>
    </row>
    <row r="1387">
      <c r="A1387" s="0" t="inlineStr">
        <is>
          <t xml:space="preserve">a1386</t>
        </is>
      </c>
      <c r="B1387" s="0" t="inlineStr">
        <is>
          <t xml:space="preserve">media</t>
        </is>
      </c>
      <c r="C1387" s="0" t="inlineStr">
        <is>
          <t xml:space="preserve">emea</t>
        </is>
      </c>
      <c r="D1387" s="0" t="inlineStr">
        <is>
          <t xml:space="preserve">enterprise</t>
        </is>
      </c>
      <c r="E1387" s="4">
        <v>3115</v>
      </c>
      <c r="F1387" s="0" t="inlineStr">
        <is>
          <t xml:space="preserve">Umber Biotech</t>
        </is>
      </c>
    </row>
    <row r="1388">
      <c r="A1388" s="0" t="inlineStr">
        <is>
          <t xml:space="preserve">a1387</t>
        </is>
      </c>
      <c r="B1388" s="0" t="inlineStr">
        <is>
          <t xml:space="preserve">financial_services</t>
        </is>
      </c>
      <c r="C1388" s="0" t="inlineStr">
        <is>
          <t xml:space="preserve">emea</t>
        </is>
      </c>
      <c r="D1388" s="0" t="inlineStr">
        <is>
          <t xml:space="preserve">smb</t>
        </is>
      </c>
      <c r="E1388" s="4">
        <v>89</v>
      </c>
      <c r="F1388" s="0" t="inlineStr">
        <is>
          <t xml:space="preserve">Meridian Software</t>
        </is>
      </c>
    </row>
    <row r="1389">
      <c r="A1389" s="0" t="inlineStr">
        <is>
          <t xml:space="preserve">a1388</t>
        </is>
      </c>
      <c r="B1389" s="0" t="inlineStr">
        <is>
          <t xml:space="preserve">financial_services</t>
        </is>
      </c>
      <c r="C1389" s="0" t="inlineStr">
        <is>
          <t xml:space="preserve">emea</t>
        </is>
      </c>
      <c r="D1389" s="0" t="inlineStr">
        <is>
          <t xml:space="preserve">smb</t>
        </is>
      </c>
      <c r="E1389" s="4">
        <v>24</v>
      </c>
      <c r="F1389" s="0" t="inlineStr">
        <is>
          <t xml:space="preserve">Vertex Analytics</t>
        </is>
      </c>
    </row>
    <row r="1390">
      <c r="A1390" s="0" t="inlineStr">
        <is>
          <t xml:space="preserve">a1389</t>
        </is>
      </c>
      <c r="B1390" s="0" t="inlineStr">
        <is>
          <t xml:space="preserve">financial_services</t>
        </is>
      </c>
      <c r="C1390" s="0" t="inlineStr">
        <is>
          <t xml:space="preserve">emea</t>
        </is>
      </c>
      <c r="D1390" s="0" t="inlineStr">
        <is>
          <t xml:space="preserve">smb</t>
        </is>
      </c>
      <c r="E1390" s="4">
        <v>26</v>
      </c>
      <c r="F1390" s="0" t="inlineStr">
        <is>
          <t xml:space="preserve">Silverline Robotics Inc</t>
        </is>
      </c>
    </row>
    <row r="1391">
      <c r="A1391" s="0" t="inlineStr">
        <is>
          <t xml:space="preserve">a1390</t>
        </is>
      </c>
      <c r="B1391" s="0" t="inlineStr">
        <is>
          <t xml:space="preserve">manufacturing</t>
        </is>
      </c>
      <c r="C1391" s="0" t="inlineStr">
        <is>
          <t xml:space="preserve">emea</t>
        </is>
      </c>
      <c r="D1391" s="0" t="inlineStr">
        <is>
          <t xml:space="preserve">mid_market</t>
        </is>
      </c>
      <c r="E1391" s="4">
        <v>959</v>
      </c>
      <c r="F1391" s="0" t="inlineStr">
        <is>
          <t xml:space="preserve">Harbor Robotics Inc</t>
        </is>
      </c>
    </row>
    <row r="1392">
      <c r="A1392" s="0" t="inlineStr">
        <is>
          <t xml:space="preserve">a1391</t>
        </is>
      </c>
      <c r="B1392" s="0" t="inlineStr">
        <is>
          <t xml:space="preserve">public_sector</t>
        </is>
      </c>
      <c r="C1392" s="0" t="inlineStr">
        <is>
          <t xml:space="preserve">emea</t>
        </is>
      </c>
      <c r="D1392" s="0" t="inlineStr">
        <is>
          <t xml:space="preserve">mid_market</t>
        </is>
      </c>
      <c r="E1392" s="4">
        <v>1768</v>
      </c>
      <c r="F1392" s="0" t="inlineStr">
        <is>
          <t xml:space="preserve">Atlas Foods Ltd</t>
        </is>
      </c>
    </row>
    <row r="1393">
      <c r="A1393" s="0" t="inlineStr">
        <is>
          <t xml:space="preserve">a1392</t>
        </is>
      </c>
      <c r="B1393" s="0" t="inlineStr">
        <is>
          <t xml:space="preserve">financial_services</t>
        </is>
      </c>
      <c r="C1393" s="0" t="inlineStr">
        <is>
          <t xml:space="preserve">emea</t>
        </is>
      </c>
      <c r="D1393" s="0" t="inlineStr">
        <is>
          <t xml:space="preserve">enterprise</t>
        </is>
      </c>
      <c r="E1393" s="4">
        <v>22579</v>
      </c>
      <c r="F1393" s="0" t="inlineStr">
        <is>
          <t xml:space="preserve">Aurora Media Holdings</t>
        </is>
      </c>
    </row>
    <row r="1394">
      <c r="A1394" s="0" t="inlineStr">
        <is>
          <t xml:space="preserve">a1393</t>
        </is>
      </c>
      <c r="B1394" s="0" t="inlineStr">
        <is>
          <t xml:space="preserve">manufacturing</t>
        </is>
      </c>
      <c r="C1394" s="0" t="inlineStr">
        <is>
          <t xml:space="preserve">emea</t>
        </is>
      </c>
      <c r="D1394" s="0" t="inlineStr">
        <is>
          <t xml:space="preserve">mid_market</t>
        </is>
      </c>
      <c r="E1394" s="4">
        <v>373</v>
      </c>
      <c r="F1394" s="0" t="inlineStr">
        <is>
          <t xml:space="preserve">Granite Insurance</t>
        </is>
      </c>
    </row>
    <row r="1395">
      <c r="A1395" s="0" t="inlineStr">
        <is>
          <t xml:space="preserve">a1394</t>
        </is>
      </c>
      <c r="B1395" s="0" t="inlineStr">
        <is>
          <t xml:space="preserve">software</t>
        </is>
      </c>
      <c r="C1395" s="0" t="inlineStr">
        <is>
          <t xml:space="preserve">emea</t>
        </is>
      </c>
      <c r="D1395" s="0" t="inlineStr">
        <is>
          <t xml:space="preserve">smb</t>
        </is>
      </c>
      <c r="E1395" s="4">
        <v>32</v>
      </c>
      <c r="F1395" s="0" t="inlineStr">
        <is>
          <t xml:space="preserve">Granite Materials SA</t>
        </is>
      </c>
    </row>
    <row r="1396">
      <c r="A1396" s="0" t="inlineStr">
        <is>
          <t xml:space="preserve">a1395</t>
        </is>
      </c>
      <c r="B1396" s="0" t="inlineStr">
        <is>
          <t xml:space="preserve">public_sector</t>
        </is>
      </c>
      <c r="C1396" s="0" t="inlineStr">
        <is>
          <t xml:space="preserve">emea</t>
        </is>
      </c>
      <c r="D1396" s="0" t="inlineStr">
        <is>
          <t xml:space="preserve">mid_market</t>
        </is>
      </c>
      <c r="E1396" s="4">
        <v>287</v>
      </c>
      <c r="F1396" s="0" t="inlineStr">
        <is>
          <t xml:space="preserve">Keystone Analytics Group</t>
        </is>
      </c>
    </row>
    <row r="1397">
      <c r="A1397" s="0" t="inlineStr">
        <is>
          <t xml:space="preserve">a1396</t>
        </is>
      </c>
      <c r="B1397" s="0" t="inlineStr">
        <is>
          <t xml:space="preserve">media</t>
        </is>
      </c>
      <c r="C1397" s="0" t="inlineStr">
        <is>
          <t xml:space="preserve">emea</t>
        </is>
      </c>
      <c r="D1397" s="0" t="inlineStr">
        <is>
          <t xml:space="preserve">smb</t>
        </is>
      </c>
      <c r="E1397" s="4">
        <v>49</v>
      </c>
      <c r="F1397" s="0" t="inlineStr">
        <is>
          <t xml:space="preserve">Meridian Capital Ltd</t>
        </is>
      </c>
    </row>
    <row r="1398">
      <c r="A1398" s="0" t="inlineStr">
        <is>
          <t xml:space="preserve">a1397</t>
        </is>
      </c>
      <c r="B1398" s="0" t="inlineStr">
        <is>
          <t xml:space="preserve">financial_services</t>
        </is>
      </c>
      <c r="C1398" s="0" t="inlineStr">
        <is>
          <t xml:space="preserve">emea</t>
        </is>
      </c>
      <c r="D1398" s="0" t="inlineStr">
        <is>
          <t xml:space="preserve">enterprise</t>
        </is>
      </c>
      <c r="E1398" s="4">
        <v>4432</v>
      </c>
      <c r="F1398" s="0" t="inlineStr">
        <is>
          <t xml:space="preserve">Cobalt Financial Co</t>
        </is>
      </c>
    </row>
    <row r="1399">
      <c r="A1399" s="0" t="inlineStr">
        <is>
          <t xml:space="preserve">a1398</t>
        </is>
      </c>
      <c r="B1399" s="0" t="inlineStr">
        <is>
          <t xml:space="preserve">financial_services</t>
        </is>
      </c>
      <c r="C1399" s="0" t="inlineStr">
        <is>
          <t xml:space="preserve">emea</t>
        </is>
      </c>
      <c r="D1399" s="0" t="inlineStr">
        <is>
          <t xml:space="preserve">smb</t>
        </is>
      </c>
      <c r="E1399" s="4">
        <v>28</v>
      </c>
      <c r="F1399" s="0" t="inlineStr">
        <is>
          <t xml:space="preserve">Atlas Financial Co</t>
        </is>
      </c>
    </row>
    <row r="1400">
      <c r="A1400" s="0" t="inlineStr">
        <is>
          <t xml:space="preserve">a1399</t>
        </is>
      </c>
      <c r="B1400" s="0" t="inlineStr">
        <is>
          <t xml:space="preserve">public_sector</t>
        </is>
      </c>
      <c r="C1400" s="0" t="inlineStr">
        <is>
          <t xml:space="preserve">emea</t>
        </is>
      </c>
      <c r="D1400" s="0" t="inlineStr">
        <is>
          <t xml:space="preserve">smb</t>
        </is>
      </c>
      <c r="E1400" s="4">
        <v>109</v>
      </c>
      <c r="F1400" s="0" t="inlineStr">
        <is>
          <t xml:space="preserve">Sable Financial Ltd</t>
        </is>
      </c>
    </row>
    <row r="1401">
      <c r="A1401" s="0" t="inlineStr">
        <is>
          <t xml:space="preserve">a1400</t>
        </is>
      </c>
      <c r="B1401" s="0" t="inlineStr">
        <is>
          <t xml:space="preserve">retail</t>
        </is>
      </c>
      <c r="C1401" s="0" t="inlineStr">
        <is>
          <t xml:space="preserve">emea</t>
        </is>
      </c>
      <c r="D1401" s="0" t="inlineStr">
        <is>
          <t xml:space="preserve">mid_market</t>
        </is>
      </c>
      <c r="E1401" s="4">
        <v>508</v>
      </c>
      <c r="F1401" s="0" t="inlineStr">
        <is>
          <t xml:space="preserve">Pioneer Capital Ltd</t>
        </is>
      </c>
    </row>
    <row r="1402">
      <c r="A1402" s="0" t="inlineStr">
        <is>
          <t xml:space="preserve">a1401</t>
        </is>
      </c>
      <c r="B1402" s="0" t="inlineStr">
        <is>
          <t xml:space="preserve">healthcare</t>
        </is>
      </c>
      <c r="C1402" s="0" t="inlineStr">
        <is>
          <t xml:space="preserve">emea</t>
        </is>
      </c>
      <c r="D1402" s="0" t="inlineStr">
        <is>
          <t xml:space="preserve">mid_market</t>
        </is>
      </c>
      <c r="E1402" s="4">
        <v>388</v>
      </c>
      <c r="F1402" s="0" t="inlineStr">
        <is>
          <t xml:space="preserve">Quantum Logistics</t>
        </is>
      </c>
    </row>
    <row r="1403">
      <c r="A1403" s="0" t="inlineStr">
        <is>
          <t xml:space="preserve">a1402</t>
        </is>
      </c>
      <c r="B1403" s="0" t="inlineStr">
        <is>
          <t xml:space="preserve">healthcare</t>
        </is>
      </c>
      <c r="C1403" s="0" t="inlineStr">
        <is>
          <t xml:space="preserve">emea</t>
        </is>
      </c>
      <c r="D1403" s="0" t="inlineStr">
        <is>
          <t xml:space="preserve">enterprise</t>
        </is>
      </c>
      <c r="E1403" s="4">
        <v>8038</v>
      </c>
      <c r="F1403" s="0" t="inlineStr">
        <is>
          <t xml:space="preserve">Beacon Capital Group</t>
        </is>
      </c>
    </row>
    <row r="1404">
      <c r="A1404" s="0" t="inlineStr">
        <is>
          <t xml:space="preserve">a1403</t>
        </is>
      </c>
      <c r="B1404" s="0" t="inlineStr">
        <is>
          <t xml:space="preserve">manufacturing</t>
        </is>
      </c>
      <c r="C1404" s="0" t="inlineStr">
        <is>
          <t xml:space="preserve">emea</t>
        </is>
      </c>
      <c r="D1404" s="0" t="inlineStr">
        <is>
          <t xml:space="preserve">smb</t>
        </is>
      </c>
      <c r="E1404" s="4">
        <v>38</v>
      </c>
      <c r="F1404" s="0" t="inlineStr">
        <is>
          <t xml:space="preserve">Aurora Retail SA</t>
        </is>
      </c>
    </row>
    <row r="1405">
      <c r="A1405" s="0" t="inlineStr">
        <is>
          <t xml:space="preserve">a1404</t>
        </is>
      </c>
      <c r="B1405" s="0" t="inlineStr">
        <is>
          <t xml:space="preserve">financial_services</t>
        </is>
      </c>
      <c r="C1405" s="0" t="inlineStr">
        <is>
          <t xml:space="preserve">emea</t>
        </is>
      </c>
      <c r="D1405" s="0" t="inlineStr">
        <is>
          <t xml:space="preserve">mid_market</t>
        </is>
      </c>
      <c r="E1405" s="4">
        <v>258</v>
      </c>
      <c r="F1405" s="0" t="inlineStr">
        <is>
          <t xml:space="preserve">Granite Analytics SA</t>
        </is>
      </c>
    </row>
    <row r="1406">
      <c r="A1406" s="0" t="inlineStr">
        <is>
          <t xml:space="preserve">a1405</t>
        </is>
      </c>
      <c r="B1406" s="0" t="inlineStr">
        <is>
          <t xml:space="preserve">energy</t>
        </is>
      </c>
      <c r="C1406" s="0" t="inlineStr">
        <is>
          <t xml:space="preserve">emea</t>
        </is>
      </c>
      <c r="D1406" s="0" t="inlineStr">
        <is>
          <t xml:space="preserve">mid_market</t>
        </is>
      </c>
      <c r="E1406" s="4">
        <v>287</v>
      </c>
      <c r="F1406" s="0" t="inlineStr">
        <is>
          <t xml:space="preserve">Pioneer Capital</t>
        </is>
      </c>
    </row>
    <row r="1407">
      <c r="A1407" s="0" t="inlineStr">
        <is>
          <t xml:space="preserve">a1406</t>
        </is>
      </c>
      <c r="B1407" s="0" t="inlineStr">
        <is>
          <t xml:space="preserve">financial_services</t>
        </is>
      </c>
      <c r="C1407" s="0" t="inlineStr">
        <is>
          <t xml:space="preserve">emea</t>
        </is>
      </c>
      <c r="D1407" s="0" t="inlineStr">
        <is>
          <t xml:space="preserve">mid_market</t>
        </is>
      </c>
      <c r="E1407" s="4">
        <v>305</v>
      </c>
      <c r="F1407" s="0" t="inlineStr">
        <is>
          <t xml:space="preserve">Juniper Systems Ltd</t>
        </is>
      </c>
    </row>
    <row r="1408">
      <c r="A1408" s="0" t="inlineStr">
        <is>
          <t xml:space="preserve">a1407</t>
        </is>
      </c>
      <c r="B1408" s="0" t="inlineStr">
        <is>
          <t xml:space="preserve">media</t>
        </is>
      </c>
      <c r="C1408" s="0" t="inlineStr">
        <is>
          <t xml:space="preserve">emea</t>
        </is>
      </c>
      <c r="D1408" s="0" t="inlineStr">
        <is>
          <t xml:space="preserve">smb</t>
        </is>
      </c>
      <c r="E1408" s="4">
        <v>129</v>
      </c>
      <c r="F1408" s="0" t="inlineStr">
        <is>
          <t xml:space="preserve">Cascade Logistics AG</t>
        </is>
      </c>
    </row>
    <row r="1409">
      <c r="A1409" s="0" t="inlineStr">
        <is>
          <t xml:space="preserve">a1408</t>
        </is>
      </c>
      <c r="B1409" s="0" t="inlineStr">
        <is>
          <t xml:space="preserve">energy</t>
        </is>
      </c>
      <c r="C1409" s="0" t="inlineStr">
        <is>
          <t xml:space="preserve">emea</t>
        </is>
      </c>
      <c r="D1409" s="0" t="inlineStr">
        <is>
          <t xml:space="preserve">smb</t>
        </is>
      </c>
      <c r="E1409" s="4">
        <v>126</v>
      </c>
      <c r="F1409" s="0" t="inlineStr">
        <is>
          <t xml:space="preserve">Horizon Health Inc</t>
        </is>
      </c>
    </row>
    <row r="1410">
      <c r="A1410" s="0" t="inlineStr">
        <is>
          <t xml:space="preserve">a1409</t>
        </is>
      </c>
      <c r="B1410" s="0" t="inlineStr">
        <is>
          <t xml:space="preserve">software</t>
        </is>
      </c>
      <c r="C1410" s="0" t="inlineStr">
        <is>
          <t xml:space="preserve">apac</t>
        </is>
      </c>
      <c r="D1410" s="0" t="inlineStr">
        <is>
          <t xml:space="preserve">mid_market</t>
        </is>
      </c>
      <c r="E1410" s="4">
        <v>487</v>
      </c>
      <c r="F1410" s="0" t="inlineStr">
        <is>
          <t xml:space="preserve">Cascade Financial SA</t>
        </is>
      </c>
    </row>
    <row r="1411">
      <c r="A1411" s="0" t="inlineStr">
        <is>
          <t xml:space="preserve">a1410</t>
        </is>
      </c>
      <c r="B1411" s="0" t="inlineStr">
        <is>
          <t xml:space="preserve">retail</t>
        </is>
      </c>
      <c r="C1411" s="0" t="inlineStr">
        <is>
          <t xml:space="preserve">apac</t>
        </is>
      </c>
      <c r="D1411" s="0" t="inlineStr">
        <is>
          <t xml:space="preserve">mid_market</t>
        </is>
      </c>
      <c r="E1411" s="4">
        <v>376</v>
      </c>
      <c r="F1411" s="0" t="inlineStr">
        <is>
          <t xml:space="preserve">Horizon Financial SA</t>
        </is>
      </c>
    </row>
    <row r="1412">
      <c r="A1412" s="0" t="inlineStr">
        <is>
          <t xml:space="preserve">a1411</t>
        </is>
      </c>
      <c r="B1412" s="0" t="inlineStr">
        <is>
          <t xml:space="preserve">logistics</t>
        </is>
      </c>
      <c r="C1412" s="0" t="inlineStr">
        <is>
          <t xml:space="preserve">apac</t>
        </is>
      </c>
      <c r="D1412" s="0" t="inlineStr">
        <is>
          <t xml:space="preserve">mid_market</t>
        </is>
      </c>
      <c r="E1412" s="4">
        <v>352</v>
      </c>
      <c r="F1412" s="0" t="inlineStr">
        <is>
          <t xml:space="preserve">Granite Software Partners</t>
        </is>
      </c>
    </row>
    <row r="1413">
      <c r="A1413" s="0" t="inlineStr">
        <is>
          <t xml:space="preserve">a1412</t>
        </is>
      </c>
      <c r="B1413" s="0" t="inlineStr">
        <is>
          <t xml:space="preserve">logistics</t>
        </is>
      </c>
      <c r="C1413" s="0" t="inlineStr">
        <is>
          <t xml:space="preserve">apac</t>
        </is>
      </c>
      <c r="D1413" s="0" t="inlineStr">
        <is>
          <t xml:space="preserve">smb</t>
        </is>
      </c>
      <c r="E1413" s="4">
        <v>95</v>
      </c>
      <c r="F1413" s="0" t="inlineStr">
        <is>
          <t xml:space="preserve">Cobalt Logistics Group</t>
        </is>
      </c>
    </row>
    <row r="1414">
      <c r="A1414" s="0" t="inlineStr">
        <is>
          <t xml:space="preserve">a1413</t>
        </is>
      </c>
      <c r="B1414" s="0" t="inlineStr">
        <is>
          <t xml:space="preserve">financial_services</t>
        </is>
      </c>
      <c r="C1414" s="0" t="inlineStr">
        <is>
          <t xml:space="preserve">apac</t>
        </is>
      </c>
      <c r="D1414" s="0" t="inlineStr">
        <is>
          <t xml:space="preserve">smb</t>
        </is>
      </c>
      <c r="E1414" s="4">
        <v>77</v>
      </c>
      <c r="F1414" s="0" t="inlineStr">
        <is>
          <t xml:space="preserve">Pioneer Mobility Ltd</t>
        </is>
      </c>
    </row>
    <row r="1415">
      <c r="A1415" s="0" t="inlineStr">
        <is>
          <t xml:space="preserve">a1414</t>
        </is>
      </c>
      <c r="B1415" s="0" t="inlineStr">
        <is>
          <t xml:space="preserve">retail</t>
        </is>
      </c>
      <c r="C1415" s="0" t="inlineStr">
        <is>
          <t xml:space="preserve">apac</t>
        </is>
      </c>
      <c r="D1415" s="0" t="inlineStr">
        <is>
          <t xml:space="preserve">smb</t>
        </is>
      </c>
      <c r="E1415" s="4">
        <v>22</v>
      </c>
      <c r="F1415" s="0" t="inlineStr">
        <is>
          <t xml:space="preserve">Nimbus Foods Co</t>
        </is>
      </c>
    </row>
    <row r="1416">
      <c r="A1416" s="0" t="inlineStr">
        <is>
          <t xml:space="preserve">a1415</t>
        </is>
      </c>
      <c r="B1416" s="0" t="inlineStr">
        <is>
          <t xml:space="preserve">financial_services</t>
        </is>
      </c>
      <c r="C1416" s="0" t="inlineStr">
        <is>
          <t xml:space="preserve">apac</t>
        </is>
      </c>
      <c r="D1416" s="0" t="inlineStr">
        <is>
          <t xml:space="preserve">enterprise</t>
        </is>
      </c>
      <c r="E1416" s="4">
        <v>7854</v>
      </c>
      <c r="F1416" s="0" t="inlineStr">
        <is>
          <t xml:space="preserve">Sable Logistics Partners</t>
        </is>
      </c>
    </row>
    <row r="1417">
      <c r="A1417" s="0" t="inlineStr">
        <is>
          <t xml:space="preserve">a1416</t>
        </is>
      </c>
      <c r="B1417" s="0" t="inlineStr">
        <is>
          <t xml:space="preserve">financial_services</t>
        </is>
      </c>
      <c r="C1417" s="0" t="inlineStr">
        <is>
          <t xml:space="preserve">apac</t>
        </is>
      </c>
      <c r="D1417" s="0" t="inlineStr">
        <is>
          <t xml:space="preserve">mid_market</t>
        </is>
      </c>
      <c r="E1417" s="4">
        <v>348</v>
      </c>
      <c r="F1417" s="0" t="inlineStr">
        <is>
          <t xml:space="preserve">Aurora Materials Group</t>
        </is>
      </c>
    </row>
    <row r="1418">
      <c r="A1418" s="0" t="inlineStr">
        <is>
          <t xml:space="preserve">a1417</t>
        </is>
      </c>
      <c r="B1418" s="0" t="inlineStr">
        <is>
          <t xml:space="preserve">manufacturing</t>
        </is>
      </c>
      <c r="C1418" s="0" t="inlineStr">
        <is>
          <t xml:space="preserve">apac</t>
        </is>
      </c>
      <c r="D1418" s="0" t="inlineStr">
        <is>
          <t xml:space="preserve">enterprise</t>
        </is>
      </c>
      <c r="E1418" s="4">
        <v>3053</v>
      </c>
      <c r="F1418" s="0" t="inlineStr">
        <is>
          <t xml:space="preserve">Redwood Media AG</t>
        </is>
      </c>
    </row>
    <row r="1419">
      <c r="A1419" s="0" t="inlineStr">
        <is>
          <t xml:space="preserve">a1418</t>
        </is>
      </c>
      <c r="B1419" s="0" t="inlineStr">
        <is>
          <t xml:space="preserve">software</t>
        </is>
      </c>
      <c r="C1419" s="0" t="inlineStr">
        <is>
          <t xml:space="preserve">apac</t>
        </is>
      </c>
      <c r="D1419" s="0" t="inlineStr">
        <is>
          <t xml:space="preserve">enterprise</t>
        </is>
      </c>
      <c r="E1419" s="4">
        <v>2690</v>
      </c>
      <c r="F1419" s="0" t="inlineStr">
        <is>
          <t xml:space="preserve">Harbor Systems Holdings</t>
        </is>
      </c>
    </row>
    <row r="1420">
      <c r="A1420" s="0" t="inlineStr">
        <is>
          <t xml:space="preserve">a1419</t>
        </is>
      </c>
      <c r="B1420" s="0" t="inlineStr">
        <is>
          <t xml:space="preserve">software</t>
        </is>
      </c>
      <c r="C1420" s="0" t="inlineStr">
        <is>
          <t xml:space="preserve">apac</t>
        </is>
      </c>
      <c r="D1420" s="0" t="inlineStr">
        <is>
          <t xml:space="preserve">smb</t>
        </is>
      </c>
      <c r="E1420" s="4">
        <v>49</v>
      </c>
      <c r="F1420" s="0" t="inlineStr">
        <is>
          <t xml:space="preserve">Tidewater Financial AG</t>
        </is>
      </c>
    </row>
    <row r="1421">
      <c r="A1421" s="0" t="inlineStr">
        <is>
          <t xml:space="preserve">a1420</t>
        </is>
      </c>
      <c r="B1421" s="0" t="inlineStr">
        <is>
          <t xml:space="preserve">software</t>
        </is>
      </c>
      <c r="C1421" s="0" t="inlineStr">
        <is>
          <t xml:space="preserve">apac</t>
        </is>
      </c>
      <c r="D1421" s="0" t="inlineStr">
        <is>
          <t xml:space="preserve">mid_market</t>
        </is>
      </c>
      <c r="E1421" s="4">
        <v>288</v>
      </c>
      <c r="F1421" s="0" t="inlineStr">
        <is>
          <t xml:space="preserve">Tidewater Financial SA</t>
        </is>
      </c>
    </row>
    <row r="1422">
      <c r="A1422" s="0" t="inlineStr">
        <is>
          <t xml:space="preserve">a1421</t>
        </is>
      </c>
      <c r="B1422" s="0" t="inlineStr">
        <is>
          <t xml:space="preserve">financial_services</t>
        </is>
      </c>
      <c r="C1422" s="0" t="inlineStr">
        <is>
          <t xml:space="preserve">apac</t>
        </is>
      </c>
      <c r="D1422" s="0" t="inlineStr">
        <is>
          <t xml:space="preserve">mid_market</t>
        </is>
      </c>
      <c r="E1422" s="4">
        <v>366</v>
      </c>
      <c r="F1422" s="0" t="inlineStr">
        <is>
          <t xml:space="preserve">Umber Logistics</t>
        </is>
      </c>
    </row>
    <row r="1423">
      <c r="A1423" s="0" t="inlineStr">
        <is>
          <t xml:space="preserve">a1422</t>
        </is>
      </c>
      <c r="B1423" s="0" t="inlineStr">
        <is>
          <t xml:space="preserve">manufacturing</t>
        </is>
      </c>
      <c r="C1423" s="0" t="inlineStr">
        <is>
          <t xml:space="preserve">apac</t>
        </is>
      </c>
      <c r="D1423" s="0" t="inlineStr">
        <is>
          <t xml:space="preserve">smb</t>
        </is>
      </c>
      <c r="E1423" s="4">
        <v>29</v>
      </c>
      <c r="F1423" s="0" t="inlineStr">
        <is>
          <t xml:space="preserve">Copper Manufacturing Partners</t>
        </is>
      </c>
    </row>
    <row r="1424">
      <c r="A1424" s="0" t="inlineStr">
        <is>
          <t xml:space="preserve">a1423</t>
        </is>
      </c>
      <c r="B1424" s="0" t="inlineStr">
        <is>
          <t xml:space="preserve">manufacturing</t>
        </is>
      </c>
      <c r="C1424" s="0" t="inlineStr">
        <is>
          <t xml:space="preserve">apac</t>
        </is>
      </c>
      <c r="D1424" s="0" t="inlineStr">
        <is>
          <t xml:space="preserve">enterprise</t>
        </is>
      </c>
      <c r="E1424" s="4">
        <v>37126</v>
      </c>
      <c r="F1424" s="0" t="inlineStr">
        <is>
          <t xml:space="preserve">Nimbus Systems Partners</t>
        </is>
      </c>
    </row>
    <row r="1425">
      <c r="A1425" s="0" t="inlineStr">
        <is>
          <t xml:space="preserve">a1424</t>
        </is>
      </c>
      <c r="B1425" s="0" t="inlineStr">
        <is>
          <t xml:space="preserve">software</t>
        </is>
      </c>
      <c r="C1425" s="0" t="inlineStr">
        <is>
          <t xml:space="preserve">apac</t>
        </is>
      </c>
      <c r="D1425" s="0" t="inlineStr">
        <is>
          <t xml:space="preserve">enterprise</t>
        </is>
      </c>
      <c r="E1425" s="4">
        <v>3973</v>
      </c>
      <c r="F1425" s="0" t="inlineStr">
        <is>
          <t xml:space="preserve">Harbor Biotech</t>
        </is>
      </c>
    </row>
    <row r="1426">
      <c r="A1426" s="0" t="inlineStr">
        <is>
          <t xml:space="preserve">a1425</t>
        </is>
      </c>
      <c r="B1426" s="0" t="inlineStr">
        <is>
          <t xml:space="preserve">software</t>
        </is>
      </c>
      <c r="C1426" s="0" t="inlineStr">
        <is>
          <t xml:space="preserve">apac</t>
        </is>
      </c>
      <c r="D1426" s="0" t="inlineStr">
        <is>
          <t xml:space="preserve">smb</t>
        </is>
      </c>
      <c r="E1426" s="4">
        <v>20</v>
      </c>
      <c r="F1426" s="0" t="inlineStr">
        <is>
          <t xml:space="preserve">Keystone Energy Group</t>
        </is>
      </c>
    </row>
    <row r="1427">
      <c r="A1427" s="0" t="inlineStr">
        <is>
          <t xml:space="preserve">a1426</t>
        </is>
      </c>
      <c r="B1427" s="0" t="inlineStr">
        <is>
          <t xml:space="preserve">energy</t>
        </is>
      </c>
      <c r="C1427" s="0" t="inlineStr">
        <is>
          <t xml:space="preserve">amer_east</t>
        </is>
      </c>
      <c r="D1427" s="0" t="inlineStr">
        <is>
          <t xml:space="preserve">smb</t>
        </is>
      </c>
      <c r="E1427" s="4">
        <v>20</v>
      </c>
      <c r="F1427" s="0" t="inlineStr">
        <is>
          <t xml:space="preserve">Orchard Media Partners</t>
        </is>
      </c>
    </row>
    <row r="1428">
      <c r="A1428" s="0" t="inlineStr">
        <is>
          <t xml:space="preserve">a1427</t>
        </is>
      </c>
      <c r="B1428" s="0" t="inlineStr">
        <is>
          <t xml:space="preserve">financial_services</t>
        </is>
      </c>
      <c r="C1428" s="0" t="inlineStr">
        <is>
          <t xml:space="preserve">amer_east</t>
        </is>
      </c>
      <c r="D1428" s="0" t="inlineStr">
        <is>
          <t xml:space="preserve">mid_market</t>
        </is>
      </c>
      <c r="E1428" s="4">
        <v>572</v>
      </c>
      <c r="F1428" s="0" t="inlineStr">
        <is>
          <t xml:space="preserve">Orchard Systems Holdings</t>
        </is>
      </c>
    </row>
    <row r="1429">
      <c r="A1429" s="0" t="inlineStr">
        <is>
          <t xml:space="preserve">a1428</t>
        </is>
      </c>
      <c r="B1429" s="0" t="inlineStr">
        <is>
          <t xml:space="preserve">manufacturing</t>
        </is>
      </c>
      <c r="C1429" s="0" t="inlineStr">
        <is>
          <t xml:space="preserve">amer_east</t>
        </is>
      </c>
      <c r="D1429" s="0" t="inlineStr">
        <is>
          <t xml:space="preserve">mid_market</t>
        </is>
      </c>
      <c r="E1429" s="4">
        <v>300</v>
      </c>
      <c r="F1429" s="0" t="inlineStr">
        <is>
          <t xml:space="preserve">Orchard Robotics Group</t>
        </is>
      </c>
    </row>
    <row r="1430">
      <c r="A1430" s="0" t="inlineStr">
        <is>
          <t xml:space="preserve">a1429</t>
        </is>
      </c>
      <c r="B1430" s="0" t="inlineStr">
        <is>
          <t xml:space="preserve">manufacturing</t>
        </is>
      </c>
      <c r="C1430" s="0" t="inlineStr">
        <is>
          <t xml:space="preserve">amer_east</t>
        </is>
      </c>
      <c r="D1430" s="0" t="inlineStr">
        <is>
          <t xml:space="preserve">smb</t>
        </is>
      </c>
      <c r="E1430" s="4">
        <v>29</v>
      </c>
      <c r="F1430" s="0" t="inlineStr">
        <is>
          <t xml:space="preserve">Granite Logistics Ltd</t>
        </is>
      </c>
    </row>
    <row r="1431">
      <c r="A1431" s="0" t="inlineStr">
        <is>
          <t xml:space="preserve">a1430</t>
        </is>
      </c>
      <c r="B1431" s="0" t="inlineStr">
        <is>
          <t xml:space="preserve">energy</t>
        </is>
      </c>
      <c r="C1431" s="0" t="inlineStr">
        <is>
          <t xml:space="preserve">amer_east</t>
        </is>
      </c>
      <c r="D1431" s="0" t="inlineStr">
        <is>
          <t xml:space="preserve">mid_market</t>
        </is>
      </c>
      <c r="E1431" s="4">
        <v>848</v>
      </c>
      <c r="F1431" s="0" t="inlineStr">
        <is>
          <t xml:space="preserve">Juniper Health AG</t>
        </is>
      </c>
    </row>
    <row r="1432">
      <c r="A1432" s="0" t="inlineStr">
        <is>
          <t xml:space="preserve">a1431</t>
        </is>
      </c>
      <c r="B1432" s="0" t="inlineStr">
        <is>
          <t xml:space="preserve">financial_services</t>
        </is>
      </c>
      <c r="C1432" s="0" t="inlineStr">
        <is>
          <t xml:space="preserve">amer_east</t>
        </is>
      </c>
      <c r="D1432" s="0" t="inlineStr">
        <is>
          <t xml:space="preserve">enterprise</t>
        </is>
      </c>
      <c r="E1432" s="4">
        <v>3621</v>
      </c>
      <c r="F1432" s="0" t="inlineStr">
        <is>
          <t xml:space="preserve">Northwind Foods Group</t>
        </is>
      </c>
    </row>
    <row r="1433">
      <c r="A1433" s="0" t="inlineStr">
        <is>
          <t xml:space="preserve">a1432</t>
        </is>
      </c>
      <c r="B1433" s="0" t="inlineStr">
        <is>
          <t xml:space="preserve">software</t>
        </is>
      </c>
      <c r="C1433" s="0" t="inlineStr">
        <is>
          <t xml:space="preserve">amer_east</t>
        </is>
      </c>
      <c r="D1433" s="0" t="inlineStr">
        <is>
          <t xml:space="preserve">smb</t>
        </is>
      </c>
      <c r="E1433" s="4">
        <v>133</v>
      </c>
      <c r="F1433" s="0" t="inlineStr">
        <is>
          <t xml:space="preserve">Harbor Foods</t>
        </is>
      </c>
    </row>
    <row r="1434">
      <c r="A1434" s="0" t="inlineStr">
        <is>
          <t xml:space="preserve">a1433</t>
        </is>
      </c>
      <c r="B1434" s="0" t="inlineStr">
        <is>
          <t xml:space="preserve">education</t>
        </is>
      </c>
      <c r="C1434" s="0" t="inlineStr">
        <is>
          <t xml:space="preserve">amer_east</t>
        </is>
      </c>
      <c r="D1434" s="0" t="inlineStr">
        <is>
          <t xml:space="preserve">mid_market</t>
        </is>
      </c>
      <c r="E1434" s="4">
        <v>678</v>
      </c>
      <c r="F1434" s="0" t="inlineStr">
        <is>
          <t xml:space="preserve">Horizon Robotics</t>
        </is>
      </c>
    </row>
    <row r="1435">
      <c r="A1435" s="0" t="inlineStr">
        <is>
          <t xml:space="preserve">a1434</t>
        </is>
      </c>
      <c r="B1435" s="0" t="inlineStr">
        <is>
          <t xml:space="preserve">financial_services</t>
        </is>
      </c>
      <c r="C1435" s="0" t="inlineStr">
        <is>
          <t xml:space="preserve">amer_east</t>
        </is>
      </c>
      <c r="D1435" s="0" t="inlineStr">
        <is>
          <t xml:space="preserve">mid_market</t>
        </is>
      </c>
      <c r="E1435" s="4">
        <v>1907</v>
      </c>
      <c r="F1435" s="0" t="inlineStr">
        <is>
          <t xml:space="preserve">Redwood Logistics Holdings</t>
        </is>
      </c>
    </row>
    <row r="1436">
      <c r="A1436" s="0" t="inlineStr">
        <is>
          <t xml:space="preserve">a1435</t>
        </is>
      </c>
      <c r="B1436" s="0" t="inlineStr">
        <is>
          <t xml:space="preserve">manufacturing</t>
        </is>
      </c>
      <c r="C1436" s="0" t="inlineStr">
        <is>
          <t xml:space="preserve">amer_east</t>
        </is>
      </c>
      <c r="D1436" s="0" t="inlineStr">
        <is>
          <t xml:space="preserve">mid_market</t>
        </is>
      </c>
      <c r="E1436" s="4">
        <v>430</v>
      </c>
      <c r="F1436" s="0" t="inlineStr">
        <is>
          <t xml:space="preserve">Meridian Health Co</t>
        </is>
      </c>
    </row>
    <row r="1437">
      <c r="A1437" s="0" t="inlineStr">
        <is>
          <t xml:space="preserve">a1436</t>
        </is>
      </c>
      <c r="B1437" s="0" t="inlineStr">
        <is>
          <t xml:space="preserve">healthcare</t>
        </is>
      </c>
      <c r="C1437" s="0" t="inlineStr">
        <is>
          <t xml:space="preserve">amer_east</t>
        </is>
      </c>
      <c r="D1437" s="0" t="inlineStr">
        <is>
          <t xml:space="preserve">smb</t>
        </is>
      </c>
      <c r="E1437" s="4">
        <v>81</v>
      </c>
      <c r="F1437" s="0" t="inlineStr">
        <is>
          <t xml:space="preserve">Lakeside Robotics Co</t>
        </is>
      </c>
    </row>
    <row r="1438">
      <c r="A1438" s="0" t="inlineStr">
        <is>
          <t xml:space="preserve">a1437</t>
        </is>
      </c>
      <c r="B1438" s="0" t="inlineStr">
        <is>
          <t xml:space="preserve">manufacturing</t>
        </is>
      </c>
      <c r="C1438" s="0" t="inlineStr">
        <is>
          <t xml:space="preserve">amer_east</t>
        </is>
      </c>
      <c r="D1438" s="0" t="inlineStr">
        <is>
          <t xml:space="preserve">smb</t>
        </is>
      </c>
      <c r="E1438" s="4">
        <v>28</v>
      </c>
      <c r="F1438" s="0" t="inlineStr">
        <is>
          <t xml:space="preserve">Cobalt Health</t>
        </is>
      </c>
    </row>
    <row r="1439">
      <c r="A1439" s="0" t="inlineStr">
        <is>
          <t xml:space="preserve">a1438</t>
        </is>
      </c>
      <c r="B1439" s="0" t="inlineStr">
        <is>
          <t xml:space="preserve">retail</t>
        </is>
      </c>
      <c r="C1439" s="0" t="inlineStr">
        <is>
          <t xml:space="preserve">amer_east</t>
        </is>
      </c>
      <c r="D1439" s="0" t="inlineStr">
        <is>
          <t xml:space="preserve">smb</t>
        </is>
      </c>
      <c r="E1439" s="4">
        <v>92</v>
      </c>
      <c r="F1439" s="0" t="inlineStr">
        <is>
          <t xml:space="preserve">Northwind Robotics Group</t>
        </is>
      </c>
    </row>
    <row r="1440">
      <c r="A1440" s="0" t="inlineStr">
        <is>
          <t xml:space="preserve">a1439</t>
        </is>
      </c>
      <c r="B1440" s="0" t="inlineStr">
        <is>
          <t xml:space="preserve">logistics</t>
        </is>
      </c>
      <c r="C1440" s="0" t="inlineStr">
        <is>
          <t xml:space="preserve">amer_east</t>
        </is>
      </c>
      <c r="D1440" s="0" t="inlineStr">
        <is>
          <t xml:space="preserve">smb</t>
        </is>
      </c>
      <c r="E1440" s="4">
        <v>65</v>
      </c>
      <c r="F1440" s="0" t="inlineStr">
        <is>
          <t xml:space="preserve">Blue Harbor Networks Partners</t>
        </is>
      </c>
    </row>
    <row r="1441">
      <c r="A1441" s="0" t="inlineStr">
        <is>
          <t xml:space="preserve">a1440</t>
        </is>
      </c>
      <c r="B1441" s="0" t="inlineStr">
        <is>
          <t xml:space="preserve">media</t>
        </is>
      </c>
      <c r="C1441" s="0" t="inlineStr">
        <is>
          <t xml:space="preserve">amer_east</t>
        </is>
      </c>
      <c r="D1441" s="0" t="inlineStr">
        <is>
          <t xml:space="preserve">enterprise</t>
        </is>
      </c>
      <c r="E1441" s="4">
        <v>7365</v>
      </c>
      <c r="F1441" s="0" t="inlineStr">
        <is>
          <t xml:space="preserve">Blue Harbor Energy Partners</t>
        </is>
      </c>
    </row>
    <row r="1442">
      <c r="A1442" s="0" t="inlineStr">
        <is>
          <t xml:space="preserve">a1441</t>
        </is>
      </c>
      <c r="B1442" s="0" t="inlineStr">
        <is>
          <t xml:space="preserve">energy</t>
        </is>
      </c>
      <c r="C1442" s="0" t="inlineStr">
        <is>
          <t xml:space="preserve">amer_east</t>
        </is>
      </c>
      <c r="D1442" s="0" t="inlineStr">
        <is>
          <t xml:space="preserve">smb</t>
        </is>
      </c>
      <c r="E1442" s="4">
        <v>29</v>
      </c>
      <c r="F1442" s="0" t="inlineStr">
        <is>
          <t xml:space="preserve">Summit Systems Holdings</t>
        </is>
      </c>
    </row>
    <row r="1443">
      <c r="A1443" s="0" t="inlineStr">
        <is>
          <t xml:space="preserve">a1442</t>
        </is>
      </c>
      <c r="B1443" s="0" t="inlineStr">
        <is>
          <t xml:space="preserve">public_sector</t>
        </is>
      </c>
      <c r="C1443" s="0" t="inlineStr">
        <is>
          <t xml:space="preserve">amer_east</t>
        </is>
      </c>
      <c r="D1443" s="0" t="inlineStr">
        <is>
          <t xml:space="preserve">mid_market</t>
        </is>
      </c>
      <c r="E1443" s="4">
        <v>1194</v>
      </c>
      <c r="F1443" s="0" t="inlineStr">
        <is>
          <t xml:space="preserve">Silverline Systems Group</t>
        </is>
      </c>
    </row>
    <row r="1444">
      <c r="A1444" s="0" t="inlineStr">
        <is>
          <t xml:space="preserve">a1443</t>
        </is>
      </c>
      <c r="B1444" s="0" t="inlineStr">
        <is>
          <t xml:space="preserve">healthcare</t>
        </is>
      </c>
      <c r="C1444" s="0" t="inlineStr">
        <is>
          <t xml:space="preserve">amer_east</t>
        </is>
      </c>
      <c r="D1444" s="0" t="inlineStr">
        <is>
          <t xml:space="preserve">smb</t>
        </is>
      </c>
      <c r="E1444" s="4">
        <v>53</v>
      </c>
      <c r="F1444" s="0" t="inlineStr">
        <is>
          <t xml:space="preserve">Atlas Materials Partners</t>
        </is>
      </c>
    </row>
    <row r="1445">
      <c r="A1445" s="0" t="inlineStr">
        <is>
          <t xml:space="preserve">a1444</t>
        </is>
      </c>
      <c r="B1445" s="0" t="inlineStr">
        <is>
          <t xml:space="preserve">software</t>
        </is>
      </c>
      <c r="C1445" s="0" t="inlineStr">
        <is>
          <t xml:space="preserve">amer_east</t>
        </is>
      </c>
      <c r="D1445" s="0" t="inlineStr">
        <is>
          <t xml:space="preserve">mid_market</t>
        </is>
      </c>
      <c r="E1445" s="4">
        <v>355</v>
      </c>
      <c r="F1445" s="0" t="inlineStr">
        <is>
          <t xml:space="preserve">Brightwater Media AG</t>
        </is>
      </c>
    </row>
    <row r="1446">
      <c r="A1446" s="0" t="inlineStr">
        <is>
          <t xml:space="preserve">a1445</t>
        </is>
      </c>
      <c r="B1446" s="0" t="inlineStr">
        <is>
          <t xml:space="preserve">retail</t>
        </is>
      </c>
      <c r="C1446" s="0" t="inlineStr">
        <is>
          <t xml:space="preserve">amer_east</t>
        </is>
      </c>
      <c r="D1446" s="0" t="inlineStr">
        <is>
          <t xml:space="preserve">smb</t>
        </is>
      </c>
      <c r="E1446" s="4">
        <v>49</v>
      </c>
      <c r="F1446" s="0" t="inlineStr">
        <is>
          <t xml:space="preserve">Atlas Capital SA</t>
        </is>
      </c>
    </row>
    <row r="1447">
      <c r="A1447" s="0" t="inlineStr">
        <is>
          <t xml:space="preserve">a1446</t>
        </is>
      </c>
      <c r="B1447" s="0" t="inlineStr">
        <is>
          <t xml:space="preserve">retail</t>
        </is>
      </c>
      <c r="C1447" s="0" t="inlineStr">
        <is>
          <t xml:space="preserve">amer_east</t>
        </is>
      </c>
      <c r="D1447" s="0" t="inlineStr">
        <is>
          <t xml:space="preserve">enterprise</t>
        </is>
      </c>
      <c r="E1447" s="4">
        <v>2644</v>
      </c>
      <c r="F1447" s="0" t="inlineStr">
        <is>
          <t xml:space="preserve">Cascade Mobility Ltd</t>
        </is>
      </c>
    </row>
    <row r="1448">
      <c r="A1448" s="0" t="inlineStr">
        <is>
          <t xml:space="preserve">a1447</t>
        </is>
      </c>
      <c r="B1448" s="0" t="inlineStr">
        <is>
          <t xml:space="preserve">software</t>
        </is>
      </c>
      <c r="C1448" s="0" t="inlineStr">
        <is>
          <t xml:space="preserve">amer_east</t>
        </is>
      </c>
      <c r="D1448" s="0" t="inlineStr">
        <is>
          <t xml:space="preserve">smb</t>
        </is>
      </c>
      <c r="E1448" s="4">
        <v>94</v>
      </c>
      <c r="F1448" s="0" t="inlineStr">
        <is>
          <t xml:space="preserve">Northwind Mobility Inc</t>
        </is>
      </c>
    </row>
    <row r="1449">
      <c r="A1449" s="0" t="inlineStr">
        <is>
          <t xml:space="preserve">a1448</t>
        </is>
      </c>
      <c r="B1449" s="0" t="inlineStr">
        <is>
          <t xml:space="preserve">public_sector</t>
        </is>
      </c>
      <c r="C1449" s="0" t="inlineStr">
        <is>
          <t xml:space="preserve">amer_east</t>
        </is>
      </c>
      <c r="D1449" s="0" t="inlineStr">
        <is>
          <t xml:space="preserve">enterprise</t>
        </is>
      </c>
      <c r="E1449" s="4">
        <v>3328</v>
      </c>
      <c r="F1449" s="0" t="inlineStr">
        <is>
          <t xml:space="preserve">Brightwater Systems</t>
        </is>
      </c>
    </row>
    <row r="1450">
      <c r="A1450" s="0" t="inlineStr">
        <is>
          <t xml:space="preserve">a1449</t>
        </is>
      </c>
      <c r="B1450" s="0" t="inlineStr">
        <is>
          <t xml:space="preserve">retail</t>
        </is>
      </c>
      <c r="C1450" s="0" t="inlineStr">
        <is>
          <t xml:space="preserve">amer_west</t>
        </is>
      </c>
      <c r="D1450" s="0" t="inlineStr">
        <is>
          <t xml:space="preserve">smb</t>
        </is>
      </c>
      <c r="E1450" s="4">
        <v>33</v>
      </c>
      <c r="F1450" s="0" t="inlineStr">
        <is>
          <t xml:space="preserve">Sable Logistics Group</t>
        </is>
      </c>
    </row>
    <row r="1451">
      <c r="A1451" s="0" t="inlineStr">
        <is>
          <t xml:space="preserve">a1450</t>
        </is>
      </c>
      <c r="B1451" s="0" t="inlineStr">
        <is>
          <t xml:space="preserve">manufacturing</t>
        </is>
      </c>
      <c r="C1451" s="0" t="inlineStr">
        <is>
          <t xml:space="preserve">amer_west</t>
        </is>
      </c>
      <c r="D1451" s="0" t="inlineStr">
        <is>
          <t xml:space="preserve">mid_market</t>
        </is>
      </c>
      <c r="E1451" s="4">
        <v>296</v>
      </c>
      <c r="F1451" s="0" t="inlineStr">
        <is>
          <t xml:space="preserve">Copper Networks Inc</t>
        </is>
      </c>
    </row>
    <row r="1452">
      <c r="A1452" s="0" t="inlineStr">
        <is>
          <t xml:space="preserve">a1451</t>
        </is>
      </c>
      <c r="B1452" s="0" t="inlineStr">
        <is>
          <t xml:space="preserve">media</t>
        </is>
      </c>
      <c r="C1452" s="0" t="inlineStr">
        <is>
          <t xml:space="preserve">amer_west</t>
        </is>
      </c>
      <c r="D1452" s="0" t="inlineStr">
        <is>
          <t xml:space="preserve">smb</t>
        </is>
      </c>
      <c r="E1452" s="4">
        <v>47</v>
      </c>
      <c r="F1452" s="0" t="inlineStr">
        <is>
          <t xml:space="preserve">Atlas Foods AG</t>
        </is>
      </c>
    </row>
    <row r="1453">
      <c r="A1453" s="0" t="inlineStr">
        <is>
          <t xml:space="preserve">a1452</t>
        </is>
      </c>
      <c r="B1453" s="0" t="inlineStr">
        <is>
          <t xml:space="preserve">energy</t>
        </is>
      </c>
      <c r="C1453" s="0" t="inlineStr">
        <is>
          <t xml:space="preserve">amer_west</t>
        </is>
      </c>
      <c r="D1453" s="0" t="inlineStr">
        <is>
          <t xml:space="preserve">mid_market</t>
        </is>
      </c>
      <c r="E1453" s="4">
        <v>698</v>
      </c>
      <c r="F1453" s="0" t="inlineStr">
        <is>
          <t xml:space="preserve">Granite Financial Co</t>
        </is>
      </c>
    </row>
    <row r="1454">
      <c r="A1454" s="0" t="inlineStr">
        <is>
          <t xml:space="preserve">a1453</t>
        </is>
      </c>
      <c r="B1454" s="0" t="inlineStr">
        <is>
          <t xml:space="preserve">manufacturing</t>
        </is>
      </c>
      <c r="C1454" s="0" t="inlineStr">
        <is>
          <t xml:space="preserve">amer_west</t>
        </is>
      </c>
      <c r="D1454" s="0" t="inlineStr">
        <is>
          <t xml:space="preserve">smb</t>
        </is>
      </c>
      <c r="E1454" s="4">
        <v>30</v>
      </c>
      <c r="F1454" s="0" t="inlineStr">
        <is>
          <t xml:space="preserve">Juniper Energy Group</t>
        </is>
      </c>
    </row>
    <row r="1455">
      <c r="A1455" s="0" t="inlineStr">
        <is>
          <t xml:space="preserve">a1454</t>
        </is>
      </c>
      <c r="B1455" s="0" t="inlineStr">
        <is>
          <t xml:space="preserve">retail</t>
        </is>
      </c>
      <c r="C1455" s="0" t="inlineStr">
        <is>
          <t xml:space="preserve">amer_west</t>
        </is>
      </c>
      <c r="D1455" s="0" t="inlineStr">
        <is>
          <t xml:space="preserve">enterprise</t>
        </is>
      </c>
      <c r="E1455" s="4">
        <v>7125</v>
      </c>
      <c r="F1455" s="0" t="inlineStr">
        <is>
          <t xml:space="preserve">Horizon Labs Group</t>
        </is>
      </c>
    </row>
    <row r="1456">
      <c r="A1456" s="0" t="inlineStr">
        <is>
          <t xml:space="preserve">a1455</t>
        </is>
      </c>
      <c r="B1456" s="0" t="inlineStr">
        <is>
          <t xml:space="preserve">software</t>
        </is>
      </c>
      <c r="C1456" s="0" t="inlineStr">
        <is>
          <t xml:space="preserve">amer_west</t>
        </is>
      </c>
      <c r="D1456" s="0" t="inlineStr">
        <is>
          <t xml:space="preserve">mid_market</t>
        </is>
      </c>
      <c r="E1456" s="4">
        <v>295</v>
      </c>
      <c r="F1456" s="0" t="inlineStr">
        <is>
          <t xml:space="preserve">Quantum Media SA</t>
        </is>
      </c>
    </row>
    <row r="1457">
      <c r="A1457" s="0" t="inlineStr">
        <is>
          <t xml:space="preserve">a1456</t>
        </is>
      </c>
      <c r="B1457" s="0" t="inlineStr">
        <is>
          <t xml:space="preserve">logistics</t>
        </is>
      </c>
      <c r="C1457" s="0" t="inlineStr">
        <is>
          <t xml:space="preserve">amer_west</t>
        </is>
      </c>
      <c r="D1457" s="0" t="inlineStr">
        <is>
          <t xml:space="preserve">mid_market</t>
        </is>
      </c>
      <c r="E1457" s="4">
        <v>701</v>
      </c>
      <c r="F1457" s="0" t="inlineStr">
        <is>
          <t xml:space="preserve">Ironbridge Robotics Group</t>
        </is>
      </c>
    </row>
    <row r="1458">
      <c r="A1458" s="0" t="inlineStr">
        <is>
          <t xml:space="preserve">a1457</t>
        </is>
      </c>
      <c r="B1458" s="0" t="inlineStr">
        <is>
          <t xml:space="preserve">retail</t>
        </is>
      </c>
      <c r="C1458" s="0" t="inlineStr">
        <is>
          <t xml:space="preserve">amer_west</t>
        </is>
      </c>
      <c r="D1458" s="0" t="inlineStr">
        <is>
          <t xml:space="preserve">mid_market</t>
        </is>
      </c>
      <c r="E1458" s="4">
        <v>414</v>
      </c>
      <c r="F1458" s="0" t="inlineStr">
        <is>
          <t xml:space="preserve">Redwood Materials SA</t>
        </is>
      </c>
    </row>
    <row r="1459">
      <c r="A1459" s="0" t="inlineStr">
        <is>
          <t xml:space="preserve">a1458</t>
        </is>
      </c>
      <c r="B1459" s="0" t="inlineStr">
        <is>
          <t xml:space="preserve">healthcare</t>
        </is>
      </c>
      <c r="C1459" s="0" t="inlineStr">
        <is>
          <t xml:space="preserve">amer_west</t>
        </is>
      </c>
      <c r="D1459" s="0" t="inlineStr">
        <is>
          <t xml:space="preserve">smb</t>
        </is>
      </c>
      <c r="E1459" s="4">
        <v>44</v>
      </c>
      <c r="F1459" s="0" t="inlineStr">
        <is>
          <t xml:space="preserve">Brightwater Learning Partners</t>
        </is>
      </c>
    </row>
    <row r="1460">
      <c r="A1460" s="0" t="inlineStr">
        <is>
          <t xml:space="preserve">a1459</t>
        </is>
      </c>
      <c r="B1460" s="0" t="inlineStr">
        <is>
          <t xml:space="preserve">energy</t>
        </is>
      </c>
      <c r="C1460" s="0" t="inlineStr">
        <is>
          <t xml:space="preserve">amer_west</t>
        </is>
      </c>
      <c r="D1460" s="0" t="inlineStr">
        <is>
          <t xml:space="preserve">smb</t>
        </is>
      </c>
      <c r="E1460" s="4">
        <v>26</v>
      </c>
      <c r="F1460" s="0" t="inlineStr">
        <is>
          <t xml:space="preserve">Copper Robotics Holdings</t>
        </is>
      </c>
    </row>
    <row r="1461">
      <c r="A1461" s="0" t="inlineStr">
        <is>
          <t xml:space="preserve">a1460</t>
        </is>
      </c>
      <c r="B1461" s="0" t="inlineStr">
        <is>
          <t xml:space="preserve">financial_services</t>
        </is>
      </c>
      <c r="C1461" s="0" t="inlineStr">
        <is>
          <t xml:space="preserve">amer_west</t>
        </is>
      </c>
      <c r="D1461" s="0" t="inlineStr">
        <is>
          <t xml:space="preserve">smb</t>
        </is>
      </c>
      <c r="E1461" s="4">
        <v>27</v>
      </c>
      <c r="F1461" s="0" t="inlineStr">
        <is>
          <t xml:space="preserve">Vertex Biotech</t>
        </is>
      </c>
    </row>
    <row r="1462">
      <c r="A1462" s="0" t="inlineStr">
        <is>
          <t xml:space="preserve">a1461</t>
        </is>
      </c>
      <c r="B1462" s="0" t="inlineStr">
        <is>
          <t xml:space="preserve">logistics</t>
        </is>
      </c>
      <c r="C1462" s="0" t="inlineStr">
        <is>
          <t xml:space="preserve">amer_west</t>
        </is>
      </c>
      <c r="D1462" s="0" t="inlineStr">
        <is>
          <t xml:space="preserve">mid_market</t>
        </is>
      </c>
      <c r="E1462" s="4">
        <v>278</v>
      </c>
      <c r="F1462" s="0" t="inlineStr">
        <is>
          <t xml:space="preserve">Evergreen Biotech SA</t>
        </is>
      </c>
    </row>
    <row r="1463">
      <c r="A1463" s="0" t="inlineStr">
        <is>
          <t xml:space="preserve">a1462</t>
        </is>
      </c>
      <c r="B1463" s="0" t="inlineStr">
        <is>
          <t xml:space="preserve">software</t>
        </is>
      </c>
      <c r="C1463" s="0" t="inlineStr">
        <is>
          <t xml:space="preserve">amer_west</t>
        </is>
      </c>
      <c r="D1463" s="0" t="inlineStr">
        <is>
          <t xml:space="preserve">mid_market</t>
        </is>
      </c>
      <c r="E1463" s="4">
        <v>539</v>
      </c>
      <c r="F1463" s="0" t="inlineStr">
        <is>
          <t xml:space="preserve">Vertex Systems Inc</t>
        </is>
      </c>
    </row>
    <row r="1464">
      <c r="A1464" s="0" t="inlineStr">
        <is>
          <t xml:space="preserve">a1463</t>
        </is>
      </c>
      <c r="B1464" s="0" t="inlineStr">
        <is>
          <t xml:space="preserve">retail</t>
        </is>
      </c>
      <c r="C1464" s="0" t="inlineStr">
        <is>
          <t xml:space="preserve">amer_west</t>
        </is>
      </c>
      <c r="D1464" s="0" t="inlineStr">
        <is>
          <t xml:space="preserve">smb</t>
        </is>
      </c>
      <c r="E1464" s="4">
        <v>143</v>
      </c>
      <c r="F1464" s="0" t="inlineStr">
        <is>
          <t xml:space="preserve">Horizon Labs Co</t>
        </is>
      </c>
    </row>
    <row r="1465">
      <c r="A1465" s="0" t="inlineStr">
        <is>
          <t xml:space="preserve">a1464</t>
        </is>
      </c>
      <c r="B1465" s="0" t="inlineStr">
        <is>
          <t xml:space="preserve">software</t>
        </is>
      </c>
      <c r="C1465" s="0" t="inlineStr">
        <is>
          <t xml:space="preserve">amer_west</t>
        </is>
      </c>
      <c r="D1465" s="0" t="inlineStr">
        <is>
          <t xml:space="preserve">smb</t>
        </is>
      </c>
      <c r="E1465" s="4">
        <v>96</v>
      </c>
      <c r="F1465" s="0" t="inlineStr">
        <is>
          <t xml:space="preserve">Brightwater Networks Holdings</t>
        </is>
      </c>
    </row>
    <row r="1466">
      <c r="A1466" s="0" t="inlineStr">
        <is>
          <t xml:space="preserve">a1465</t>
        </is>
      </c>
      <c r="B1466" s="0" t="inlineStr">
        <is>
          <t xml:space="preserve">healthcare</t>
        </is>
      </c>
      <c r="C1466" s="0" t="inlineStr">
        <is>
          <t xml:space="preserve">amer_west</t>
        </is>
      </c>
      <c r="D1466" s="0" t="inlineStr">
        <is>
          <t xml:space="preserve">smb</t>
        </is>
      </c>
      <c r="E1466" s="4">
        <v>35</v>
      </c>
      <c r="F1466" s="0" t="inlineStr">
        <is>
          <t xml:space="preserve">Silverline Insurance Ltd</t>
        </is>
      </c>
    </row>
    <row r="1467">
      <c r="A1467" s="0" t="inlineStr">
        <is>
          <t xml:space="preserve">a1466</t>
        </is>
      </c>
      <c r="B1467" s="0" t="inlineStr">
        <is>
          <t xml:space="preserve">education</t>
        </is>
      </c>
      <c r="C1467" s="0" t="inlineStr">
        <is>
          <t xml:space="preserve">amer_west</t>
        </is>
      </c>
      <c r="D1467" s="0" t="inlineStr">
        <is>
          <t xml:space="preserve">smb</t>
        </is>
      </c>
      <c r="E1467" s="4">
        <v>25</v>
      </c>
      <c r="F1467" s="0" t="inlineStr">
        <is>
          <t xml:space="preserve">Brightwater Financial Holdings</t>
        </is>
      </c>
    </row>
    <row r="1468">
      <c r="A1468" s="0" t="inlineStr">
        <is>
          <t xml:space="preserve">a1467</t>
        </is>
      </c>
      <c r="B1468" s="0" t="inlineStr">
        <is>
          <t xml:space="preserve">healthcare</t>
        </is>
      </c>
      <c r="C1468" s="0" t="inlineStr">
        <is>
          <t xml:space="preserve">amer_west</t>
        </is>
      </c>
      <c r="D1468" s="0" t="inlineStr">
        <is>
          <t xml:space="preserve">enterprise</t>
        </is>
      </c>
      <c r="E1468" s="4">
        <v>2876</v>
      </c>
      <c r="F1468" s="0" t="inlineStr">
        <is>
          <t xml:space="preserve">Granite Manufacturing</t>
        </is>
      </c>
    </row>
    <row r="1469">
      <c r="A1469" s="0" t="inlineStr">
        <is>
          <t xml:space="preserve">a1468</t>
        </is>
      </c>
      <c r="B1469" s="0" t="inlineStr">
        <is>
          <t xml:space="preserve">retail</t>
        </is>
      </c>
      <c r="C1469" s="0" t="inlineStr">
        <is>
          <t xml:space="preserve">amer_west</t>
        </is>
      </c>
      <c r="D1469" s="0" t="inlineStr">
        <is>
          <t xml:space="preserve">smb</t>
        </is>
      </c>
      <c r="E1469" s="4">
        <v>174</v>
      </c>
      <c r="F1469" s="0" t="inlineStr">
        <is>
          <t xml:space="preserve">Northwind Logistics Ltd</t>
        </is>
      </c>
    </row>
    <row r="1470">
      <c r="A1470" s="0" t="inlineStr">
        <is>
          <t xml:space="preserve">a1469</t>
        </is>
      </c>
      <c r="B1470" s="0" t="inlineStr">
        <is>
          <t xml:space="preserve">healthcare</t>
        </is>
      </c>
      <c r="C1470" s="0" t="inlineStr">
        <is>
          <t xml:space="preserve">amer_west</t>
        </is>
      </c>
      <c r="D1470" s="0" t="inlineStr">
        <is>
          <t xml:space="preserve">mid_market</t>
        </is>
      </c>
      <c r="E1470" s="4">
        <v>277</v>
      </c>
      <c r="F1470" s="0" t="inlineStr">
        <is>
          <t xml:space="preserve">Copper Health Ltd</t>
        </is>
      </c>
    </row>
    <row r="1471">
      <c r="A1471" s="0" t="inlineStr">
        <is>
          <t xml:space="preserve">a1470</t>
        </is>
      </c>
      <c r="B1471" s="0" t="inlineStr">
        <is>
          <t xml:space="preserve">financial_services</t>
        </is>
      </c>
      <c r="C1471" s="0" t="inlineStr">
        <is>
          <t xml:space="preserve">amer_west</t>
        </is>
      </c>
      <c r="D1471" s="0" t="inlineStr">
        <is>
          <t xml:space="preserve">mid_market</t>
        </is>
      </c>
      <c r="E1471" s="4">
        <v>352</v>
      </c>
      <c r="F1471" s="0" t="inlineStr">
        <is>
          <t xml:space="preserve">Pioneer Networks</t>
        </is>
      </c>
    </row>
    <row r="1472">
      <c r="A1472" s="0" t="inlineStr">
        <is>
          <t xml:space="preserve">a1471</t>
        </is>
      </c>
      <c r="B1472" s="0" t="inlineStr">
        <is>
          <t xml:space="preserve">media</t>
        </is>
      </c>
      <c r="C1472" s="0" t="inlineStr">
        <is>
          <t xml:space="preserve">emea</t>
        </is>
      </c>
      <c r="D1472" s="0" t="inlineStr">
        <is>
          <t xml:space="preserve">mid_market</t>
        </is>
      </c>
      <c r="E1472" s="4">
        <v>265</v>
      </c>
      <c r="F1472" s="0" t="inlineStr">
        <is>
          <t xml:space="preserve">Umber Foods Group</t>
        </is>
      </c>
    </row>
    <row r="1473">
      <c r="A1473" s="0" t="inlineStr">
        <is>
          <t xml:space="preserve">a1472</t>
        </is>
      </c>
      <c r="B1473" s="0" t="inlineStr">
        <is>
          <t xml:space="preserve">financial_services</t>
        </is>
      </c>
      <c r="C1473" s="0" t="inlineStr">
        <is>
          <t xml:space="preserve">emea</t>
        </is>
      </c>
      <c r="D1473" s="0" t="inlineStr">
        <is>
          <t xml:space="preserve">enterprise</t>
        </is>
      </c>
      <c r="E1473" s="4">
        <v>14380</v>
      </c>
      <c r="F1473" s="0" t="inlineStr">
        <is>
          <t xml:space="preserve">Harbor Health SA</t>
        </is>
      </c>
    </row>
    <row r="1474">
      <c r="A1474" s="0" t="inlineStr">
        <is>
          <t xml:space="preserve">a1473</t>
        </is>
      </c>
      <c r="B1474" s="0" t="inlineStr">
        <is>
          <t xml:space="preserve">manufacturing</t>
        </is>
      </c>
      <c r="C1474" s="0" t="inlineStr">
        <is>
          <t xml:space="preserve">emea</t>
        </is>
      </c>
      <c r="D1474" s="0" t="inlineStr">
        <is>
          <t xml:space="preserve">smb</t>
        </is>
      </c>
      <c r="E1474" s="4">
        <v>30</v>
      </c>
      <c r="F1474" s="0" t="inlineStr">
        <is>
          <t xml:space="preserve">Ironbridge Labs Inc</t>
        </is>
      </c>
    </row>
    <row r="1475">
      <c r="A1475" s="0" t="inlineStr">
        <is>
          <t xml:space="preserve">a1474</t>
        </is>
      </c>
      <c r="B1475" s="0" t="inlineStr">
        <is>
          <t xml:space="preserve">logistics</t>
        </is>
      </c>
      <c r="C1475" s="0" t="inlineStr">
        <is>
          <t xml:space="preserve">emea</t>
        </is>
      </c>
      <c r="D1475" s="0" t="inlineStr">
        <is>
          <t xml:space="preserve">smb</t>
        </is>
      </c>
      <c r="E1475" s="4">
        <v>62</v>
      </c>
      <c r="F1475" s="0" t="inlineStr">
        <is>
          <t xml:space="preserve">Atlas Labs Partners</t>
        </is>
      </c>
    </row>
    <row r="1476">
      <c r="A1476" s="0" t="inlineStr">
        <is>
          <t xml:space="preserve">a1475</t>
        </is>
      </c>
      <c r="B1476" s="0" t="inlineStr">
        <is>
          <t xml:space="preserve">logistics</t>
        </is>
      </c>
      <c r="C1476" s="0" t="inlineStr">
        <is>
          <t xml:space="preserve">emea</t>
        </is>
      </c>
      <c r="D1476" s="0" t="inlineStr">
        <is>
          <t xml:space="preserve">mid_market</t>
        </is>
      </c>
      <c r="E1476" s="4">
        <v>821</v>
      </c>
      <c r="F1476" s="0" t="inlineStr">
        <is>
          <t xml:space="preserve">Blue Harbor Logistics Ltd</t>
        </is>
      </c>
    </row>
    <row r="1477">
      <c r="A1477" s="0" t="inlineStr">
        <is>
          <t xml:space="preserve">a1476</t>
        </is>
      </c>
      <c r="B1477" s="0" t="inlineStr">
        <is>
          <t xml:space="preserve">financial_services</t>
        </is>
      </c>
      <c r="C1477" s="0" t="inlineStr">
        <is>
          <t xml:space="preserve">emea</t>
        </is>
      </c>
      <c r="D1477" s="0" t="inlineStr">
        <is>
          <t xml:space="preserve">enterprise</t>
        </is>
      </c>
      <c r="E1477" s="4">
        <v>3101</v>
      </c>
      <c r="F1477" s="0" t="inlineStr">
        <is>
          <t xml:space="preserve">Blue Harbor Robotics Ltd</t>
        </is>
      </c>
    </row>
    <row r="1478">
      <c r="A1478" s="0" t="inlineStr">
        <is>
          <t xml:space="preserve">a1477</t>
        </is>
      </c>
      <c r="B1478" s="0" t="inlineStr">
        <is>
          <t xml:space="preserve">software</t>
        </is>
      </c>
      <c r="C1478" s="0" t="inlineStr">
        <is>
          <t xml:space="preserve">emea</t>
        </is>
      </c>
      <c r="D1478" s="0" t="inlineStr">
        <is>
          <t xml:space="preserve">mid_market</t>
        </is>
      </c>
      <c r="E1478" s="4">
        <v>594</v>
      </c>
      <c r="F1478" s="0" t="inlineStr">
        <is>
          <t xml:space="preserve">Keystone Foods Co</t>
        </is>
      </c>
    </row>
    <row r="1479">
      <c r="A1479" s="0" t="inlineStr">
        <is>
          <t xml:space="preserve">a1478</t>
        </is>
      </c>
      <c r="B1479" s="0" t="inlineStr">
        <is>
          <t xml:space="preserve">retail</t>
        </is>
      </c>
      <c r="C1479" s="0" t="inlineStr">
        <is>
          <t xml:space="preserve">emea</t>
        </is>
      </c>
      <c r="D1479" s="0" t="inlineStr">
        <is>
          <t xml:space="preserve">smb</t>
        </is>
      </c>
      <c r="E1479" s="4">
        <v>30</v>
      </c>
      <c r="F1479" s="0" t="inlineStr">
        <is>
          <t xml:space="preserve">Quantum Materials AG</t>
        </is>
      </c>
    </row>
    <row r="1480">
      <c r="A1480" s="0" t="inlineStr">
        <is>
          <t xml:space="preserve">a1479</t>
        </is>
      </c>
      <c r="B1480" s="0" t="inlineStr">
        <is>
          <t xml:space="preserve">healthcare</t>
        </is>
      </c>
      <c r="C1480" s="0" t="inlineStr">
        <is>
          <t xml:space="preserve">emea</t>
        </is>
      </c>
      <c r="D1480" s="0" t="inlineStr">
        <is>
          <t xml:space="preserve">smb</t>
        </is>
      </c>
      <c r="E1480" s="4">
        <v>22</v>
      </c>
      <c r="F1480" s="0" t="inlineStr">
        <is>
          <t xml:space="preserve">Cascade Software</t>
        </is>
      </c>
    </row>
    <row r="1481">
      <c r="A1481" s="0" t="inlineStr">
        <is>
          <t xml:space="preserve">a1480</t>
        </is>
      </c>
      <c r="B1481" s="0" t="inlineStr">
        <is>
          <t xml:space="preserve">healthcare</t>
        </is>
      </c>
      <c r="C1481" s="0" t="inlineStr">
        <is>
          <t xml:space="preserve">emea</t>
        </is>
      </c>
      <c r="D1481" s="0" t="inlineStr">
        <is>
          <t xml:space="preserve">smb</t>
        </is>
      </c>
      <c r="E1481" s="4">
        <v>78</v>
      </c>
      <c r="F1481" s="0" t="inlineStr">
        <is>
          <t xml:space="preserve">Keystone Health Ltd</t>
        </is>
      </c>
    </row>
    <row r="1482">
      <c r="A1482" s="0" t="inlineStr">
        <is>
          <t xml:space="preserve">a1481</t>
        </is>
      </c>
      <c r="B1482" s="0" t="inlineStr">
        <is>
          <t xml:space="preserve">energy</t>
        </is>
      </c>
      <c r="C1482" s="0" t="inlineStr">
        <is>
          <t xml:space="preserve">emea</t>
        </is>
      </c>
      <c r="D1482" s="0" t="inlineStr">
        <is>
          <t xml:space="preserve">smb</t>
        </is>
      </c>
      <c r="E1482" s="4">
        <v>53</v>
      </c>
      <c r="F1482" s="0" t="inlineStr">
        <is>
          <t xml:space="preserve">Falcon Learning</t>
        </is>
      </c>
    </row>
    <row r="1483">
      <c r="A1483" s="0" t="inlineStr">
        <is>
          <t xml:space="preserve">a1482</t>
        </is>
      </c>
      <c r="B1483" s="0" t="inlineStr">
        <is>
          <t xml:space="preserve">energy</t>
        </is>
      </c>
      <c r="C1483" s="0" t="inlineStr">
        <is>
          <t xml:space="preserve">emea</t>
        </is>
      </c>
      <c r="D1483" s="0" t="inlineStr">
        <is>
          <t xml:space="preserve">enterprise</t>
        </is>
      </c>
      <c r="E1483" s="4">
        <v>4074</v>
      </c>
      <c r="F1483" s="0" t="inlineStr">
        <is>
          <t xml:space="preserve">Granite Financial Holdings</t>
        </is>
      </c>
    </row>
    <row r="1484">
      <c r="A1484" s="0" t="inlineStr">
        <is>
          <t xml:space="preserve">a1483</t>
        </is>
      </c>
      <c r="B1484" s="0" t="inlineStr">
        <is>
          <t xml:space="preserve">software</t>
        </is>
      </c>
      <c r="C1484" s="0" t="inlineStr">
        <is>
          <t xml:space="preserve">emea</t>
        </is>
      </c>
      <c r="D1484" s="0" t="inlineStr">
        <is>
          <t xml:space="preserve">mid_market</t>
        </is>
      </c>
      <c r="E1484" s="4">
        <v>527</v>
      </c>
      <c r="F1484" s="0" t="inlineStr">
        <is>
          <t xml:space="preserve">Atlas Manufacturing Inc</t>
        </is>
      </c>
    </row>
    <row r="1485">
      <c r="A1485" s="0" t="inlineStr">
        <is>
          <t xml:space="preserve">a1484</t>
        </is>
      </c>
      <c r="B1485" s="0" t="inlineStr">
        <is>
          <t xml:space="preserve">manufacturing</t>
        </is>
      </c>
      <c r="C1485" s="0" t="inlineStr">
        <is>
          <t xml:space="preserve">emea</t>
        </is>
      </c>
      <c r="D1485" s="0" t="inlineStr">
        <is>
          <t xml:space="preserve">enterprise</t>
        </is>
      </c>
      <c r="E1485" s="4">
        <v>3101</v>
      </c>
      <c r="F1485" s="0" t="inlineStr">
        <is>
          <t xml:space="preserve">Falcon Energy Ltd</t>
        </is>
      </c>
    </row>
    <row r="1486">
      <c r="A1486" s="0" t="inlineStr">
        <is>
          <t xml:space="preserve">a1485</t>
        </is>
      </c>
      <c r="B1486" s="0" t="inlineStr">
        <is>
          <t xml:space="preserve">manufacturing</t>
        </is>
      </c>
      <c r="C1486" s="0" t="inlineStr">
        <is>
          <t xml:space="preserve">emea</t>
        </is>
      </c>
      <c r="D1486" s="0" t="inlineStr">
        <is>
          <t xml:space="preserve">mid_market</t>
        </is>
      </c>
      <c r="E1486" s="4">
        <v>814</v>
      </c>
      <c r="F1486" s="0" t="inlineStr">
        <is>
          <t xml:space="preserve">Keystone Manufacturing Holdings</t>
        </is>
      </c>
    </row>
    <row r="1487">
      <c r="A1487" s="0" t="inlineStr">
        <is>
          <t xml:space="preserve">a1486</t>
        </is>
      </c>
      <c r="B1487" s="0" t="inlineStr">
        <is>
          <t xml:space="preserve">financial_services</t>
        </is>
      </c>
      <c r="C1487" s="0" t="inlineStr">
        <is>
          <t xml:space="preserve">emea</t>
        </is>
      </c>
      <c r="D1487" s="0" t="inlineStr">
        <is>
          <t xml:space="preserve">smb</t>
        </is>
      </c>
      <c r="E1487" s="4">
        <v>114</v>
      </c>
      <c r="F1487" s="0" t="inlineStr">
        <is>
          <t xml:space="preserve">Horizon Robotics Ltd</t>
        </is>
      </c>
    </row>
    <row r="1488">
      <c r="A1488" s="0" t="inlineStr">
        <is>
          <t xml:space="preserve">a1487</t>
        </is>
      </c>
      <c r="B1488" s="0" t="inlineStr">
        <is>
          <t xml:space="preserve">software</t>
        </is>
      </c>
      <c r="C1488" s="0" t="inlineStr">
        <is>
          <t xml:space="preserve">emea</t>
        </is>
      </c>
      <c r="D1488" s="0" t="inlineStr">
        <is>
          <t xml:space="preserve">smb</t>
        </is>
      </c>
      <c r="E1488" s="4">
        <v>23</v>
      </c>
      <c r="F1488" s="0" t="inlineStr">
        <is>
          <t xml:space="preserve">Vertex Learning</t>
        </is>
      </c>
    </row>
    <row r="1489">
      <c r="A1489" s="0" t="inlineStr">
        <is>
          <t xml:space="preserve">a1488</t>
        </is>
      </c>
      <c r="B1489" s="0" t="inlineStr">
        <is>
          <t xml:space="preserve">manufacturing</t>
        </is>
      </c>
      <c r="C1489" s="0" t="inlineStr">
        <is>
          <t xml:space="preserve">emea</t>
        </is>
      </c>
      <c r="D1489" s="0" t="inlineStr">
        <is>
          <t xml:space="preserve">mid_market</t>
        </is>
      </c>
      <c r="E1489" s="4">
        <v>265</v>
      </c>
      <c r="F1489" s="0" t="inlineStr">
        <is>
          <t xml:space="preserve">Evergreen Foods AG</t>
        </is>
      </c>
    </row>
    <row r="1490">
      <c r="A1490" s="0" t="inlineStr">
        <is>
          <t xml:space="preserve">a1489</t>
        </is>
      </c>
      <c r="B1490" s="0" t="inlineStr">
        <is>
          <t xml:space="preserve">healthcare</t>
        </is>
      </c>
      <c r="C1490" s="0" t="inlineStr">
        <is>
          <t xml:space="preserve">emea</t>
        </is>
      </c>
      <c r="D1490" s="0" t="inlineStr">
        <is>
          <t xml:space="preserve">mid_market</t>
        </is>
      </c>
      <c r="E1490" s="4">
        <v>542</v>
      </c>
      <c r="F1490" s="0" t="inlineStr">
        <is>
          <t xml:space="preserve">Horizon Health Group</t>
        </is>
      </c>
    </row>
    <row r="1491">
      <c r="A1491" s="0" t="inlineStr">
        <is>
          <t xml:space="preserve">a1490</t>
        </is>
      </c>
      <c r="B1491" s="0" t="inlineStr">
        <is>
          <t xml:space="preserve">financial_services</t>
        </is>
      </c>
      <c r="C1491" s="0" t="inlineStr">
        <is>
          <t xml:space="preserve">apac</t>
        </is>
      </c>
      <c r="D1491" s="0" t="inlineStr">
        <is>
          <t xml:space="preserve">mid_market</t>
        </is>
      </c>
      <c r="E1491" s="4">
        <v>261</v>
      </c>
      <c r="F1491" s="0" t="inlineStr">
        <is>
          <t xml:space="preserve">Horizon Retail Co</t>
        </is>
      </c>
    </row>
    <row r="1492">
      <c r="A1492" s="0" t="inlineStr">
        <is>
          <t xml:space="preserve">a1491</t>
        </is>
      </c>
      <c r="B1492" s="0" t="inlineStr">
        <is>
          <t xml:space="preserve">media</t>
        </is>
      </c>
      <c r="C1492" s="0" t="inlineStr">
        <is>
          <t xml:space="preserve">apac</t>
        </is>
      </c>
      <c r="D1492" s="0" t="inlineStr">
        <is>
          <t xml:space="preserve">smb</t>
        </is>
      </c>
      <c r="E1492" s="4">
        <v>20</v>
      </c>
      <c r="F1492" s="0" t="inlineStr">
        <is>
          <t xml:space="preserve">Silverline Networks Inc</t>
        </is>
      </c>
    </row>
    <row r="1493">
      <c r="A1493" s="0" t="inlineStr">
        <is>
          <t xml:space="preserve">a1492</t>
        </is>
      </c>
      <c r="B1493" s="0" t="inlineStr">
        <is>
          <t xml:space="preserve">financial_services</t>
        </is>
      </c>
      <c r="C1493" s="0" t="inlineStr">
        <is>
          <t xml:space="preserve">apac</t>
        </is>
      </c>
      <c r="D1493" s="0" t="inlineStr">
        <is>
          <t xml:space="preserve">smb</t>
        </is>
      </c>
      <c r="E1493" s="4">
        <v>93</v>
      </c>
      <c r="F1493" s="0" t="inlineStr">
        <is>
          <t xml:space="preserve">Falcon Health Partners</t>
        </is>
      </c>
    </row>
    <row r="1494">
      <c r="A1494" s="0" t="inlineStr">
        <is>
          <t xml:space="preserve">a1493</t>
        </is>
      </c>
      <c r="B1494" s="0" t="inlineStr">
        <is>
          <t xml:space="preserve">software</t>
        </is>
      </c>
      <c r="C1494" s="0" t="inlineStr">
        <is>
          <t xml:space="preserve">apac</t>
        </is>
      </c>
      <c r="D1494" s="0" t="inlineStr">
        <is>
          <t xml:space="preserve">mid_market</t>
        </is>
      </c>
      <c r="E1494" s="4">
        <v>340</v>
      </c>
      <c r="F1494" s="0" t="inlineStr">
        <is>
          <t xml:space="preserve">Atlas Software AG</t>
        </is>
      </c>
    </row>
    <row r="1495">
      <c r="A1495" s="0" t="inlineStr">
        <is>
          <t xml:space="preserve">a1494</t>
        </is>
      </c>
      <c r="B1495" s="0" t="inlineStr">
        <is>
          <t xml:space="preserve">public_sector</t>
        </is>
      </c>
      <c r="C1495" s="0" t="inlineStr">
        <is>
          <t xml:space="preserve">apac</t>
        </is>
      </c>
      <c r="D1495" s="0" t="inlineStr">
        <is>
          <t xml:space="preserve">smb</t>
        </is>
      </c>
      <c r="E1495" s="4">
        <v>34</v>
      </c>
      <c r="F1495" s="0" t="inlineStr">
        <is>
          <t xml:space="preserve">Evergreen Biotech Ltd</t>
        </is>
      </c>
    </row>
    <row r="1496">
      <c r="A1496" s="0" t="inlineStr">
        <is>
          <t xml:space="preserve">a1495</t>
        </is>
      </c>
      <c r="B1496" s="0" t="inlineStr">
        <is>
          <t xml:space="preserve">logistics</t>
        </is>
      </c>
      <c r="C1496" s="0" t="inlineStr">
        <is>
          <t xml:space="preserve">apac</t>
        </is>
      </c>
      <c r="D1496" s="0" t="inlineStr">
        <is>
          <t xml:space="preserve">smb</t>
        </is>
      </c>
      <c r="E1496" s="4">
        <v>34</v>
      </c>
      <c r="F1496" s="0" t="inlineStr">
        <is>
          <t xml:space="preserve">Cascade Health Ltd</t>
        </is>
      </c>
    </row>
    <row r="1497">
      <c r="A1497" s="0" t="inlineStr">
        <is>
          <t xml:space="preserve">a1496</t>
        </is>
      </c>
      <c r="B1497" s="0" t="inlineStr">
        <is>
          <t xml:space="preserve">media</t>
        </is>
      </c>
      <c r="C1497" s="0" t="inlineStr">
        <is>
          <t xml:space="preserve">apac</t>
        </is>
      </c>
      <c r="D1497" s="0" t="inlineStr">
        <is>
          <t xml:space="preserve">smb</t>
        </is>
      </c>
      <c r="E1497" s="4">
        <v>103</v>
      </c>
      <c r="F1497" s="0" t="inlineStr">
        <is>
          <t xml:space="preserve">Beacon Retail SA</t>
        </is>
      </c>
    </row>
    <row r="1498">
      <c r="A1498" s="0" t="inlineStr">
        <is>
          <t xml:space="preserve">a1497</t>
        </is>
      </c>
      <c r="B1498" s="0" t="inlineStr">
        <is>
          <t xml:space="preserve">manufacturing</t>
        </is>
      </c>
      <c r="C1498" s="0" t="inlineStr">
        <is>
          <t xml:space="preserve">apac</t>
        </is>
      </c>
      <c r="D1498" s="0" t="inlineStr">
        <is>
          <t xml:space="preserve">mid_market</t>
        </is>
      </c>
      <c r="E1498" s="4">
        <v>272</v>
      </c>
      <c r="F1498" s="0" t="inlineStr">
        <is>
          <t xml:space="preserve">Blue Harbor Mobility</t>
        </is>
      </c>
    </row>
  </sheetData>
</worksheet>
</file>

<file path=xl/worksheets/sheet3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4" customWidth="1"/>
    <col min="18" max="18" width="14" customWidth="1"/>
    <col min="19" max="19" width="14" customWidth="1"/>
    <col min="20" max="20" width="14" customWidth="1"/>
    <col min="21" max="21" width="14" customWidth="1"/>
    <col min="22" max="22" width="14" customWidth="1"/>
    <col min="23" max="23" width="14" customWidth="1"/>
    <col min="24" max="24" width="14" customWidth="1"/>
  </cols>
  <sheetData>
    <row r="1">
      <c r="A1" s="1" t="inlineStr">
        <is>
          <t xml:space="preserve">ID</t>
        </is>
      </c>
      <c r="B1" s="1" t="inlineStr">
        <is>
          <t xml:space="preserve">account</t>
        </is>
      </c>
      <c r="C1" s="1" t="inlineStr">
        <is>
          <t xml:space="preserve">rep</t>
        </is>
      </c>
      <c r="D1" s="1" t="inlineStr">
        <is>
          <t xml:space="preserve">sdr</t>
        </is>
      </c>
      <c r="E1" s="1" t="inlineStr">
        <is>
          <t xml:space="preserve">channel</t>
        </is>
      </c>
      <c r="F1" s="1" t="inlineStr">
        <is>
          <t xml:space="preserve">stage</t>
        </is>
      </c>
      <c r="G1" s="1" t="inlineStr">
        <is>
          <t xml:space="preserve">new_logo</t>
        </is>
      </c>
      <c r="H1" s="1" t="inlineStr">
        <is>
          <t xml:space="preserve">acv</t>
        </is>
      </c>
      <c r="I1" s="1" t="inlineStr">
        <is>
          <t xml:space="preserve">term_years</t>
        </is>
      </c>
      <c r="J1" s="1" t="inlineStr">
        <is>
          <t xml:space="preserve">security_addon</t>
        </is>
      </c>
      <c r="K1" s="1" t="inlineStr">
        <is>
          <t xml:space="preserve">created</t>
        </is>
      </c>
      <c r="L1" s="1" t="inlineStr">
        <is>
          <t xml:space="preserve">close</t>
        </is>
      </c>
      <c r="M1" s="1" t="inlineStr">
        <is>
          <t xml:space="preserve">created_period</t>
        </is>
      </c>
      <c r="N1" s="1" t="inlineStr">
        <is>
          <t xml:space="preserve">close_period</t>
        </is>
      </c>
      <c r="O1" s="1" t="inlineStr">
        <is>
          <t xml:space="preserve">cycle_days</t>
        </is>
      </c>
      <c r="P1" s="1" t="inlineStr">
        <is>
          <t xml:space="preserve">won</t>
        </is>
      </c>
      <c r="Q1" s="1" t="inlineStr">
        <is>
          <t xml:space="preserve">lost</t>
        </is>
      </c>
      <c r="R1" s="1" t="inlineStr">
        <is>
          <t xml:space="preserve">open</t>
        </is>
      </c>
      <c r="S1" s="1" t="inlineStr">
        <is>
          <t xml:space="preserve">weighted_acv</t>
        </is>
      </c>
      <c r="T1" s="1" t="inlineStr">
        <is>
          <t xml:space="preserve">tcv</t>
        </is>
      </c>
      <c r="U1" s="1" t="inlineStr">
        <is>
          <t xml:space="preserve">extra_year_acv</t>
        </is>
      </c>
      <c r="V1" s="1" t="inlineStr">
        <is>
          <t xml:space="preserve">region</t>
        </is>
      </c>
      <c r="W1" s="1" t="inlineStr">
        <is>
          <t xml:space="preserve">segment</t>
        </is>
      </c>
      <c r="X1" s="1" t="inlineStr">
        <is>
          <t xml:space="preserve">close_quarter</t>
        </is>
      </c>
    </row>
    <row r="2">
      <c r="A2" s="0" t="inlineStr">
        <is>
          <t xml:space="preserve">o0001</t>
        </is>
      </c>
      <c r="B2" s="0" t="inlineStr">
        <is>
          <t xml:space="preserve">a0255</t>
        </is>
      </c>
      <c r="C2" s="0" t="inlineStr">
        <is>
          <t xml:space="preserve">r11</t>
        </is>
      </c>
      <c r="D2" s="0"/>
      <c r="E2" s="0" t="inlineStr">
        <is>
          <t xml:space="preserve">referral</t>
        </is>
      </c>
      <c r="F2" s="0" t="inlineStr">
        <is>
          <t xml:space="preserve">closed_won</t>
        </is>
      </c>
      <c r="G2" s="4">
        <v>0</v>
      </c>
      <c r="H2" s="4">
        <v>11500</v>
      </c>
      <c r="I2" s="4">
        <v>1</v>
      </c>
      <c r="J2" s="4">
        <v>0</v>
      </c>
      <c r="K2" s="16">
        <v>45851</v>
      </c>
      <c r="L2" s="16">
        <v>45880</v>
      </c>
      <c r="M2" s="0" t="inlineStr">
        <is>
          <t xml:space="preserve">jul25</t>
        </is>
      </c>
      <c r="N2" s="0" t="inlineStr">
        <is>
          <t xml:space="preserve">aug25</t>
        </is>
      </c>
      <c r="O2" s="4">
        <v>29</v>
      </c>
      <c r="P2" s="4">
        <v>1</v>
      </c>
      <c r="Q2" s="4">
        <v>0</v>
      </c>
      <c r="R2" s="4">
        <v>0</v>
      </c>
      <c r="S2" s="4">
        <f>(H2*INDEX('Stages'!$D$2:$D$7,MATCH(F2,'Stages'!$A$2:$A$7,0)))</f>
        <v>11500</v>
      </c>
      <c r="T2" s="4">
        <f>(H2*I2)</f>
        <v>11500</v>
      </c>
      <c r="U2" s="4">
        <f>(H2*(I2-1))</f>
        <v>0</v>
      </c>
      <c r="V2" s="0" t="str">
        <f>INDEX('Account executives'!$B$2:$B$25,MATCH(C2,'Account executives'!$A$2:$A$25,0))</f>
        <v>amer_west</v>
      </c>
      <c r="W2" s="0" t="str">
        <f>INDEX('Account executives'!$C$2:$C$25,MATCH(C2,'Account executives'!$A$2:$A$25,0))</f>
        <v>smb</v>
      </c>
      <c r="X2" s="0" t="str">
        <f>SUBSTITUTE(LOWER(INDEX('Periods'!$G$2:$G$22,MATCH(N2,'Periods'!$A$2:$A$22,0)))," ","_")</f>
        <v>q3_2025</v>
      </c>
    </row>
    <row r="3">
      <c r="A3" s="0" t="inlineStr">
        <is>
          <t xml:space="preserve">o0002</t>
        </is>
      </c>
      <c r="B3" s="0" t="inlineStr">
        <is>
          <t xml:space="preserve">a0943</t>
        </is>
      </c>
      <c r="C3" s="0" t="inlineStr">
        <is>
          <t xml:space="preserve">r14</t>
        </is>
      </c>
      <c r="D3" s="0" t="inlineStr">
        <is>
          <t xml:space="preserve">s_emea_out</t>
        </is>
      </c>
      <c r="E3" s="0" t="inlineStr">
        <is>
          <t xml:space="preserve">outbound</t>
        </is>
      </c>
      <c r="F3" s="0" t="inlineStr">
        <is>
          <t xml:space="preserve">closed_lost</t>
        </is>
      </c>
      <c r="G3" s="4">
        <v>1</v>
      </c>
      <c r="H3" s="4">
        <v>50900</v>
      </c>
      <c r="I3" s="4">
        <v>3</v>
      </c>
      <c r="J3" s="4">
        <v>0</v>
      </c>
      <c r="K3" s="16">
        <v>46155</v>
      </c>
      <c r="L3" s="16">
        <v>46275</v>
      </c>
      <c r="M3" s="0" t="inlineStr">
        <is>
          <t xml:space="preserve">may26</t>
        </is>
      </c>
      <c r="N3" s="0" t="inlineStr">
        <is>
          <t xml:space="preserve">sep26</t>
        </is>
      </c>
      <c r="O3" s="4">
        <v>120</v>
      </c>
      <c r="P3" s="4">
        <v>0</v>
      </c>
      <c r="Q3" s="4">
        <v>1</v>
      </c>
      <c r="R3" s="4">
        <v>0</v>
      </c>
      <c r="S3" s="4">
        <f>(H3*INDEX('Stages'!$D$2:$D$7,MATCH(F3,'Stages'!$A$2:$A$7,0)))</f>
        <v>0</v>
      </c>
      <c r="T3" s="4">
        <f>(H3*I3)</f>
        <v>152700</v>
      </c>
      <c r="U3" s="4">
        <f>(H3*(I3-1))</f>
        <v>101800</v>
      </c>
      <c r="V3" s="0" t="str">
        <f>INDEX('Account executives'!$B$2:$B$25,MATCH(C3,'Account executives'!$A$2:$A$25,0))</f>
        <v>emea</v>
      </c>
      <c r="W3" s="0" t="str">
        <f>INDEX('Account executives'!$C$2:$C$25,MATCH(C3,'Account executives'!$A$2:$A$25,0))</f>
        <v>enterprise</v>
      </c>
      <c r="X3" s="0" t="str">
        <f>SUBSTITUTE(LOWER(INDEX('Periods'!$G$2:$G$22,MATCH(N3,'Periods'!$A$2:$A$22,0)))," ","_")</f>
        <v>q3_2026</v>
      </c>
    </row>
    <row r="4">
      <c r="A4" s="0" t="inlineStr">
        <is>
          <t xml:space="preserve">o0003</t>
        </is>
      </c>
      <c r="B4" s="0" t="inlineStr">
        <is>
          <t xml:space="preserve">a0489</t>
        </is>
      </c>
      <c r="C4" s="0" t="inlineStr">
        <is>
          <t xml:space="preserve">r06</t>
        </is>
      </c>
      <c r="D4" s="0" t="inlineStr">
        <is>
          <t xml:space="preserve">s_amer_east_in</t>
        </is>
      </c>
      <c r="E4" s="0" t="inlineStr">
        <is>
          <t xml:space="preserve">paid</t>
        </is>
      </c>
      <c r="F4" s="0" t="inlineStr">
        <is>
          <t xml:space="preserve">closed_lost</t>
        </is>
      </c>
      <c r="G4" s="4">
        <v>0</v>
      </c>
      <c r="H4" s="4">
        <v>9100</v>
      </c>
      <c r="I4" s="4">
        <v>1</v>
      </c>
      <c r="J4" s="4">
        <v>0</v>
      </c>
      <c r="K4" s="16">
        <v>46096</v>
      </c>
      <c r="L4" s="16">
        <v>46129</v>
      </c>
      <c r="M4" s="0" t="inlineStr">
        <is>
          <t xml:space="preserve">mar26</t>
        </is>
      </c>
      <c r="N4" s="0" t="inlineStr">
        <is>
          <t xml:space="preserve">apr26</t>
        </is>
      </c>
      <c r="O4" s="4">
        <v>33</v>
      </c>
      <c r="P4" s="4">
        <v>0</v>
      </c>
      <c r="Q4" s="4">
        <v>1</v>
      </c>
      <c r="R4" s="4">
        <v>0</v>
      </c>
      <c r="S4" s="4">
        <f>(H4*INDEX('Stages'!$D$2:$D$7,MATCH(F4,'Stages'!$A$2:$A$7,0)))</f>
        <v>0</v>
      </c>
      <c r="T4" s="4">
        <f>(H4*I4)</f>
        <v>9100</v>
      </c>
      <c r="U4" s="4">
        <f>(H4*(I4-1))</f>
        <v>0</v>
      </c>
      <c r="V4" s="0" t="str">
        <f>INDEX('Account executives'!$B$2:$B$25,MATCH(C4,'Account executives'!$A$2:$A$25,0))</f>
        <v>amer_east</v>
      </c>
      <c r="W4" s="0" t="str">
        <f>INDEX('Account executives'!$C$2:$C$25,MATCH(C4,'Account executives'!$A$2:$A$25,0))</f>
        <v>smb</v>
      </c>
      <c r="X4" s="0" t="str">
        <f>SUBSTITUTE(LOWER(INDEX('Periods'!$G$2:$G$22,MATCH(N4,'Periods'!$A$2:$A$22,0)))," ","_")</f>
        <v>q2_2026</v>
      </c>
    </row>
    <row r="5">
      <c r="A5" s="0" t="inlineStr">
        <is>
          <t xml:space="preserve">o0004</t>
        </is>
      </c>
      <c r="B5" s="0" t="inlineStr">
        <is>
          <t xml:space="preserve">a0143</t>
        </is>
      </c>
      <c r="C5" s="0" t="inlineStr">
        <is>
          <t xml:space="preserve">r20</t>
        </is>
      </c>
      <c r="D5" s="0" t="inlineStr">
        <is>
          <t xml:space="preserve">s_apac_in</t>
        </is>
      </c>
      <c r="E5" s="0" t="inlineStr">
        <is>
          <t xml:space="preserve">inbound</t>
        </is>
      </c>
      <c r="F5" s="0" t="inlineStr">
        <is>
          <t xml:space="preserve">closed_won</t>
        </is>
      </c>
      <c r="G5" s="4">
        <v>1</v>
      </c>
      <c r="H5" s="4">
        <v>99700</v>
      </c>
      <c r="I5" s="4">
        <v>2</v>
      </c>
      <c r="J5" s="4">
        <v>0</v>
      </c>
      <c r="K5" s="16">
        <v>45794</v>
      </c>
      <c r="L5" s="16">
        <v>45824</v>
      </c>
      <c r="M5" s="0" t="inlineStr">
        <is>
          <t xml:space="preserve">may25</t>
        </is>
      </c>
      <c r="N5" s="0" t="inlineStr">
        <is>
          <t xml:space="preserve">jun25</t>
        </is>
      </c>
      <c r="O5" s="4">
        <v>30</v>
      </c>
      <c r="P5" s="4">
        <v>1</v>
      </c>
      <c r="Q5" s="4">
        <v>0</v>
      </c>
      <c r="R5" s="4">
        <v>0</v>
      </c>
      <c r="S5" s="4">
        <f>(H5*INDEX('Stages'!$D$2:$D$7,MATCH(F5,'Stages'!$A$2:$A$7,0)))</f>
        <v>99700</v>
      </c>
      <c r="T5" s="4">
        <f>(H5*I5)</f>
        <v>199400</v>
      </c>
      <c r="U5" s="4">
        <f>(H5*(I5-1))</f>
        <v>99700</v>
      </c>
      <c r="V5" s="0" t="str">
        <f>INDEX('Account executives'!$B$2:$B$25,MATCH(C5,'Account executives'!$A$2:$A$25,0))</f>
        <v>apac</v>
      </c>
      <c r="W5" s="0" t="str">
        <f>INDEX('Account executives'!$C$2:$C$25,MATCH(C5,'Account executives'!$A$2:$A$25,0))</f>
        <v>enterprise</v>
      </c>
      <c r="X5" s="0" t="str">
        <f>SUBSTITUTE(LOWER(INDEX('Periods'!$G$2:$G$22,MATCH(N5,'Periods'!$A$2:$A$22,0)))," ","_")</f>
        <v>q2_2025</v>
      </c>
    </row>
    <row r="6">
      <c r="A6" s="0" t="inlineStr">
        <is>
          <t xml:space="preserve">o0005</t>
        </is>
      </c>
      <c r="B6" s="0" t="inlineStr">
        <is>
          <t xml:space="preserve">a0391</t>
        </is>
      </c>
      <c r="C6" s="0" t="inlineStr">
        <is>
          <t xml:space="preserve">r18</t>
        </is>
      </c>
      <c r="D6" s="0" t="inlineStr">
        <is>
          <t xml:space="preserve">s_emea_in</t>
        </is>
      </c>
      <c r="E6" s="0" t="inlineStr">
        <is>
          <t xml:space="preserve">inbound</t>
        </is>
      </c>
      <c r="F6" s="0" t="inlineStr">
        <is>
          <t xml:space="preserve">closed_won</t>
        </is>
      </c>
      <c r="G6" s="4">
        <v>1</v>
      </c>
      <c r="H6" s="4">
        <v>10700</v>
      </c>
      <c r="I6" s="4">
        <v>1</v>
      </c>
      <c r="J6" s="4">
        <v>0</v>
      </c>
      <c r="K6" s="16">
        <v>45918</v>
      </c>
      <c r="L6" s="16">
        <v>45965</v>
      </c>
      <c r="M6" s="0" t="inlineStr">
        <is>
          <t xml:space="preserve">sep25</t>
        </is>
      </c>
      <c r="N6" s="0" t="inlineStr">
        <is>
          <t xml:space="preserve">nov25</t>
        </is>
      </c>
      <c r="O6" s="4">
        <v>47</v>
      </c>
      <c r="P6" s="4">
        <v>1</v>
      </c>
      <c r="Q6" s="4">
        <v>0</v>
      </c>
      <c r="R6" s="4">
        <v>0</v>
      </c>
      <c r="S6" s="4">
        <f>(H6*INDEX('Stages'!$D$2:$D$7,MATCH(F6,'Stages'!$A$2:$A$7,0)))</f>
        <v>10700</v>
      </c>
      <c r="T6" s="4">
        <f>(H6*I6)</f>
        <v>10700</v>
      </c>
      <c r="U6" s="4">
        <f>(H6*(I6-1))</f>
        <v>0</v>
      </c>
      <c r="V6" s="0" t="str">
        <f>INDEX('Account executives'!$B$2:$B$25,MATCH(C6,'Account executives'!$A$2:$A$25,0))</f>
        <v>emea</v>
      </c>
      <c r="W6" s="0" t="str">
        <f>INDEX('Account executives'!$C$2:$C$25,MATCH(C6,'Account executives'!$A$2:$A$25,0))</f>
        <v>smb</v>
      </c>
      <c r="X6" s="0" t="str">
        <f>SUBSTITUTE(LOWER(INDEX('Periods'!$G$2:$G$22,MATCH(N6,'Periods'!$A$2:$A$22,0)))," ","_")</f>
        <v>q4_2025</v>
      </c>
    </row>
    <row r="7">
      <c r="A7" s="0" t="inlineStr">
        <is>
          <t xml:space="preserve">o0006</t>
        </is>
      </c>
      <c r="B7" s="0" t="inlineStr">
        <is>
          <t xml:space="preserve">a0268</t>
        </is>
      </c>
      <c r="C7" s="0" t="inlineStr">
        <is>
          <t xml:space="preserve">r12</t>
        </is>
      </c>
      <c r="D7" s="0" t="inlineStr">
        <is>
          <t xml:space="preserve">s_amer_west_in</t>
        </is>
      </c>
      <c r="E7" s="0" t="inlineStr">
        <is>
          <t xml:space="preserve">inbound</t>
        </is>
      </c>
      <c r="F7" s="0" t="inlineStr">
        <is>
          <t xml:space="preserve">closed_lost</t>
        </is>
      </c>
      <c r="G7" s="4">
        <v>0</v>
      </c>
      <c r="H7" s="4">
        <v>5100</v>
      </c>
      <c r="I7" s="4">
        <v>1</v>
      </c>
      <c r="J7" s="4">
        <v>1</v>
      </c>
      <c r="K7" s="16">
        <v>46048</v>
      </c>
      <c r="L7" s="16">
        <v>46073</v>
      </c>
      <c r="M7" s="0" t="inlineStr">
        <is>
          <t xml:space="preserve">jan26</t>
        </is>
      </c>
      <c r="N7" s="0" t="inlineStr">
        <is>
          <t xml:space="preserve">feb26</t>
        </is>
      </c>
      <c r="O7" s="4">
        <v>25</v>
      </c>
      <c r="P7" s="4">
        <v>0</v>
      </c>
      <c r="Q7" s="4">
        <v>1</v>
      </c>
      <c r="R7" s="4">
        <v>0</v>
      </c>
      <c r="S7" s="4">
        <f>(H7*INDEX('Stages'!$D$2:$D$7,MATCH(F7,'Stages'!$A$2:$A$7,0)))</f>
        <v>0</v>
      </c>
      <c r="T7" s="4">
        <f>(H7*I7)</f>
        <v>5100</v>
      </c>
      <c r="U7" s="4">
        <f>(H7*(I7-1))</f>
        <v>0</v>
      </c>
      <c r="V7" s="0" t="str">
        <f>INDEX('Account executives'!$B$2:$B$25,MATCH(C7,'Account executives'!$A$2:$A$25,0))</f>
        <v>amer_west</v>
      </c>
      <c r="W7" s="0" t="str">
        <f>INDEX('Account executives'!$C$2:$C$25,MATCH(C7,'Account executives'!$A$2:$A$25,0))</f>
        <v>smb</v>
      </c>
      <c r="X7" s="0" t="str">
        <f>SUBSTITUTE(LOWER(INDEX('Periods'!$G$2:$G$22,MATCH(N7,'Periods'!$A$2:$A$22,0)))," ","_")</f>
        <v>q1_2026</v>
      </c>
    </row>
    <row r="8">
      <c r="A8" s="0" t="inlineStr">
        <is>
          <t xml:space="preserve">o0007</t>
        </is>
      </c>
      <c r="B8" s="0" t="inlineStr">
        <is>
          <t xml:space="preserve">a0330</t>
        </is>
      </c>
      <c r="C8" s="0" t="inlineStr">
        <is>
          <t xml:space="preserve">r10</t>
        </is>
      </c>
      <c r="D8" s="0" t="inlineStr">
        <is>
          <t xml:space="preserve">s_amer_west_out</t>
        </is>
      </c>
      <c r="E8" s="0" t="inlineStr">
        <is>
          <t xml:space="preserve">outbound</t>
        </is>
      </c>
      <c r="F8" s="0" t="inlineStr">
        <is>
          <t xml:space="preserve">closed_lost</t>
        </is>
      </c>
      <c r="G8" s="4">
        <v>0</v>
      </c>
      <c r="H8" s="4">
        <v>47000</v>
      </c>
      <c r="I8" s="4">
        <v>3</v>
      </c>
      <c r="J8" s="4">
        <v>0</v>
      </c>
      <c r="K8" s="16">
        <v>46057</v>
      </c>
      <c r="L8" s="16">
        <v>46129</v>
      </c>
      <c r="M8" s="0" t="inlineStr">
        <is>
          <t xml:space="preserve">feb26</t>
        </is>
      </c>
      <c r="N8" s="0" t="inlineStr">
        <is>
          <t xml:space="preserve">apr26</t>
        </is>
      </c>
      <c r="O8" s="4">
        <v>72</v>
      </c>
      <c r="P8" s="4">
        <v>0</v>
      </c>
      <c r="Q8" s="4">
        <v>1</v>
      </c>
      <c r="R8" s="4">
        <v>0</v>
      </c>
      <c r="S8" s="4">
        <f>(H8*INDEX('Stages'!$D$2:$D$7,MATCH(F8,'Stages'!$A$2:$A$7,0)))</f>
        <v>0</v>
      </c>
      <c r="T8" s="4">
        <f>(H8*I8)</f>
        <v>141000</v>
      </c>
      <c r="U8" s="4">
        <f>(H8*(I8-1))</f>
        <v>94000</v>
      </c>
      <c r="V8" s="0" t="str">
        <f>INDEX('Account executives'!$B$2:$B$25,MATCH(C8,'Account executives'!$A$2:$A$25,0))</f>
        <v>amer_west</v>
      </c>
      <c r="W8" s="0" t="str">
        <f>INDEX('Account executives'!$C$2:$C$25,MATCH(C8,'Account executives'!$A$2:$A$25,0))</f>
        <v>mid_market</v>
      </c>
      <c r="X8" s="0" t="str">
        <f>SUBSTITUTE(LOWER(INDEX('Periods'!$G$2:$G$22,MATCH(N8,'Periods'!$A$2:$A$22,0)))," ","_")</f>
        <v>q2_2026</v>
      </c>
    </row>
    <row r="9">
      <c r="A9" s="0" t="inlineStr">
        <is>
          <t xml:space="preserve">o0008</t>
        </is>
      </c>
      <c r="B9" s="0" t="inlineStr">
        <is>
          <t xml:space="preserve">a1126</t>
        </is>
      </c>
      <c r="C9" s="0" t="inlineStr">
        <is>
          <t xml:space="preserve">r13</t>
        </is>
      </c>
      <c r="D9" s="0"/>
      <c r="E9" s="0" t="inlineStr">
        <is>
          <t xml:space="preserve">events</t>
        </is>
      </c>
      <c r="F9" s="0" t="inlineStr">
        <is>
          <t xml:space="preserve">discovery</t>
        </is>
      </c>
      <c r="G9" s="4">
        <v>1</v>
      </c>
      <c r="H9" s="4">
        <v>179500</v>
      </c>
      <c r="I9" s="4">
        <v>2</v>
      </c>
      <c r="J9" s="4">
        <v>0</v>
      </c>
      <c r="K9" s="16">
        <v>46223</v>
      </c>
      <c r="L9" s="16">
        <v>46293</v>
      </c>
      <c r="M9" s="0" t="inlineStr">
        <is>
          <t xml:space="preserve">jul26</t>
        </is>
      </c>
      <c r="N9" s="0" t="inlineStr">
        <is>
          <t xml:space="preserve">sep26</t>
        </is>
      </c>
      <c r="O9" s="4">
        <v>102</v>
      </c>
      <c r="P9" s="4">
        <v>0</v>
      </c>
      <c r="Q9" s="4">
        <v>0</v>
      </c>
      <c r="R9" s="4">
        <v>1</v>
      </c>
      <c r="S9" s="4">
        <f>(H9*INDEX('Stages'!$D$2:$D$7,MATCH(F9,'Stages'!$A$2:$A$7,0)))</f>
        <v>17950</v>
      </c>
      <c r="T9" s="4">
        <f>(H9*I9)</f>
        <v>359000</v>
      </c>
      <c r="U9" s="4">
        <f>(H9*(I9-1))</f>
        <v>179500</v>
      </c>
      <c r="V9" s="0" t="str">
        <f>INDEX('Account executives'!$B$2:$B$25,MATCH(C9,'Account executives'!$A$2:$A$25,0))</f>
        <v>emea</v>
      </c>
      <c r="W9" s="0" t="str">
        <f>INDEX('Account executives'!$C$2:$C$25,MATCH(C9,'Account executives'!$A$2:$A$25,0))</f>
        <v>enterprise</v>
      </c>
      <c r="X9" s="0" t="str">
        <f>SUBSTITUTE(LOWER(INDEX('Periods'!$G$2:$G$22,MATCH(N9,'Periods'!$A$2:$A$22,0)))," ","_")</f>
        <v>q3_2026</v>
      </c>
    </row>
    <row r="10">
      <c r="A10" s="0" t="inlineStr">
        <is>
          <t xml:space="preserve">o0009</t>
        </is>
      </c>
      <c r="B10" s="0" t="inlineStr">
        <is>
          <t xml:space="preserve">a0132</t>
        </is>
      </c>
      <c r="C10" s="0" t="inlineStr">
        <is>
          <t xml:space="preserve">r16</t>
        </is>
      </c>
      <c r="D10" s="0" t="inlineStr">
        <is>
          <t xml:space="preserve">s_emea_out</t>
        </is>
      </c>
      <c r="E10" s="0" t="inlineStr">
        <is>
          <t xml:space="preserve">outbound</t>
        </is>
      </c>
      <c r="F10" s="0" t="inlineStr">
        <is>
          <t xml:space="preserve">closed_won</t>
        </is>
      </c>
      <c r="G10" s="4">
        <v>0</v>
      </c>
      <c r="H10" s="4">
        <v>10600</v>
      </c>
      <c r="I10" s="4">
        <v>3</v>
      </c>
      <c r="J10" s="4">
        <v>0</v>
      </c>
      <c r="K10" s="16">
        <v>45780</v>
      </c>
      <c r="L10" s="16">
        <v>45928</v>
      </c>
      <c r="M10" s="0" t="inlineStr">
        <is>
          <t xml:space="preserve">may25</t>
        </is>
      </c>
      <c r="N10" s="0" t="inlineStr">
        <is>
          <t xml:space="preserve">sep25</t>
        </is>
      </c>
      <c r="O10" s="4">
        <v>148</v>
      </c>
      <c r="P10" s="4">
        <v>1</v>
      </c>
      <c r="Q10" s="4">
        <v>0</v>
      </c>
      <c r="R10" s="4">
        <v>0</v>
      </c>
      <c r="S10" s="4">
        <f>(H10*INDEX('Stages'!$D$2:$D$7,MATCH(F10,'Stages'!$A$2:$A$7,0)))</f>
        <v>10600</v>
      </c>
      <c r="T10" s="4">
        <f>(H10*I10)</f>
        <v>31800</v>
      </c>
      <c r="U10" s="4">
        <f>(H10*(I10-1))</f>
        <v>21200</v>
      </c>
      <c r="V10" s="0" t="str">
        <f>INDEX('Account executives'!$B$2:$B$25,MATCH(C10,'Account executives'!$A$2:$A$25,0))</f>
        <v>emea</v>
      </c>
      <c r="W10" s="0" t="str">
        <f>INDEX('Account executives'!$C$2:$C$25,MATCH(C10,'Account executives'!$A$2:$A$25,0))</f>
        <v>mid_market</v>
      </c>
      <c r="X10" s="0" t="str">
        <f>SUBSTITUTE(LOWER(INDEX('Periods'!$G$2:$G$22,MATCH(N10,'Periods'!$A$2:$A$22,0)))," ","_")</f>
        <v>q3_2025</v>
      </c>
    </row>
    <row r="11">
      <c r="A11" s="0" t="inlineStr">
        <is>
          <t xml:space="preserve">o0010</t>
        </is>
      </c>
      <c r="B11" s="0" t="inlineStr">
        <is>
          <t xml:space="preserve">a0354</t>
        </is>
      </c>
      <c r="C11" s="0" t="inlineStr">
        <is>
          <t xml:space="preserve">r21</t>
        </is>
      </c>
      <c r="D11" s="0" t="inlineStr">
        <is>
          <t xml:space="preserve">s_apac_in</t>
        </is>
      </c>
      <c r="E11" s="0" t="inlineStr">
        <is>
          <t xml:space="preserve">paid</t>
        </is>
      </c>
      <c r="F11" s="0" t="inlineStr">
        <is>
          <t xml:space="preserve">closed_lost</t>
        </is>
      </c>
      <c r="G11" s="4">
        <v>0</v>
      </c>
      <c r="H11" s="4">
        <v>7200</v>
      </c>
      <c r="I11" s="4">
        <v>1</v>
      </c>
      <c r="J11" s="4">
        <v>0</v>
      </c>
      <c r="K11" s="16">
        <v>46166</v>
      </c>
      <c r="L11" s="16">
        <v>46201</v>
      </c>
      <c r="M11" s="0" t="inlineStr">
        <is>
          <t xml:space="preserve">may26</t>
        </is>
      </c>
      <c r="N11" s="0" t="inlineStr">
        <is>
          <t xml:space="preserve">jun26</t>
        </is>
      </c>
      <c r="O11" s="4">
        <v>35</v>
      </c>
      <c r="P11" s="4">
        <v>0</v>
      </c>
      <c r="Q11" s="4">
        <v>1</v>
      </c>
      <c r="R11" s="4">
        <v>0</v>
      </c>
      <c r="S11" s="4">
        <f>(H11*INDEX('Stages'!$D$2:$D$7,MATCH(F11,'Stages'!$A$2:$A$7,0)))</f>
        <v>0</v>
      </c>
      <c r="T11" s="4">
        <f>(H11*I11)</f>
        <v>7200</v>
      </c>
      <c r="U11" s="4">
        <f>(H11*(I11-1))</f>
        <v>0</v>
      </c>
      <c r="V11" s="0" t="str">
        <f>INDEX('Account executives'!$B$2:$B$25,MATCH(C11,'Account executives'!$A$2:$A$25,0))</f>
        <v>apac</v>
      </c>
      <c r="W11" s="0" t="str">
        <f>INDEX('Account executives'!$C$2:$C$25,MATCH(C11,'Account executives'!$A$2:$A$25,0))</f>
        <v>mid_market</v>
      </c>
      <c r="X11" s="0" t="str">
        <f>SUBSTITUTE(LOWER(INDEX('Periods'!$G$2:$G$22,MATCH(N11,'Periods'!$A$2:$A$22,0)))," ","_")</f>
        <v>q2_2026</v>
      </c>
    </row>
    <row r="12">
      <c r="A12" s="0" t="inlineStr">
        <is>
          <t xml:space="preserve">o0011</t>
        </is>
      </c>
      <c r="B12" s="0" t="inlineStr">
        <is>
          <t xml:space="preserve">a0794</t>
        </is>
      </c>
      <c r="C12" s="0" t="inlineStr">
        <is>
          <t xml:space="preserve">r21</t>
        </is>
      </c>
      <c r="D12" s="0" t="inlineStr">
        <is>
          <t xml:space="preserve">s_apac_in</t>
        </is>
      </c>
      <c r="E12" s="0" t="inlineStr">
        <is>
          <t xml:space="preserve">inbound</t>
        </is>
      </c>
      <c r="F12" s="0" t="inlineStr">
        <is>
          <t xml:space="preserve">closed_lost</t>
        </is>
      </c>
      <c r="G12" s="4">
        <v>1</v>
      </c>
      <c r="H12" s="4">
        <v>40600</v>
      </c>
      <c r="I12" s="4">
        <v>1</v>
      </c>
      <c r="J12" s="4">
        <v>0</v>
      </c>
      <c r="K12" s="16">
        <v>46087</v>
      </c>
      <c r="L12" s="16">
        <v>46192</v>
      </c>
      <c r="M12" s="0" t="inlineStr">
        <is>
          <t xml:space="preserve">mar26</t>
        </is>
      </c>
      <c r="N12" s="0" t="inlineStr">
        <is>
          <t xml:space="preserve">jun26</t>
        </is>
      </c>
      <c r="O12" s="4">
        <v>105</v>
      </c>
      <c r="P12" s="4">
        <v>0</v>
      </c>
      <c r="Q12" s="4">
        <v>1</v>
      </c>
      <c r="R12" s="4">
        <v>0</v>
      </c>
      <c r="S12" s="4">
        <f>(H12*INDEX('Stages'!$D$2:$D$7,MATCH(F12,'Stages'!$A$2:$A$7,0)))</f>
        <v>0</v>
      </c>
      <c r="T12" s="4">
        <f>(H12*I12)</f>
        <v>40600</v>
      </c>
      <c r="U12" s="4">
        <f>(H12*(I12-1))</f>
        <v>0</v>
      </c>
      <c r="V12" s="0" t="str">
        <f>INDEX('Account executives'!$B$2:$B$25,MATCH(C12,'Account executives'!$A$2:$A$25,0))</f>
        <v>apac</v>
      </c>
      <c r="W12" s="0" t="str">
        <f>INDEX('Account executives'!$C$2:$C$25,MATCH(C12,'Account executives'!$A$2:$A$25,0))</f>
        <v>mid_market</v>
      </c>
      <c r="X12" s="0" t="str">
        <f>SUBSTITUTE(LOWER(INDEX('Periods'!$G$2:$G$22,MATCH(N12,'Periods'!$A$2:$A$22,0)))," ","_")</f>
        <v>q2_2026</v>
      </c>
    </row>
    <row r="13">
      <c r="A13" s="0" t="inlineStr">
        <is>
          <t xml:space="preserve">o0012</t>
        </is>
      </c>
      <c r="B13" s="0" t="inlineStr">
        <is>
          <t xml:space="preserve">a0653</t>
        </is>
      </c>
      <c r="C13" s="0" t="inlineStr">
        <is>
          <t xml:space="preserve">r19</t>
        </is>
      </c>
      <c r="D13" s="0" t="inlineStr">
        <is>
          <t xml:space="preserve">s_apac_in</t>
        </is>
      </c>
      <c r="E13" s="0" t="inlineStr">
        <is>
          <t xml:space="preserve">paid</t>
        </is>
      </c>
      <c r="F13" s="0" t="inlineStr">
        <is>
          <t xml:space="preserve">closed_won</t>
        </is>
      </c>
      <c r="G13" s="4">
        <v>1</v>
      </c>
      <c r="H13" s="4">
        <v>188400</v>
      </c>
      <c r="I13" s="4">
        <v>1</v>
      </c>
      <c r="J13" s="4">
        <v>0</v>
      </c>
      <c r="K13" s="16">
        <v>46029</v>
      </c>
      <c r="L13" s="16">
        <v>46135</v>
      </c>
      <c r="M13" s="0" t="inlineStr">
        <is>
          <t xml:space="preserve">jan26</t>
        </is>
      </c>
      <c r="N13" s="0" t="inlineStr">
        <is>
          <t xml:space="preserve">apr26</t>
        </is>
      </c>
      <c r="O13" s="4">
        <v>106</v>
      </c>
      <c r="P13" s="4">
        <v>1</v>
      </c>
      <c r="Q13" s="4">
        <v>0</v>
      </c>
      <c r="R13" s="4">
        <v>0</v>
      </c>
      <c r="S13" s="4">
        <f>(H13*INDEX('Stages'!$D$2:$D$7,MATCH(F13,'Stages'!$A$2:$A$7,0)))</f>
        <v>188400</v>
      </c>
      <c r="T13" s="4">
        <f>(H13*I13)</f>
        <v>188400</v>
      </c>
      <c r="U13" s="4">
        <f>(H13*(I13-1))</f>
        <v>0</v>
      </c>
      <c r="V13" s="0" t="str">
        <f>INDEX('Account executives'!$B$2:$B$25,MATCH(C13,'Account executives'!$A$2:$A$25,0))</f>
        <v>apac</v>
      </c>
      <c r="W13" s="0" t="str">
        <f>INDEX('Account executives'!$C$2:$C$25,MATCH(C13,'Account executives'!$A$2:$A$25,0))</f>
        <v>enterprise</v>
      </c>
      <c r="X13" s="0" t="str">
        <f>SUBSTITUTE(LOWER(INDEX('Periods'!$G$2:$G$22,MATCH(N13,'Periods'!$A$2:$A$22,0)))," ","_")</f>
        <v>q2_2026</v>
      </c>
    </row>
    <row r="14">
      <c r="A14" s="0" t="inlineStr">
        <is>
          <t xml:space="preserve">o0013</t>
        </is>
      </c>
      <c r="B14" s="0" t="inlineStr">
        <is>
          <t xml:space="preserve">a0720</t>
        </is>
      </c>
      <c r="C14" s="0" t="inlineStr">
        <is>
          <t xml:space="preserve">r24</t>
        </is>
      </c>
      <c r="D14" s="0"/>
      <c r="E14" s="0" t="inlineStr">
        <is>
          <t xml:space="preserve">referral</t>
        </is>
      </c>
      <c r="F14" s="0" t="inlineStr">
        <is>
          <t xml:space="preserve">closed_lost</t>
        </is>
      </c>
      <c r="G14" s="4">
        <v>1</v>
      </c>
      <c r="H14" s="4">
        <v>7200</v>
      </c>
      <c r="I14" s="4">
        <v>1</v>
      </c>
      <c r="J14" s="4">
        <v>0</v>
      </c>
      <c r="K14" s="16">
        <v>46069</v>
      </c>
      <c r="L14" s="16">
        <v>46086</v>
      </c>
      <c r="M14" s="0" t="inlineStr">
        <is>
          <t xml:space="preserve">feb26</t>
        </is>
      </c>
      <c r="N14" s="0" t="inlineStr">
        <is>
          <t xml:space="preserve">mar26</t>
        </is>
      </c>
      <c r="O14" s="4">
        <v>17</v>
      </c>
      <c r="P14" s="4">
        <v>0</v>
      </c>
      <c r="Q14" s="4">
        <v>1</v>
      </c>
      <c r="R14" s="4">
        <v>0</v>
      </c>
      <c r="S14" s="4">
        <f>(H14*INDEX('Stages'!$D$2:$D$7,MATCH(F14,'Stages'!$A$2:$A$7,0)))</f>
        <v>0</v>
      </c>
      <c r="T14" s="4">
        <f>(H14*I14)</f>
        <v>7200</v>
      </c>
      <c r="U14" s="4">
        <f>(H14*(I14-1))</f>
        <v>0</v>
      </c>
      <c r="V14" s="0" t="str">
        <f>INDEX('Account executives'!$B$2:$B$25,MATCH(C14,'Account executives'!$A$2:$A$25,0))</f>
        <v>apac</v>
      </c>
      <c r="W14" s="0" t="str">
        <f>INDEX('Account executives'!$C$2:$C$25,MATCH(C14,'Account executives'!$A$2:$A$25,0))</f>
        <v>smb</v>
      </c>
      <c r="X14" s="0" t="str">
        <f>SUBSTITUTE(LOWER(INDEX('Periods'!$G$2:$G$22,MATCH(N14,'Periods'!$A$2:$A$22,0)))," ","_")</f>
        <v>q1_2026</v>
      </c>
    </row>
    <row r="15">
      <c r="A15" s="0" t="inlineStr">
        <is>
          <t xml:space="preserve">o0014</t>
        </is>
      </c>
      <c r="B15" s="0" t="inlineStr">
        <is>
          <t xml:space="preserve">a0522</t>
        </is>
      </c>
      <c r="C15" s="0" t="inlineStr">
        <is>
          <t xml:space="preserve">r18</t>
        </is>
      </c>
      <c r="D15" s="0" t="inlineStr">
        <is>
          <t xml:space="preserve">s_emea_in</t>
        </is>
      </c>
      <c r="E15" s="0" t="inlineStr">
        <is>
          <t xml:space="preserve">paid</t>
        </is>
      </c>
      <c r="F15" s="0" t="inlineStr">
        <is>
          <t xml:space="preserve">closed_lost</t>
        </is>
      </c>
      <c r="G15" s="4">
        <v>1</v>
      </c>
      <c r="H15" s="4">
        <v>10300</v>
      </c>
      <c r="I15" s="4">
        <v>1</v>
      </c>
      <c r="J15" s="4">
        <v>0</v>
      </c>
      <c r="K15" s="16">
        <v>45974</v>
      </c>
      <c r="L15" s="16">
        <v>46008</v>
      </c>
      <c r="M15" s="0" t="inlineStr">
        <is>
          <t xml:space="preserve">nov25</t>
        </is>
      </c>
      <c r="N15" s="0" t="inlineStr">
        <is>
          <t xml:space="preserve">dec25</t>
        </is>
      </c>
      <c r="O15" s="4">
        <v>34</v>
      </c>
      <c r="P15" s="4">
        <v>0</v>
      </c>
      <c r="Q15" s="4">
        <v>1</v>
      </c>
      <c r="R15" s="4">
        <v>0</v>
      </c>
      <c r="S15" s="4">
        <f>(H15*INDEX('Stages'!$D$2:$D$7,MATCH(F15,'Stages'!$A$2:$A$7,0)))</f>
        <v>0</v>
      </c>
      <c r="T15" s="4">
        <f>(H15*I15)</f>
        <v>10300</v>
      </c>
      <c r="U15" s="4">
        <f>(H15*(I15-1))</f>
        <v>0</v>
      </c>
      <c r="V15" s="0" t="str">
        <f>INDEX('Account executives'!$B$2:$B$25,MATCH(C15,'Account executives'!$A$2:$A$25,0))</f>
        <v>emea</v>
      </c>
      <c r="W15" s="0" t="str">
        <f>INDEX('Account executives'!$C$2:$C$25,MATCH(C15,'Account executives'!$A$2:$A$25,0))</f>
        <v>smb</v>
      </c>
      <c r="X15" s="0" t="str">
        <f>SUBSTITUTE(LOWER(INDEX('Periods'!$G$2:$G$22,MATCH(N15,'Periods'!$A$2:$A$22,0)))," ","_")</f>
        <v>q4_2025</v>
      </c>
    </row>
    <row r="16">
      <c r="A16" s="0" t="inlineStr">
        <is>
          <t xml:space="preserve">o0015</t>
        </is>
      </c>
      <c r="B16" s="0" t="inlineStr">
        <is>
          <t xml:space="preserve">a0154</t>
        </is>
      </c>
      <c r="C16" s="0" t="inlineStr">
        <is>
          <t xml:space="preserve">r21</t>
        </is>
      </c>
      <c r="D16" s="0" t="inlineStr">
        <is>
          <t xml:space="preserve">s_apac_out</t>
        </is>
      </c>
      <c r="E16" s="0" t="inlineStr">
        <is>
          <t xml:space="preserve">outbound</t>
        </is>
      </c>
      <c r="F16" s="0" t="inlineStr">
        <is>
          <t xml:space="preserve">closed_lost</t>
        </is>
      </c>
      <c r="G16" s="4">
        <v>1</v>
      </c>
      <c r="H16" s="4">
        <v>32000</v>
      </c>
      <c r="I16" s="4">
        <v>1</v>
      </c>
      <c r="J16" s="4">
        <v>1</v>
      </c>
      <c r="K16" s="16">
        <v>45789</v>
      </c>
      <c r="L16" s="16">
        <v>45833</v>
      </c>
      <c r="M16" s="0" t="inlineStr">
        <is>
          <t xml:space="preserve">may25</t>
        </is>
      </c>
      <c r="N16" s="0" t="inlineStr">
        <is>
          <t xml:space="preserve">jun25</t>
        </is>
      </c>
      <c r="O16" s="4">
        <v>44</v>
      </c>
      <c r="P16" s="4">
        <v>0</v>
      </c>
      <c r="Q16" s="4">
        <v>1</v>
      </c>
      <c r="R16" s="4">
        <v>0</v>
      </c>
      <c r="S16" s="4">
        <f>(H16*INDEX('Stages'!$D$2:$D$7,MATCH(F16,'Stages'!$A$2:$A$7,0)))</f>
        <v>0</v>
      </c>
      <c r="T16" s="4">
        <f>(H16*I16)</f>
        <v>32000</v>
      </c>
      <c r="U16" s="4">
        <f>(H16*(I16-1))</f>
        <v>0</v>
      </c>
      <c r="V16" s="0" t="str">
        <f>INDEX('Account executives'!$B$2:$B$25,MATCH(C16,'Account executives'!$A$2:$A$25,0))</f>
        <v>apac</v>
      </c>
      <c r="W16" s="0" t="str">
        <f>INDEX('Account executives'!$C$2:$C$25,MATCH(C16,'Account executives'!$A$2:$A$25,0))</f>
        <v>mid_market</v>
      </c>
      <c r="X16" s="0" t="str">
        <f>SUBSTITUTE(LOWER(INDEX('Periods'!$G$2:$G$22,MATCH(N16,'Periods'!$A$2:$A$22,0)))," ","_")</f>
        <v>q2_2025</v>
      </c>
    </row>
    <row r="17">
      <c r="A17" s="0" t="inlineStr">
        <is>
          <t xml:space="preserve">o0016</t>
        </is>
      </c>
      <c r="B17" s="0" t="inlineStr">
        <is>
          <t xml:space="preserve">a0346</t>
        </is>
      </c>
      <c r="C17" s="0" t="inlineStr">
        <is>
          <t xml:space="preserve">r18</t>
        </is>
      </c>
      <c r="D17" s="0"/>
      <c r="E17" s="0" t="inlineStr">
        <is>
          <t xml:space="preserve">events</t>
        </is>
      </c>
      <c r="F17" s="0" t="inlineStr">
        <is>
          <t xml:space="preserve">closed_won</t>
        </is>
      </c>
      <c r="G17" s="4">
        <v>0</v>
      </c>
      <c r="H17" s="4">
        <v>6800</v>
      </c>
      <c r="I17" s="4">
        <v>1</v>
      </c>
      <c r="J17" s="4">
        <v>1</v>
      </c>
      <c r="K17" s="16">
        <v>46188</v>
      </c>
      <c r="L17" s="16">
        <v>46223</v>
      </c>
      <c r="M17" s="0" t="inlineStr">
        <is>
          <t xml:space="preserve">jun26</t>
        </is>
      </c>
      <c r="N17" s="0" t="inlineStr">
        <is>
          <t xml:space="preserve">jul26</t>
        </is>
      </c>
      <c r="O17" s="4">
        <v>35</v>
      </c>
      <c r="P17" s="4">
        <v>1</v>
      </c>
      <c r="Q17" s="4">
        <v>0</v>
      </c>
      <c r="R17" s="4">
        <v>0</v>
      </c>
      <c r="S17" s="4">
        <f>(H17*INDEX('Stages'!$D$2:$D$7,MATCH(F17,'Stages'!$A$2:$A$7,0)))</f>
        <v>6800</v>
      </c>
      <c r="T17" s="4">
        <f>(H17*I17)</f>
        <v>6800</v>
      </c>
      <c r="U17" s="4">
        <f>(H17*(I17-1))</f>
        <v>0</v>
      </c>
      <c r="V17" s="0" t="str">
        <f>INDEX('Account executives'!$B$2:$B$25,MATCH(C17,'Account executives'!$A$2:$A$25,0))</f>
        <v>emea</v>
      </c>
      <c r="W17" s="0" t="str">
        <f>INDEX('Account executives'!$C$2:$C$25,MATCH(C17,'Account executives'!$A$2:$A$25,0))</f>
        <v>smb</v>
      </c>
      <c r="X17" s="0" t="str">
        <f>SUBSTITUTE(LOWER(INDEX('Periods'!$G$2:$G$22,MATCH(N17,'Periods'!$A$2:$A$22,0)))," ","_")</f>
        <v>q3_2026</v>
      </c>
    </row>
    <row r="18">
      <c r="A18" s="0" t="inlineStr">
        <is>
          <t xml:space="preserve">o0017</t>
        </is>
      </c>
      <c r="B18" s="0" t="inlineStr">
        <is>
          <t xml:space="preserve">a0124</t>
        </is>
      </c>
      <c r="C18" s="0" t="inlineStr">
        <is>
          <t xml:space="preserve">r13</t>
        </is>
      </c>
      <c r="D18" s="0"/>
      <c r="E18" s="0" t="inlineStr">
        <is>
          <t xml:space="preserve">events</t>
        </is>
      </c>
      <c r="F18" s="0" t="inlineStr">
        <is>
          <t xml:space="preserve">closed_won</t>
        </is>
      </c>
      <c r="G18" s="4">
        <v>1</v>
      </c>
      <c r="H18" s="4">
        <v>95900</v>
      </c>
      <c r="I18" s="4">
        <v>2</v>
      </c>
      <c r="J18" s="4">
        <v>0</v>
      </c>
      <c r="K18" s="16">
        <v>45795</v>
      </c>
      <c r="L18" s="16">
        <v>45921</v>
      </c>
      <c r="M18" s="0" t="inlineStr">
        <is>
          <t xml:space="preserve">may25</t>
        </is>
      </c>
      <c r="N18" s="0" t="inlineStr">
        <is>
          <t xml:space="preserve">sep25</t>
        </is>
      </c>
      <c r="O18" s="4">
        <v>126</v>
      </c>
      <c r="P18" s="4">
        <v>1</v>
      </c>
      <c r="Q18" s="4">
        <v>0</v>
      </c>
      <c r="R18" s="4">
        <v>0</v>
      </c>
      <c r="S18" s="4">
        <f>(H18*INDEX('Stages'!$D$2:$D$7,MATCH(F18,'Stages'!$A$2:$A$7,0)))</f>
        <v>95900</v>
      </c>
      <c r="T18" s="4">
        <f>(H18*I18)</f>
        <v>191800</v>
      </c>
      <c r="U18" s="4">
        <f>(H18*(I18-1))</f>
        <v>95900</v>
      </c>
      <c r="V18" s="0" t="str">
        <f>INDEX('Account executives'!$B$2:$B$25,MATCH(C18,'Account executives'!$A$2:$A$25,0))</f>
        <v>emea</v>
      </c>
      <c r="W18" s="0" t="str">
        <f>INDEX('Account executives'!$C$2:$C$25,MATCH(C18,'Account executives'!$A$2:$A$25,0))</f>
        <v>enterprise</v>
      </c>
      <c r="X18" s="0" t="str">
        <f>SUBSTITUTE(LOWER(INDEX('Periods'!$G$2:$G$22,MATCH(N18,'Periods'!$A$2:$A$22,0)))," ","_")</f>
        <v>q3_2025</v>
      </c>
    </row>
    <row r="19">
      <c r="A19" s="0" t="inlineStr">
        <is>
          <t xml:space="preserve">o0018</t>
        </is>
      </c>
      <c r="B19" s="0" t="inlineStr">
        <is>
          <t xml:space="preserve">a0298</t>
        </is>
      </c>
      <c r="C19" s="0" t="inlineStr">
        <is>
          <t xml:space="preserve">r21</t>
        </is>
      </c>
      <c r="D19" s="0" t="inlineStr">
        <is>
          <t xml:space="preserve">s_apac_in</t>
        </is>
      </c>
      <c r="E19" s="0" t="inlineStr">
        <is>
          <t xml:space="preserve">inbound</t>
        </is>
      </c>
      <c r="F19" s="0" t="inlineStr">
        <is>
          <t xml:space="preserve">closed_won</t>
        </is>
      </c>
      <c r="G19" s="4">
        <v>1</v>
      </c>
      <c r="H19" s="4">
        <v>51600</v>
      </c>
      <c r="I19" s="4">
        <v>1</v>
      </c>
      <c r="J19" s="4">
        <v>0</v>
      </c>
      <c r="K19" s="16">
        <v>45852</v>
      </c>
      <c r="L19" s="16">
        <v>45912</v>
      </c>
      <c r="M19" s="0" t="inlineStr">
        <is>
          <t xml:space="preserve">jul25</t>
        </is>
      </c>
      <c r="N19" s="0" t="inlineStr">
        <is>
          <t xml:space="preserve">sep25</t>
        </is>
      </c>
      <c r="O19" s="4">
        <v>60</v>
      </c>
      <c r="P19" s="4">
        <v>1</v>
      </c>
      <c r="Q19" s="4">
        <v>0</v>
      </c>
      <c r="R19" s="4">
        <v>0</v>
      </c>
      <c r="S19" s="4">
        <f>(H19*INDEX('Stages'!$D$2:$D$7,MATCH(F19,'Stages'!$A$2:$A$7,0)))</f>
        <v>51600</v>
      </c>
      <c r="T19" s="4">
        <f>(H19*I19)</f>
        <v>51600</v>
      </c>
      <c r="U19" s="4">
        <f>(H19*(I19-1))</f>
        <v>0</v>
      </c>
      <c r="V19" s="0" t="str">
        <f>INDEX('Account executives'!$B$2:$B$25,MATCH(C19,'Account executives'!$A$2:$A$25,0))</f>
        <v>apac</v>
      </c>
      <c r="W19" s="0" t="str">
        <f>INDEX('Account executives'!$C$2:$C$25,MATCH(C19,'Account executives'!$A$2:$A$25,0))</f>
        <v>mid_market</v>
      </c>
      <c r="X19" s="0" t="str">
        <f>SUBSTITUTE(LOWER(INDEX('Periods'!$G$2:$G$22,MATCH(N19,'Periods'!$A$2:$A$22,0)))," ","_")</f>
        <v>q3_2025</v>
      </c>
    </row>
    <row r="20">
      <c r="A20" s="0" t="inlineStr">
        <is>
          <t xml:space="preserve">o0019</t>
        </is>
      </c>
      <c r="B20" s="0" t="inlineStr">
        <is>
          <t xml:space="preserve">a0937</t>
        </is>
      </c>
      <c r="C20" s="0" t="inlineStr">
        <is>
          <t xml:space="preserve">r16</t>
        </is>
      </c>
      <c r="D20" s="0"/>
      <c r="E20" s="0" t="inlineStr">
        <is>
          <t xml:space="preserve">partner</t>
        </is>
      </c>
      <c r="F20" s="0" t="inlineStr">
        <is>
          <t xml:space="preserve">proposal</t>
        </is>
      </c>
      <c r="G20" s="4">
        <v>1</v>
      </c>
      <c r="H20" s="4">
        <v>25500</v>
      </c>
      <c r="I20" s="4">
        <v>1</v>
      </c>
      <c r="J20" s="4">
        <v>0</v>
      </c>
      <c r="K20" s="16">
        <v>46169</v>
      </c>
      <c r="L20" s="16">
        <v>46293</v>
      </c>
      <c r="M20" s="0" t="inlineStr">
        <is>
          <t xml:space="preserve">may26</t>
        </is>
      </c>
      <c r="N20" s="0" t="inlineStr">
        <is>
          <t xml:space="preserve">sep26</t>
        </is>
      </c>
      <c r="O20" s="4">
        <v>124</v>
      </c>
      <c r="P20" s="4">
        <v>0</v>
      </c>
      <c r="Q20" s="4">
        <v>0</v>
      </c>
      <c r="R20" s="4">
        <v>1</v>
      </c>
      <c r="S20" s="4">
        <f>(H20*INDEX('Stages'!$D$2:$D$7,MATCH(F20,'Stages'!$A$2:$A$7,0)))</f>
        <v>12750</v>
      </c>
      <c r="T20" s="4">
        <f>(H20*I20)</f>
        <v>25500</v>
      </c>
      <c r="U20" s="4">
        <f>(H20*(I20-1))</f>
        <v>0</v>
      </c>
      <c r="V20" s="0" t="str">
        <f>INDEX('Account executives'!$B$2:$B$25,MATCH(C20,'Account executives'!$A$2:$A$25,0))</f>
        <v>emea</v>
      </c>
      <c r="W20" s="0" t="str">
        <f>INDEX('Account executives'!$C$2:$C$25,MATCH(C20,'Account executives'!$A$2:$A$25,0))</f>
        <v>mid_market</v>
      </c>
      <c r="X20" s="0" t="str">
        <f>SUBSTITUTE(LOWER(INDEX('Periods'!$G$2:$G$22,MATCH(N20,'Periods'!$A$2:$A$22,0)))," ","_")</f>
        <v>q3_2026</v>
      </c>
    </row>
    <row r="21">
      <c r="A21" s="0" t="inlineStr">
        <is>
          <t xml:space="preserve">o0020</t>
        </is>
      </c>
      <c r="B21" s="0" t="inlineStr">
        <is>
          <t xml:space="preserve">a0027</t>
        </is>
      </c>
      <c r="C21" s="0" t="inlineStr">
        <is>
          <t xml:space="preserve">r09</t>
        </is>
      </c>
      <c r="D21" s="0" t="inlineStr">
        <is>
          <t xml:space="preserve">s_amer_west_out</t>
        </is>
      </c>
      <c r="E21" s="0" t="inlineStr">
        <is>
          <t xml:space="preserve">outbound</t>
        </is>
      </c>
      <c r="F21" s="0" t="inlineStr">
        <is>
          <t xml:space="preserve">closed_lost</t>
        </is>
      </c>
      <c r="G21" s="4">
        <v>0</v>
      </c>
      <c r="H21" s="4">
        <v>22600</v>
      </c>
      <c r="I21" s="4">
        <v>1</v>
      </c>
      <c r="J21" s="4">
        <v>0</v>
      </c>
      <c r="K21" s="16">
        <v>45770</v>
      </c>
      <c r="L21" s="16">
        <v>45788</v>
      </c>
      <c r="M21" s="0" t="inlineStr">
        <is>
          <t xml:space="preserve">apr25</t>
        </is>
      </c>
      <c r="N21" s="0" t="inlineStr">
        <is>
          <t xml:space="preserve">may25</t>
        </is>
      </c>
      <c r="O21" s="4">
        <v>18</v>
      </c>
      <c r="P21" s="4">
        <v>0</v>
      </c>
      <c r="Q21" s="4">
        <v>1</v>
      </c>
      <c r="R21" s="4">
        <v>0</v>
      </c>
      <c r="S21" s="4">
        <f>(H21*INDEX('Stages'!$D$2:$D$7,MATCH(F21,'Stages'!$A$2:$A$7,0)))</f>
        <v>0</v>
      </c>
      <c r="T21" s="4">
        <f>(H21*I21)</f>
        <v>22600</v>
      </c>
      <c r="U21" s="4">
        <f>(H21*(I21-1))</f>
        <v>0</v>
      </c>
      <c r="V21" s="0" t="str">
        <f>INDEX('Account executives'!$B$2:$B$25,MATCH(C21,'Account executives'!$A$2:$A$25,0))</f>
        <v>amer_west</v>
      </c>
      <c r="W21" s="0" t="str">
        <f>INDEX('Account executives'!$C$2:$C$25,MATCH(C21,'Account executives'!$A$2:$A$25,0))</f>
        <v>mid_market</v>
      </c>
      <c r="X21" s="0" t="str">
        <f>SUBSTITUTE(LOWER(INDEX('Periods'!$G$2:$G$22,MATCH(N21,'Periods'!$A$2:$A$22,0)))," ","_")</f>
        <v>q2_2025</v>
      </c>
    </row>
    <row r="22">
      <c r="A22" s="0" t="inlineStr">
        <is>
          <t xml:space="preserve">o0021</t>
        </is>
      </c>
      <c r="B22" s="0" t="inlineStr">
        <is>
          <t xml:space="preserve">a0080</t>
        </is>
      </c>
      <c r="C22" s="0" t="inlineStr">
        <is>
          <t xml:space="preserve">r05</t>
        </is>
      </c>
      <c r="D22" s="0" t="inlineStr">
        <is>
          <t xml:space="preserve">s_amer_east_in</t>
        </is>
      </c>
      <c r="E22" s="0" t="inlineStr">
        <is>
          <t xml:space="preserve">inbound</t>
        </is>
      </c>
      <c r="F22" s="0" t="inlineStr">
        <is>
          <t xml:space="preserve">closed_lost</t>
        </is>
      </c>
      <c r="G22" s="4">
        <v>0</v>
      </c>
      <c r="H22" s="4">
        <v>6400</v>
      </c>
      <c r="I22" s="4">
        <v>1</v>
      </c>
      <c r="J22" s="4">
        <v>0</v>
      </c>
      <c r="K22" s="16">
        <v>46267</v>
      </c>
      <c r="L22" s="16">
        <v>46283</v>
      </c>
      <c r="M22" s="0" t="inlineStr">
        <is>
          <t xml:space="preserve">sep26</t>
        </is>
      </c>
      <c r="N22" s="0" t="inlineStr">
        <is>
          <t xml:space="preserve">sep26</t>
        </is>
      </c>
      <c r="O22" s="4">
        <v>16</v>
      </c>
      <c r="P22" s="4">
        <v>0</v>
      </c>
      <c r="Q22" s="4">
        <v>1</v>
      </c>
      <c r="R22" s="4">
        <v>0</v>
      </c>
      <c r="S22" s="4">
        <f>(H22*INDEX('Stages'!$D$2:$D$7,MATCH(F22,'Stages'!$A$2:$A$7,0)))</f>
        <v>0</v>
      </c>
      <c r="T22" s="4">
        <f>(H22*I22)</f>
        <v>6400</v>
      </c>
      <c r="U22" s="4">
        <f>(H22*(I22-1))</f>
        <v>0</v>
      </c>
      <c r="V22" s="0" t="str">
        <f>INDEX('Account executives'!$B$2:$B$25,MATCH(C22,'Account executives'!$A$2:$A$25,0))</f>
        <v>amer_east</v>
      </c>
      <c r="W22" s="0" t="str">
        <f>INDEX('Account executives'!$C$2:$C$25,MATCH(C22,'Account executives'!$A$2:$A$25,0))</f>
        <v>smb</v>
      </c>
      <c r="X22" s="0" t="str">
        <f>SUBSTITUTE(LOWER(INDEX('Periods'!$G$2:$G$22,MATCH(N22,'Periods'!$A$2:$A$22,0)))," ","_")</f>
        <v>q3_2026</v>
      </c>
    </row>
    <row r="23">
      <c r="A23" s="0" t="inlineStr">
        <is>
          <t xml:space="preserve">o0022</t>
        </is>
      </c>
      <c r="B23" s="0" t="inlineStr">
        <is>
          <t xml:space="preserve">a0038</t>
        </is>
      </c>
      <c r="C23" s="0" t="inlineStr">
        <is>
          <t xml:space="preserve">r09</t>
        </is>
      </c>
      <c r="D23" s="0"/>
      <c r="E23" s="0" t="inlineStr">
        <is>
          <t xml:space="preserve">referral</t>
        </is>
      </c>
      <c r="F23" s="0" t="inlineStr">
        <is>
          <t xml:space="preserve">closed_lost</t>
        </is>
      </c>
      <c r="G23" s="4">
        <v>1</v>
      </c>
      <c r="H23" s="4">
        <v>85100</v>
      </c>
      <c r="I23" s="4">
        <v>1</v>
      </c>
      <c r="J23" s="4">
        <v>0</v>
      </c>
      <c r="K23" s="16">
        <v>45750</v>
      </c>
      <c r="L23" s="16">
        <v>45797</v>
      </c>
      <c r="M23" s="0" t="inlineStr">
        <is>
          <t xml:space="preserve">apr25</t>
        </is>
      </c>
      <c r="N23" s="0" t="inlineStr">
        <is>
          <t xml:space="preserve">may25</t>
        </is>
      </c>
      <c r="O23" s="4">
        <v>47</v>
      </c>
      <c r="P23" s="4">
        <v>0</v>
      </c>
      <c r="Q23" s="4">
        <v>1</v>
      </c>
      <c r="R23" s="4">
        <v>0</v>
      </c>
      <c r="S23" s="4">
        <f>(H23*INDEX('Stages'!$D$2:$D$7,MATCH(F23,'Stages'!$A$2:$A$7,0)))</f>
        <v>0</v>
      </c>
      <c r="T23" s="4">
        <f>(H23*I23)</f>
        <v>85100</v>
      </c>
      <c r="U23" s="4">
        <f>(H23*(I23-1))</f>
        <v>0</v>
      </c>
      <c r="V23" s="0" t="str">
        <f>INDEX('Account executives'!$B$2:$B$25,MATCH(C23,'Account executives'!$A$2:$A$25,0))</f>
        <v>amer_west</v>
      </c>
      <c r="W23" s="0" t="str">
        <f>INDEX('Account executives'!$C$2:$C$25,MATCH(C23,'Account executives'!$A$2:$A$25,0))</f>
        <v>mid_market</v>
      </c>
      <c r="X23" s="0" t="str">
        <f>SUBSTITUTE(LOWER(INDEX('Periods'!$G$2:$G$22,MATCH(N23,'Periods'!$A$2:$A$22,0)))," ","_")</f>
        <v>q2_2025</v>
      </c>
    </row>
    <row r="24">
      <c r="A24" s="0" t="inlineStr">
        <is>
          <t xml:space="preserve">o0023</t>
        </is>
      </c>
      <c r="B24" s="0" t="inlineStr">
        <is>
          <t xml:space="preserve">a0959</t>
        </is>
      </c>
      <c r="C24" s="0" t="inlineStr">
        <is>
          <t xml:space="preserve">r04</t>
        </is>
      </c>
      <c r="D24" s="0" t="inlineStr">
        <is>
          <t xml:space="preserve">s_amer_east_in</t>
        </is>
      </c>
      <c r="E24" s="0" t="inlineStr">
        <is>
          <t xml:space="preserve">inbound</t>
        </is>
      </c>
      <c r="F24" s="0" t="inlineStr">
        <is>
          <t xml:space="preserve">negotiation</t>
        </is>
      </c>
      <c r="G24" s="4">
        <v>1</v>
      </c>
      <c r="H24" s="4">
        <v>57000</v>
      </c>
      <c r="I24" s="4">
        <v>2</v>
      </c>
      <c r="J24" s="4">
        <v>0</v>
      </c>
      <c r="K24" s="16">
        <v>46189</v>
      </c>
      <c r="L24" s="16">
        <v>46293</v>
      </c>
      <c r="M24" s="0" t="inlineStr">
        <is>
          <t xml:space="preserve">jun26</t>
        </is>
      </c>
      <c r="N24" s="0" t="inlineStr">
        <is>
          <t xml:space="preserve">sep26</t>
        </is>
      </c>
      <c r="O24" s="4">
        <v>104</v>
      </c>
      <c r="P24" s="4">
        <v>0</v>
      </c>
      <c r="Q24" s="4">
        <v>0</v>
      </c>
      <c r="R24" s="4">
        <v>1</v>
      </c>
      <c r="S24" s="4">
        <f>(H24*INDEX('Stages'!$D$2:$D$7,MATCH(F24,'Stages'!$A$2:$A$7,0)))</f>
        <v>42750</v>
      </c>
      <c r="T24" s="4">
        <f>(H24*I24)</f>
        <v>114000</v>
      </c>
      <c r="U24" s="4">
        <f>(H24*(I24-1))</f>
        <v>57000</v>
      </c>
      <c r="V24" s="0" t="str">
        <f>INDEX('Account executives'!$B$2:$B$25,MATCH(C24,'Account executives'!$A$2:$A$25,0))</f>
        <v>amer_east</v>
      </c>
      <c r="W24" s="0" t="str">
        <f>INDEX('Account executives'!$C$2:$C$25,MATCH(C24,'Account executives'!$A$2:$A$25,0))</f>
        <v>mid_market</v>
      </c>
      <c r="X24" s="0" t="str">
        <f>SUBSTITUTE(LOWER(INDEX('Periods'!$G$2:$G$22,MATCH(N24,'Periods'!$A$2:$A$22,0)))," ","_")</f>
        <v>q3_2026</v>
      </c>
    </row>
    <row r="25">
      <c r="A25" s="0" t="inlineStr">
        <is>
          <t xml:space="preserve">o0024</t>
        </is>
      </c>
      <c r="B25" s="0" t="inlineStr">
        <is>
          <t xml:space="preserve">a0742</t>
        </is>
      </c>
      <c r="C25" s="0" t="inlineStr">
        <is>
          <t xml:space="preserve">r04</t>
        </is>
      </c>
      <c r="D25" s="0" t="inlineStr">
        <is>
          <t xml:space="preserve">s_amer_east_in</t>
        </is>
      </c>
      <c r="E25" s="0" t="inlineStr">
        <is>
          <t xml:space="preserve">paid</t>
        </is>
      </c>
      <c r="F25" s="0" t="inlineStr">
        <is>
          <t xml:space="preserve">closed_lost</t>
        </is>
      </c>
      <c r="G25" s="4">
        <v>0</v>
      </c>
      <c r="H25" s="4">
        <v>23900</v>
      </c>
      <c r="I25" s="4">
        <v>1</v>
      </c>
      <c r="J25" s="4">
        <v>0</v>
      </c>
      <c r="K25" s="16">
        <v>46169</v>
      </c>
      <c r="L25" s="16">
        <v>46246</v>
      </c>
      <c r="M25" s="0" t="inlineStr">
        <is>
          <t xml:space="preserve">may26</t>
        </is>
      </c>
      <c r="N25" s="0" t="inlineStr">
        <is>
          <t xml:space="preserve">aug26</t>
        </is>
      </c>
      <c r="O25" s="4">
        <v>77</v>
      </c>
      <c r="P25" s="4">
        <v>0</v>
      </c>
      <c r="Q25" s="4">
        <v>1</v>
      </c>
      <c r="R25" s="4">
        <v>0</v>
      </c>
      <c r="S25" s="4">
        <f>(H25*INDEX('Stages'!$D$2:$D$7,MATCH(F25,'Stages'!$A$2:$A$7,0)))</f>
        <v>0</v>
      </c>
      <c r="T25" s="4">
        <f>(H25*I25)</f>
        <v>23900</v>
      </c>
      <c r="U25" s="4">
        <f>(H25*(I25-1))</f>
        <v>0</v>
      </c>
      <c r="V25" s="0" t="str">
        <f>INDEX('Account executives'!$B$2:$B$25,MATCH(C25,'Account executives'!$A$2:$A$25,0))</f>
        <v>amer_east</v>
      </c>
      <c r="W25" s="0" t="str">
        <f>INDEX('Account executives'!$C$2:$C$25,MATCH(C25,'Account executives'!$A$2:$A$25,0))</f>
        <v>mid_market</v>
      </c>
      <c r="X25" s="0" t="str">
        <f>SUBSTITUTE(LOWER(INDEX('Periods'!$G$2:$G$22,MATCH(N25,'Periods'!$A$2:$A$22,0)))," ","_")</f>
        <v>q3_2026</v>
      </c>
    </row>
    <row r="26">
      <c r="A26" s="0" t="inlineStr">
        <is>
          <t xml:space="preserve">o0025</t>
        </is>
      </c>
      <c r="B26" s="0" t="inlineStr">
        <is>
          <t xml:space="preserve">a0776</t>
        </is>
      </c>
      <c r="C26" s="0" t="inlineStr">
        <is>
          <t xml:space="preserve">r18</t>
        </is>
      </c>
      <c r="D26" s="0" t="inlineStr">
        <is>
          <t xml:space="preserve">s_emea_in</t>
        </is>
      </c>
      <c r="E26" s="0" t="inlineStr">
        <is>
          <t xml:space="preserve">inbound</t>
        </is>
      </c>
      <c r="F26" s="0" t="inlineStr">
        <is>
          <t xml:space="preserve">closed_won</t>
        </is>
      </c>
      <c r="G26" s="4">
        <v>1</v>
      </c>
      <c r="H26" s="4">
        <v>16400</v>
      </c>
      <c r="I26" s="4">
        <v>1</v>
      </c>
      <c r="J26" s="4">
        <v>1</v>
      </c>
      <c r="K26" s="16">
        <v>46090</v>
      </c>
      <c r="L26" s="16">
        <v>46110</v>
      </c>
      <c r="M26" s="0" t="inlineStr">
        <is>
          <t xml:space="preserve">mar26</t>
        </is>
      </c>
      <c r="N26" s="0" t="inlineStr">
        <is>
          <t xml:space="preserve">mar26</t>
        </is>
      </c>
      <c r="O26" s="4">
        <v>20</v>
      </c>
      <c r="P26" s="4">
        <v>1</v>
      </c>
      <c r="Q26" s="4">
        <v>0</v>
      </c>
      <c r="R26" s="4">
        <v>0</v>
      </c>
      <c r="S26" s="4">
        <f>(H26*INDEX('Stages'!$D$2:$D$7,MATCH(F26,'Stages'!$A$2:$A$7,0)))</f>
        <v>16400</v>
      </c>
      <c r="T26" s="4">
        <f>(H26*I26)</f>
        <v>16400</v>
      </c>
      <c r="U26" s="4">
        <f>(H26*(I26-1))</f>
        <v>0</v>
      </c>
      <c r="V26" s="0" t="str">
        <f>INDEX('Account executives'!$B$2:$B$25,MATCH(C26,'Account executives'!$A$2:$A$25,0))</f>
        <v>emea</v>
      </c>
      <c r="W26" s="0" t="str">
        <f>INDEX('Account executives'!$C$2:$C$25,MATCH(C26,'Account executives'!$A$2:$A$25,0))</f>
        <v>smb</v>
      </c>
      <c r="X26" s="0" t="str">
        <f>SUBSTITUTE(LOWER(INDEX('Periods'!$G$2:$G$22,MATCH(N26,'Periods'!$A$2:$A$22,0)))," ","_")</f>
        <v>q1_2026</v>
      </c>
    </row>
    <row r="27">
      <c r="A27" s="0" t="inlineStr">
        <is>
          <t xml:space="preserve">o0026</t>
        </is>
      </c>
      <c r="B27" s="0" t="inlineStr">
        <is>
          <t xml:space="preserve">a0138</t>
        </is>
      </c>
      <c r="C27" s="0" t="inlineStr">
        <is>
          <t xml:space="preserve">r13</t>
        </is>
      </c>
      <c r="D27" s="0" t="inlineStr">
        <is>
          <t xml:space="preserve">s_emea_out</t>
        </is>
      </c>
      <c r="E27" s="0" t="inlineStr">
        <is>
          <t xml:space="preserve">outbound</t>
        </is>
      </c>
      <c r="F27" s="0" t="inlineStr">
        <is>
          <t xml:space="preserve">closed_lost</t>
        </is>
      </c>
      <c r="G27" s="4">
        <v>1</v>
      </c>
      <c r="H27" s="4">
        <v>117600</v>
      </c>
      <c r="I27" s="4">
        <v>3</v>
      </c>
      <c r="J27" s="4">
        <v>0</v>
      </c>
      <c r="K27" s="16">
        <v>45789</v>
      </c>
      <c r="L27" s="16">
        <v>45888</v>
      </c>
      <c r="M27" s="0" t="inlineStr">
        <is>
          <t xml:space="preserve">may25</t>
        </is>
      </c>
      <c r="N27" s="0" t="inlineStr">
        <is>
          <t xml:space="preserve">aug25</t>
        </is>
      </c>
      <c r="O27" s="4">
        <v>99</v>
      </c>
      <c r="P27" s="4">
        <v>0</v>
      </c>
      <c r="Q27" s="4">
        <v>1</v>
      </c>
      <c r="R27" s="4">
        <v>0</v>
      </c>
      <c r="S27" s="4">
        <f>(H27*INDEX('Stages'!$D$2:$D$7,MATCH(F27,'Stages'!$A$2:$A$7,0)))</f>
        <v>0</v>
      </c>
      <c r="T27" s="4">
        <f>(H27*I27)</f>
        <v>352800</v>
      </c>
      <c r="U27" s="4">
        <f>(H27*(I27-1))</f>
        <v>235200</v>
      </c>
      <c r="V27" s="0" t="str">
        <f>INDEX('Account executives'!$B$2:$B$25,MATCH(C27,'Account executives'!$A$2:$A$25,0))</f>
        <v>emea</v>
      </c>
      <c r="W27" s="0" t="str">
        <f>INDEX('Account executives'!$C$2:$C$25,MATCH(C27,'Account executives'!$A$2:$A$25,0))</f>
        <v>enterprise</v>
      </c>
      <c r="X27" s="0" t="str">
        <f>SUBSTITUTE(LOWER(INDEX('Periods'!$G$2:$G$22,MATCH(N27,'Periods'!$A$2:$A$22,0)))," ","_")</f>
        <v>q3_2025</v>
      </c>
    </row>
    <row r="28">
      <c r="A28" s="0" t="inlineStr">
        <is>
          <t xml:space="preserve">o0027</t>
        </is>
      </c>
      <c r="B28" s="0" t="inlineStr">
        <is>
          <t xml:space="preserve">a0452</t>
        </is>
      </c>
      <c r="C28" s="0" t="inlineStr">
        <is>
          <t xml:space="preserve">r16</t>
        </is>
      </c>
      <c r="D28" s="0"/>
      <c r="E28" s="0" t="inlineStr">
        <is>
          <t xml:space="preserve">events</t>
        </is>
      </c>
      <c r="F28" s="0" t="inlineStr">
        <is>
          <t xml:space="preserve">closed_won</t>
        </is>
      </c>
      <c r="G28" s="4">
        <v>1</v>
      </c>
      <c r="H28" s="4">
        <v>77600</v>
      </c>
      <c r="I28" s="4">
        <v>1</v>
      </c>
      <c r="J28" s="4">
        <v>1</v>
      </c>
      <c r="K28" s="16">
        <v>45950</v>
      </c>
      <c r="L28" s="16">
        <v>46022</v>
      </c>
      <c r="M28" s="0" t="inlineStr">
        <is>
          <t xml:space="preserve">oct25</t>
        </is>
      </c>
      <c r="N28" s="0" t="inlineStr">
        <is>
          <t xml:space="preserve">dec25</t>
        </is>
      </c>
      <c r="O28" s="4">
        <v>72</v>
      </c>
      <c r="P28" s="4">
        <v>1</v>
      </c>
      <c r="Q28" s="4">
        <v>0</v>
      </c>
      <c r="R28" s="4">
        <v>0</v>
      </c>
      <c r="S28" s="4">
        <f>(H28*INDEX('Stages'!$D$2:$D$7,MATCH(F28,'Stages'!$A$2:$A$7,0)))</f>
        <v>77600</v>
      </c>
      <c r="T28" s="4">
        <f>(H28*I28)</f>
        <v>77600</v>
      </c>
      <c r="U28" s="4">
        <f>(H28*(I28-1))</f>
        <v>0</v>
      </c>
      <c r="V28" s="0" t="str">
        <f>INDEX('Account executives'!$B$2:$B$25,MATCH(C28,'Account executives'!$A$2:$A$25,0))</f>
        <v>emea</v>
      </c>
      <c r="W28" s="0" t="str">
        <f>INDEX('Account executives'!$C$2:$C$25,MATCH(C28,'Account executives'!$A$2:$A$25,0))</f>
        <v>mid_market</v>
      </c>
      <c r="X28" s="0" t="str">
        <f>SUBSTITUTE(LOWER(INDEX('Periods'!$G$2:$G$22,MATCH(N28,'Periods'!$A$2:$A$22,0)))," ","_")</f>
        <v>q4_2025</v>
      </c>
    </row>
    <row r="29">
      <c r="A29" s="0" t="inlineStr">
        <is>
          <t xml:space="preserve">o0028</t>
        </is>
      </c>
      <c r="B29" s="0" t="inlineStr">
        <is>
          <t xml:space="preserve">a0682</t>
        </is>
      </c>
      <c r="C29" s="0" t="inlineStr">
        <is>
          <t xml:space="preserve">r12</t>
        </is>
      </c>
      <c r="D29" s="0"/>
      <c r="E29" s="0" t="inlineStr">
        <is>
          <t xml:space="preserve">events</t>
        </is>
      </c>
      <c r="F29" s="0" t="inlineStr">
        <is>
          <t xml:space="preserve">closed_lost</t>
        </is>
      </c>
      <c r="G29" s="4">
        <v>1</v>
      </c>
      <c r="H29" s="4">
        <v>30600</v>
      </c>
      <c r="I29" s="4">
        <v>1</v>
      </c>
      <c r="J29" s="4">
        <v>0</v>
      </c>
      <c r="K29" s="16">
        <v>46079</v>
      </c>
      <c r="L29" s="16">
        <v>46102</v>
      </c>
      <c r="M29" s="0" t="inlineStr">
        <is>
          <t xml:space="preserve">feb26</t>
        </is>
      </c>
      <c r="N29" s="0" t="inlineStr">
        <is>
          <t xml:space="preserve">mar26</t>
        </is>
      </c>
      <c r="O29" s="4">
        <v>23</v>
      </c>
      <c r="P29" s="4">
        <v>0</v>
      </c>
      <c r="Q29" s="4">
        <v>1</v>
      </c>
      <c r="R29" s="4">
        <v>0</v>
      </c>
      <c r="S29" s="4">
        <f>(H29*INDEX('Stages'!$D$2:$D$7,MATCH(F29,'Stages'!$A$2:$A$7,0)))</f>
        <v>0</v>
      </c>
      <c r="T29" s="4">
        <f>(H29*I29)</f>
        <v>30600</v>
      </c>
      <c r="U29" s="4">
        <f>(H29*(I29-1))</f>
        <v>0</v>
      </c>
      <c r="V29" s="0" t="str">
        <f>INDEX('Account executives'!$B$2:$B$25,MATCH(C29,'Account executives'!$A$2:$A$25,0))</f>
        <v>amer_west</v>
      </c>
      <c r="W29" s="0" t="str">
        <f>INDEX('Account executives'!$C$2:$C$25,MATCH(C29,'Account executives'!$A$2:$A$25,0))</f>
        <v>smb</v>
      </c>
      <c r="X29" s="0" t="str">
        <f>SUBSTITUTE(LOWER(INDEX('Periods'!$G$2:$G$22,MATCH(N29,'Periods'!$A$2:$A$22,0)))," ","_")</f>
        <v>q1_2026</v>
      </c>
    </row>
    <row r="30">
      <c r="A30" s="0" t="inlineStr">
        <is>
          <t xml:space="preserve">o0029</t>
        </is>
      </c>
      <c r="B30" s="0" t="inlineStr">
        <is>
          <t xml:space="preserve">a0034</t>
        </is>
      </c>
      <c r="C30" s="0" t="inlineStr">
        <is>
          <t xml:space="preserve">r12</t>
        </is>
      </c>
      <c r="D30" s="0" t="inlineStr">
        <is>
          <t xml:space="preserve">s_amer_west_out</t>
        </is>
      </c>
      <c r="E30" s="0" t="inlineStr">
        <is>
          <t xml:space="preserve">outbound</t>
        </is>
      </c>
      <c r="F30" s="0" t="inlineStr">
        <is>
          <t xml:space="preserve">closed_lost</t>
        </is>
      </c>
      <c r="G30" s="4">
        <v>0</v>
      </c>
      <c r="H30" s="4">
        <v>2500</v>
      </c>
      <c r="I30" s="4">
        <v>1</v>
      </c>
      <c r="J30" s="4">
        <v>0</v>
      </c>
      <c r="K30" s="16">
        <v>45809</v>
      </c>
      <c r="L30" s="16">
        <v>45831</v>
      </c>
      <c r="M30" s="0" t="inlineStr">
        <is>
          <t xml:space="preserve">jun25</t>
        </is>
      </c>
      <c r="N30" s="0" t="inlineStr">
        <is>
          <t xml:space="preserve">jun25</t>
        </is>
      </c>
      <c r="O30" s="4">
        <v>22</v>
      </c>
      <c r="P30" s="4">
        <v>0</v>
      </c>
      <c r="Q30" s="4">
        <v>1</v>
      </c>
      <c r="R30" s="4">
        <v>0</v>
      </c>
      <c r="S30" s="4">
        <f>(H30*INDEX('Stages'!$D$2:$D$7,MATCH(F30,'Stages'!$A$2:$A$7,0)))</f>
        <v>0</v>
      </c>
      <c r="T30" s="4">
        <f>(H30*I30)</f>
        <v>2500</v>
      </c>
      <c r="U30" s="4">
        <f>(H30*(I30-1))</f>
        <v>0</v>
      </c>
      <c r="V30" s="0" t="str">
        <f>INDEX('Account executives'!$B$2:$B$25,MATCH(C30,'Account executives'!$A$2:$A$25,0))</f>
        <v>amer_west</v>
      </c>
      <c r="W30" s="0" t="str">
        <f>INDEX('Account executives'!$C$2:$C$25,MATCH(C30,'Account executives'!$A$2:$A$25,0))</f>
        <v>smb</v>
      </c>
      <c r="X30" s="0" t="str">
        <f>SUBSTITUTE(LOWER(INDEX('Periods'!$G$2:$G$22,MATCH(N30,'Periods'!$A$2:$A$22,0)))," ","_")</f>
        <v>q2_2025</v>
      </c>
    </row>
    <row r="31">
      <c r="A31" s="0" t="inlineStr">
        <is>
          <t xml:space="preserve">o0030</t>
        </is>
      </c>
      <c r="B31" s="0" t="inlineStr">
        <is>
          <t xml:space="preserve">a0188</t>
        </is>
      </c>
      <c r="C31" s="0" t="inlineStr">
        <is>
          <t xml:space="preserve">r11</t>
        </is>
      </c>
      <c r="D31" s="0" t="inlineStr">
        <is>
          <t xml:space="preserve">s_amer_west_in</t>
        </is>
      </c>
      <c r="E31" s="0" t="inlineStr">
        <is>
          <t xml:space="preserve">inbound</t>
        </is>
      </c>
      <c r="F31" s="0" t="inlineStr">
        <is>
          <t xml:space="preserve">closed_lost</t>
        </is>
      </c>
      <c r="G31" s="4">
        <v>1</v>
      </c>
      <c r="H31" s="4">
        <v>35400</v>
      </c>
      <c r="I31" s="4">
        <v>1</v>
      </c>
      <c r="J31" s="4">
        <v>0</v>
      </c>
      <c r="K31" s="16">
        <v>45817</v>
      </c>
      <c r="L31" s="16">
        <v>45846</v>
      </c>
      <c r="M31" s="0" t="inlineStr">
        <is>
          <t xml:space="preserve">jun25</t>
        </is>
      </c>
      <c r="N31" s="0" t="inlineStr">
        <is>
          <t xml:space="preserve">jul25</t>
        </is>
      </c>
      <c r="O31" s="4">
        <v>29</v>
      </c>
      <c r="P31" s="4">
        <v>0</v>
      </c>
      <c r="Q31" s="4">
        <v>1</v>
      </c>
      <c r="R31" s="4">
        <v>0</v>
      </c>
      <c r="S31" s="4">
        <f>(H31*INDEX('Stages'!$D$2:$D$7,MATCH(F31,'Stages'!$A$2:$A$7,0)))</f>
        <v>0</v>
      </c>
      <c r="T31" s="4">
        <f>(H31*I31)</f>
        <v>35400</v>
      </c>
      <c r="U31" s="4">
        <f>(H31*(I31-1))</f>
        <v>0</v>
      </c>
      <c r="V31" s="0" t="str">
        <f>INDEX('Account executives'!$B$2:$B$25,MATCH(C31,'Account executives'!$A$2:$A$25,0))</f>
        <v>amer_west</v>
      </c>
      <c r="W31" s="0" t="str">
        <f>INDEX('Account executives'!$C$2:$C$25,MATCH(C31,'Account executives'!$A$2:$A$25,0))</f>
        <v>smb</v>
      </c>
      <c r="X31" s="0" t="str">
        <f>SUBSTITUTE(LOWER(INDEX('Periods'!$G$2:$G$22,MATCH(N31,'Periods'!$A$2:$A$22,0)))," ","_")</f>
        <v>q3_2025</v>
      </c>
    </row>
    <row r="32">
      <c r="A32" s="0" t="inlineStr">
        <is>
          <t xml:space="preserve">o0031</t>
        </is>
      </c>
      <c r="B32" s="0" t="inlineStr">
        <is>
          <t xml:space="preserve">a0034</t>
        </is>
      </c>
      <c r="C32" s="0" t="inlineStr">
        <is>
          <t xml:space="preserve">r12</t>
        </is>
      </c>
      <c r="D32" s="0" t="inlineStr">
        <is>
          <t xml:space="preserve">s_amer_west_in</t>
        </is>
      </c>
      <c r="E32" s="0" t="inlineStr">
        <is>
          <t xml:space="preserve">inbound</t>
        </is>
      </c>
      <c r="F32" s="0" t="inlineStr">
        <is>
          <t xml:space="preserve">closed_lost</t>
        </is>
      </c>
      <c r="G32" s="4">
        <v>0</v>
      </c>
      <c r="H32" s="4">
        <v>3800</v>
      </c>
      <c r="I32" s="4">
        <v>1</v>
      </c>
      <c r="J32" s="4">
        <v>0</v>
      </c>
      <c r="K32" s="16">
        <v>45878</v>
      </c>
      <c r="L32" s="16">
        <v>45897</v>
      </c>
      <c r="M32" s="0" t="inlineStr">
        <is>
          <t xml:space="preserve">aug25</t>
        </is>
      </c>
      <c r="N32" s="0" t="inlineStr">
        <is>
          <t xml:space="preserve">aug25</t>
        </is>
      </c>
      <c r="O32" s="4">
        <v>19</v>
      </c>
      <c r="P32" s="4">
        <v>0</v>
      </c>
      <c r="Q32" s="4">
        <v>1</v>
      </c>
      <c r="R32" s="4">
        <v>0</v>
      </c>
      <c r="S32" s="4">
        <f>(H32*INDEX('Stages'!$D$2:$D$7,MATCH(F32,'Stages'!$A$2:$A$7,0)))</f>
        <v>0</v>
      </c>
      <c r="T32" s="4">
        <f>(H32*I32)</f>
        <v>3800</v>
      </c>
      <c r="U32" s="4">
        <f>(H32*(I32-1))</f>
        <v>0</v>
      </c>
      <c r="V32" s="0" t="str">
        <f>INDEX('Account executives'!$B$2:$B$25,MATCH(C32,'Account executives'!$A$2:$A$25,0))</f>
        <v>amer_west</v>
      </c>
      <c r="W32" s="0" t="str">
        <f>INDEX('Account executives'!$C$2:$C$25,MATCH(C32,'Account executives'!$A$2:$A$25,0))</f>
        <v>smb</v>
      </c>
      <c r="X32" s="0" t="str">
        <f>SUBSTITUTE(LOWER(INDEX('Periods'!$G$2:$G$22,MATCH(N32,'Periods'!$A$2:$A$22,0)))," ","_")</f>
        <v>q3_2025</v>
      </c>
    </row>
    <row r="33">
      <c r="A33" s="0" t="inlineStr">
        <is>
          <t xml:space="preserve">o0032</t>
        </is>
      </c>
      <c r="B33" s="0" t="inlineStr">
        <is>
          <t xml:space="preserve">a0108</t>
        </is>
      </c>
      <c r="C33" s="0" t="inlineStr">
        <is>
          <t xml:space="preserve">r12</t>
        </is>
      </c>
      <c r="D33" s="0" t="inlineStr">
        <is>
          <t xml:space="preserve">s_amer_west_out</t>
        </is>
      </c>
      <c r="E33" s="0" t="inlineStr">
        <is>
          <t xml:space="preserve">outbound</t>
        </is>
      </c>
      <c r="F33" s="0" t="inlineStr">
        <is>
          <t xml:space="preserve">closed_lost</t>
        </is>
      </c>
      <c r="G33" s="4">
        <v>1</v>
      </c>
      <c r="H33" s="4">
        <v>3900</v>
      </c>
      <c r="I33" s="4">
        <v>1</v>
      </c>
      <c r="J33" s="4">
        <v>0</v>
      </c>
      <c r="K33" s="16">
        <v>45802</v>
      </c>
      <c r="L33" s="16">
        <v>45831</v>
      </c>
      <c r="M33" s="0" t="inlineStr">
        <is>
          <t xml:space="preserve">may25</t>
        </is>
      </c>
      <c r="N33" s="0" t="inlineStr">
        <is>
          <t xml:space="preserve">jun25</t>
        </is>
      </c>
      <c r="O33" s="4">
        <v>29</v>
      </c>
      <c r="P33" s="4">
        <v>0</v>
      </c>
      <c r="Q33" s="4">
        <v>1</v>
      </c>
      <c r="R33" s="4">
        <v>0</v>
      </c>
      <c r="S33" s="4">
        <f>(H33*INDEX('Stages'!$D$2:$D$7,MATCH(F33,'Stages'!$A$2:$A$7,0)))</f>
        <v>0</v>
      </c>
      <c r="T33" s="4">
        <f>(H33*I33)</f>
        <v>3900</v>
      </c>
      <c r="U33" s="4">
        <f>(H33*(I33-1))</f>
        <v>0</v>
      </c>
      <c r="V33" s="0" t="str">
        <f>INDEX('Account executives'!$B$2:$B$25,MATCH(C33,'Account executives'!$A$2:$A$25,0))</f>
        <v>amer_west</v>
      </c>
      <c r="W33" s="0" t="str">
        <f>INDEX('Account executives'!$C$2:$C$25,MATCH(C33,'Account executives'!$A$2:$A$25,0))</f>
        <v>smb</v>
      </c>
      <c r="X33" s="0" t="str">
        <f>SUBSTITUTE(LOWER(INDEX('Periods'!$G$2:$G$22,MATCH(N33,'Periods'!$A$2:$A$22,0)))," ","_")</f>
        <v>q2_2025</v>
      </c>
    </row>
    <row r="34">
      <c r="A34" s="0" t="inlineStr">
        <is>
          <t xml:space="preserve">o0033</t>
        </is>
      </c>
      <c r="B34" s="0" t="inlineStr">
        <is>
          <t xml:space="preserve">a0585</t>
        </is>
      </c>
      <c r="C34" s="0" t="inlineStr">
        <is>
          <t xml:space="preserve">r13</t>
        </is>
      </c>
      <c r="D34" s="0" t="inlineStr">
        <is>
          <t xml:space="preserve">s_emea_in</t>
        </is>
      </c>
      <c r="E34" s="0" t="inlineStr">
        <is>
          <t xml:space="preserve">inbound</t>
        </is>
      </c>
      <c r="F34" s="0" t="inlineStr">
        <is>
          <t xml:space="preserve">closed_lost</t>
        </is>
      </c>
      <c r="G34" s="4">
        <v>1</v>
      </c>
      <c r="H34" s="4">
        <v>144300</v>
      </c>
      <c r="I34" s="4">
        <v>1</v>
      </c>
      <c r="J34" s="4">
        <v>1</v>
      </c>
      <c r="K34" s="16">
        <v>46002</v>
      </c>
      <c r="L34" s="16">
        <v>46107</v>
      </c>
      <c r="M34" s="0" t="inlineStr">
        <is>
          <t xml:space="preserve">dec25</t>
        </is>
      </c>
      <c r="N34" s="0" t="inlineStr">
        <is>
          <t xml:space="preserve">mar26</t>
        </is>
      </c>
      <c r="O34" s="4">
        <v>105</v>
      </c>
      <c r="P34" s="4">
        <v>0</v>
      </c>
      <c r="Q34" s="4">
        <v>1</v>
      </c>
      <c r="R34" s="4">
        <v>0</v>
      </c>
      <c r="S34" s="4">
        <f>(H34*INDEX('Stages'!$D$2:$D$7,MATCH(F34,'Stages'!$A$2:$A$7,0)))</f>
        <v>0</v>
      </c>
      <c r="T34" s="4">
        <f>(H34*I34)</f>
        <v>144300</v>
      </c>
      <c r="U34" s="4">
        <f>(H34*(I34-1))</f>
        <v>0</v>
      </c>
      <c r="V34" s="0" t="str">
        <f>INDEX('Account executives'!$B$2:$B$25,MATCH(C34,'Account executives'!$A$2:$A$25,0))</f>
        <v>emea</v>
      </c>
      <c r="W34" s="0" t="str">
        <f>INDEX('Account executives'!$C$2:$C$25,MATCH(C34,'Account executives'!$A$2:$A$25,0))</f>
        <v>enterprise</v>
      </c>
      <c r="X34" s="0" t="str">
        <f>SUBSTITUTE(LOWER(INDEX('Periods'!$G$2:$G$22,MATCH(N34,'Periods'!$A$2:$A$22,0)))," ","_")</f>
        <v>q1_2026</v>
      </c>
    </row>
    <row r="35">
      <c r="A35" s="0" t="inlineStr">
        <is>
          <t xml:space="preserve">o0034</t>
        </is>
      </c>
      <c r="B35" s="0" t="inlineStr">
        <is>
          <t xml:space="preserve">a0586</t>
        </is>
      </c>
      <c r="C35" s="0" t="inlineStr">
        <is>
          <t xml:space="preserve">r17</t>
        </is>
      </c>
      <c r="D35" s="0" t="inlineStr">
        <is>
          <t xml:space="preserve">s_emea_in</t>
        </is>
      </c>
      <c r="E35" s="0" t="inlineStr">
        <is>
          <t xml:space="preserve">inbound</t>
        </is>
      </c>
      <c r="F35" s="0" t="inlineStr">
        <is>
          <t xml:space="preserve">closed_won</t>
        </is>
      </c>
      <c r="G35" s="4">
        <v>1</v>
      </c>
      <c r="H35" s="4">
        <v>11000</v>
      </c>
      <c r="I35" s="4">
        <v>1</v>
      </c>
      <c r="J35" s="4">
        <v>0</v>
      </c>
      <c r="K35" s="16">
        <v>46013</v>
      </c>
      <c r="L35" s="16">
        <v>46042</v>
      </c>
      <c r="M35" s="0" t="inlineStr">
        <is>
          <t xml:space="preserve">dec25</t>
        </is>
      </c>
      <c r="N35" s="0" t="inlineStr">
        <is>
          <t xml:space="preserve">jan26</t>
        </is>
      </c>
      <c r="O35" s="4">
        <v>29</v>
      </c>
      <c r="P35" s="4">
        <v>1</v>
      </c>
      <c r="Q35" s="4">
        <v>0</v>
      </c>
      <c r="R35" s="4">
        <v>0</v>
      </c>
      <c r="S35" s="4">
        <f>(H35*INDEX('Stages'!$D$2:$D$7,MATCH(F35,'Stages'!$A$2:$A$7,0)))</f>
        <v>11000</v>
      </c>
      <c r="T35" s="4">
        <f>(H35*I35)</f>
        <v>11000</v>
      </c>
      <c r="U35" s="4">
        <f>(H35*(I35-1))</f>
        <v>0</v>
      </c>
      <c r="V35" s="0" t="str">
        <f>INDEX('Account executives'!$B$2:$B$25,MATCH(C35,'Account executives'!$A$2:$A$25,0))</f>
        <v>emea</v>
      </c>
      <c r="W35" s="0" t="str">
        <f>INDEX('Account executives'!$C$2:$C$25,MATCH(C35,'Account executives'!$A$2:$A$25,0))</f>
        <v>smb</v>
      </c>
      <c r="X35" s="0" t="str">
        <f>SUBSTITUTE(LOWER(INDEX('Periods'!$G$2:$G$22,MATCH(N35,'Periods'!$A$2:$A$22,0)))," ","_")</f>
        <v>q1_2026</v>
      </c>
    </row>
    <row r="36">
      <c r="A36" s="0" t="inlineStr">
        <is>
          <t xml:space="preserve">o0035</t>
        </is>
      </c>
      <c r="B36" s="0" t="inlineStr">
        <is>
          <t xml:space="preserve">a0391</t>
        </is>
      </c>
      <c r="C36" s="0" t="inlineStr">
        <is>
          <t xml:space="preserve">r17</t>
        </is>
      </c>
      <c r="D36" s="0" t="inlineStr">
        <is>
          <t xml:space="preserve">s_emea_out</t>
        </is>
      </c>
      <c r="E36" s="0" t="inlineStr">
        <is>
          <t xml:space="preserve">outbound</t>
        </is>
      </c>
      <c r="F36" s="0" t="inlineStr">
        <is>
          <t xml:space="preserve">closed_won</t>
        </is>
      </c>
      <c r="G36" s="4">
        <v>0</v>
      </c>
      <c r="H36" s="4">
        <v>6200</v>
      </c>
      <c r="I36" s="4">
        <v>1</v>
      </c>
      <c r="J36" s="4">
        <v>0</v>
      </c>
      <c r="K36" s="16">
        <v>45902</v>
      </c>
      <c r="L36" s="16">
        <v>45932</v>
      </c>
      <c r="M36" s="0" t="inlineStr">
        <is>
          <t xml:space="preserve">sep25</t>
        </is>
      </c>
      <c r="N36" s="0" t="inlineStr">
        <is>
          <t xml:space="preserve">oct25</t>
        </is>
      </c>
      <c r="O36" s="4">
        <v>30</v>
      </c>
      <c r="P36" s="4">
        <v>1</v>
      </c>
      <c r="Q36" s="4">
        <v>0</v>
      </c>
      <c r="R36" s="4">
        <v>0</v>
      </c>
      <c r="S36" s="4">
        <f>(H36*INDEX('Stages'!$D$2:$D$7,MATCH(F36,'Stages'!$A$2:$A$7,0)))</f>
        <v>6200</v>
      </c>
      <c r="T36" s="4">
        <f>(H36*I36)</f>
        <v>6200</v>
      </c>
      <c r="U36" s="4">
        <f>(H36*(I36-1))</f>
        <v>0</v>
      </c>
      <c r="V36" s="0" t="str">
        <f>INDEX('Account executives'!$B$2:$B$25,MATCH(C36,'Account executives'!$A$2:$A$25,0))</f>
        <v>emea</v>
      </c>
      <c r="W36" s="0" t="str">
        <f>INDEX('Account executives'!$C$2:$C$25,MATCH(C36,'Account executives'!$A$2:$A$25,0))</f>
        <v>smb</v>
      </c>
      <c r="X36" s="0" t="str">
        <f>SUBSTITUTE(LOWER(INDEX('Periods'!$G$2:$G$22,MATCH(N36,'Periods'!$A$2:$A$22,0)))," ","_")</f>
        <v>q4_2025</v>
      </c>
    </row>
    <row r="37">
      <c r="A37" s="0" t="inlineStr">
        <is>
          <t xml:space="preserve">o0036</t>
        </is>
      </c>
      <c r="B37" s="0" t="inlineStr">
        <is>
          <t xml:space="preserve">a0285</t>
        </is>
      </c>
      <c r="C37" s="0" t="inlineStr">
        <is>
          <t xml:space="preserve">r16</t>
        </is>
      </c>
      <c r="D37" s="0" t="inlineStr">
        <is>
          <t xml:space="preserve">s_emea_in</t>
        </is>
      </c>
      <c r="E37" s="0" t="inlineStr">
        <is>
          <t xml:space="preserve">paid</t>
        </is>
      </c>
      <c r="F37" s="0" t="inlineStr">
        <is>
          <t xml:space="preserve">closed_lost</t>
        </is>
      </c>
      <c r="G37" s="4">
        <v>1</v>
      </c>
      <c r="H37" s="4">
        <v>24000</v>
      </c>
      <c r="I37" s="4">
        <v>1</v>
      </c>
      <c r="J37" s="4">
        <v>1</v>
      </c>
      <c r="K37" s="16">
        <v>45854</v>
      </c>
      <c r="L37" s="16">
        <v>45912</v>
      </c>
      <c r="M37" s="0" t="inlineStr">
        <is>
          <t xml:space="preserve">jul25</t>
        </is>
      </c>
      <c r="N37" s="0" t="inlineStr">
        <is>
          <t xml:space="preserve">sep25</t>
        </is>
      </c>
      <c r="O37" s="4">
        <v>58</v>
      </c>
      <c r="P37" s="4">
        <v>0</v>
      </c>
      <c r="Q37" s="4">
        <v>1</v>
      </c>
      <c r="R37" s="4">
        <v>0</v>
      </c>
      <c r="S37" s="4">
        <f>(H37*INDEX('Stages'!$D$2:$D$7,MATCH(F37,'Stages'!$A$2:$A$7,0)))</f>
        <v>0</v>
      </c>
      <c r="T37" s="4">
        <f>(H37*I37)</f>
        <v>24000</v>
      </c>
      <c r="U37" s="4">
        <f>(H37*(I37-1))</f>
        <v>0</v>
      </c>
      <c r="V37" s="0" t="str">
        <f>INDEX('Account executives'!$B$2:$B$25,MATCH(C37,'Account executives'!$A$2:$A$25,0))</f>
        <v>emea</v>
      </c>
      <c r="W37" s="0" t="str">
        <f>INDEX('Account executives'!$C$2:$C$25,MATCH(C37,'Account executives'!$A$2:$A$25,0))</f>
        <v>mid_market</v>
      </c>
      <c r="X37" s="0" t="str">
        <f>SUBSTITUTE(LOWER(INDEX('Periods'!$G$2:$G$22,MATCH(N37,'Periods'!$A$2:$A$22,0)))," ","_")</f>
        <v>q3_2025</v>
      </c>
    </row>
    <row r="38">
      <c r="A38" s="0" t="inlineStr">
        <is>
          <t xml:space="preserve">o0037</t>
        </is>
      </c>
      <c r="B38" s="0" t="inlineStr">
        <is>
          <t xml:space="preserve">a0432</t>
        </is>
      </c>
      <c r="C38" s="0" t="inlineStr">
        <is>
          <t xml:space="preserve">r08</t>
        </is>
      </c>
      <c r="D38" s="0" t="inlineStr">
        <is>
          <t xml:space="preserve">s_amer_west_in</t>
        </is>
      </c>
      <c r="E38" s="0" t="inlineStr">
        <is>
          <t xml:space="preserve">paid</t>
        </is>
      </c>
      <c r="F38" s="0" t="inlineStr">
        <is>
          <t xml:space="preserve">closed_lost</t>
        </is>
      </c>
      <c r="G38" s="4">
        <v>1</v>
      </c>
      <c r="H38" s="4">
        <v>212800</v>
      </c>
      <c r="I38" s="4">
        <v>1</v>
      </c>
      <c r="J38" s="4">
        <v>1</v>
      </c>
      <c r="K38" s="16">
        <v>45954</v>
      </c>
      <c r="L38" s="16">
        <v>46088</v>
      </c>
      <c r="M38" s="0" t="inlineStr">
        <is>
          <t xml:space="preserve">oct25</t>
        </is>
      </c>
      <c r="N38" s="0" t="inlineStr">
        <is>
          <t xml:space="preserve">mar26</t>
        </is>
      </c>
      <c r="O38" s="4">
        <v>134</v>
      </c>
      <c r="P38" s="4">
        <v>0</v>
      </c>
      <c r="Q38" s="4">
        <v>1</v>
      </c>
      <c r="R38" s="4">
        <v>0</v>
      </c>
      <c r="S38" s="4">
        <f>(H38*INDEX('Stages'!$D$2:$D$7,MATCH(F38,'Stages'!$A$2:$A$7,0)))</f>
        <v>0</v>
      </c>
      <c r="T38" s="4">
        <f>(H38*I38)</f>
        <v>212800</v>
      </c>
      <c r="U38" s="4">
        <f>(H38*(I38-1))</f>
        <v>0</v>
      </c>
      <c r="V38" s="0" t="str">
        <f>INDEX('Account executives'!$B$2:$B$25,MATCH(C38,'Account executives'!$A$2:$A$25,0))</f>
        <v>amer_west</v>
      </c>
      <c r="W38" s="0" t="str">
        <f>INDEX('Account executives'!$C$2:$C$25,MATCH(C38,'Account executives'!$A$2:$A$25,0))</f>
        <v>enterprise</v>
      </c>
      <c r="X38" s="0" t="str">
        <f>SUBSTITUTE(LOWER(INDEX('Periods'!$G$2:$G$22,MATCH(N38,'Periods'!$A$2:$A$22,0)))," ","_")</f>
        <v>q1_2026</v>
      </c>
    </row>
    <row r="39">
      <c r="A39" s="0" t="inlineStr">
        <is>
          <t xml:space="preserve">o0038</t>
        </is>
      </c>
      <c r="B39" s="0" t="inlineStr">
        <is>
          <t xml:space="preserve">a0124</t>
        </is>
      </c>
      <c r="C39" s="0" t="inlineStr">
        <is>
          <t xml:space="preserve">r14</t>
        </is>
      </c>
      <c r="D39" s="0" t="inlineStr">
        <is>
          <t xml:space="preserve">s_emea_out</t>
        </is>
      </c>
      <c r="E39" s="0" t="inlineStr">
        <is>
          <t xml:space="preserve">outbound</t>
        </is>
      </c>
      <c r="F39" s="0" t="inlineStr">
        <is>
          <t xml:space="preserve">closed_lost</t>
        </is>
      </c>
      <c r="G39" s="4">
        <v>0</v>
      </c>
      <c r="H39" s="4">
        <v>188600</v>
      </c>
      <c r="I39" s="4">
        <v>1</v>
      </c>
      <c r="J39" s="4">
        <v>0</v>
      </c>
      <c r="K39" s="16">
        <v>46165</v>
      </c>
      <c r="L39" s="16">
        <v>46234</v>
      </c>
      <c r="M39" s="0" t="inlineStr">
        <is>
          <t xml:space="preserve">may26</t>
        </is>
      </c>
      <c r="N39" s="0" t="inlineStr">
        <is>
          <t xml:space="preserve">jul26</t>
        </is>
      </c>
      <c r="O39" s="4">
        <v>69</v>
      </c>
      <c r="P39" s="4">
        <v>0</v>
      </c>
      <c r="Q39" s="4">
        <v>1</v>
      </c>
      <c r="R39" s="4">
        <v>0</v>
      </c>
      <c r="S39" s="4">
        <f>(H39*INDEX('Stages'!$D$2:$D$7,MATCH(F39,'Stages'!$A$2:$A$7,0)))</f>
        <v>0</v>
      </c>
      <c r="T39" s="4">
        <f>(H39*I39)</f>
        <v>188600</v>
      </c>
      <c r="U39" s="4">
        <f>(H39*(I39-1))</f>
        <v>0</v>
      </c>
      <c r="V39" s="0" t="str">
        <f>INDEX('Account executives'!$B$2:$B$25,MATCH(C39,'Account executives'!$A$2:$A$25,0))</f>
        <v>emea</v>
      </c>
      <c r="W39" s="0" t="str">
        <f>INDEX('Account executives'!$C$2:$C$25,MATCH(C39,'Account executives'!$A$2:$A$25,0))</f>
        <v>enterprise</v>
      </c>
      <c r="X39" s="0" t="str">
        <f>SUBSTITUTE(LOWER(INDEX('Periods'!$G$2:$G$22,MATCH(N39,'Periods'!$A$2:$A$22,0)))," ","_")</f>
        <v>q3_2026</v>
      </c>
    </row>
    <row r="40">
      <c r="A40" s="0" t="inlineStr">
        <is>
          <t xml:space="preserve">o0039</t>
        </is>
      </c>
      <c r="B40" s="0" t="inlineStr">
        <is>
          <t xml:space="preserve">a0744</t>
        </is>
      </c>
      <c r="C40" s="0" t="inlineStr">
        <is>
          <t xml:space="preserve">r06</t>
        </is>
      </c>
      <c r="D40" s="0"/>
      <c r="E40" s="0" t="inlineStr">
        <is>
          <t xml:space="preserve">events</t>
        </is>
      </c>
      <c r="F40" s="0" t="inlineStr">
        <is>
          <t xml:space="preserve">closed_lost</t>
        </is>
      </c>
      <c r="G40" s="4">
        <v>1</v>
      </c>
      <c r="H40" s="4">
        <v>17700</v>
      </c>
      <c r="I40" s="4">
        <v>1</v>
      </c>
      <c r="J40" s="4">
        <v>0</v>
      </c>
      <c r="K40" s="16">
        <v>46104</v>
      </c>
      <c r="L40" s="16">
        <v>46130</v>
      </c>
      <c r="M40" s="0" t="inlineStr">
        <is>
          <t xml:space="preserve">mar26</t>
        </is>
      </c>
      <c r="N40" s="0" t="inlineStr">
        <is>
          <t xml:space="preserve">apr26</t>
        </is>
      </c>
      <c r="O40" s="4">
        <v>26</v>
      </c>
      <c r="P40" s="4">
        <v>0</v>
      </c>
      <c r="Q40" s="4">
        <v>1</v>
      </c>
      <c r="R40" s="4">
        <v>0</v>
      </c>
      <c r="S40" s="4">
        <f>(H40*INDEX('Stages'!$D$2:$D$7,MATCH(F40,'Stages'!$A$2:$A$7,0)))</f>
        <v>0</v>
      </c>
      <c r="T40" s="4">
        <f>(H40*I40)</f>
        <v>17700</v>
      </c>
      <c r="U40" s="4">
        <f>(H40*(I40-1))</f>
        <v>0</v>
      </c>
      <c r="V40" s="0" t="str">
        <f>INDEX('Account executives'!$B$2:$B$25,MATCH(C40,'Account executives'!$A$2:$A$25,0))</f>
        <v>amer_east</v>
      </c>
      <c r="W40" s="0" t="str">
        <f>INDEX('Account executives'!$C$2:$C$25,MATCH(C40,'Account executives'!$A$2:$A$25,0))</f>
        <v>smb</v>
      </c>
      <c r="X40" s="0" t="str">
        <f>SUBSTITUTE(LOWER(INDEX('Periods'!$G$2:$G$22,MATCH(N40,'Periods'!$A$2:$A$22,0)))," ","_")</f>
        <v>q2_2026</v>
      </c>
    </row>
    <row r="41">
      <c r="A41" s="0" t="inlineStr">
        <is>
          <t xml:space="preserve">o0040</t>
        </is>
      </c>
      <c r="B41" s="0" t="inlineStr">
        <is>
          <t xml:space="preserve">a0562</t>
        </is>
      </c>
      <c r="C41" s="0" t="inlineStr">
        <is>
          <t xml:space="preserve">r11</t>
        </is>
      </c>
      <c r="D41" s="0" t="inlineStr">
        <is>
          <t xml:space="preserve">s_amer_west_in</t>
        </is>
      </c>
      <c r="E41" s="0" t="inlineStr">
        <is>
          <t xml:space="preserve">inbound</t>
        </is>
      </c>
      <c r="F41" s="0" t="inlineStr">
        <is>
          <t xml:space="preserve">closed_won</t>
        </is>
      </c>
      <c r="G41" s="4">
        <v>0</v>
      </c>
      <c r="H41" s="4">
        <v>13600</v>
      </c>
      <c r="I41" s="4">
        <v>1</v>
      </c>
      <c r="J41" s="4">
        <v>1</v>
      </c>
      <c r="K41" s="16">
        <v>46027</v>
      </c>
      <c r="L41" s="16">
        <v>46068</v>
      </c>
      <c r="M41" s="0" t="inlineStr">
        <is>
          <t xml:space="preserve">jan26</t>
        </is>
      </c>
      <c r="N41" s="0" t="inlineStr">
        <is>
          <t xml:space="preserve">feb26</t>
        </is>
      </c>
      <c r="O41" s="4">
        <v>41</v>
      </c>
      <c r="P41" s="4">
        <v>1</v>
      </c>
      <c r="Q41" s="4">
        <v>0</v>
      </c>
      <c r="R41" s="4">
        <v>0</v>
      </c>
      <c r="S41" s="4">
        <f>(H41*INDEX('Stages'!$D$2:$D$7,MATCH(F41,'Stages'!$A$2:$A$7,0)))</f>
        <v>13600</v>
      </c>
      <c r="T41" s="4">
        <f>(H41*I41)</f>
        <v>13600</v>
      </c>
      <c r="U41" s="4">
        <f>(H41*(I41-1))</f>
        <v>0</v>
      </c>
      <c r="V41" s="0" t="str">
        <f>INDEX('Account executives'!$B$2:$B$25,MATCH(C41,'Account executives'!$A$2:$A$25,0))</f>
        <v>amer_west</v>
      </c>
      <c r="W41" s="0" t="str">
        <f>INDEX('Account executives'!$C$2:$C$25,MATCH(C41,'Account executives'!$A$2:$A$25,0))</f>
        <v>smb</v>
      </c>
      <c r="X41" s="0" t="str">
        <f>SUBSTITUTE(LOWER(INDEX('Periods'!$G$2:$G$22,MATCH(N41,'Periods'!$A$2:$A$22,0)))," ","_")</f>
        <v>q1_2026</v>
      </c>
    </row>
    <row r="42">
      <c r="A42" s="0" t="inlineStr">
        <is>
          <t xml:space="preserve">o0041</t>
        </is>
      </c>
      <c r="B42" s="0" t="inlineStr">
        <is>
          <t xml:space="preserve">a0358</t>
        </is>
      </c>
      <c r="C42" s="0" t="inlineStr">
        <is>
          <t xml:space="preserve">r20</t>
        </is>
      </c>
      <c r="D42" s="0" t="inlineStr">
        <is>
          <t xml:space="preserve">s_apac_out</t>
        </is>
      </c>
      <c r="E42" s="0" t="inlineStr">
        <is>
          <t xml:space="preserve">outbound</t>
        </is>
      </c>
      <c r="F42" s="0" t="inlineStr">
        <is>
          <t xml:space="preserve">closed_lost</t>
        </is>
      </c>
      <c r="G42" s="4">
        <v>1</v>
      </c>
      <c r="H42" s="4">
        <v>248300</v>
      </c>
      <c r="I42" s="4">
        <v>2</v>
      </c>
      <c r="J42" s="4">
        <v>0</v>
      </c>
      <c r="K42" s="16">
        <v>45872</v>
      </c>
      <c r="L42" s="16">
        <v>45942</v>
      </c>
      <c r="M42" s="0" t="inlineStr">
        <is>
          <t xml:space="preserve">aug25</t>
        </is>
      </c>
      <c r="N42" s="0" t="inlineStr">
        <is>
          <t xml:space="preserve">oct25</t>
        </is>
      </c>
      <c r="O42" s="4">
        <v>70</v>
      </c>
      <c r="P42" s="4">
        <v>0</v>
      </c>
      <c r="Q42" s="4">
        <v>1</v>
      </c>
      <c r="R42" s="4">
        <v>0</v>
      </c>
      <c r="S42" s="4">
        <f>(H42*INDEX('Stages'!$D$2:$D$7,MATCH(F42,'Stages'!$A$2:$A$7,0)))</f>
        <v>0</v>
      </c>
      <c r="T42" s="4">
        <f>(H42*I42)</f>
        <v>496600</v>
      </c>
      <c r="U42" s="4">
        <f>(H42*(I42-1))</f>
        <v>248300</v>
      </c>
      <c r="V42" s="0" t="str">
        <f>INDEX('Account executives'!$B$2:$B$25,MATCH(C42,'Account executives'!$A$2:$A$25,0))</f>
        <v>apac</v>
      </c>
      <c r="W42" s="0" t="str">
        <f>INDEX('Account executives'!$C$2:$C$25,MATCH(C42,'Account executives'!$A$2:$A$25,0))</f>
        <v>enterprise</v>
      </c>
      <c r="X42" s="0" t="str">
        <f>SUBSTITUTE(LOWER(INDEX('Periods'!$G$2:$G$22,MATCH(N42,'Periods'!$A$2:$A$22,0)))," ","_")</f>
        <v>q4_2025</v>
      </c>
    </row>
    <row r="43">
      <c r="A43" s="0" t="inlineStr">
        <is>
          <t xml:space="preserve">o0042</t>
        </is>
      </c>
      <c r="B43" s="0" t="inlineStr">
        <is>
          <t xml:space="preserve">a0840</t>
        </is>
      </c>
      <c r="C43" s="0" t="inlineStr">
        <is>
          <t xml:space="preserve">r12</t>
        </is>
      </c>
      <c r="D43" s="0" t="inlineStr">
        <is>
          <t xml:space="preserve">s_amer_west_in</t>
        </is>
      </c>
      <c r="E43" s="0" t="inlineStr">
        <is>
          <t xml:space="preserve">inbound</t>
        </is>
      </c>
      <c r="F43" s="0" t="inlineStr">
        <is>
          <t xml:space="preserve">closed_lost</t>
        </is>
      </c>
      <c r="G43" s="4">
        <v>1</v>
      </c>
      <c r="H43" s="4">
        <v>22700</v>
      </c>
      <c r="I43" s="4">
        <v>1</v>
      </c>
      <c r="J43" s="4">
        <v>0</v>
      </c>
      <c r="K43" s="16">
        <v>46129</v>
      </c>
      <c r="L43" s="16">
        <v>46201</v>
      </c>
      <c r="M43" s="0" t="inlineStr">
        <is>
          <t xml:space="preserve">apr26</t>
        </is>
      </c>
      <c r="N43" s="0" t="inlineStr">
        <is>
          <t xml:space="preserve">jun26</t>
        </is>
      </c>
      <c r="O43" s="4">
        <v>72</v>
      </c>
      <c r="P43" s="4">
        <v>0</v>
      </c>
      <c r="Q43" s="4">
        <v>1</v>
      </c>
      <c r="R43" s="4">
        <v>0</v>
      </c>
      <c r="S43" s="4">
        <f>(H43*INDEX('Stages'!$D$2:$D$7,MATCH(F43,'Stages'!$A$2:$A$7,0)))</f>
        <v>0</v>
      </c>
      <c r="T43" s="4">
        <f>(H43*I43)</f>
        <v>22700</v>
      </c>
      <c r="U43" s="4">
        <f>(H43*(I43-1))</f>
        <v>0</v>
      </c>
      <c r="V43" s="0" t="str">
        <f>INDEX('Account executives'!$B$2:$B$25,MATCH(C43,'Account executives'!$A$2:$A$25,0))</f>
        <v>amer_west</v>
      </c>
      <c r="W43" s="0" t="str">
        <f>INDEX('Account executives'!$C$2:$C$25,MATCH(C43,'Account executives'!$A$2:$A$25,0))</f>
        <v>smb</v>
      </c>
      <c r="X43" s="0" t="str">
        <f>SUBSTITUTE(LOWER(INDEX('Periods'!$G$2:$G$22,MATCH(N43,'Periods'!$A$2:$A$22,0)))," ","_")</f>
        <v>q2_2026</v>
      </c>
    </row>
    <row r="44">
      <c r="A44" s="0" t="inlineStr">
        <is>
          <t xml:space="preserve">o0043</t>
        </is>
      </c>
      <c r="B44" s="0" t="inlineStr">
        <is>
          <t xml:space="preserve">a0431</t>
        </is>
      </c>
      <c r="C44" s="0" t="inlineStr">
        <is>
          <t xml:space="preserve">r11</t>
        </is>
      </c>
      <c r="D44" s="0" t="inlineStr">
        <is>
          <t xml:space="preserve">s_amer_west_in</t>
        </is>
      </c>
      <c r="E44" s="0" t="inlineStr">
        <is>
          <t xml:space="preserve">inbound</t>
        </is>
      </c>
      <c r="F44" s="0" t="inlineStr">
        <is>
          <t xml:space="preserve">closed_won</t>
        </is>
      </c>
      <c r="G44" s="4">
        <v>1</v>
      </c>
      <c r="H44" s="4">
        <v>20000</v>
      </c>
      <c r="I44" s="4">
        <v>1</v>
      </c>
      <c r="J44" s="4">
        <v>0</v>
      </c>
      <c r="K44" s="16">
        <v>45950</v>
      </c>
      <c r="L44" s="16">
        <v>45971</v>
      </c>
      <c r="M44" s="0" t="inlineStr">
        <is>
          <t xml:space="preserve">oct25</t>
        </is>
      </c>
      <c r="N44" s="0" t="inlineStr">
        <is>
          <t xml:space="preserve">nov25</t>
        </is>
      </c>
      <c r="O44" s="4">
        <v>21</v>
      </c>
      <c r="P44" s="4">
        <v>1</v>
      </c>
      <c r="Q44" s="4">
        <v>0</v>
      </c>
      <c r="R44" s="4">
        <v>0</v>
      </c>
      <c r="S44" s="4">
        <f>(H44*INDEX('Stages'!$D$2:$D$7,MATCH(F44,'Stages'!$A$2:$A$7,0)))</f>
        <v>20000</v>
      </c>
      <c r="T44" s="4">
        <f>(H44*I44)</f>
        <v>20000</v>
      </c>
      <c r="U44" s="4">
        <f>(H44*(I44-1))</f>
        <v>0</v>
      </c>
      <c r="V44" s="0" t="str">
        <f>INDEX('Account executives'!$B$2:$B$25,MATCH(C44,'Account executives'!$A$2:$A$25,0))</f>
        <v>amer_west</v>
      </c>
      <c r="W44" s="0" t="str">
        <f>INDEX('Account executives'!$C$2:$C$25,MATCH(C44,'Account executives'!$A$2:$A$25,0))</f>
        <v>smb</v>
      </c>
      <c r="X44" s="0" t="str">
        <f>SUBSTITUTE(LOWER(INDEX('Periods'!$G$2:$G$22,MATCH(N44,'Periods'!$A$2:$A$22,0)))," ","_")</f>
        <v>q4_2025</v>
      </c>
    </row>
    <row r="45">
      <c r="A45" s="0" t="inlineStr">
        <is>
          <t xml:space="preserve">o0044</t>
        </is>
      </c>
      <c r="B45" s="0" t="inlineStr">
        <is>
          <t xml:space="preserve">a1008</t>
        </is>
      </c>
      <c r="C45" s="0" t="inlineStr">
        <is>
          <t xml:space="preserve">r10</t>
        </is>
      </c>
      <c r="D45" s="0"/>
      <c r="E45" s="0" t="inlineStr">
        <is>
          <t xml:space="preserve">referral</t>
        </is>
      </c>
      <c r="F45" s="0" t="inlineStr">
        <is>
          <t xml:space="preserve">closed_won</t>
        </is>
      </c>
      <c r="G45" s="4">
        <v>1</v>
      </c>
      <c r="H45" s="4">
        <v>113100</v>
      </c>
      <c r="I45" s="4">
        <v>1</v>
      </c>
      <c r="J45" s="4">
        <v>0</v>
      </c>
      <c r="K45" s="16">
        <v>46174</v>
      </c>
      <c r="L45" s="16">
        <v>46243</v>
      </c>
      <c r="M45" s="0" t="inlineStr">
        <is>
          <t xml:space="preserve">jun26</t>
        </is>
      </c>
      <c r="N45" s="0" t="inlineStr">
        <is>
          <t xml:space="preserve">aug26</t>
        </is>
      </c>
      <c r="O45" s="4">
        <v>69</v>
      </c>
      <c r="P45" s="4">
        <v>1</v>
      </c>
      <c r="Q45" s="4">
        <v>0</v>
      </c>
      <c r="R45" s="4">
        <v>0</v>
      </c>
      <c r="S45" s="4">
        <f>(H45*INDEX('Stages'!$D$2:$D$7,MATCH(F45,'Stages'!$A$2:$A$7,0)))</f>
        <v>113100</v>
      </c>
      <c r="T45" s="4">
        <f>(H45*I45)</f>
        <v>113100</v>
      </c>
      <c r="U45" s="4">
        <f>(H45*(I45-1))</f>
        <v>0</v>
      </c>
      <c r="V45" s="0" t="str">
        <f>INDEX('Account executives'!$B$2:$B$25,MATCH(C45,'Account executives'!$A$2:$A$25,0))</f>
        <v>amer_west</v>
      </c>
      <c r="W45" s="0" t="str">
        <f>INDEX('Account executives'!$C$2:$C$25,MATCH(C45,'Account executives'!$A$2:$A$25,0))</f>
        <v>mid_market</v>
      </c>
      <c r="X45" s="0" t="str">
        <f>SUBSTITUTE(LOWER(INDEX('Periods'!$G$2:$G$22,MATCH(N45,'Periods'!$A$2:$A$22,0)))," ","_")</f>
        <v>q3_2026</v>
      </c>
    </row>
    <row r="46">
      <c r="A46" s="0" t="inlineStr">
        <is>
          <t xml:space="preserve">o0045</t>
        </is>
      </c>
      <c r="B46" s="0" t="inlineStr">
        <is>
          <t xml:space="preserve">a1046</t>
        </is>
      </c>
      <c r="C46" s="0" t="inlineStr">
        <is>
          <t xml:space="preserve">r22</t>
        </is>
      </c>
      <c r="D46" s="0"/>
      <c r="E46" s="0" t="inlineStr">
        <is>
          <t xml:space="preserve">events</t>
        </is>
      </c>
      <c r="F46" s="0" t="inlineStr">
        <is>
          <t xml:space="preserve">closed_lost</t>
        </is>
      </c>
      <c r="G46" s="4">
        <v>1</v>
      </c>
      <c r="H46" s="4">
        <v>20100</v>
      </c>
      <c r="I46" s="4">
        <v>1</v>
      </c>
      <c r="J46" s="4">
        <v>0</v>
      </c>
      <c r="K46" s="16">
        <v>46189</v>
      </c>
      <c r="L46" s="16">
        <v>46255</v>
      </c>
      <c r="M46" s="0" t="inlineStr">
        <is>
          <t xml:space="preserve">jun26</t>
        </is>
      </c>
      <c r="N46" s="0" t="inlineStr">
        <is>
          <t xml:space="preserve">aug26</t>
        </is>
      </c>
      <c r="O46" s="4">
        <v>66</v>
      </c>
      <c r="P46" s="4">
        <v>0</v>
      </c>
      <c r="Q46" s="4">
        <v>1</v>
      </c>
      <c r="R46" s="4">
        <v>0</v>
      </c>
      <c r="S46" s="4">
        <f>(H46*INDEX('Stages'!$D$2:$D$7,MATCH(F46,'Stages'!$A$2:$A$7,0)))</f>
        <v>0</v>
      </c>
      <c r="T46" s="4">
        <f>(H46*I46)</f>
        <v>20100</v>
      </c>
      <c r="U46" s="4">
        <f>(H46*(I46-1))</f>
        <v>0</v>
      </c>
      <c r="V46" s="0" t="str">
        <f>INDEX('Account executives'!$B$2:$B$25,MATCH(C46,'Account executives'!$A$2:$A$25,0))</f>
        <v>apac</v>
      </c>
      <c r="W46" s="0" t="str">
        <f>INDEX('Account executives'!$C$2:$C$25,MATCH(C46,'Account executives'!$A$2:$A$25,0))</f>
        <v>mid_market</v>
      </c>
      <c r="X46" s="0" t="str">
        <f>SUBSTITUTE(LOWER(INDEX('Periods'!$G$2:$G$22,MATCH(N46,'Periods'!$A$2:$A$22,0)))," ","_")</f>
        <v>q3_2026</v>
      </c>
    </row>
    <row r="47">
      <c r="A47" s="0" t="inlineStr">
        <is>
          <t xml:space="preserve">o0046</t>
        </is>
      </c>
      <c r="B47" s="0" t="inlineStr">
        <is>
          <t xml:space="preserve">a0248</t>
        </is>
      </c>
      <c r="C47" s="0" t="inlineStr">
        <is>
          <t xml:space="preserve">r03</t>
        </is>
      </c>
      <c r="D47" s="0"/>
      <c r="E47" s="0" t="inlineStr">
        <is>
          <t xml:space="preserve">events</t>
        </is>
      </c>
      <c r="F47" s="0" t="inlineStr">
        <is>
          <t xml:space="preserve">closed_won</t>
        </is>
      </c>
      <c r="G47" s="4">
        <v>0</v>
      </c>
      <c r="H47" s="4">
        <v>9200</v>
      </c>
      <c r="I47" s="4">
        <v>1</v>
      </c>
      <c r="J47" s="4">
        <v>0</v>
      </c>
      <c r="K47" s="16">
        <v>46212</v>
      </c>
      <c r="L47" s="16">
        <v>46276</v>
      </c>
      <c r="M47" s="0" t="inlineStr">
        <is>
          <t xml:space="preserve">jul26</t>
        </is>
      </c>
      <c r="N47" s="0" t="inlineStr">
        <is>
          <t xml:space="preserve">sep26</t>
        </is>
      </c>
      <c r="O47" s="4">
        <v>64</v>
      </c>
      <c r="P47" s="4">
        <v>1</v>
      </c>
      <c r="Q47" s="4">
        <v>0</v>
      </c>
      <c r="R47" s="4">
        <v>0</v>
      </c>
      <c r="S47" s="4">
        <f>(H47*INDEX('Stages'!$D$2:$D$7,MATCH(F47,'Stages'!$A$2:$A$7,0)))</f>
        <v>9200</v>
      </c>
      <c r="T47" s="4">
        <f>(H47*I47)</f>
        <v>9200</v>
      </c>
      <c r="U47" s="4">
        <f>(H47*(I47-1))</f>
        <v>0</v>
      </c>
      <c r="V47" s="0" t="str">
        <f>INDEX('Account executives'!$B$2:$B$25,MATCH(C47,'Account executives'!$A$2:$A$25,0))</f>
        <v>amer_east</v>
      </c>
      <c r="W47" s="0" t="str">
        <f>INDEX('Account executives'!$C$2:$C$25,MATCH(C47,'Account executives'!$A$2:$A$25,0))</f>
        <v>mid_market</v>
      </c>
      <c r="X47" s="0" t="str">
        <f>SUBSTITUTE(LOWER(INDEX('Periods'!$G$2:$G$22,MATCH(N47,'Periods'!$A$2:$A$22,0)))," ","_")</f>
        <v>q3_2026</v>
      </c>
    </row>
    <row r="48">
      <c r="A48" s="0" t="inlineStr">
        <is>
          <t xml:space="preserve">o0047</t>
        </is>
      </c>
      <c r="B48" s="0" t="inlineStr">
        <is>
          <t xml:space="preserve">a0792</t>
        </is>
      </c>
      <c r="C48" s="0" t="inlineStr">
        <is>
          <t xml:space="preserve">r24</t>
        </is>
      </c>
      <c r="D48" s="0" t="inlineStr">
        <is>
          <t xml:space="preserve">s_apac_in</t>
        </is>
      </c>
      <c r="E48" s="0" t="inlineStr">
        <is>
          <t xml:space="preserve">inbound</t>
        </is>
      </c>
      <c r="F48" s="0" t="inlineStr">
        <is>
          <t xml:space="preserve">closed_won</t>
        </is>
      </c>
      <c r="G48" s="4">
        <v>1</v>
      </c>
      <c r="H48" s="4">
        <v>17600</v>
      </c>
      <c r="I48" s="4">
        <v>1</v>
      </c>
      <c r="J48" s="4">
        <v>1</v>
      </c>
      <c r="K48" s="16">
        <v>46084</v>
      </c>
      <c r="L48" s="16">
        <v>46201</v>
      </c>
      <c r="M48" s="0" t="inlineStr">
        <is>
          <t xml:space="preserve">mar26</t>
        </is>
      </c>
      <c r="N48" s="0" t="inlineStr">
        <is>
          <t xml:space="preserve">jun26</t>
        </is>
      </c>
      <c r="O48" s="4">
        <v>117</v>
      </c>
      <c r="P48" s="4">
        <v>1</v>
      </c>
      <c r="Q48" s="4">
        <v>0</v>
      </c>
      <c r="R48" s="4">
        <v>0</v>
      </c>
      <c r="S48" s="4">
        <f>(H48*INDEX('Stages'!$D$2:$D$7,MATCH(F48,'Stages'!$A$2:$A$7,0)))</f>
        <v>17600</v>
      </c>
      <c r="T48" s="4">
        <f>(H48*I48)</f>
        <v>17600</v>
      </c>
      <c r="U48" s="4">
        <f>(H48*(I48-1))</f>
        <v>0</v>
      </c>
      <c r="V48" s="0" t="str">
        <f>INDEX('Account executives'!$B$2:$B$25,MATCH(C48,'Account executives'!$A$2:$A$25,0))</f>
        <v>apac</v>
      </c>
      <c r="W48" s="0" t="str">
        <f>INDEX('Account executives'!$C$2:$C$25,MATCH(C48,'Account executives'!$A$2:$A$25,0))</f>
        <v>smb</v>
      </c>
      <c r="X48" s="0" t="str">
        <f>SUBSTITUTE(LOWER(INDEX('Periods'!$G$2:$G$22,MATCH(N48,'Periods'!$A$2:$A$22,0)))," ","_")</f>
        <v>q2_2026</v>
      </c>
    </row>
    <row r="49">
      <c r="A49" s="0" t="inlineStr">
        <is>
          <t xml:space="preserve">o0048</t>
        </is>
      </c>
      <c r="B49" s="0" t="inlineStr">
        <is>
          <t xml:space="preserve">a0915</t>
        </is>
      </c>
      <c r="C49" s="0" t="inlineStr">
        <is>
          <t xml:space="preserve">r12</t>
        </is>
      </c>
      <c r="D49" s="0" t="inlineStr">
        <is>
          <t xml:space="preserve">s_amer_west_in</t>
        </is>
      </c>
      <c r="E49" s="0" t="inlineStr">
        <is>
          <t xml:space="preserve">inbound</t>
        </is>
      </c>
      <c r="F49" s="0" t="inlineStr">
        <is>
          <t xml:space="preserve">closed_lost</t>
        </is>
      </c>
      <c r="G49" s="4">
        <v>1</v>
      </c>
      <c r="H49" s="4">
        <v>19200</v>
      </c>
      <c r="I49" s="4">
        <v>1</v>
      </c>
      <c r="J49" s="4">
        <v>1</v>
      </c>
      <c r="K49" s="16">
        <v>46166</v>
      </c>
      <c r="L49" s="16">
        <v>46200</v>
      </c>
      <c r="M49" s="0" t="inlineStr">
        <is>
          <t xml:space="preserve">may26</t>
        </is>
      </c>
      <c r="N49" s="0" t="inlineStr">
        <is>
          <t xml:space="preserve">jun26</t>
        </is>
      </c>
      <c r="O49" s="4">
        <v>34</v>
      </c>
      <c r="P49" s="4">
        <v>0</v>
      </c>
      <c r="Q49" s="4">
        <v>1</v>
      </c>
      <c r="R49" s="4">
        <v>0</v>
      </c>
      <c r="S49" s="4">
        <f>(H49*INDEX('Stages'!$D$2:$D$7,MATCH(F49,'Stages'!$A$2:$A$7,0)))</f>
        <v>0</v>
      </c>
      <c r="T49" s="4">
        <f>(H49*I49)</f>
        <v>19200</v>
      </c>
      <c r="U49" s="4">
        <f>(H49*(I49-1))</f>
        <v>0</v>
      </c>
      <c r="V49" s="0" t="str">
        <f>INDEX('Account executives'!$B$2:$B$25,MATCH(C49,'Account executives'!$A$2:$A$25,0))</f>
        <v>amer_west</v>
      </c>
      <c r="W49" s="0" t="str">
        <f>INDEX('Account executives'!$C$2:$C$25,MATCH(C49,'Account executives'!$A$2:$A$25,0))</f>
        <v>smb</v>
      </c>
      <c r="X49" s="0" t="str">
        <f>SUBSTITUTE(LOWER(INDEX('Periods'!$G$2:$G$22,MATCH(N49,'Periods'!$A$2:$A$22,0)))," ","_")</f>
        <v>q2_2026</v>
      </c>
    </row>
    <row r="50">
      <c r="A50" s="0" t="inlineStr">
        <is>
          <t xml:space="preserve">o0049</t>
        </is>
      </c>
      <c r="B50" s="0" t="inlineStr">
        <is>
          <t xml:space="preserve">a0408</t>
        </is>
      </c>
      <c r="C50" s="0" t="inlineStr">
        <is>
          <t xml:space="preserve">r22</t>
        </is>
      </c>
      <c r="D50" s="0" t="inlineStr">
        <is>
          <t xml:space="preserve">s_apac_in</t>
        </is>
      </c>
      <c r="E50" s="0" t="inlineStr">
        <is>
          <t xml:space="preserve">inbound</t>
        </is>
      </c>
      <c r="F50" s="0" t="inlineStr">
        <is>
          <t xml:space="preserve">closed_won</t>
        </is>
      </c>
      <c r="G50" s="4">
        <v>1</v>
      </c>
      <c r="H50" s="4">
        <v>61700</v>
      </c>
      <c r="I50" s="4">
        <v>2</v>
      </c>
      <c r="J50" s="4">
        <v>0</v>
      </c>
      <c r="K50" s="16">
        <v>45927</v>
      </c>
      <c r="L50" s="16">
        <v>46019</v>
      </c>
      <c r="M50" s="0" t="inlineStr">
        <is>
          <t xml:space="preserve">sep25</t>
        </is>
      </c>
      <c r="N50" s="0" t="inlineStr">
        <is>
          <t xml:space="preserve">dec25</t>
        </is>
      </c>
      <c r="O50" s="4">
        <v>92</v>
      </c>
      <c r="P50" s="4">
        <v>1</v>
      </c>
      <c r="Q50" s="4">
        <v>0</v>
      </c>
      <c r="R50" s="4">
        <v>0</v>
      </c>
      <c r="S50" s="4">
        <f>(H50*INDEX('Stages'!$D$2:$D$7,MATCH(F50,'Stages'!$A$2:$A$7,0)))</f>
        <v>61700</v>
      </c>
      <c r="T50" s="4">
        <f>(H50*I50)</f>
        <v>123400</v>
      </c>
      <c r="U50" s="4">
        <f>(H50*(I50-1))</f>
        <v>61700</v>
      </c>
      <c r="V50" s="0" t="str">
        <f>INDEX('Account executives'!$B$2:$B$25,MATCH(C50,'Account executives'!$A$2:$A$25,0))</f>
        <v>apac</v>
      </c>
      <c r="W50" s="0" t="str">
        <f>INDEX('Account executives'!$C$2:$C$25,MATCH(C50,'Account executives'!$A$2:$A$25,0))</f>
        <v>mid_market</v>
      </c>
      <c r="X50" s="0" t="str">
        <f>SUBSTITUTE(LOWER(INDEX('Periods'!$G$2:$G$22,MATCH(N50,'Periods'!$A$2:$A$22,0)))," ","_")</f>
        <v>q4_2025</v>
      </c>
    </row>
    <row r="51">
      <c r="A51" s="0" t="inlineStr">
        <is>
          <t xml:space="preserve">o0050</t>
        </is>
      </c>
      <c r="B51" s="0" t="inlineStr">
        <is>
          <t xml:space="preserve">a0474</t>
        </is>
      </c>
      <c r="C51" s="0" t="inlineStr">
        <is>
          <t xml:space="preserve">r22</t>
        </is>
      </c>
      <c r="D51" s="0" t="inlineStr">
        <is>
          <t xml:space="preserve">s_apac_out</t>
        </is>
      </c>
      <c r="E51" s="0" t="inlineStr">
        <is>
          <t xml:space="preserve">outbound</t>
        </is>
      </c>
      <c r="F51" s="0" t="inlineStr">
        <is>
          <t xml:space="preserve">closed_lost</t>
        </is>
      </c>
      <c r="G51" s="4">
        <v>1</v>
      </c>
      <c r="H51" s="4">
        <v>54200</v>
      </c>
      <c r="I51" s="4">
        <v>1</v>
      </c>
      <c r="J51" s="4">
        <v>0</v>
      </c>
      <c r="K51" s="16">
        <v>45933</v>
      </c>
      <c r="L51" s="16">
        <v>46004</v>
      </c>
      <c r="M51" s="0" t="inlineStr">
        <is>
          <t xml:space="preserve">oct25</t>
        </is>
      </c>
      <c r="N51" s="0" t="inlineStr">
        <is>
          <t xml:space="preserve">dec25</t>
        </is>
      </c>
      <c r="O51" s="4">
        <v>71</v>
      </c>
      <c r="P51" s="4">
        <v>0</v>
      </c>
      <c r="Q51" s="4">
        <v>1</v>
      </c>
      <c r="R51" s="4">
        <v>0</v>
      </c>
      <c r="S51" s="4">
        <f>(H51*INDEX('Stages'!$D$2:$D$7,MATCH(F51,'Stages'!$A$2:$A$7,0)))</f>
        <v>0</v>
      </c>
      <c r="T51" s="4">
        <f>(H51*I51)</f>
        <v>54200</v>
      </c>
      <c r="U51" s="4">
        <f>(H51*(I51-1))</f>
        <v>0</v>
      </c>
      <c r="V51" s="0" t="str">
        <f>INDEX('Account executives'!$B$2:$B$25,MATCH(C51,'Account executives'!$A$2:$A$25,0))</f>
        <v>apac</v>
      </c>
      <c r="W51" s="0" t="str">
        <f>INDEX('Account executives'!$C$2:$C$25,MATCH(C51,'Account executives'!$A$2:$A$25,0))</f>
        <v>mid_market</v>
      </c>
      <c r="X51" s="0" t="str">
        <f>SUBSTITUTE(LOWER(INDEX('Periods'!$G$2:$G$22,MATCH(N51,'Periods'!$A$2:$A$22,0)))," ","_")</f>
        <v>q4_2025</v>
      </c>
    </row>
    <row r="52">
      <c r="A52" s="0" t="inlineStr">
        <is>
          <t xml:space="preserve">o0051</t>
        </is>
      </c>
      <c r="B52" s="0" t="inlineStr">
        <is>
          <t xml:space="preserve">a0544</t>
        </is>
      </c>
      <c r="C52" s="0" t="inlineStr">
        <is>
          <t xml:space="preserve">r05</t>
        </is>
      </c>
      <c r="D52" s="0" t="inlineStr">
        <is>
          <t xml:space="preserve">s_amer_east_in</t>
        </is>
      </c>
      <c r="E52" s="0" t="inlineStr">
        <is>
          <t xml:space="preserve">inbound</t>
        </is>
      </c>
      <c r="F52" s="0" t="inlineStr">
        <is>
          <t xml:space="preserve">closed_lost</t>
        </is>
      </c>
      <c r="G52" s="4">
        <v>1</v>
      </c>
      <c r="H52" s="4">
        <v>29800</v>
      </c>
      <c r="I52" s="4">
        <v>2</v>
      </c>
      <c r="J52" s="4">
        <v>1</v>
      </c>
      <c r="K52" s="16">
        <v>46013</v>
      </c>
      <c r="L52" s="16">
        <v>46055</v>
      </c>
      <c r="M52" s="0" t="inlineStr">
        <is>
          <t xml:space="preserve">dec25</t>
        </is>
      </c>
      <c r="N52" s="0" t="inlineStr">
        <is>
          <t xml:space="preserve">feb26</t>
        </is>
      </c>
      <c r="O52" s="4">
        <v>42</v>
      </c>
      <c r="P52" s="4">
        <v>0</v>
      </c>
      <c r="Q52" s="4">
        <v>1</v>
      </c>
      <c r="R52" s="4">
        <v>0</v>
      </c>
      <c r="S52" s="4">
        <f>(H52*INDEX('Stages'!$D$2:$D$7,MATCH(F52,'Stages'!$A$2:$A$7,0)))</f>
        <v>0</v>
      </c>
      <c r="T52" s="4">
        <f>(H52*I52)</f>
        <v>59600</v>
      </c>
      <c r="U52" s="4">
        <f>(H52*(I52-1))</f>
        <v>29800</v>
      </c>
      <c r="V52" s="0" t="str">
        <f>INDEX('Account executives'!$B$2:$B$25,MATCH(C52,'Account executives'!$A$2:$A$25,0))</f>
        <v>amer_east</v>
      </c>
      <c r="W52" s="0" t="str">
        <f>INDEX('Account executives'!$C$2:$C$25,MATCH(C52,'Account executives'!$A$2:$A$25,0))</f>
        <v>smb</v>
      </c>
      <c r="X52" s="0" t="str">
        <f>SUBSTITUTE(LOWER(INDEX('Periods'!$G$2:$G$22,MATCH(N52,'Periods'!$A$2:$A$22,0)))," ","_")</f>
        <v>q1_2026</v>
      </c>
    </row>
    <row r="53">
      <c r="A53" s="0" t="inlineStr">
        <is>
          <t xml:space="preserve">o0052</t>
        </is>
      </c>
      <c r="B53" s="0" t="inlineStr">
        <is>
          <t xml:space="preserve">a0307</t>
        </is>
      </c>
      <c r="C53" s="0" t="inlineStr">
        <is>
          <t xml:space="preserve">r01</t>
        </is>
      </c>
      <c r="D53" s="0" t="inlineStr">
        <is>
          <t xml:space="preserve">s_amer_east_in</t>
        </is>
      </c>
      <c r="E53" s="0" t="inlineStr">
        <is>
          <t xml:space="preserve">inbound</t>
        </is>
      </c>
      <c r="F53" s="0" t="inlineStr">
        <is>
          <t xml:space="preserve">closed_lost</t>
        </is>
      </c>
      <c r="G53" s="4">
        <v>1</v>
      </c>
      <c r="H53" s="4">
        <v>239800</v>
      </c>
      <c r="I53" s="4">
        <v>2</v>
      </c>
      <c r="J53" s="4">
        <v>1</v>
      </c>
      <c r="K53" s="16">
        <v>45878</v>
      </c>
      <c r="L53" s="16">
        <v>46109</v>
      </c>
      <c r="M53" s="0" t="inlineStr">
        <is>
          <t xml:space="preserve">aug25</t>
        </is>
      </c>
      <c r="N53" s="0" t="inlineStr">
        <is>
          <t xml:space="preserve">mar26</t>
        </is>
      </c>
      <c r="O53" s="4">
        <v>231</v>
      </c>
      <c r="P53" s="4">
        <v>0</v>
      </c>
      <c r="Q53" s="4">
        <v>1</v>
      </c>
      <c r="R53" s="4">
        <v>0</v>
      </c>
      <c r="S53" s="4">
        <f>(H53*INDEX('Stages'!$D$2:$D$7,MATCH(F53,'Stages'!$A$2:$A$7,0)))</f>
        <v>0</v>
      </c>
      <c r="T53" s="4">
        <f>(H53*I53)</f>
        <v>479600</v>
      </c>
      <c r="U53" s="4">
        <f>(H53*(I53-1))</f>
        <v>239800</v>
      </c>
      <c r="V53" s="0" t="str">
        <f>INDEX('Account executives'!$B$2:$B$25,MATCH(C53,'Account executives'!$A$2:$A$25,0))</f>
        <v>amer_east</v>
      </c>
      <c r="W53" s="0" t="str">
        <f>INDEX('Account executives'!$C$2:$C$25,MATCH(C53,'Account executives'!$A$2:$A$25,0))</f>
        <v>enterprise</v>
      </c>
      <c r="X53" s="0" t="str">
        <f>SUBSTITUTE(LOWER(INDEX('Periods'!$G$2:$G$22,MATCH(N53,'Periods'!$A$2:$A$22,0)))," ","_")</f>
        <v>q1_2026</v>
      </c>
    </row>
    <row r="54">
      <c r="A54" s="0" t="inlineStr">
        <is>
          <t xml:space="preserve">o0053</t>
        </is>
      </c>
      <c r="B54" s="0" t="inlineStr">
        <is>
          <t xml:space="preserve">a0056</t>
        </is>
      </c>
      <c r="C54" s="0" t="inlineStr">
        <is>
          <t xml:space="preserve">r24</t>
        </is>
      </c>
      <c r="D54" s="0" t="inlineStr">
        <is>
          <t xml:space="preserve">s_apac_in</t>
        </is>
      </c>
      <c r="E54" s="0" t="inlineStr">
        <is>
          <t xml:space="preserve">paid</t>
        </is>
      </c>
      <c r="F54" s="0" t="inlineStr">
        <is>
          <t xml:space="preserve">closed_lost</t>
        </is>
      </c>
      <c r="G54" s="4">
        <v>1</v>
      </c>
      <c r="H54" s="4">
        <v>25400</v>
      </c>
      <c r="I54" s="4">
        <v>1</v>
      </c>
      <c r="J54" s="4">
        <v>1</v>
      </c>
      <c r="K54" s="16">
        <v>45773</v>
      </c>
      <c r="L54" s="16">
        <v>45812</v>
      </c>
      <c r="M54" s="0" t="inlineStr">
        <is>
          <t xml:space="preserve">apr25</t>
        </is>
      </c>
      <c r="N54" s="0" t="inlineStr">
        <is>
          <t xml:space="preserve">jun25</t>
        </is>
      </c>
      <c r="O54" s="4">
        <v>39</v>
      </c>
      <c r="P54" s="4">
        <v>0</v>
      </c>
      <c r="Q54" s="4">
        <v>1</v>
      </c>
      <c r="R54" s="4">
        <v>0</v>
      </c>
      <c r="S54" s="4">
        <f>(H54*INDEX('Stages'!$D$2:$D$7,MATCH(F54,'Stages'!$A$2:$A$7,0)))</f>
        <v>0</v>
      </c>
      <c r="T54" s="4">
        <f>(H54*I54)</f>
        <v>25400</v>
      </c>
      <c r="U54" s="4">
        <f>(H54*(I54-1))</f>
        <v>0</v>
      </c>
      <c r="V54" s="0" t="str">
        <f>INDEX('Account executives'!$B$2:$B$25,MATCH(C54,'Account executives'!$A$2:$A$25,0))</f>
        <v>apac</v>
      </c>
      <c r="W54" s="0" t="str">
        <f>INDEX('Account executives'!$C$2:$C$25,MATCH(C54,'Account executives'!$A$2:$A$25,0))</f>
        <v>smb</v>
      </c>
      <c r="X54" s="0" t="str">
        <f>SUBSTITUTE(LOWER(INDEX('Periods'!$G$2:$G$22,MATCH(N54,'Periods'!$A$2:$A$22,0)))," ","_")</f>
        <v>q2_2025</v>
      </c>
    </row>
    <row r="55">
      <c r="A55" s="0" t="inlineStr">
        <is>
          <t xml:space="preserve">o0054</t>
        </is>
      </c>
      <c r="B55" s="0" t="inlineStr">
        <is>
          <t xml:space="preserve">a0990</t>
        </is>
      </c>
      <c r="C55" s="0" t="inlineStr">
        <is>
          <t xml:space="preserve">r12</t>
        </is>
      </c>
      <c r="D55" s="0" t="inlineStr">
        <is>
          <t xml:space="preserve">s_amer_west_in</t>
        </is>
      </c>
      <c r="E55" s="0" t="inlineStr">
        <is>
          <t xml:space="preserve">paid</t>
        </is>
      </c>
      <c r="F55" s="0" t="inlineStr">
        <is>
          <t xml:space="preserve">closed_lost</t>
        </is>
      </c>
      <c r="G55" s="4">
        <v>1</v>
      </c>
      <c r="H55" s="4">
        <v>22800</v>
      </c>
      <c r="I55" s="4">
        <v>1</v>
      </c>
      <c r="J55" s="4">
        <v>1</v>
      </c>
      <c r="K55" s="16">
        <v>46175</v>
      </c>
      <c r="L55" s="16">
        <v>46213</v>
      </c>
      <c r="M55" s="0" t="inlineStr">
        <is>
          <t xml:space="preserve">jun26</t>
        </is>
      </c>
      <c r="N55" s="0" t="inlineStr">
        <is>
          <t xml:space="preserve">jul26</t>
        </is>
      </c>
      <c r="O55" s="4">
        <v>38</v>
      </c>
      <c r="P55" s="4">
        <v>0</v>
      </c>
      <c r="Q55" s="4">
        <v>1</v>
      </c>
      <c r="R55" s="4">
        <v>0</v>
      </c>
      <c r="S55" s="4">
        <f>(H55*INDEX('Stages'!$D$2:$D$7,MATCH(F55,'Stages'!$A$2:$A$7,0)))</f>
        <v>0</v>
      </c>
      <c r="T55" s="4">
        <f>(H55*I55)</f>
        <v>22800</v>
      </c>
      <c r="U55" s="4">
        <f>(H55*(I55-1))</f>
        <v>0</v>
      </c>
      <c r="V55" s="0" t="str">
        <f>INDEX('Account executives'!$B$2:$B$25,MATCH(C55,'Account executives'!$A$2:$A$25,0))</f>
        <v>amer_west</v>
      </c>
      <c r="W55" s="0" t="str">
        <f>INDEX('Account executives'!$C$2:$C$25,MATCH(C55,'Account executives'!$A$2:$A$25,0))</f>
        <v>smb</v>
      </c>
      <c r="X55" s="0" t="str">
        <f>SUBSTITUTE(LOWER(INDEX('Periods'!$G$2:$G$22,MATCH(N55,'Periods'!$A$2:$A$22,0)))," ","_")</f>
        <v>q3_2026</v>
      </c>
    </row>
    <row r="56">
      <c r="A56" s="0" t="inlineStr">
        <is>
          <t xml:space="preserve">o0055</t>
        </is>
      </c>
      <c r="B56" s="0" t="inlineStr">
        <is>
          <t xml:space="preserve">a0072</t>
        </is>
      </c>
      <c r="C56" s="0" t="inlineStr">
        <is>
          <t xml:space="preserve">r04</t>
        </is>
      </c>
      <c r="D56" s="0" t="inlineStr">
        <is>
          <t xml:space="preserve">s_amer_east_in</t>
        </is>
      </c>
      <c r="E56" s="0" t="inlineStr">
        <is>
          <t xml:space="preserve">inbound</t>
        </is>
      </c>
      <c r="F56" s="0" t="inlineStr">
        <is>
          <t xml:space="preserve">closed_lost</t>
        </is>
      </c>
      <c r="G56" s="4">
        <v>0</v>
      </c>
      <c r="H56" s="4">
        <v>21100</v>
      </c>
      <c r="I56" s="4">
        <v>1</v>
      </c>
      <c r="J56" s="4">
        <v>0</v>
      </c>
      <c r="K56" s="16">
        <v>45822</v>
      </c>
      <c r="L56" s="16">
        <v>45903</v>
      </c>
      <c r="M56" s="0" t="inlineStr">
        <is>
          <t xml:space="preserve">jun25</t>
        </is>
      </c>
      <c r="N56" s="0" t="inlineStr">
        <is>
          <t xml:space="preserve">sep25</t>
        </is>
      </c>
      <c r="O56" s="4">
        <v>81</v>
      </c>
      <c r="P56" s="4">
        <v>0</v>
      </c>
      <c r="Q56" s="4">
        <v>1</v>
      </c>
      <c r="R56" s="4">
        <v>0</v>
      </c>
      <c r="S56" s="4">
        <f>(H56*INDEX('Stages'!$D$2:$D$7,MATCH(F56,'Stages'!$A$2:$A$7,0)))</f>
        <v>0</v>
      </c>
      <c r="T56" s="4">
        <f>(H56*I56)</f>
        <v>21100</v>
      </c>
      <c r="U56" s="4">
        <f>(H56*(I56-1))</f>
        <v>0</v>
      </c>
      <c r="V56" s="0" t="str">
        <f>INDEX('Account executives'!$B$2:$B$25,MATCH(C56,'Account executives'!$A$2:$A$25,0))</f>
        <v>amer_east</v>
      </c>
      <c r="W56" s="0" t="str">
        <f>INDEX('Account executives'!$C$2:$C$25,MATCH(C56,'Account executives'!$A$2:$A$25,0))</f>
        <v>mid_market</v>
      </c>
      <c r="X56" s="0" t="str">
        <f>SUBSTITUTE(LOWER(INDEX('Periods'!$G$2:$G$22,MATCH(N56,'Periods'!$A$2:$A$22,0)))," ","_")</f>
        <v>q3_2025</v>
      </c>
    </row>
    <row r="57">
      <c r="A57" s="0" t="inlineStr">
        <is>
          <t xml:space="preserve">o0056</t>
        </is>
      </c>
      <c r="B57" s="0" t="inlineStr">
        <is>
          <t xml:space="preserve">a0980</t>
        </is>
      </c>
      <c r="C57" s="0" t="inlineStr">
        <is>
          <t xml:space="preserve">r10</t>
        </is>
      </c>
      <c r="D57" s="0" t="inlineStr">
        <is>
          <t xml:space="preserve">s_amer_west_in</t>
        </is>
      </c>
      <c r="E57" s="0" t="inlineStr">
        <is>
          <t xml:space="preserve">inbound</t>
        </is>
      </c>
      <c r="F57" s="0" t="inlineStr">
        <is>
          <t xml:space="preserve">closed_lost</t>
        </is>
      </c>
      <c r="G57" s="4">
        <v>1</v>
      </c>
      <c r="H57" s="4">
        <v>91300</v>
      </c>
      <c r="I57" s="4">
        <v>1</v>
      </c>
      <c r="J57" s="4">
        <v>0</v>
      </c>
      <c r="K57" s="16">
        <v>46197</v>
      </c>
      <c r="L57" s="16">
        <v>46267</v>
      </c>
      <c r="M57" s="0" t="inlineStr">
        <is>
          <t xml:space="preserve">jun26</t>
        </is>
      </c>
      <c r="N57" s="0" t="inlineStr">
        <is>
          <t xml:space="preserve">sep26</t>
        </is>
      </c>
      <c r="O57" s="4">
        <v>70</v>
      </c>
      <c r="P57" s="4">
        <v>0</v>
      </c>
      <c r="Q57" s="4">
        <v>1</v>
      </c>
      <c r="R57" s="4">
        <v>0</v>
      </c>
      <c r="S57" s="4">
        <f>(H57*INDEX('Stages'!$D$2:$D$7,MATCH(F57,'Stages'!$A$2:$A$7,0)))</f>
        <v>0</v>
      </c>
      <c r="T57" s="4">
        <f>(H57*I57)</f>
        <v>91300</v>
      </c>
      <c r="U57" s="4">
        <f>(H57*(I57-1))</f>
        <v>0</v>
      </c>
      <c r="V57" s="0" t="str">
        <f>INDEX('Account executives'!$B$2:$B$25,MATCH(C57,'Account executives'!$A$2:$A$25,0))</f>
        <v>amer_west</v>
      </c>
      <c r="W57" s="0" t="str">
        <f>INDEX('Account executives'!$C$2:$C$25,MATCH(C57,'Account executives'!$A$2:$A$25,0))</f>
        <v>mid_market</v>
      </c>
      <c r="X57" s="0" t="str">
        <f>SUBSTITUTE(LOWER(INDEX('Periods'!$G$2:$G$22,MATCH(N57,'Periods'!$A$2:$A$22,0)))," ","_")</f>
        <v>q3_2026</v>
      </c>
    </row>
    <row r="58">
      <c r="A58" s="0" t="inlineStr">
        <is>
          <t xml:space="preserve">o0057</t>
        </is>
      </c>
      <c r="B58" s="0" t="inlineStr">
        <is>
          <t xml:space="preserve">a1270</t>
        </is>
      </c>
      <c r="C58" s="0" t="inlineStr">
        <is>
          <t xml:space="preserve">r21</t>
        </is>
      </c>
      <c r="D58" s="0" t="inlineStr">
        <is>
          <t xml:space="preserve">s_apac_out</t>
        </is>
      </c>
      <c r="E58" s="0" t="inlineStr">
        <is>
          <t xml:space="preserve">outbound</t>
        </is>
      </c>
      <c r="F58" s="0" t="inlineStr">
        <is>
          <t xml:space="preserve">discovery</t>
        </is>
      </c>
      <c r="G58" s="4">
        <v>1</v>
      </c>
      <c r="H58" s="4">
        <v>99400</v>
      </c>
      <c r="I58" s="4">
        <v>1</v>
      </c>
      <c r="J58" s="4">
        <v>1</v>
      </c>
      <c r="K58" s="16">
        <v>46270</v>
      </c>
      <c r="L58" s="16">
        <v>46371</v>
      </c>
      <c r="M58" s="0" t="inlineStr">
        <is>
          <t xml:space="preserve">sep26</t>
        </is>
      </c>
      <c r="N58" s="0" t="inlineStr">
        <is>
          <t xml:space="preserve">dec26</t>
        </is>
      </c>
      <c r="O58" s="4">
        <v>83</v>
      </c>
      <c r="P58" s="4">
        <v>0</v>
      </c>
      <c r="Q58" s="4">
        <v>0</v>
      </c>
      <c r="R58" s="4">
        <v>1</v>
      </c>
      <c r="S58" s="4">
        <f>(H58*INDEX('Stages'!$D$2:$D$7,MATCH(F58,'Stages'!$A$2:$A$7,0)))</f>
        <v>9940</v>
      </c>
      <c r="T58" s="4">
        <f>(H58*I58)</f>
        <v>99400</v>
      </c>
      <c r="U58" s="4">
        <f>(H58*(I58-1))</f>
        <v>0</v>
      </c>
      <c r="V58" s="0" t="str">
        <f>INDEX('Account executives'!$B$2:$B$25,MATCH(C58,'Account executives'!$A$2:$A$25,0))</f>
        <v>apac</v>
      </c>
      <c r="W58" s="0" t="str">
        <f>INDEX('Account executives'!$C$2:$C$25,MATCH(C58,'Account executives'!$A$2:$A$25,0))</f>
        <v>mid_market</v>
      </c>
      <c r="X58" s="0" t="str">
        <f>SUBSTITUTE(LOWER(INDEX('Periods'!$G$2:$G$22,MATCH(N58,'Periods'!$A$2:$A$22,0)))," ","_")</f>
        <v>q4_2026</v>
      </c>
    </row>
    <row r="59">
      <c r="A59" s="0" t="inlineStr">
        <is>
          <t xml:space="preserve">o0058</t>
        </is>
      </c>
      <c r="B59" s="0" t="inlineStr">
        <is>
          <t xml:space="preserve">a0050</t>
        </is>
      </c>
      <c r="C59" s="0" t="inlineStr">
        <is>
          <t xml:space="preserve">r15</t>
        </is>
      </c>
      <c r="D59" s="0" t="inlineStr">
        <is>
          <t xml:space="preserve">s_emea_in</t>
        </is>
      </c>
      <c r="E59" s="0" t="inlineStr">
        <is>
          <t xml:space="preserve">paid</t>
        </is>
      </c>
      <c r="F59" s="0" t="inlineStr">
        <is>
          <t xml:space="preserve">closed_won</t>
        </is>
      </c>
      <c r="G59" s="4">
        <v>0</v>
      </c>
      <c r="H59" s="4">
        <v>39000</v>
      </c>
      <c r="I59" s="4">
        <v>2</v>
      </c>
      <c r="J59" s="4">
        <v>0</v>
      </c>
      <c r="K59" s="16">
        <v>45784</v>
      </c>
      <c r="L59" s="16">
        <v>45808</v>
      </c>
      <c r="M59" s="0" t="inlineStr">
        <is>
          <t xml:space="preserve">may25</t>
        </is>
      </c>
      <c r="N59" s="0" t="inlineStr">
        <is>
          <t xml:space="preserve">may25</t>
        </is>
      </c>
      <c r="O59" s="4">
        <v>24</v>
      </c>
      <c r="P59" s="4">
        <v>1</v>
      </c>
      <c r="Q59" s="4">
        <v>0</v>
      </c>
      <c r="R59" s="4">
        <v>0</v>
      </c>
      <c r="S59" s="4">
        <f>(H59*INDEX('Stages'!$D$2:$D$7,MATCH(F59,'Stages'!$A$2:$A$7,0)))</f>
        <v>39000</v>
      </c>
      <c r="T59" s="4">
        <f>(H59*I59)</f>
        <v>78000</v>
      </c>
      <c r="U59" s="4">
        <f>(H59*(I59-1))</f>
        <v>39000</v>
      </c>
      <c r="V59" s="0" t="str">
        <f>INDEX('Account executives'!$B$2:$B$25,MATCH(C59,'Account executives'!$A$2:$A$25,0))</f>
        <v>emea</v>
      </c>
      <c r="W59" s="0" t="str">
        <f>INDEX('Account executives'!$C$2:$C$25,MATCH(C59,'Account executives'!$A$2:$A$25,0))</f>
        <v>mid_market</v>
      </c>
      <c r="X59" s="0" t="str">
        <f>SUBSTITUTE(LOWER(INDEX('Periods'!$G$2:$G$22,MATCH(N59,'Periods'!$A$2:$A$22,0)))," ","_")</f>
        <v>q2_2025</v>
      </c>
    </row>
    <row r="60">
      <c r="A60" s="0" t="inlineStr">
        <is>
          <t xml:space="preserve">o0059</t>
        </is>
      </c>
      <c r="B60" s="0" t="inlineStr">
        <is>
          <t xml:space="preserve">a0636</t>
        </is>
      </c>
      <c r="C60" s="0" t="inlineStr">
        <is>
          <t xml:space="preserve">r12</t>
        </is>
      </c>
      <c r="D60" s="0"/>
      <c r="E60" s="0" t="inlineStr">
        <is>
          <t xml:space="preserve">referral</t>
        </is>
      </c>
      <c r="F60" s="0" t="inlineStr">
        <is>
          <t xml:space="preserve">closed_lost</t>
        </is>
      </c>
      <c r="G60" s="4">
        <v>1</v>
      </c>
      <c r="H60" s="4">
        <v>20700</v>
      </c>
      <c r="I60" s="4">
        <v>2</v>
      </c>
      <c r="J60" s="4">
        <v>0</v>
      </c>
      <c r="K60" s="16">
        <v>46048</v>
      </c>
      <c r="L60" s="16">
        <v>46069</v>
      </c>
      <c r="M60" s="0" t="inlineStr">
        <is>
          <t xml:space="preserve">jan26</t>
        </is>
      </c>
      <c r="N60" s="0" t="inlineStr">
        <is>
          <t xml:space="preserve">feb26</t>
        </is>
      </c>
      <c r="O60" s="4">
        <v>21</v>
      </c>
      <c r="P60" s="4">
        <v>0</v>
      </c>
      <c r="Q60" s="4">
        <v>1</v>
      </c>
      <c r="R60" s="4">
        <v>0</v>
      </c>
      <c r="S60" s="4">
        <f>(H60*INDEX('Stages'!$D$2:$D$7,MATCH(F60,'Stages'!$A$2:$A$7,0)))</f>
        <v>0</v>
      </c>
      <c r="T60" s="4">
        <f>(H60*I60)</f>
        <v>41400</v>
      </c>
      <c r="U60" s="4">
        <f>(H60*(I60-1))</f>
        <v>20700</v>
      </c>
      <c r="V60" s="0" t="str">
        <f>INDEX('Account executives'!$B$2:$B$25,MATCH(C60,'Account executives'!$A$2:$A$25,0))</f>
        <v>amer_west</v>
      </c>
      <c r="W60" s="0" t="str">
        <f>INDEX('Account executives'!$C$2:$C$25,MATCH(C60,'Account executives'!$A$2:$A$25,0))</f>
        <v>smb</v>
      </c>
      <c r="X60" s="0" t="str">
        <f>SUBSTITUTE(LOWER(INDEX('Periods'!$G$2:$G$22,MATCH(N60,'Periods'!$A$2:$A$22,0)))," ","_")</f>
        <v>q1_2026</v>
      </c>
    </row>
    <row r="61">
      <c r="A61" s="0" t="inlineStr">
        <is>
          <t xml:space="preserve">o0060</t>
        </is>
      </c>
      <c r="B61" s="0" t="inlineStr">
        <is>
          <t xml:space="preserve">a0322</t>
        </is>
      </c>
      <c r="C61" s="0" t="inlineStr">
        <is>
          <t xml:space="preserve">r05</t>
        </is>
      </c>
      <c r="D61" s="0" t="inlineStr">
        <is>
          <t xml:space="preserve">s_amer_east_out</t>
        </is>
      </c>
      <c r="E61" s="0" t="inlineStr">
        <is>
          <t xml:space="preserve">outbound</t>
        </is>
      </c>
      <c r="F61" s="0" t="inlineStr">
        <is>
          <t xml:space="preserve">closed_lost</t>
        </is>
      </c>
      <c r="G61" s="4">
        <v>1</v>
      </c>
      <c r="H61" s="4">
        <v>12000</v>
      </c>
      <c r="I61" s="4">
        <v>1</v>
      </c>
      <c r="J61" s="4">
        <v>0</v>
      </c>
      <c r="K61" s="16">
        <v>45888</v>
      </c>
      <c r="L61" s="16">
        <v>45898</v>
      </c>
      <c r="M61" s="0" t="inlineStr">
        <is>
          <t xml:space="preserve">aug25</t>
        </is>
      </c>
      <c r="N61" s="0" t="inlineStr">
        <is>
          <t xml:space="preserve">aug25</t>
        </is>
      </c>
      <c r="O61" s="4">
        <v>10</v>
      </c>
      <c r="P61" s="4">
        <v>0</v>
      </c>
      <c r="Q61" s="4">
        <v>1</v>
      </c>
      <c r="R61" s="4">
        <v>0</v>
      </c>
      <c r="S61" s="4">
        <f>(H61*INDEX('Stages'!$D$2:$D$7,MATCH(F61,'Stages'!$A$2:$A$7,0)))</f>
        <v>0</v>
      </c>
      <c r="T61" s="4">
        <f>(H61*I61)</f>
        <v>12000</v>
      </c>
      <c r="U61" s="4">
        <f>(H61*(I61-1))</f>
        <v>0</v>
      </c>
      <c r="V61" s="0" t="str">
        <f>INDEX('Account executives'!$B$2:$B$25,MATCH(C61,'Account executives'!$A$2:$A$25,0))</f>
        <v>amer_east</v>
      </c>
      <c r="W61" s="0" t="str">
        <f>INDEX('Account executives'!$C$2:$C$25,MATCH(C61,'Account executives'!$A$2:$A$25,0))</f>
        <v>smb</v>
      </c>
      <c r="X61" s="0" t="str">
        <f>SUBSTITUTE(LOWER(INDEX('Periods'!$G$2:$G$22,MATCH(N61,'Periods'!$A$2:$A$22,0)))," ","_")</f>
        <v>q3_2025</v>
      </c>
    </row>
    <row r="62">
      <c r="A62" s="0" t="inlineStr">
        <is>
          <t xml:space="preserve">o0061</t>
        </is>
      </c>
      <c r="B62" s="0" t="inlineStr">
        <is>
          <t xml:space="preserve">a0057</t>
        </is>
      </c>
      <c r="C62" s="0" t="inlineStr">
        <is>
          <t xml:space="preserve">r21</t>
        </is>
      </c>
      <c r="D62" s="0"/>
      <c r="E62" s="0" t="inlineStr">
        <is>
          <t xml:space="preserve">events</t>
        </is>
      </c>
      <c r="F62" s="0" t="inlineStr">
        <is>
          <t xml:space="preserve">closed_won</t>
        </is>
      </c>
      <c r="G62" s="4">
        <v>1</v>
      </c>
      <c r="H62" s="4">
        <v>28600</v>
      </c>
      <c r="I62" s="4">
        <v>3</v>
      </c>
      <c r="J62" s="4">
        <v>0</v>
      </c>
      <c r="K62" s="16">
        <v>45756</v>
      </c>
      <c r="L62" s="16">
        <v>45835</v>
      </c>
      <c r="M62" s="0" t="inlineStr">
        <is>
          <t xml:space="preserve">apr25</t>
        </is>
      </c>
      <c r="N62" s="0" t="inlineStr">
        <is>
          <t xml:space="preserve">jun25</t>
        </is>
      </c>
      <c r="O62" s="4">
        <v>79</v>
      </c>
      <c r="P62" s="4">
        <v>1</v>
      </c>
      <c r="Q62" s="4">
        <v>0</v>
      </c>
      <c r="R62" s="4">
        <v>0</v>
      </c>
      <c r="S62" s="4">
        <f>(H62*INDEX('Stages'!$D$2:$D$7,MATCH(F62,'Stages'!$A$2:$A$7,0)))</f>
        <v>28600</v>
      </c>
      <c r="T62" s="4">
        <f>(H62*I62)</f>
        <v>85800</v>
      </c>
      <c r="U62" s="4">
        <f>(H62*(I62-1))</f>
        <v>57200</v>
      </c>
      <c r="V62" s="0" t="str">
        <f>INDEX('Account executives'!$B$2:$B$25,MATCH(C62,'Account executives'!$A$2:$A$25,0))</f>
        <v>apac</v>
      </c>
      <c r="W62" s="0" t="str">
        <f>INDEX('Account executives'!$C$2:$C$25,MATCH(C62,'Account executives'!$A$2:$A$25,0))</f>
        <v>mid_market</v>
      </c>
      <c r="X62" s="0" t="str">
        <f>SUBSTITUTE(LOWER(INDEX('Periods'!$G$2:$G$22,MATCH(N62,'Periods'!$A$2:$A$22,0)))," ","_")</f>
        <v>q2_2025</v>
      </c>
    </row>
    <row r="63">
      <c r="A63" s="0" t="inlineStr">
        <is>
          <t xml:space="preserve">o0062</t>
        </is>
      </c>
      <c r="B63" s="0" t="inlineStr">
        <is>
          <t xml:space="preserve">a0936</t>
        </is>
      </c>
      <c r="C63" s="0" t="inlineStr">
        <is>
          <t xml:space="preserve">r17</t>
        </is>
      </c>
      <c r="D63" s="0" t="inlineStr">
        <is>
          <t xml:space="preserve">s_emea_in</t>
        </is>
      </c>
      <c r="E63" s="0" t="inlineStr">
        <is>
          <t xml:space="preserve">paid</t>
        </is>
      </c>
      <c r="F63" s="0" t="inlineStr">
        <is>
          <t xml:space="preserve">closed_lost</t>
        </is>
      </c>
      <c r="G63" s="4">
        <v>1</v>
      </c>
      <c r="H63" s="4">
        <v>13300</v>
      </c>
      <c r="I63" s="4">
        <v>1</v>
      </c>
      <c r="J63" s="4">
        <v>1</v>
      </c>
      <c r="K63" s="16">
        <v>46148</v>
      </c>
      <c r="L63" s="16">
        <v>46166</v>
      </c>
      <c r="M63" s="0" t="inlineStr">
        <is>
          <t xml:space="preserve">may26</t>
        </is>
      </c>
      <c r="N63" s="0" t="inlineStr">
        <is>
          <t xml:space="preserve">may26</t>
        </is>
      </c>
      <c r="O63" s="4">
        <v>18</v>
      </c>
      <c r="P63" s="4">
        <v>0</v>
      </c>
      <c r="Q63" s="4">
        <v>1</v>
      </c>
      <c r="R63" s="4">
        <v>0</v>
      </c>
      <c r="S63" s="4">
        <f>(H63*INDEX('Stages'!$D$2:$D$7,MATCH(F63,'Stages'!$A$2:$A$7,0)))</f>
        <v>0</v>
      </c>
      <c r="T63" s="4">
        <f>(H63*I63)</f>
        <v>13300</v>
      </c>
      <c r="U63" s="4">
        <f>(H63*(I63-1))</f>
        <v>0</v>
      </c>
      <c r="V63" s="0" t="str">
        <f>INDEX('Account executives'!$B$2:$B$25,MATCH(C63,'Account executives'!$A$2:$A$25,0))</f>
        <v>emea</v>
      </c>
      <c r="W63" s="0" t="str">
        <f>INDEX('Account executives'!$C$2:$C$25,MATCH(C63,'Account executives'!$A$2:$A$25,0))</f>
        <v>smb</v>
      </c>
      <c r="X63" s="0" t="str">
        <f>SUBSTITUTE(LOWER(INDEX('Periods'!$G$2:$G$22,MATCH(N63,'Periods'!$A$2:$A$22,0)))," ","_")</f>
        <v>q2_2026</v>
      </c>
    </row>
    <row r="64">
      <c r="A64" s="0" t="inlineStr">
        <is>
          <t xml:space="preserve">o0063</t>
        </is>
      </c>
      <c r="B64" s="0" t="inlineStr">
        <is>
          <t xml:space="preserve">a1127</t>
        </is>
      </c>
      <c r="C64" s="0" t="inlineStr">
        <is>
          <t xml:space="preserve">r15</t>
        </is>
      </c>
      <c r="D64" s="0"/>
      <c r="E64" s="0" t="inlineStr">
        <is>
          <t xml:space="preserve">events</t>
        </is>
      </c>
      <c r="F64" s="0" t="inlineStr">
        <is>
          <t xml:space="preserve">closed_lost</t>
        </is>
      </c>
      <c r="G64" s="4">
        <v>1</v>
      </c>
      <c r="H64" s="4">
        <v>29100</v>
      </c>
      <c r="I64" s="4">
        <v>2</v>
      </c>
      <c r="J64" s="4">
        <v>0</v>
      </c>
      <c r="K64" s="16">
        <v>46212</v>
      </c>
      <c r="L64" s="16">
        <v>46252</v>
      </c>
      <c r="M64" s="0" t="inlineStr">
        <is>
          <t xml:space="preserve">jul26</t>
        </is>
      </c>
      <c r="N64" s="0" t="inlineStr">
        <is>
          <t xml:space="preserve">aug26</t>
        </is>
      </c>
      <c r="O64" s="4">
        <v>40</v>
      </c>
      <c r="P64" s="4">
        <v>0</v>
      </c>
      <c r="Q64" s="4">
        <v>1</v>
      </c>
      <c r="R64" s="4">
        <v>0</v>
      </c>
      <c r="S64" s="4">
        <f>(H64*INDEX('Stages'!$D$2:$D$7,MATCH(F64,'Stages'!$A$2:$A$7,0)))</f>
        <v>0</v>
      </c>
      <c r="T64" s="4">
        <f>(H64*I64)</f>
        <v>58200</v>
      </c>
      <c r="U64" s="4">
        <f>(H64*(I64-1))</f>
        <v>29100</v>
      </c>
      <c r="V64" s="0" t="str">
        <f>INDEX('Account executives'!$B$2:$B$25,MATCH(C64,'Account executives'!$A$2:$A$25,0))</f>
        <v>emea</v>
      </c>
      <c r="W64" s="0" t="str">
        <f>INDEX('Account executives'!$C$2:$C$25,MATCH(C64,'Account executives'!$A$2:$A$25,0))</f>
        <v>mid_market</v>
      </c>
      <c r="X64" s="0" t="str">
        <f>SUBSTITUTE(LOWER(INDEX('Periods'!$G$2:$G$22,MATCH(N64,'Periods'!$A$2:$A$22,0)))," ","_")</f>
        <v>q3_2026</v>
      </c>
    </row>
    <row r="65">
      <c r="A65" s="0" t="inlineStr">
        <is>
          <t xml:space="preserve">o0064</t>
        </is>
      </c>
      <c r="B65" s="0" t="inlineStr">
        <is>
          <t xml:space="preserve">a0788</t>
        </is>
      </c>
      <c r="C65" s="0" t="inlineStr">
        <is>
          <t xml:space="preserve">r24</t>
        </is>
      </c>
      <c r="D65" s="0" t="inlineStr">
        <is>
          <t xml:space="preserve">s_apac_in</t>
        </is>
      </c>
      <c r="E65" s="0" t="inlineStr">
        <is>
          <t xml:space="preserve">inbound</t>
        </is>
      </c>
      <c r="F65" s="0" t="inlineStr">
        <is>
          <t xml:space="preserve">closed_won</t>
        </is>
      </c>
      <c r="G65" s="4">
        <v>1</v>
      </c>
      <c r="H65" s="4">
        <v>15400</v>
      </c>
      <c r="I65" s="4">
        <v>1</v>
      </c>
      <c r="J65" s="4">
        <v>0</v>
      </c>
      <c r="K65" s="16">
        <v>46109</v>
      </c>
      <c r="L65" s="16">
        <v>46122</v>
      </c>
      <c r="M65" s="0" t="inlineStr">
        <is>
          <t xml:space="preserve">mar26</t>
        </is>
      </c>
      <c r="N65" s="0" t="inlineStr">
        <is>
          <t xml:space="preserve">apr26</t>
        </is>
      </c>
      <c r="O65" s="4">
        <v>13</v>
      </c>
      <c r="P65" s="4">
        <v>1</v>
      </c>
      <c r="Q65" s="4">
        <v>0</v>
      </c>
      <c r="R65" s="4">
        <v>0</v>
      </c>
      <c r="S65" s="4">
        <f>(H65*INDEX('Stages'!$D$2:$D$7,MATCH(F65,'Stages'!$A$2:$A$7,0)))</f>
        <v>15400</v>
      </c>
      <c r="T65" s="4">
        <f>(H65*I65)</f>
        <v>15400</v>
      </c>
      <c r="U65" s="4">
        <f>(H65*(I65-1))</f>
        <v>0</v>
      </c>
      <c r="V65" s="0" t="str">
        <f>INDEX('Account executives'!$B$2:$B$25,MATCH(C65,'Account executives'!$A$2:$A$25,0))</f>
        <v>apac</v>
      </c>
      <c r="W65" s="0" t="str">
        <f>INDEX('Account executives'!$C$2:$C$25,MATCH(C65,'Account executives'!$A$2:$A$25,0))</f>
        <v>smb</v>
      </c>
      <c r="X65" s="0" t="str">
        <f>SUBSTITUTE(LOWER(INDEX('Periods'!$G$2:$G$22,MATCH(N65,'Periods'!$A$2:$A$22,0)))," ","_")</f>
        <v>q2_2026</v>
      </c>
    </row>
    <row r="66">
      <c r="A66" s="0" t="inlineStr">
        <is>
          <t xml:space="preserve">o0065</t>
        </is>
      </c>
      <c r="B66" s="0" t="inlineStr">
        <is>
          <t xml:space="preserve">a0164</t>
        </is>
      </c>
      <c r="C66" s="0" t="inlineStr">
        <is>
          <t xml:space="preserve">r05</t>
        </is>
      </c>
      <c r="D66" s="0" t="inlineStr">
        <is>
          <t xml:space="preserve">s_amer_east_in</t>
        </is>
      </c>
      <c r="E66" s="0" t="inlineStr">
        <is>
          <t xml:space="preserve">paid</t>
        </is>
      </c>
      <c r="F66" s="0" t="inlineStr">
        <is>
          <t xml:space="preserve">closed_lost</t>
        </is>
      </c>
      <c r="G66" s="4">
        <v>0</v>
      </c>
      <c r="H66" s="4">
        <v>7500</v>
      </c>
      <c r="I66" s="4">
        <v>1</v>
      </c>
      <c r="J66" s="4">
        <v>0</v>
      </c>
      <c r="K66" s="16">
        <v>45945</v>
      </c>
      <c r="L66" s="16">
        <v>45982</v>
      </c>
      <c r="M66" s="0" t="inlineStr">
        <is>
          <t xml:space="preserve">oct25</t>
        </is>
      </c>
      <c r="N66" s="0" t="inlineStr">
        <is>
          <t xml:space="preserve">nov25</t>
        </is>
      </c>
      <c r="O66" s="4">
        <v>37</v>
      </c>
      <c r="P66" s="4">
        <v>0</v>
      </c>
      <c r="Q66" s="4">
        <v>1</v>
      </c>
      <c r="R66" s="4">
        <v>0</v>
      </c>
      <c r="S66" s="4">
        <f>(H66*INDEX('Stages'!$D$2:$D$7,MATCH(F66,'Stages'!$A$2:$A$7,0)))</f>
        <v>0</v>
      </c>
      <c r="T66" s="4">
        <f>(H66*I66)</f>
        <v>7500</v>
      </c>
      <c r="U66" s="4">
        <f>(H66*(I66-1))</f>
        <v>0</v>
      </c>
      <c r="V66" s="0" t="str">
        <f>INDEX('Account executives'!$B$2:$B$25,MATCH(C66,'Account executives'!$A$2:$A$25,0))</f>
        <v>amer_east</v>
      </c>
      <c r="W66" s="0" t="str">
        <f>INDEX('Account executives'!$C$2:$C$25,MATCH(C66,'Account executives'!$A$2:$A$25,0))</f>
        <v>smb</v>
      </c>
      <c r="X66" s="0" t="str">
        <f>SUBSTITUTE(LOWER(INDEX('Periods'!$G$2:$G$22,MATCH(N66,'Periods'!$A$2:$A$22,0)))," ","_")</f>
        <v>q4_2025</v>
      </c>
    </row>
    <row r="67">
      <c r="A67" s="0" t="inlineStr">
        <is>
          <t xml:space="preserve">o0066</t>
        </is>
      </c>
      <c r="B67" s="0" t="inlineStr">
        <is>
          <t xml:space="preserve">a0807</t>
        </is>
      </c>
      <c r="C67" s="0" t="inlineStr">
        <is>
          <t xml:space="preserve">r20</t>
        </is>
      </c>
      <c r="D67" s="0" t="inlineStr">
        <is>
          <t xml:space="preserve">s_apac_out</t>
        </is>
      </c>
      <c r="E67" s="0" t="inlineStr">
        <is>
          <t xml:space="preserve">outbound</t>
        </is>
      </c>
      <c r="F67" s="0" t="inlineStr">
        <is>
          <t xml:space="preserve">closed_lost</t>
        </is>
      </c>
      <c r="G67" s="4">
        <v>1</v>
      </c>
      <c r="H67" s="4">
        <v>425100</v>
      </c>
      <c r="I67" s="4">
        <v>1</v>
      </c>
      <c r="J67" s="4">
        <v>0</v>
      </c>
      <c r="K67" s="16">
        <v>46109</v>
      </c>
      <c r="L67" s="16">
        <v>46268</v>
      </c>
      <c r="M67" s="0" t="inlineStr">
        <is>
          <t xml:space="preserve">mar26</t>
        </is>
      </c>
      <c r="N67" s="0" t="inlineStr">
        <is>
          <t xml:space="preserve">sep26</t>
        </is>
      </c>
      <c r="O67" s="4">
        <v>159</v>
      </c>
      <c r="P67" s="4">
        <v>0</v>
      </c>
      <c r="Q67" s="4">
        <v>1</v>
      </c>
      <c r="R67" s="4">
        <v>0</v>
      </c>
      <c r="S67" s="4">
        <f>(H67*INDEX('Stages'!$D$2:$D$7,MATCH(F67,'Stages'!$A$2:$A$7,0)))</f>
        <v>0</v>
      </c>
      <c r="T67" s="4">
        <f>(H67*I67)</f>
        <v>425100</v>
      </c>
      <c r="U67" s="4">
        <f>(H67*(I67-1))</f>
        <v>0</v>
      </c>
      <c r="V67" s="0" t="str">
        <f>INDEX('Account executives'!$B$2:$B$25,MATCH(C67,'Account executives'!$A$2:$A$25,0))</f>
        <v>apac</v>
      </c>
      <c r="W67" s="0" t="str">
        <f>INDEX('Account executives'!$C$2:$C$25,MATCH(C67,'Account executives'!$A$2:$A$25,0))</f>
        <v>enterprise</v>
      </c>
      <c r="X67" s="0" t="str">
        <f>SUBSTITUTE(LOWER(INDEX('Periods'!$G$2:$G$22,MATCH(N67,'Periods'!$A$2:$A$22,0)))," ","_")</f>
        <v>q3_2026</v>
      </c>
    </row>
    <row r="68">
      <c r="A68" s="0" t="inlineStr">
        <is>
          <t xml:space="preserve">o0067</t>
        </is>
      </c>
      <c r="B68" s="0" t="inlineStr">
        <is>
          <t xml:space="preserve">a0930</t>
        </is>
      </c>
      <c r="C68" s="0" t="inlineStr">
        <is>
          <t xml:space="preserve">r18</t>
        </is>
      </c>
      <c r="D68" s="0" t="inlineStr">
        <is>
          <t xml:space="preserve">s_emea_in</t>
        </is>
      </c>
      <c r="E68" s="0" t="inlineStr">
        <is>
          <t xml:space="preserve">inbound</t>
        </is>
      </c>
      <c r="F68" s="0" t="inlineStr">
        <is>
          <t xml:space="preserve">closed_lost</t>
        </is>
      </c>
      <c r="G68" s="4">
        <v>1</v>
      </c>
      <c r="H68" s="4">
        <v>9900</v>
      </c>
      <c r="I68" s="4">
        <v>1</v>
      </c>
      <c r="J68" s="4">
        <v>0</v>
      </c>
      <c r="K68" s="16">
        <v>46148</v>
      </c>
      <c r="L68" s="16">
        <v>46201</v>
      </c>
      <c r="M68" s="0" t="inlineStr">
        <is>
          <t xml:space="preserve">may26</t>
        </is>
      </c>
      <c r="N68" s="0" t="inlineStr">
        <is>
          <t xml:space="preserve">jun26</t>
        </is>
      </c>
      <c r="O68" s="4">
        <v>53</v>
      </c>
      <c r="P68" s="4">
        <v>0</v>
      </c>
      <c r="Q68" s="4">
        <v>1</v>
      </c>
      <c r="R68" s="4">
        <v>0</v>
      </c>
      <c r="S68" s="4">
        <f>(H68*INDEX('Stages'!$D$2:$D$7,MATCH(F68,'Stages'!$A$2:$A$7,0)))</f>
        <v>0</v>
      </c>
      <c r="T68" s="4">
        <f>(H68*I68)</f>
        <v>9900</v>
      </c>
      <c r="U68" s="4">
        <f>(H68*(I68-1))</f>
        <v>0</v>
      </c>
      <c r="V68" s="0" t="str">
        <f>INDEX('Account executives'!$B$2:$B$25,MATCH(C68,'Account executives'!$A$2:$A$25,0))</f>
        <v>emea</v>
      </c>
      <c r="W68" s="0" t="str">
        <f>INDEX('Account executives'!$C$2:$C$25,MATCH(C68,'Account executives'!$A$2:$A$25,0))</f>
        <v>smb</v>
      </c>
      <c r="X68" s="0" t="str">
        <f>SUBSTITUTE(LOWER(INDEX('Periods'!$G$2:$G$22,MATCH(N68,'Periods'!$A$2:$A$22,0)))," ","_")</f>
        <v>q2_2026</v>
      </c>
    </row>
    <row r="69">
      <c r="A69" s="0" t="inlineStr">
        <is>
          <t xml:space="preserve">o0068</t>
        </is>
      </c>
      <c r="B69" s="0" t="inlineStr">
        <is>
          <t xml:space="preserve">a0022</t>
        </is>
      </c>
      <c r="C69" s="0" t="inlineStr">
        <is>
          <t xml:space="preserve">r03</t>
        </is>
      </c>
      <c r="D69" s="0" t="inlineStr">
        <is>
          <t xml:space="preserve">s_amer_east_out</t>
        </is>
      </c>
      <c r="E69" s="0" t="inlineStr">
        <is>
          <t xml:space="preserve">outbound</t>
        </is>
      </c>
      <c r="F69" s="0" t="inlineStr">
        <is>
          <t xml:space="preserve">closed_won</t>
        </is>
      </c>
      <c r="G69" s="4">
        <v>0</v>
      </c>
      <c r="H69" s="4">
        <v>67000</v>
      </c>
      <c r="I69" s="4">
        <v>1</v>
      </c>
      <c r="J69" s="4">
        <v>0</v>
      </c>
      <c r="K69" s="16">
        <v>46065</v>
      </c>
      <c r="L69" s="16">
        <v>46112</v>
      </c>
      <c r="M69" s="0" t="inlineStr">
        <is>
          <t xml:space="preserve">feb26</t>
        </is>
      </c>
      <c r="N69" s="0" t="inlineStr">
        <is>
          <t xml:space="preserve">mar26</t>
        </is>
      </c>
      <c r="O69" s="4">
        <v>47</v>
      </c>
      <c r="P69" s="4">
        <v>1</v>
      </c>
      <c r="Q69" s="4">
        <v>0</v>
      </c>
      <c r="R69" s="4">
        <v>0</v>
      </c>
      <c r="S69" s="4">
        <f>(H69*INDEX('Stages'!$D$2:$D$7,MATCH(F69,'Stages'!$A$2:$A$7,0)))</f>
        <v>67000</v>
      </c>
      <c r="T69" s="4">
        <f>(H69*I69)</f>
        <v>67000</v>
      </c>
      <c r="U69" s="4">
        <f>(H69*(I69-1))</f>
        <v>0</v>
      </c>
      <c r="V69" s="0" t="str">
        <f>INDEX('Account executives'!$B$2:$B$25,MATCH(C69,'Account executives'!$A$2:$A$25,0))</f>
        <v>amer_east</v>
      </c>
      <c r="W69" s="0" t="str">
        <f>INDEX('Account executives'!$C$2:$C$25,MATCH(C69,'Account executives'!$A$2:$A$25,0))</f>
        <v>mid_market</v>
      </c>
      <c r="X69" s="0" t="str">
        <f>SUBSTITUTE(LOWER(INDEX('Periods'!$G$2:$G$22,MATCH(N69,'Periods'!$A$2:$A$22,0)))," ","_")</f>
        <v>q1_2026</v>
      </c>
    </row>
    <row r="70">
      <c r="A70" s="0" t="inlineStr">
        <is>
          <t xml:space="preserve">o0069</t>
        </is>
      </c>
      <c r="B70" s="0" t="inlineStr">
        <is>
          <t xml:space="preserve">a0946</t>
        </is>
      </c>
      <c r="C70" s="0" t="inlineStr">
        <is>
          <t xml:space="preserve">r24</t>
        </is>
      </c>
      <c r="D70" s="0" t="inlineStr">
        <is>
          <t xml:space="preserve">s_apac_in</t>
        </is>
      </c>
      <c r="E70" s="0" t="inlineStr">
        <is>
          <t xml:space="preserve">inbound</t>
        </is>
      </c>
      <c r="F70" s="0" t="inlineStr">
        <is>
          <t xml:space="preserve">closed_lost</t>
        </is>
      </c>
      <c r="G70" s="4">
        <v>1</v>
      </c>
      <c r="H70" s="4">
        <v>14600</v>
      </c>
      <c r="I70" s="4">
        <v>1</v>
      </c>
      <c r="J70" s="4">
        <v>0</v>
      </c>
      <c r="K70" s="16">
        <v>46159</v>
      </c>
      <c r="L70" s="16">
        <v>46179</v>
      </c>
      <c r="M70" s="0" t="inlineStr">
        <is>
          <t xml:space="preserve">may26</t>
        </is>
      </c>
      <c r="N70" s="0" t="inlineStr">
        <is>
          <t xml:space="preserve">jun26</t>
        </is>
      </c>
      <c r="O70" s="4">
        <v>20</v>
      </c>
      <c r="P70" s="4">
        <v>0</v>
      </c>
      <c r="Q70" s="4">
        <v>1</v>
      </c>
      <c r="R70" s="4">
        <v>0</v>
      </c>
      <c r="S70" s="4">
        <f>(H70*INDEX('Stages'!$D$2:$D$7,MATCH(F70,'Stages'!$A$2:$A$7,0)))</f>
        <v>0</v>
      </c>
      <c r="T70" s="4">
        <f>(H70*I70)</f>
        <v>14600</v>
      </c>
      <c r="U70" s="4">
        <f>(H70*(I70-1))</f>
        <v>0</v>
      </c>
      <c r="V70" s="0" t="str">
        <f>INDEX('Account executives'!$B$2:$B$25,MATCH(C70,'Account executives'!$A$2:$A$25,0))</f>
        <v>apac</v>
      </c>
      <c r="W70" s="0" t="str">
        <f>INDEX('Account executives'!$C$2:$C$25,MATCH(C70,'Account executives'!$A$2:$A$25,0))</f>
        <v>smb</v>
      </c>
      <c r="X70" s="0" t="str">
        <f>SUBSTITUTE(LOWER(INDEX('Periods'!$G$2:$G$22,MATCH(N70,'Periods'!$A$2:$A$22,0)))," ","_")</f>
        <v>q2_2026</v>
      </c>
    </row>
    <row r="71">
      <c r="A71" s="0" t="inlineStr">
        <is>
          <t xml:space="preserve">o0070</t>
        </is>
      </c>
      <c r="B71" s="0" t="inlineStr">
        <is>
          <t xml:space="preserve">a0074</t>
        </is>
      </c>
      <c r="C71" s="0" t="inlineStr">
        <is>
          <t xml:space="preserve">r06</t>
        </is>
      </c>
      <c r="D71" s="0" t="inlineStr">
        <is>
          <t xml:space="preserve">s_amer_east_in</t>
        </is>
      </c>
      <c r="E71" s="0" t="inlineStr">
        <is>
          <t xml:space="preserve">paid</t>
        </is>
      </c>
      <c r="F71" s="0" t="inlineStr">
        <is>
          <t xml:space="preserve">closed_won</t>
        </is>
      </c>
      <c r="G71" s="4">
        <v>1</v>
      </c>
      <c r="H71" s="4">
        <v>5900</v>
      </c>
      <c r="I71" s="4">
        <v>1</v>
      </c>
      <c r="J71" s="4">
        <v>0</v>
      </c>
      <c r="K71" s="16">
        <v>45799</v>
      </c>
      <c r="L71" s="16">
        <v>45825</v>
      </c>
      <c r="M71" s="0" t="inlineStr">
        <is>
          <t xml:space="preserve">may25</t>
        </is>
      </c>
      <c r="N71" s="0" t="inlineStr">
        <is>
          <t xml:space="preserve">jun25</t>
        </is>
      </c>
      <c r="O71" s="4">
        <v>26</v>
      </c>
      <c r="P71" s="4">
        <v>1</v>
      </c>
      <c r="Q71" s="4">
        <v>0</v>
      </c>
      <c r="R71" s="4">
        <v>0</v>
      </c>
      <c r="S71" s="4">
        <f>(H71*INDEX('Stages'!$D$2:$D$7,MATCH(F71,'Stages'!$A$2:$A$7,0)))</f>
        <v>5900</v>
      </c>
      <c r="T71" s="4">
        <f>(H71*I71)</f>
        <v>5900</v>
      </c>
      <c r="U71" s="4">
        <f>(H71*(I71-1))</f>
        <v>0</v>
      </c>
      <c r="V71" s="0" t="str">
        <f>INDEX('Account executives'!$B$2:$B$25,MATCH(C71,'Account executives'!$A$2:$A$25,0))</f>
        <v>amer_east</v>
      </c>
      <c r="W71" s="0" t="str">
        <f>INDEX('Account executives'!$C$2:$C$25,MATCH(C71,'Account executives'!$A$2:$A$25,0))</f>
        <v>smb</v>
      </c>
      <c r="X71" s="0" t="str">
        <f>SUBSTITUTE(LOWER(INDEX('Periods'!$G$2:$G$22,MATCH(N71,'Periods'!$A$2:$A$22,0)))," ","_")</f>
        <v>q2_2025</v>
      </c>
    </row>
    <row r="72">
      <c r="A72" s="0" t="inlineStr">
        <is>
          <t xml:space="preserve">o0071</t>
        </is>
      </c>
      <c r="B72" s="0" t="inlineStr">
        <is>
          <t xml:space="preserve">a0136</t>
        </is>
      </c>
      <c r="C72" s="0" t="inlineStr">
        <is>
          <t xml:space="preserve">r18</t>
        </is>
      </c>
      <c r="D72" s="0" t="inlineStr">
        <is>
          <t xml:space="preserve">s_emea_out</t>
        </is>
      </c>
      <c r="E72" s="0" t="inlineStr">
        <is>
          <t xml:space="preserve">outbound</t>
        </is>
      </c>
      <c r="F72" s="0" t="inlineStr">
        <is>
          <t xml:space="preserve">closed_lost</t>
        </is>
      </c>
      <c r="G72" s="4">
        <v>1</v>
      </c>
      <c r="H72" s="4">
        <v>17400</v>
      </c>
      <c r="I72" s="4">
        <v>1</v>
      </c>
      <c r="J72" s="4">
        <v>1</v>
      </c>
      <c r="K72" s="16">
        <v>45803</v>
      </c>
      <c r="L72" s="16">
        <v>45829</v>
      </c>
      <c r="M72" s="0" t="inlineStr">
        <is>
          <t xml:space="preserve">may25</t>
        </is>
      </c>
      <c r="N72" s="0" t="inlineStr">
        <is>
          <t xml:space="preserve">jun25</t>
        </is>
      </c>
      <c r="O72" s="4">
        <v>26</v>
      </c>
      <c r="P72" s="4">
        <v>0</v>
      </c>
      <c r="Q72" s="4">
        <v>1</v>
      </c>
      <c r="R72" s="4">
        <v>0</v>
      </c>
      <c r="S72" s="4">
        <f>(H72*INDEX('Stages'!$D$2:$D$7,MATCH(F72,'Stages'!$A$2:$A$7,0)))</f>
        <v>0</v>
      </c>
      <c r="T72" s="4">
        <f>(H72*I72)</f>
        <v>17400</v>
      </c>
      <c r="U72" s="4">
        <f>(H72*(I72-1))</f>
        <v>0</v>
      </c>
      <c r="V72" s="0" t="str">
        <f>INDEX('Account executives'!$B$2:$B$25,MATCH(C72,'Account executives'!$A$2:$A$25,0))</f>
        <v>emea</v>
      </c>
      <c r="W72" s="0" t="str">
        <f>INDEX('Account executives'!$C$2:$C$25,MATCH(C72,'Account executives'!$A$2:$A$25,0))</f>
        <v>smb</v>
      </c>
      <c r="X72" s="0" t="str">
        <f>SUBSTITUTE(LOWER(INDEX('Periods'!$G$2:$G$22,MATCH(N72,'Periods'!$A$2:$A$22,0)))," ","_")</f>
        <v>q2_2025</v>
      </c>
    </row>
    <row r="73">
      <c r="A73" s="0" t="inlineStr">
        <is>
          <t xml:space="preserve">o0072</t>
        </is>
      </c>
      <c r="B73" s="0" t="inlineStr">
        <is>
          <t xml:space="preserve">a0838</t>
        </is>
      </c>
      <c r="C73" s="0" t="inlineStr">
        <is>
          <t xml:space="preserve">r06</t>
        </is>
      </c>
      <c r="D73" s="0"/>
      <c r="E73" s="0" t="inlineStr">
        <is>
          <t xml:space="preserve">referral</t>
        </is>
      </c>
      <c r="F73" s="0" t="inlineStr">
        <is>
          <t xml:space="preserve">closed_lost</t>
        </is>
      </c>
      <c r="G73" s="4">
        <v>1</v>
      </c>
      <c r="H73" s="4">
        <v>13800</v>
      </c>
      <c r="I73" s="4">
        <v>1</v>
      </c>
      <c r="J73" s="4">
        <v>0</v>
      </c>
      <c r="K73" s="16">
        <v>46125</v>
      </c>
      <c r="L73" s="16">
        <v>46153</v>
      </c>
      <c r="M73" s="0" t="inlineStr">
        <is>
          <t xml:space="preserve">apr26</t>
        </is>
      </c>
      <c r="N73" s="0" t="inlineStr">
        <is>
          <t xml:space="preserve">may26</t>
        </is>
      </c>
      <c r="O73" s="4">
        <v>28</v>
      </c>
      <c r="P73" s="4">
        <v>0</v>
      </c>
      <c r="Q73" s="4">
        <v>1</v>
      </c>
      <c r="R73" s="4">
        <v>0</v>
      </c>
      <c r="S73" s="4">
        <f>(H73*INDEX('Stages'!$D$2:$D$7,MATCH(F73,'Stages'!$A$2:$A$7,0)))</f>
        <v>0</v>
      </c>
      <c r="T73" s="4">
        <f>(H73*I73)</f>
        <v>13800</v>
      </c>
      <c r="U73" s="4">
        <f>(H73*(I73-1))</f>
        <v>0</v>
      </c>
      <c r="V73" s="0" t="str">
        <f>INDEX('Account executives'!$B$2:$B$25,MATCH(C73,'Account executives'!$A$2:$A$25,0))</f>
        <v>amer_east</v>
      </c>
      <c r="W73" s="0" t="str">
        <f>INDEX('Account executives'!$C$2:$C$25,MATCH(C73,'Account executives'!$A$2:$A$25,0))</f>
        <v>smb</v>
      </c>
      <c r="X73" s="0" t="str">
        <f>SUBSTITUTE(LOWER(INDEX('Periods'!$G$2:$G$22,MATCH(N73,'Periods'!$A$2:$A$22,0)))," ","_")</f>
        <v>q2_2026</v>
      </c>
    </row>
    <row r="74">
      <c r="A74" s="0" t="inlineStr">
        <is>
          <t xml:space="preserve">o0073</t>
        </is>
      </c>
      <c r="B74" s="0" t="inlineStr">
        <is>
          <t xml:space="preserve">a0173</t>
        </is>
      </c>
      <c r="C74" s="0" t="inlineStr">
        <is>
          <t xml:space="preserve">r05</t>
        </is>
      </c>
      <c r="D74" s="0" t="inlineStr">
        <is>
          <t xml:space="preserve">s_amer_east_in</t>
        </is>
      </c>
      <c r="E74" s="0" t="inlineStr">
        <is>
          <t xml:space="preserve">paid</t>
        </is>
      </c>
      <c r="F74" s="0" t="inlineStr">
        <is>
          <t xml:space="preserve">closed_lost</t>
        </is>
      </c>
      <c r="G74" s="4">
        <v>1</v>
      </c>
      <c r="H74" s="4">
        <v>11700</v>
      </c>
      <c r="I74" s="4">
        <v>1</v>
      </c>
      <c r="J74" s="4">
        <v>0</v>
      </c>
      <c r="K74" s="16">
        <v>45827</v>
      </c>
      <c r="L74" s="16">
        <v>45834</v>
      </c>
      <c r="M74" s="0" t="inlineStr">
        <is>
          <t xml:space="preserve">jun25</t>
        </is>
      </c>
      <c r="N74" s="0" t="inlineStr">
        <is>
          <t xml:space="preserve">jun25</t>
        </is>
      </c>
      <c r="O74" s="4">
        <v>7</v>
      </c>
      <c r="P74" s="4">
        <v>0</v>
      </c>
      <c r="Q74" s="4">
        <v>1</v>
      </c>
      <c r="R74" s="4">
        <v>0</v>
      </c>
      <c r="S74" s="4">
        <f>(H74*INDEX('Stages'!$D$2:$D$7,MATCH(F74,'Stages'!$A$2:$A$7,0)))</f>
        <v>0</v>
      </c>
      <c r="T74" s="4">
        <f>(H74*I74)</f>
        <v>11700</v>
      </c>
      <c r="U74" s="4">
        <f>(H74*(I74-1))</f>
        <v>0</v>
      </c>
      <c r="V74" s="0" t="str">
        <f>INDEX('Account executives'!$B$2:$B$25,MATCH(C74,'Account executives'!$A$2:$A$25,0))</f>
        <v>amer_east</v>
      </c>
      <c r="W74" s="0" t="str">
        <f>INDEX('Account executives'!$C$2:$C$25,MATCH(C74,'Account executives'!$A$2:$A$25,0))</f>
        <v>smb</v>
      </c>
      <c r="X74" s="0" t="str">
        <f>SUBSTITUTE(LOWER(INDEX('Periods'!$G$2:$G$22,MATCH(N74,'Periods'!$A$2:$A$22,0)))," ","_")</f>
        <v>q2_2025</v>
      </c>
    </row>
    <row r="75">
      <c r="A75" s="0" t="inlineStr">
        <is>
          <t xml:space="preserve">o0074</t>
        </is>
      </c>
      <c r="B75" s="0" t="inlineStr">
        <is>
          <t xml:space="preserve">a0541</t>
        </is>
      </c>
      <c r="C75" s="0" t="inlineStr">
        <is>
          <t xml:space="preserve">r03</t>
        </is>
      </c>
      <c r="D75" s="0" t="inlineStr">
        <is>
          <t xml:space="preserve">s_amer_east_in</t>
        </is>
      </c>
      <c r="E75" s="0" t="inlineStr">
        <is>
          <t xml:space="preserve">inbound</t>
        </is>
      </c>
      <c r="F75" s="0" t="inlineStr">
        <is>
          <t xml:space="preserve">closed_won</t>
        </is>
      </c>
      <c r="G75" s="4">
        <v>1</v>
      </c>
      <c r="H75" s="4">
        <v>73800</v>
      </c>
      <c r="I75" s="4">
        <v>2</v>
      </c>
      <c r="J75" s="4">
        <v>1</v>
      </c>
      <c r="K75" s="16">
        <v>46000</v>
      </c>
      <c r="L75" s="16">
        <v>46078</v>
      </c>
      <c r="M75" s="0" t="inlineStr">
        <is>
          <t xml:space="preserve">dec25</t>
        </is>
      </c>
      <c r="N75" s="0" t="inlineStr">
        <is>
          <t xml:space="preserve">feb26</t>
        </is>
      </c>
      <c r="O75" s="4">
        <v>78</v>
      </c>
      <c r="P75" s="4">
        <v>1</v>
      </c>
      <c r="Q75" s="4">
        <v>0</v>
      </c>
      <c r="R75" s="4">
        <v>0</v>
      </c>
      <c r="S75" s="4">
        <f>(H75*INDEX('Stages'!$D$2:$D$7,MATCH(F75,'Stages'!$A$2:$A$7,0)))</f>
        <v>73800</v>
      </c>
      <c r="T75" s="4">
        <f>(H75*I75)</f>
        <v>147600</v>
      </c>
      <c r="U75" s="4">
        <f>(H75*(I75-1))</f>
        <v>73800</v>
      </c>
      <c r="V75" s="0" t="str">
        <f>INDEX('Account executives'!$B$2:$B$25,MATCH(C75,'Account executives'!$A$2:$A$25,0))</f>
        <v>amer_east</v>
      </c>
      <c r="W75" s="0" t="str">
        <f>INDEX('Account executives'!$C$2:$C$25,MATCH(C75,'Account executives'!$A$2:$A$25,0))</f>
        <v>mid_market</v>
      </c>
      <c r="X75" s="0" t="str">
        <f>SUBSTITUTE(LOWER(INDEX('Periods'!$G$2:$G$22,MATCH(N75,'Periods'!$A$2:$A$22,0)))," ","_")</f>
        <v>q1_2026</v>
      </c>
    </row>
    <row r="76">
      <c r="A76" s="0" t="inlineStr">
        <is>
          <t xml:space="preserve">o0075</t>
        </is>
      </c>
      <c r="B76" s="0" t="inlineStr">
        <is>
          <t xml:space="preserve">a0825</t>
        </is>
      </c>
      <c r="C76" s="0" t="inlineStr">
        <is>
          <t xml:space="preserve">r03</t>
        </is>
      </c>
      <c r="D76" s="0" t="inlineStr">
        <is>
          <t xml:space="preserve">s_amer_east_in</t>
        </is>
      </c>
      <c r="E76" s="0" t="inlineStr">
        <is>
          <t xml:space="preserve">paid</t>
        </is>
      </c>
      <c r="F76" s="0" t="inlineStr">
        <is>
          <t xml:space="preserve">closed_lost</t>
        </is>
      </c>
      <c r="G76" s="4">
        <v>1</v>
      </c>
      <c r="H76" s="4">
        <v>33500</v>
      </c>
      <c r="I76" s="4">
        <v>2</v>
      </c>
      <c r="J76" s="4">
        <v>1</v>
      </c>
      <c r="K76" s="16">
        <v>46114</v>
      </c>
      <c r="L76" s="16">
        <v>46198</v>
      </c>
      <c r="M76" s="0" t="inlineStr">
        <is>
          <t xml:space="preserve">apr26</t>
        </is>
      </c>
      <c r="N76" s="0" t="inlineStr">
        <is>
          <t xml:space="preserve">jun26</t>
        </is>
      </c>
      <c r="O76" s="4">
        <v>84</v>
      </c>
      <c r="P76" s="4">
        <v>0</v>
      </c>
      <c r="Q76" s="4">
        <v>1</v>
      </c>
      <c r="R76" s="4">
        <v>0</v>
      </c>
      <c r="S76" s="4">
        <f>(H76*INDEX('Stages'!$D$2:$D$7,MATCH(F76,'Stages'!$A$2:$A$7,0)))</f>
        <v>0</v>
      </c>
      <c r="T76" s="4">
        <f>(H76*I76)</f>
        <v>67000</v>
      </c>
      <c r="U76" s="4">
        <f>(H76*(I76-1))</f>
        <v>33500</v>
      </c>
      <c r="V76" s="0" t="str">
        <f>INDEX('Account executives'!$B$2:$B$25,MATCH(C76,'Account executives'!$A$2:$A$25,0))</f>
        <v>amer_east</v>
      </c>
      <c r="W76" s="0" t="str">
        <f>INDEX('Account executives'!$C$2:$C$25,MATCH(C76,'Account executives'!$A$2:$A$25,0))</f>
        <v>mid_market</v>
      </c>
      <c r="X76" s="0" t="str">
        <f>SUBSTITUTE(LOWER(INDEX('Periods'!$G$2:$G$22,MATCH(N76,'Periods'!$A$2:$A$22,0)))," ","_")</f>
        <v>q2_2026</v>
      </c>
    </row>
    <row r="77">
      <c r="A77" s="0" t="inlineStr">
        <is>
          <t xml:space="preserve">o0076</t>
        </is>
      </c>
      <c r="B77" s="0" t="inlineStr">
        <is>
          <t xml:space="preserve">a0792</t>
        </is>
      </c>
      <c r="C77" s="0" t="inlineStr">
        <is>
          <t xml:space="preserve">r23</t>
        </is>
      </c>
      <c r="D77" s="0"/>
      <c r="E77" s="0" t="inlineStr">
        <is>
          <t xml:space="preserve">partner</t>
        </is>
      </c>
      <c r="F77" s="0" t="inlineStr">
        <is>
          <t xml:space="preserve">negotiation</t>
        </is>
      </c>
      <c r="G77" s="4">
        <v>0</v>
      </c>
      <c r="H77" s="4">
        <v>6200</v>
      </c>
      <c r="I77" s="4">
        <v>1</v>
      </c>
      <c r="J77" s="4">
        <v>0</v>
      </c>
      <c r="K77" s="16">
        <v>46257</v>
      </c>
      <c r="L77" s="16">
        <v>46307</v>
      </c>
      <c r="M77" s="0" t="inlineStr">
        <is>
          <t xml:space="preserve">aug26</t>
        </is>
      </c>
      <c r="N77" s="0" t="inlineStr">
        <is>
          <t xml:space="preserve">oct26</t>
        </is>
      </c>
      <c r="O77" s="4">
        <v>28</v>
      </c>
      <c r="P77" s="4">
        <v>0</v>
      </c>
      <c r="Q77" s="4">
        <v>0</v>
      </c>
      <c r="R77" s="4">
        <v>1</v>
      </c>
      <c r="S77" s="4">
        <f>(H77*INDEX('Stages'!$D$2:$D$7,MATCH(F77,'Stages'!$A$2:$A$7,0)))</f>
        <v>4650</v>
      </c>
      <c r="T77" s="4">
        <f>(H77*I77)</f>
        <v>6200</v>
      </c>
      <c r="U77" s="4">
        <f>(H77*(I77-1))</f>
        <v>0</v>
      </c>
      <c r="V77" s="0" t="str">
        <f>INDEX('Account executives'!$B$2:$B$25,MATCH(C77,'Account executives'!$A$2:$A$25,0))</f>
        <v>apac</v>
      </c>
      <c r="W77" s="0" t="str">
        <f>INDEX('Account executives'!$C$2:$C$25,MATCH(C77,'Account executives'!$A$2:$A$25,0))</f>
        <v>smb</v>
      </c>
      <c r="X77" s="0" t="str">
        <f>SUBSTITUTE(LOWER(INDEX('Periods'!$G$2:$G$22,MATCH(N77,'Periods'!$A$2:$A$22,0)))," ","_")</f>
        <v>q4_2026</v>
      </c>
    </row>
    <row r="78">
      <c r="A78" s="0" t="inlineStr">
        <is>
          <t xml:space="preserve">o0077</t>
        </is>
      </c>
      <c r="B78" s="0" t="inlineStr">
        <is>
          <t xml:space="preserve">a1186</t>
        </is>
      </c>
      <c r="C78" s="0" t="inlineStr">
        <is>
          <t xml:space="preserve">r17</t>
        </is>
      </c>
      <c r="D78" s="0" t="inlineStr">
        <is>
          <t xml:space="preserve">s_emea_in</t>
        </is>
      </c>
      <c r="E78" s="0" t="inlineStr">
        <is>
          <t xml:space="preserve">inbound</t>
        </is>
      </c>
      <c r="F78" s="0" t="inlineStr">
        <is>
          <t xml:space="preserve">closed_won</t>
        </is>
      </c>
      <c r="G78" s="4">
        <v>1</v>
      </c>
      <c r="H78" s="4">
        <v>27500</v>
      </c>
      <c r="I78" s="4">
        <v>1</v>
      </c>
      <c r="J78" s="4">
        <v>0</v>
      </c>
      <c r="K78" s="16">
        <v>46241</v>
      </c>
      <c r="L78" s="16">
        <v>46278</v>
      </c>
      <c r="M78" s="0" t="inlineStr">
        <is>
          <t xml:space="preserve">aug26</t>
        </is>
      </c>
      <c r="N78" s="0" t="inlineStr">
        <is>
          <t xml:space="preserve">sep26</t>
        </is>
      </c>
      <c r="O78" s="4">
        <v>37</v>
      </c>
      <c r="P78" s="4">
        <v>1</v>
      </c>
      <c r="Q78" s="4">
        <v>0</v>
      </c>
      <c r="R78" s="4">
        <v>0</v>
      </c>
      <c r="S78" s="4">
        <f>(H78*INDEX('Stages'!$D$2:$D$7,MATCH(F78,'Stages'!$A$2:$A$7,0)))</f>
        <v>27500</v>
      </c>
      <c r="T78" s="4">
        <f>(H78*I78)</f>
        <v>27500</v>
      </c>
      <c r="U78" s="4">
        <f>(H78*(I78-1))</f>
        <v>0</v>
      </c>
      <c r="V78" s="0" t="str">
        <f>INDEX('Account executives'!$B$2:$B$25,MATCH(C78,'Account executives'!$A$2:$A$25,0))</f>
        <v>emea</v>
      </c>
      <c r="W78" s="0" t="str">
        <f>INDEX('Account executives'!$C$2:$C$25,MATCH(C78,'Account executives'!$A$2:$A$25,0))</f>
        <v>smb</v>
      </c>
      <c r="X78" s="0" t="str">
        <f>SUBSTITUTE(LOWER(INDEX('Periods'!$G$2:$G$22,MATCH(N78,'Periods'!$A$2:$A$22,0)))," ","_")</f>
        <v>q3_2026</v>
      </c>
    </row>
    <row r="79">
      <c r="A79" s="0" t="inlineStr">
        <is>
          <t xml:space="preserve">o0078</t>
        </is>
      </c>
      <c r="B79" s="0" t="inlineStr">
        <is>
          <t xml:space="preserve">a0170</t>
        </is>
      </c>
      <c r="C79" s="0" t="inlineStr">
        <is>
          <t xml:space="preserve">r05</t>
        </is>
      </c>
      <c r="D79" s="0" t="inlineStr">
        <is>
          <t xml:space="preserve">s_amer_east_in</t>
        </is>
      </c>
      <c r="E79" s="0" t="inlineStr">
        <is>
          <t xml:space="preserve">paid</t>
        </is>
      </c>
      <c r="F79" s="0" t="inlineStr">
        <is>
          <t xml:space="preserve">closed_lost</t>
        </is>
      </c>
      <c r="G79" s="4">
        <v>1</v>
      </c>
      <c r="H79" s="4">
        <v>18700</v>
      </c>
      <c r="I79" s="4">
        <v>1</v>
      </c>
      <c r="J79" s="4">
        <v>0</v>
      </c>
      <c r="K79" s="16">
        <v>45812</v>
      </c>
      <c r="L79" s="16">
        <v>45928</v>
      </c>
      <c r="M79" s="0" t="inlineStr">
        <is>
          <t xml:space="preserve">jun25</t>
        </is>
      </c>
      <c r="N79" s="0" t="inlineStr">
        <is>
          <t xml:space="preserve">sep25</t>
        </is>
      </c>
      <c r="O79" s="4">
        <v>116</v>
      </c>
      <c r="P79" s="4">
        <v>0</v>
      </c>
      <c r="Q79" s="4">
        <v>1</v>
      </c>
      <c r="R79" s="4">
        <v>0</v>
      </c>
      <c r="S79" s="4">
        <f>(H79*INDEX('Stages'!$D$2:$D$7,MATCH(F79,'Stages'!$A$2:$A$7,0)))</f>
        <v>0</v>
      </c>
      <c r="T79" s="4">
        <f>(H79*I79)</f>
        <v>18700</v>
      </c>
      <c r="U79" s="4">
        <f>(H79*(I79-1))</f>
        <v>0</v>
      </c>
      <c r="V79" s="0" t="str">
        <f>INDEX('Account executives'!$B$2:$B$25,MATCH(C79,'Account executives'!$A$2:$A$25,0))</f>
        <v>amer_east</v>
      </c>
      <c r="W79" s="0" t="str">
        <f>INDEX('Account executives'!$C$2:$C$25,MATCH(C79,'Account executives'!$A$2:$A$25,0))</f>
        <v>smb</v>
      </c>
      <c r="X79" s="0" t="str">
        <f>SUBSTITUTE(LOWER(INDEX('Periods'!$G$2:$G$22,MATCH(N79,'Periods'!$A$2:$A$22,0)))," ","_")</f>
        <v>q3_2025</v>
      </c>
    </row>
    <row r="80">
      <c r="A80" s="0" t="inlineStr">
        <is>
          <t xml:space="preserve">o0079</t>
        </is>
      </c>
      <c r="B80" s="0" t="inlineStr">
        <is>
          <t xml:space="preserve">a0945</t>
        </is>
      </c>
      <c r="C80" s="0" t="inlineStr">
        <is>
          <t xml:space="preserve">r19</t>
        </is>
      </c>
      <c r="D80" s="0" t="inlineStr">
        <is>
          <t xml:space="preserve">s_apac_in</t>
        </is>
      </c>
      <c r="E80" s="0" t="inlineStr">
        <is>
          <t xml:space="preserve">inbound</t>
        </is>
      </c>
      <c r="F80" s="0" t="inlineStr">
        <is>
          <t xml:space="preserve">proposal</t>
        </is>
      </c>
      <c r="G80" s="4">
        <v>1</v>
      </c>
      <c r="H80" s="4">
        <v>74900</v>
      </c>
      <c r="I80" s="4">
        <v>3</v>
      </c>
      <c r="J80" s="4">
        <v>0</v>
      </c>
      <c r="K80" s="16">
        <v>46150</v>
      </c>
      <c r="L80" s="16">
        <v>46371</v>
      </c>
      <c r="M80" s="0" t="inlineStr">
        <is>
          <t xml:space="preserve">may26</t>
        </is>
      </c>
      <c r="N80" s="0" t="inlineStr">
        <is>
          <t xml:space="preserve">dec26</t>
        </is>
      </c>
      <c r="O80" s="4">
        <v>143</v>
      </c>
      <c r="P80" s="4">
        <v>0</v>
      </c>
      <c r="Q80" s="4">
        <v>0</v>
      </c>
      <c r="R80" s="4">
        <v>1</v>
      </c>
      <c r="S80" s="4">
        <f>(H80*INDEX('Stages'!$D$2:$D$7,MATCH(F80,'Stages'!$A$2:$A$7,0)))</f>
        <v>37450</v>
      </c>
      <c r="T80" s="4">
        <f>(H80*I80)</f>
        <v>224700</v>
      </c>
      <c r="U80" s="4">
        <f>(H80*(I80-1))</f>
        <v>149800</v>
      </c>
      <c r="V80" s="0" t="str">
        <f>INDEX('Account executives'!$B$2:$B$25,MATCH(C80,'Account executives'!$A$2:$A$25,0))</f>
        <v>apac</v>
      </c>
      <c r="W80" s="0" t="str">
        <f>INDEX('Account executives'!$C$2:$C$25,MATCH(C80,'Account executives'!$A$2:$A$25,0))</f>
        <v>enterprise</v>
      </c>
      <c r="X80" s="0" t="str">
        <f>SUBSTITUTE(LOWER(INDEX('Periods'!$G$2:$G$22,MATCH(N80,'Periods'!$A$2:$A$22,0)))," ","_")</f>
        <v>q4_2026</v>
      </c>
    </row>
    <row r="81">
      <c r="A81" s="0" t="inlineStr">
        <is>
          <t xml:space="preserve">o0080</t>
        </is>
      </c>
      <c r="B81" s="0" t="inlineStr">
        <is>
          <t xml:space="preserve">a0254</t>
        </is>
      </c>
      <c r="C81" s="0" t="inlineStr">
        <is>
          <t xml:space="preserve">r11</t>
        </is>
      </c>
      <c r="D81" s="0" t="inlineStr">
        <is>
          <t xml:space="preserve">s_amer_west_in</t>
        </is>
      </c>
      <c r="E81" s="0" t="inlineStr">
        <is>
          <t xml:space="preserve">inbound</t>
        </is>
      </c>
      <c r="F81" s="0" t="inlineStr">
        <is>
          <t xml:space="preserve">closed_lost</t>
        </is>
      </c>
      <c r="G81" s="4">
        <v>1</v>
      </c>
      <c r="H81" s="4">
        <v>7700</v>
      </c>
      <c r="I81" s="4">
        <v>1</v>
      </c>
      <c r="J81" s="4">
        <v>0</v>
      </c>
      <c r="K81" s="16">
        <v>45861</v>
      </c>
      <c r="L81" s="16">
        <v>45887</v>
      </c>
      <c r="M81" s="0" t="inlineStr">
        <is>
          <t xml:space="preserve">jul25</t>
        </is>
      </c>
      <c r="N81" s="0" t="inlineStr">
        <is>
          <t xml:space="preserve">aug25</t>
        </is>
      </c>
      <c r="O81" s="4">
        <v>26</v>
      </c>
      <c r="P81" s="4">
        <v>0</v>
      </c>
      <c r="Q81" s="4">
        <v>1</v>
      </c>
      <c r="R81" s="4">
        <v>0</v>
      </c>
      <c r="S81" s="4">
        <f>(H81*INDEX('Stages'!$D$2:$D$7,MATCH(F81,'Stages'!$A$2:$A$7,0)))</f>
        <v>0</v>
      </c>
      <c r="T81" s="4">
        <f>(H81*I81)</f>
        <v>7700</v>
      </c>
      <c r="U81" s="4">
        <f>(H81*(I81-1))</f>
        <v>0</v>
      </c>
      <c r="V81" s="0" t="str">
        <f>INDEX('Account executives'!$B$2:$B$25,MATCH(C81,'Account executives'!$A$2:$A$25,0))</f>
        <v>amer_west</v>
      </c>
      <c r="W81" s="0" t="str">
        <f>INDEX('Account executives'!$C$2:$C$25,MATCH(C81,'Account executives'!$A$2:$A$25,0))</f>
        <v>smb</v>
      </c>
      <c r="X81" s="0" t="str">
        <f>SUBSTITUTE(LOWER(INDEX('Periods'!$G$2:$G$22,MATCH(N81,'Periods'!$A$2:$A$22,0)))," ","_")</f>
        <v>q3_2025</v>
      </c>
    </row>
    <row r="82">
      <c r="A82" s="0" t="inlineStr">
        <is>
          <t xml:space="preserve">o0081</t>
        </is>
      </c>
      <c r="B82" s="0" t="inlineStr">
        <is>
          <t xml:space="preserve">a1002</t>
        </is>
      </c>
      <c r="C82" s="0" t="inlineStr">
        <is>
          <t xml:space="preserve">r11</t>
        </is>
      </c>
      <c r="D82" s="0"/>
      <c r="E82" s="0" t="inlineStr">
        <is>
          <t xml:space="preserve">partner</t>
        </is>
      </c>
      <c r="F82" s="0" t="inlineStr">
        <is>
          <t xml:space="preserve">negotiation</t>
        </is>
      </c>
      <c r="G82" s="4">
        <v>1</v>
      </c>
      <c r="H82" s="4">
        <v>38300</v>
      </c>
      <c r="I82" s="4">
        <v>1</v>
      </c>
      <c r="J82" s="4">
        <v>0</v>
      </c>
      <c r="K82" s="16">
        <v>46191</v>
      </c>
      <c r="L82" s="16">
        <v>46371</v>
      </c>
      <c r="M82" s="0" t="inlineStr">
        <is>
          <t xml:space="preserve">jun26</t>
        </is>
      </c>
      <c r="N82" s="0" t="inlineStr">
        <is>
          <t xml:space="preserve">dec26</t>
        </is>
      </c>
      <c r="O82" s="4">
        <v>102</v>
      </c>
      <c r="P82" s="4">
        <v>0</v>
      </c>
      <c r="Q82" s="4">
        <v>0</v>
      </c>
      <c r="R82" s="4">
        <v>1</v>
      </c>
      <c r="S82" s="4">
        <f>(H82*INDEX('Stages'!$D$2:$D$7,MATCH(F82,'Stages'!$A$2:$A$7,0)))</f>
        <v>28725</v>
      </c>
      <c r="T82" s="4">
        <f>(H82*I82)</f>
        <v>38300</v>
      </c>
      <c r="U82" s="4">
        <f>(H82*(I82-1))</f>
        <v>0</v>
      </c>
      <c r="V82" s="0" t="str">
        <f>INDEX('Account executives'!$B$2:$B$25,MATCH(C82,'Account executives'!$A$2:$A$25,0))</f>
        <v>amer_west</v>
      </c>
      <c r="W82" s="0" t="str">
        <f>INDEX('Account executives'!$C$2:$C$25,MATCH(C82,'Account executives'!$A$2:$A$25,0))</f>
        <v>smb</v>
      </c>
      <c r="X82" s="0" t="str">
        <f>SUBSTITUTE(LOWER(INDEX('Periods'!$G$2:$G$22,MATCH(N82,'Periods'!$A$2:$A$22,0)))," ","_")</f>
        <v>q4_2026</v>
      </c>
    </row>
    <row r="83">
      <c r="A83" s="0" t="inlineStr">
        <is>
          <t xml:space="preserve">o0082</t>
        </is>
      </c>
      <c r="B83" s="0" t="inlineStr">
        <is>
          <t xml:space="preserve">a0241</t>
        </is>
      </c>
      <c r="C83" s="0" t="inlineStr">
        <is>
          <t xml:space="preserve">r01</t>
        </is>
      </c>
      <c r="D83" s="0" t="inlineStr">
        <is>
          <t xml:space="preserve">s_amer_east_in</t>
        </is>
      </c>
      <c r="E83" s="0" t="inlineStr">
        <is>
          <t xml:space="preserve">paid</t>
        </is>
      </c>
      <c r="F83" s="0" t="inlineStr">
        <is>
          <t xml:space="preserve">closed_won</t>
        </is>
      </c>
      <c r="G83" s="4">
        <v>1</v>
      </c>
      <c r="H83" s="4">
        <v>165800</v>
      </c>
      <c r="I83" s="4">
        <v>2</v>
      </c>
      <c r="J83" s="4">
        <v>0</v>
      </c>
      <c r="K83" s="16">
        <v>45861</v>
      </c>
      <c r="L83" s="16">
        <v>46109</v>
      </c>
      <c r="M83" s="0" t="inlineStr">
        <is>
          <t xml:space="preserve">jul25</t>
        </is>
      </c>
      <c r="N83" s="0" t="inlineStr">
        <is>
          <t xml:space="preserve">mar26</t>
        </is>
      </c>
      <c r="O83" s="4">
        <v>248</v>
      </c>
      <c r="P83" s="4">
        <v>1</v>
      </c>
      <c r="Q83" s="4">
        <v>0</v>
      </c>
      <c r="R83" s="4">
        <v>0</v>
      </c>
      <c r="S83" s="4">
        <f>(H83*INDEX('Stages'!$D$2:$D$7,MATCH(F83,'Stages'!$A$2:$A$7,0)))</f>
        <v>165800</v>
      </c>
      <c r="T83" s="4">
        <f>(H83*I83)</f>
        <v>331600</v>
      </c>
      <c r="U83" s="4">
        <f>(H83*(I83-1))</f>
        <v>165800</v>
      </c>
      <c r="V83" s="0" t="str">
        <f>INDEX('Account executives'!$B$2:$B$25,MATCH(C83,'Account executives'!$A$2:$A$25,0))</f>
        <v>amer_east</v>
      </c>
      <c r="W83" s="0" t="str">
        <f>INDEX('Account executives'!$C$2:$C$25,MATCH(C83,'Account executives'!$A$2:$A$25,0))</f>
        <v>enterprise</v>
      </c>
      <c r="X83" s="0" t="str">
        <f>SUBSTITUTE(LOWER(INDEX('Periods'!$G$2:$G$22,MATCH(N83,'Periods'!$A$2:$A$22,0)))," ","_")</f>
        <v>q1_2026</v>
      </c>
    </row>
    <row r="84">
      <c r="A84" s="0" t="inlineStr">
        <is>
          <t xml:space="preserve">o0083</t>
        </is>
      </c>
      <c r="B84" s="0" t="inlineStr">
        <is>
          <t xml:space="preserve">a0295</t>
        </is>
      </c>
      <c r="C84" s="0" t="inlineStr">
        <is>
          <t xml:space="preserve">r18</t>
        </is>
      </c>
      <c r="D84" s="0"/>
      <c r="E84" s="0" t="inlineStr">
        <is>
          <t xml:space="preserve">referral</t>
        </is>
      </c>
      <c r="F84" s="0" t="inlineStr">
        <is>
          <t xml:space="preserve">closed_lost</t>
        </is>
      </c>
      <c r="G84" s="4">
        <v>1</v>
      </c>
      <c r="H84" s="4">
        <v>9600</v>
      </c>
      <c r="I84" s="4">
        <v>1</v>
      </c>
      <c r="J84" s="4">
        <v>1</v>
      </c>
      <c r="K84" s="16">
        <v>45849</v>
      </c>
      <c r="L84" s="16">
        <v>45858</v>
      </c>
      <c r="M84" s="0" t="inlineStr">
        <is>
          <t xml:space="preserve">jul25</t>
        </is>
      </c>
      <c r="N84" s="0" t="inlineStr">
        <is>
          <t xml:space="preserve">jul25</t>
        </is>
      </c>
      <c r="O84" s="4">
        <v>9</v>
      </c>
      <c r="P84" s="4">
        <v>0</v>
      </c>
      <c r="Q84" s="4">
        <v>1</v>
      </c>
      <c r="R84" s="4">
        <v>0</v>
      </c>
      <c r="S84" s="4">
        <f>(H84*INDEX('Stages'!$D$2:$D$7,MATCH(F84,'Stages'!$A$2:$A$7,0)))</f>
        <v>0</v>
      </c>
      <c r="T84" s="4">
        <f>(H84*I84)</f>
        <v>9600</v>
      </c>
      <c r="U84" s="4">
        <f>(H84*(I84-1))</f>
        <v>0</v>
      </c>
      <c r="V84" s="0" t="str">
        <f>INDEX('Account executives'!$B$2:$B$25,MATCH(C84,'Account executives'!$A$2:$A$25,0))</f>
        <v>emea</v>
      </c>
      <c r="W84" s="0" t="str">
        <f>INDEX('Account executives'!$C$2:$C$25,MATCH(C84,'Account executives'!$A$2:$A$25,0))</f>
        <v>smb</v>
      </c>
      <c r="X84" s="0" t="str">
        <f>SUBSTITUTE(LOWER(INDEX('Periods'!$G$2:$G$22,MATCH(N84,'Periods'!$A$2:$A$22,0)))," ","_")</f>
        <v>q3_2025</v>
      </c>
    </row>
    <row r="85">
      <c r="A85" s="0" t="inlineStr">
        <is>
          <t xml:space="preserve">o0084</t>
        </is>
      </c>
      <c r="B85" s="0" t="inlineStr">
        <is>
          <t xml:space="preserve">a0392</t>
        </is>
      </c>
      <c r="C85" s="0" t="inlineStr">
        <is>
          <t xml:space="preserve">r15</t>
        </is>
      </c>
      <c r="D85" s="0" t="inlineStr">
        <is>
          <t xml:space="preserve">s_emea_in</t>
        </is>
      </c>
      <c r="E85" s="0" t="inlineStr">
        <is>
          <t xml:space="preserve">inbound</t>
        </is>
      </c>
      <c r="F85" s="0" t="inlineStr">
        <is>
          <t xml:space="preserve">closed_lost</t>
        </is>
      </c>
      <c r="G85" s="4">
        <v>1</v>
      </c>
      <c r="H85" s="4">
        <v>32000</v>
      </c>
      <c r="I85" s="4">
        <v>1</v>
      </c>
      <c r="J85" s="4">
        <v>0</v>
      </c>
      <c r="K85" s="16">
        <v>45905</v>
      </c>
      <c r="L85" s="16">
        <v>45972</v>
      </c>
      <c r="M85" s="0" t="inlineStr">
        <is>
          <t xml:space="preserve">sep25</t>
        </is>
      </c>
      <c r="N85" s="0" t="inlineStr">
        <is>
          <t xml:space="preserve">nov25</t>
        </is>
      </c>
      <c r="O85" s="4">
        <v>67</v>
      </c>
      <c r="P85" s="4">
        <v>0</v>
      </c>
      <c r="Q85" s="4">
        <v>1</v>
      </c>
      <c r="R85" s="4">
        <v>0</v>
      </c>
      <c r="S85" s="4">
        <f>(H85*INDEX('Stages'!$D$2:$D$7,MATCH(F85,'Stages'!$A$2:$A$7,0)))</f>
        <v>0</v>
      </c>
      <c r="T85" s="4">
        <f>(H85*I85)</f>
        <v>32000</v>
      </c>
      <c r="U85" s="4">
        <f>(H85*(I85-1))</f>
        <v>0</v>
      </c>
      <c r="V85" s="0" t="str">
        <f>INDEX('Account executives'!$B$2:$B$25,MATCH(C85,'Account executives'!$A$2:$A$25,0))</f>
        <v>emea</v>
      </c>
      <c r="W85" s="0" t="str">
        <f>INDEX('Account executives'!$C$2:$C$25,MATCH(C85,'Account executives'!$A$2:$A$25,0))</f>
        <v>mid_market</v>
      </c>
      <c r="X85" s="0" t="str">
        <f>SUBSTITUTE(LOWER(INDEX('Periods'!$G$2:$G$22,MATCH(N85,'Periods'!$A$2:$A$22,0)))," ","_")</f>
        <v>q4_2025</v>
      </c>
    </row>
    <row r="86">
      <c r="A86" s="0" t="inlineStr">
        <is>
          <t xml:space="preserve">o0085</t>
        </is>
      </c>
      <c r="B86" s="0" t="inlineStr">
        <is>
          <t xml:space="preserve">a0333</t>
        </is>
      </c>
      <c r="C86" s="0" t="inlineStr">
        <is>
          <t xml:space="preserve">r12</t>
        </is>
      </c>
      <c r="D86" s="0" t="inlineStr">
        <is>
          <t xml:space="preserve">s_amer_west_in</t>
        </is>
      </c>
      <c r="E86" s="0" t="inlineStr">
        <is>
          <t xml:space="preserve">inbound</t>
        </is>
      </c>
      <c r="F86" s="0" t="inlineStr">
        <is>
          <t xml:space="preserve">closed_lost</t>
        </is>
      </c>
      <c r="G86" s="4">
        <v>0</v>
      </c>
      <c r="H86" s="4">
        <v>11600</v>
      </c>
      <c r="I86" s="4">
        <v>1</v>
      </c>
      <c r="J86" s="4">
        <v>0</v>
      </c>
      <c r="K86" s="16">
        <v>45907</v>
      </c>
      <c r="L86" s="16">
        <v>45931</v>
      </c>
      <c r="M86" s="0" t="inlineStr">
        <is>
          <t xml:space="preserve">sep25</t>
        </is>
      </c>
      <c r="N86" s="0" t="inlineStr">
        <is>
          <t xml:space="preserve">oct25</t>
        </is>
      </c>
      <c r="O86" s="4">
        <v>24</v>
      </c>
      <c r="P86" s="4">
        <v>0</v>
      </c>
      <c r="Q86" s="4">
        <v>1</v>
      </c>
      <c r="R86" s="4">
        <v>0</v>
      </c>
      <c r="S86" s="4">
        <f>(H86*INDEX('Stages'!$D$2:$D$7,MATCH(F86,'Stages'!$A$2:$A$7,0)))</f>
        <v>0</v>
      </c>
      <c r="T86" s="4">
        <f>(H86*I86)</f>
        <v>11600</v>
      </c>
      <c r="U86" s="4">
        <f>(H86*(I86-1))</f>
        <v>0</v>
      </c>
      <c r="V86" s="0" t="str">
        <f>INDEX('Account executives'!$B$2:$B$25,MATCH(C86,'Account executives'!$A$2:$A$25,0))</f>
        <v>amer_west</v>
      </c>
      <c r="W86" s="0" t="str">
        <f>INDEX('Account executives'!$C$2:$C$25,MATCH(C86,'Account executives'!$A$2:$A$25,0))</f>
        <v>smb</v>
      </c>
      <c r="X86" s="0" t="str">
        <f>SUBSTITUTE(LOWER(INDEX('Periods'!$G$2:$G$22,MATCH(N86,'Periods'!$A$2:$A$22,0)))," ","_")</f>
        <v>q4_2025</v>
      </c>
    </row>
    <row r="87">
      <c r="A87" s="0" t="inlineStr">
        <is>
          <t xml:space="preserve">o0086</t>
        </is>
      </c>
      <c r="B87" s="0" t="inlineStr">
        <is>
          <t xml:space="preserve">a0711</t>
        </is>
      </c>
      <c r="C87" s="0" t="inlineStr">
        <is>
          <t xml:space="preserve">r21</t>
        </is>
      </c>
      <c r="D87" s="0"/>
      <c r="E87" s="0" t="inlineStr">
        <is>
          <t xml:space="preserve">events</t>
        </is>
      </c>
      <c r="F87" s="0" t="inlineStr">
        <is>
          <t xml:space="preserve">closed_won</t>
        </is>
      </c>
      <c r="G87" s="4">
        <v>0</v>
      </c>
      <c r="H87" s="4">
        <v>8400</v>
      </c>
      <c r="I87" s="4">
        <v>1</v>
      </c>
      <c r="J87" s="4">
        <v>0</v>
      </c>
      <c r="K87" s="16">
        <v>46154</v>
      </c>
      <c r="L87" s="16">
        <v>46177</v>
      </c>
      <c r="M87" s="0" t="inlineStr">
        <is>
          <t xml:space="preserve">may26</t>
        </is>
      </c>
      <c r="N87" s="0" t="inlineStr">
        <is>
          <t xml:space="preserve">jun26</t>
        </is>
      </c>
      <c r="O87" s="4">
        <v>23</v>
      </c>
      <c r="P87" s="4">
        <v>1</v>
      </c>
      <c r="Q87" s="4">
        <v>0</v>
      </c>
      <c r="R87" s="4">
        <v>0</v>
      </c>
      <c r="S87" s="4">
        <f>(H87*INDEX('Stages'!$D$2:$D$7,MATCH(F87,'Stages'!$A$2:$A$7,0)))</f>
        <v>8400</v>
      </c>
      <c r="T87" s="4">
        <f>(H87*I87)</f>
        <v>8400</v>
      </c>
      <c r="U87" s="4">
        <f>(H87*(I87-1))</f>
        <v>0</v>
      </c>
      <c r="V87" s="0" t="str">
        <f>INDEX('Account executives'!$B$2:$B$25,MATCH(C87,'Account executives'!$A$2:$A$25,0))</f>
        <v>apac</v>
      </c>
      <c r="W87" s="0" t="str">
        <f>INDEX('Account executives'!$C$2:$C$25,MATCH(C87,'Account executives'!$A$2:$A$25,0))</f>
        <v>mid_market</v>
      </c>
      <c r="X87" s="0" t="str">
        <f>SUBSTITUTE(LOWER(INDEX('Periods'!$G$2:$G$22,MATCH(N87,'Periods'!$A$2:$A$22,0)))," ","_")</f>
        <v>q2_2026</v>
      </c>
    </row>
    <row r="88">
      <c r="A88" s="0" t="inlineStr">
        <is>
          <t xml:space="preserve">o0087</t>
        </is>
      </c>
      <c r="B88" s="0" t="inlineStr">
        <is>
          <t xml:space="preserve">a0956</t>
        </is>
      </c>
      <c r="C88" s="0" t="inlineStr">
        <is>
          <t xml:space="preserve">r05</t>
        </is>
      </c>
      <c r="D88" s="0" t="inlineStr">
        <is>
          <t xml:space="preserve">s_amer_east_in</t>
        </is>
      </c>
      <c r="E88" s="0" t="inlineStr">
        <is>
          <t xml:space="preserve">inbound</t>
        </is>
      </c>
      <c r="F88" s="0" t="inlineStr">
        <is>
          <t xml:space="preserve">closed_won</t>
        </is>
      </c>
      <c r="G88" s="4">
        <v>1</v>
      </c>
      <c r="H88" s="4">
        <v>11200</v>
      </c>
      <c r="I88" s="4">
        <v>1</v>
      </c>
      <c r="J88" s="4">
        <v>0</v>
      </c>
      <c r="K88" s="16">
        <v>46195</v>
      </c>
      <c r="L88" s="16">
        <v>46228</v>
      </c>
      <c r="M88" s="0" t="inlineStr">
        <is>
          <t xml:space="preserve">jun26</t>
        </is>
      </c>
      <c r="N88" s="0" t="inlineStr">
        <is>
          <t xml:space="preserve">jul26</t>
        </is>
      </c>
      <c r="O88" s="4">
        <v>33</v>
      </c>
      <c r="P88" s="4">
        <v>1</v>
      </c>
      <c r="Q88" s="4">
        <v>0</v>
      </c>
      <c r="R88" s="4">
        <v>0</v>
      </c>
      <c r="S88" s="4">
        <f>(H88*INDEX('Stages'!$D$2:$D$7,MATCH(F88,'Stages'!$A$2:$A$7,0)))</f>
        <v>11200</v>
      </c>
      <c r="T88" s="4">
        <f>(H88*I88)</f>
        <v>11200</v>
      </c>
      <c r="U88" s="4">
        <f>(H88*(I88-1))</f>
        <v>0</v>
      </c>
      <c r="V88" s="0" t="str">
        <f>INDEX('Account executives'!$B$2:$B$25,MATCH(C88,'Account executives'!$A$2:$A$25,0))</f>
        <v>amer_east</v>
      </c>
      <c r="W88" s="0" t="str">
        <f>INDEX('Account executives'!$C$2:$C$25,MATCH(C88,'Account executives'!$A$2:$A$25,0))</f>
        <v>smb</v>
      </c>
      <c r="X88" s="0" t="str">
        <f>SUBSTITUTE(LOWER(INDEX('Periods'!$G$2:$G$22,MATCH(N88,'Periods'!$A$2:$A$22,0)))," ","_")</f>
        <v>q3_2026</v>
      </c>
    </row>
    <row r="89">
      <c r="A89" s="0" t="inlineStr">
        <is>
          <t xml:space="preserve">o0088</t>
        </is>
      </c>
      <c r="B89" s="0" t="inlineStr">
        <is>
          <t xml:space="preserve">a0140</t>
        </is>
      </c>
      <c r="C89" s="0" t="inlineStr">
        <is>
          <t xml:space="preserve">r15</t>
        </is>
      </c>
      <c r="D89" s="0"/>
      <c r="E89" s="0" t="inlineStr">
        <is>
          <t xml:space="preserve">partner</t>
        </is>
      </c>
      <c r="F89" s="0" t="inlineStr">
        <is>
          <t xml:space="preserve">closed_won</t>
        </is>
      </c>
      <c r="G89" s="4">
        <v>0</v>
      </c>
      <c r="H89" s="4">
        <v>22300</v>
      </c>
      <c r="I89" s="4">
        <v>2</v>
      </c>
      <c r="J89" s="4">
        <v>0</v>
      </c>
      <c r="K89" s="16">
        <v>45830</v>
      </c>
      <c r="L89" s="16">
        <v>45869</v>
      </c>
      <c r="M89" s="0" t="inlineStr">
        <is>
          <t xml:space="preserve">jun25</t>
        </is>
      </c>
      <c r="N89" s="0" t="inlineStr">
        <is>
          <t xml:space="preserve">jul25</t>
        </is>
      </c>
      <c r="O89" s="4">
        <v>39</v>
      </c>
      <c r="P89" s="4">
        <v>1</v>
      </c>
      <c r="Q89" s="4">
        <v>0</v>
      </c>
      <c r="R89" s="4">
        <v>0</v>
      </c>
      <c r="S89" s="4">
        <f>(H89*INDEX('Stages'!$D$2:$D$7,MATCH(F89,'Stages'!$A$2:$A$7,0)))</f>
        <v>22300</v>
      </c>
      <c r="T89" s="4">
        <f>(H89*I89)</f>
        <v>44600</v>
      </c>
      <c r="U89" s="4">
        <f>(H89*(I89-1))</f>
        <v>22300</v>
      </c>
      <c r="V89" s="0" t="str">
        <f>INDEX('Account executives'!$B$2:$B$25,MATCH(C89,'Account executives'!$A$2:$A$25,0))</f>
        <v>emea</v>
      </c>
      <c r="W89" s="0" t="str">
        <f>INDEX('Account executives'!$C$2:$C$25,MATCH(C89,'Account executives'!$A$2:$A$25,0))</f>
        <v>mid_market</v>
      </c>
      <c r="X89" s="0" t="str">
        <f>SUBSTITUTE(LOWER(INDEX('Periods'!$G$2:$G$22,MATCH(N89,'Periods'!$A$2:$A$22,0)))," ","_")</f>
        <v>q3_2025</v>
      </c>
    </row>
    <row r="90">
      <c r="A90" s="0" t="inlineStr">
        <is>
          <t xml:space="preserve">o0089</t>
        </is>
      </c>
      <c r="B90" s="0" t="inlineStr">
        <is>
          <t xml:space="preserve">a0858</t>
        </is>
      </c>
      <c r="C90" s="0" t="inlineStr">
        <is>
          <t xml:space="preserve">r18</t>
        </is>
      </c>
      <c r="D90" s="0" t="inlineStr">
        <is>
          <t xml:space="preserve">s_emea_in</t>
        </is>
      </c>
      <c r="E90" s="0" t="inlineStr">
        <is>
          <t xml:space="preserve">inbound</t>
        </is>
      </c>
      <c r="F90" s="0" t="inlineStr">
        <is>
          <t xml:space="preserve">closed_lost</t>
        </is>
      </c>
      <c r="G90" s="4">
        <v>1</v>
      </c>
      <c r="H90" s="4">
        <v>25700</v>
      </c>
      <c r="I90" s="4">
        <v>1</v>
      </c>
      <c r="J90" s="4">
        <v>0</v>
      </c>
      <c r="K90" s="16">
        <v>46115</v>
      </c>
      <c r="L90" s="16">
        <v>46148</v>
      </c>
      <c r="M90" s="0" t="inlineStr">
        <is>
          <t xml:space="preserve">apr26</t>
        </is>
      </c>
      <c r="N90" s="0" t="inlineStr">
        <is>
          <t xml:space="preserve">may26</t>
        </is>
      </c>
      <c r="O90" s="4">
        <v>33</v>
      </c>
      <c r="P90" s="4">
        <v>0</v>
      </c>
      <c r="Q90" s="4">
        <v>1</v>
      </c>
      <c r="R90" s="4">
        <v>0</v>
      </c>
      <c r="S90" s="4">
        <f>(H90*INDEX('Stages'!$D$2:$D$7,MATCH(F90,'Stages'!$A$2:$A$7,0)))</f>
        <v>0</v>
      </c>
      <c r="T90" s="4">
        <f>(H90*I90)</f>
        <v>25700</v>
      </c>
      <c r="U90" s="4">
        <f>(H90*(I90-1))</f>
        <v>0</v>
      </c>
      <c r="V90" s="0" t="str">
        <f>INDEX('Account executives'!$B$2:$B$25,MATCH(C90,'Account executives'!$A$2:$A$25,0))</f>
        <v>emea</v>
      </c>
      <c r="W90" s="0" t="str">
        <f>INDEX('Account executives'!$C$2:$C$25,MATCH(C90,'Account executives'!$A$2:$A$25,0))</f>
        <v>smb</v>
      </c>
      <c r="X90" s="0" t="str">
        <f>SUBSTITUTE(LOWER(INDEX('Periods'!$G$2:$G$22,MATCH(N90,'Periods'!$A$2:$A$22,0)))," ","_")</f>
        <v>q2_2026</v>
      </c>
    </row>
    <row r="91">
      <c r="A91" s="0" t="inlineStr">
        <is>
          <t xml:space="preserve">o0090</t>
        </is>
      </c>
      <c r="B91" s="0" t="inlineStr">
        <is>
          <t xml:space="preserve">a0637</t>
        </is>
      </c>
      <c r="C91" s="0" t="inlineStr">
        <is>
          <t xml:space="preserve">r13</t>
        </is>
      </c>
      <c r="D91" s="0" t="inlineStr">
        <is>
          <t xml:space="preserve">s_emea_out</t>
        </is>
      </c>
      <c r="E91" s="0" t="inlineStr">
        <is>
          <t xml:space="preserve">outbound</t>
        </is>
      </c>
      <c r="F91" s="0" t="inlineStr">
        <is>
          <t xml:space="preserve">evaluation</t>
        </is>
      </c>
      <c r="G91" s="4">
        <v>0</v>
      </c>
      <c r="H91" s="4">
        <v>46400</v>
      </c>
      <c r="I91" s="4">
        <v>1</v>
      </c>
      <c r="J91" s="4">
        <v>0</v>
      </c>
      <c r="K91" s="16">
        <v>46199</v>
      </c>
      <c r="L91" s="16">
        <v>46298</v>
      </c>
      <c r="M91" s="0" t="inlineStr">
        <is>
          <t xml:space="preserve">jun26</t>
        </is>
      </c>
      <c r="N91" s="0" t="inlineStr">
        <is>
          <t xml:space="preserve">oct26</t>
        </is>
      </c>
      <c r="O91" s="4">
        <v>172</v>
      </c>
      <c r="P91" s="4">
        <v>0</v>
      </c>
      <c r="Q91" s="4">
        <v>0</v>
      </c>
      <c r="R91" s="4">
        <v>1</v>
      </c>
      <c r="S91" s="4">
        <f>(H91*INDEX('Stages'!$D$2:$D$7,MATCH(F91,'Stages'!$A$2:$A$7,0)))</f>
        <v>11600</v>
      </c>
      <c r="T91" s="4">
        <f>(H91*I91)</f>
        <v>46400</v>
      </c>
      <c r="U91" s="4">
        <f>(H91*(I91-1))</f>
        <v>0</v>
      </c>
      <c r="V91" s="0" t="str">
        <f>INDEX('Account executives'!$B$2:$B$25,MATCH(C91,'Account executives'!$A$2:$A$25,0))</f>
        <v>emea</v>
      </c>
      <c r="W91" s="0" t="str">
        <f>INDEX('Account executives'!$C$2:$C$25,MATCH(C91,'Account executives'!$A$2:$A$25,0))</f>
        <v>enterprise</v>
      </c>
      <c r="X91" s="0" t="str">
        <f>SUBSTITUTE(LOWER(INDEX('Periods'!$G$2:$G$22,MATCH(N91,'Periods'!$A$2:$A$22,0)))," ","_")</f>
        <v>q4_2026</v>
      </c>
    </row>
    <row r="92">
      <c r="A92" s="0" t="inlineStr">
        <is>
          <t xml:space="preserve">o0091</t>
        </is>
      </c>
      <c r="B92" s="0" t="inlineStr">
        <is>
          <t xml:space="preserve">a1189</t>
        </is>
      </c>
      <c r="C92" s="0" t="inlineStr">
        <is>
          <t xml:space="preserve">r17</t>
        </is>
      </c>
      <c r="D92" s="0" t="inlineStr">
        <is>
          <t xml:space="preserve">s_emea_in</t>
        </is>
      </c>
      <c r="E92" s="0" t="inlineStr">
        <is>
          <t xml:space="preserve">paid</t>
        </is>
      </c>
      <c r="F92" s="0" t="inlineStr">
        <is>
          <t xml:space="preserve">closed_lost</t>
        </is>
      </c>
      <c r="G92" s="4">
        <v>1</v>
      </c>
      <c r="H92" s="4">
        <v>16400</v>
      </c>
      <c r="I92" s="4">
        <v>1</v>
      </c>
      <c r="J92" s="4">
        <v>1</v>
      </c>
      <c r="K92" s="16">
        <v>46238</v>
      </c>
      <c r="L92" s="16">
        <v>46267</v>
      </c>
      <c r="M92" s="0" t="inlineStr">
        <is>
          <t xml:space="preserve">aug26</t>
        </is>
      </c>
      <c r="N92" s="0" t="inlineStr">
        <is>
          <t xml:space="preserve">sep26</t>
        </is>
      </c>
      <c r="O92" s="4">
        <v>29</v>
      </c>
      <c r="P92" s="4">
        <v>0</v>
      </c>
      <c r="Q92" s="4">
        <v>1</v>
      </c>
      <c r="R92" s="4">
        <v>0</v>
      </c>
      <c r="S92" s="4">
        <f>(H92*INDEX('Stages'!$D$2:$D$7,MATCH(F92,'Stages'!$A$2:$A$7,0)))</f>
        <v>0</v>
      </c>
      <c r="T92" s="4">
        <f>(H92*I92)</f>
        <v>16400</v>
      </c>
      <c r="U92" s="4">
        <f>(H92*(I92-1))</f>
        <v>0</v>
      </c>
      <c r="V92" s="0" t="str">
        <f>INDEX('Account executives'!$B$2:$B$25,MATCH(C92,'Account executives'!$A$2:$A$25,0))</f>
        <v>emea</v>
      </c>
      <c r="W92" s="0" t="str">
        <f>INDEX('Account executives'!$C$2:$C$25,MATCH(C92,'Account executives'!$A$2:$A$25,0))</f>
        <v>smb</v>
      </c>
      <c r="X92" s="0" t="str">
        <f>SUBSTITUTE(LOWER(INDEX('Periods'!$G$2:$G$22,MATCH(N92,'Periods'!$A$2:$A$22,0)))," ","_")</f>
        <v>q3_2026</v>
      </c>
    </row>
    <row r="93">
      <c r="A93" s="0" t="inlineStr">
        <is>
          <t xml:space="preserve">o0092</t>
        </is>
      </c>
      <c r="B93" s="0" t="inlineStr">
        <is>
          <t xml:space="preserve">a0717</t>
        </is>
      </c>
      <c r="C93" s="0" t="inlineStr">
        <is>
          <t xml:space="preserve">r24</t>
        </is>
      </c>
      <c r="D93" s="0"/>
      <c r="E93" s="0" t="inlineStr">
        <is>
          <t xml:space="preserve">partner</t>
        </is>
      </c>
      <c r="F93" s="0" t="inlineStr">
        <is>
          <t xml:space="preserve">closed_lost</t>
        </is>
      </c>
      <c r="G93" s="4">
        <v>1</v>
      </c>
      <c r="H93" s="4">
        <v>13300</v>
      </c>
      <c r="I93" s="4">
        <v>1</v>
      </c>
      <c r="J93" s="4">
        <v>1</v>
      </c>
      <c r="K93" s="16">
        <v>46055</v>
      </c>
      <c r="L93" s="16">
        <v>46085</v>
      </c>
      <c r="M93" s="0" t="inlineStr">
        <is>
          <t xml:space="preserve">feb26</t>
        </is>
      </c>
      <c r="N93" s="0" t="inlineStr">
        <is>
          <t xml:space="preserve">mar26</t>
        </is>
      </c>
      <c r="O93" s="4">
        <v>30</v>
      </c>
      <c r="P93" s="4">
        <v>0</v>
      </c>
      <c r="Q93" s="4">
        <v>1</v>
      </c>
      <c r="R93" s="4">
        <v>0</v>
      </c>
      <c r="S93" s="4">
        <f>(H93*INDEX('Stages'!$D$2:$D$7,MATCH(F93,'Stages'!$A$2:$A$7,0)))</f>
        <v>0</v>
      </c>
      <c r="T93" s="4">
        <f>(H93*I93)</f>
        <v>13300</v>
      </c>
      <c r="U93" s="4">
        <f>(H93*(I93-1))</f>
        <v>0</v>
      </c>
      <c r="V93" s="0" t="str">
        <f>INDEX('Account executives'!$B$2:$B$25,MATCH(C93,'Account executives'!$A$2:$A$25,0))</f>
        <v>apac</v>
      </c>
      <c r="W93" s="0" t="str">
        <f>INDEX('Account executives'!$C$2:$C$25,MATCH(C93,'Account executives'!$A$2:$A$25,0))</f>
        <v>smb</v>
      </c>
      <c r="X93" s="0" t="str">
        <f>SUBSTITUTE(LOWER(INDEX('Periods'!$G$2:$G$22,MATCH(N93,'Periods'!$A$2:$A$22,0)))," ","_")</f>
        <v>q1_2026</v>
      </c>
    </row>
    <row r="94">
      <c r="A94" s="0" t="inlineStr">
        <is>
          <t xml:space="preserve">o0093</t>
        </is>
      </c>
      <c r="B94" s="0" t="inlineStr">
        <is>
          <t xml:space="preserve">a0381</t>
        </is>
      </c>
      <c r="C94" s="0" t="inlineStr">
        <is>
          <t xml:space="preserve">r09</t>
        </is>
      </c>
      <c r="D94" s="0" t="inlineStr">
        <is>
          <t xml:space="preserve">s_amer_west_in</t>
        </is>
      </c>
      <c r="E94" s="0" t="inlineStr">
        <is>
          <t xml:space="preserve">inbound</t>
        </is>
      </c>
      <c r="F94" s="0" t="inlineStr">
        <is>
          <t xml:space="preserve">closed_won</t>
        </is>
      </c>
      <c r="G94" s="4">
        <v>0</v>
      </c>
      <c r="H94" s="4">
        <v>16100</v>
      </c>
      <c r="I94" s="4">
        <v>1</v>
      </c>
      <c r="J94" s="4">
        <v>0</v>
      </c>
      <c r="K94" s="16">
        <v>46063</v>
      </c>
      <c r="L94" s="16">
        <v>46201</v>
      </c>
      <c r="M94" s="0" t="inlineStr">
        <is>
          <t xml:space="preserve">feb26</t>
        </is>
      </c>
      <c r="N94" s="0" t="inlineStr">
        <is>
          <t xml:space="preserve">jun26</t>
        </is>
      </c>
      <c r="O94" s="4">
        <v>138</v>
      </c>
      <c r="P94" s="4">
        <v>1</v>
      </c>
      <c r="Q94" s="4">
        <v>0</v>
      </c>
      <c r="R94" s="4">
        <v>0</v>
      </c>
      <c r="S94" s="4">
        <f>(H94*INDEX('Stages'!$D$2:$D$7,MATCH(F94,'Stages'!$A$2:$A$7,0)))</f>
        <v>16100</v>
      </c>
      <c r="T94" s="4">
        <f>(H94*I94)</f>
        <v>16100</v>
      </c>
      <c r="U94" s="4">
        <f>(H94*(I94-1))</f>
        <v>0</v>
      </c>
      <c r="V94" s="0" t="str">
        <f>INDEX('Account executives'!$B$2:$B$25,MATCH(C94,'Account executives'!$A$2:$A$25,0))</f>
        <v>amer_west</v>
      </c>
      <c r="W94" s="0" t="str">
        <f>INDEX('Account executives'!$C$2:$C$25,MATCH(C94,'Account executives'!$A$2:$A$25,0))</f>
        <v>mid_market</v>
      </c>
      <c r="X94" s="0" t="str">
        <f>SUBSTITUTE(LOWER(INDEX('Periods'!$G$2:$G$22,MATCH(N94,'Periods'!$A$2:$A$22,0)))," ","_")</f>
        <v>q2_2026</v>
      </c>
    </row>
    <row r="95">
      <c r="A95" s="0" t="inlineStr">
        <is>
          <t xml:space="preserve">o0094</t>
        </is>
      </c>
      <c r="B95" s="0" t="inlineStr">
        <is>
          <t xml:space="preserve">a0584</t>
        </is>
      </c>
      <c r="C95" s="0" t="inlineStr">
        <is>
          <t xml:space="preserve">r13</t>
        </is>
      </c>
      <c r="D95" s="0"/>
      <c r="E95" s="0" t="inlineStr">
        <is>
          <t xml:space="preserve">events</t>
        </is>
      </c>
      <c r="F95" s="0" t="inlineStr">
        <is>
          <t xml:space="preserve">closed_won</t>
        </is>
      </c>
      <c r="G95" s="4">
        <v>0</v>
      </c>
      <c r="H95" s="4">
        <v>108100</v>
      </c>
      <c r="I95" s="4">
        <v>2</v>
      </c>
      <c r="J95" s="4">
        <v>0</v>
      </c>
      <c r="K95" s="16">
        <v>45997</v>
      </c>
      <c r="L95" s="16">
        <v>46145</v>
      </c>
      <c r="M95" s="0" t="inlineStr">
        <is>
          <t xml:space="preserve">dec25</t>
        </is>
      </c>
      <c r="N95" s="0" t="inlineStr">
        <is>
          <t xml:space="preserve">may26</t>
        </is>
      </c>
      <c r="O95" s="4">
        <v>148</v>
      </c>
      <c r="P95" s="4">
        <v>1</v>
      </c>
      <c r="Q95" s="4">
        <v>0</v>
      </c>
      <c r="R95" s="4">
        <v>0</v>
      </c>
      <c r="S95" s="4">
        <f>(H95*INDEX('Stages'!$D$2:$D$7,MATCH(F95,'Stages'!$A$2:$A$7,0)))</f>
        <v>108100</v>
      </c>
      <c r="T95" s="4">
        <f>(H95*I95)</f>
        <v>216200</v>
      </c>
      <c r="U95" s="4">
        <f>(H95*(I95-1))</f>
        <v>108100</v>
      </c>
      <c r="V95" s="0" t="str">
        <f>INDEX('Account executives'!$B$2:$B$25,MATCH(C95,'Account executives'!$A$2:$A$25,0))</f>
        <v>emea</v>
      </c>
      <c r="W95" s="0" t="str">
        <f>INDEX('Account executives'!$C$2:$C$25,MATCH(C95,'Account executives'!$A$2:$A$25,0))</f>
        <v>enterprise</v>
      </c>
      <c r="X95" s="0" t="str">
        <f>SUBSTITUTE(LOWER(INDEX('Periods'!$G$2:$G$22,MATCH(N95,'Periods'!$A$2:$A$22,0)))," ","_")</f>
        <v>q2_2026</v>
      </c>
    </row>
    <row r="96">
      <c r="A96" s="0" t="inlineStr">
        <is>
          <t xml:space="preserve">o0095</t>
        </is>
      </c>
      <c r="B96" s="0" t="inlineStr">
        <is>
          <t xml:space="preserve">a0929</t>
        </is>
      </c>
      <c r="C96" s="0" t="inlineStr">
        <is>
          <t xml:space="preserve">r08</t>
        </is>
      </c>
      <c r="D96" s="0"/>
      <c r="E96" s="0" t="inlineStr">
        <is>
          <t xml:space="preserve">referral</t>
        </is>
      </c>
      <c r="F96" s="0" t="inlineStr">
        <is>
          <t xml:space="preserve">closed_won</t>
        </is>
      </c>
      <c r="G96" s="4">
        <v>1</v>
      </c>
      <c r="H96" s="4">
        <v>67600</v>
      </c>
      <c r="I96" s="4">
        <v>2</v>
      </c>
      <c r="J96" s="4">
        <v>1</v>
      </c>
      <c r="K96" s="16">
        <v>46145</v>
      </c>
      <c r="L96" s="16">
        <v>46262</v>
      </c>
      <c r="M96" s="0" t="inlineStr">
        <is>
          <t xml:space="preserve">may26</t>
        </is>
      </c>
      <c r="N96" s="0" t="inlineStr">
        <is>
          <t xml:space="preserve">aug26</t>
        </is>
      </c>
      <c r="O96" s="4">
        <v>117</v>
      </c>
      <c r="P96" s="4">
        <v>1</v>
      </c>
      <c r="Q96" s="4">
        <v>0</v>
      </c>
      <c r="R96" s="4">
        <v>0</v>
      </c>
      <c r="S96" s="4">
        <f>(H96*INDEX('Stages'!$D$2:$D$7,MATCH(F96,'Stages'!$A$2:$A$7,0)))</f>
        <v>67600</v>
      </c>
      <c r="T96" s="4">
        <f>(H96*I96)</f>
        <v>135200</v>
      </c>
      <c r="U96" s="4">
        <f>(H96*(I96-1))</f>
        <v>67600</v>
      </c>
      <c r="V96" s="0" t="str">
        <f>INDEX('Account executives'!$B$2:$B$25,MATCH(C96,'Account executives'!$A$2:$A$25,0))</f>
        <v>amer_west</v>
      </c>
      <c r="W96" s="0" t="str">
        <f>INDEX('Account executives'!$C$2:$C$25,MATCH(C96,'Account executives'!$A$2:$A$25,0))</f>
        <v>enterprise</v>
      </c>
      <c r="X96" s="0" t="str">
        <f>SUBSTITUTE(LOWER(INDEX('Periods'!$G$2:$G$22,MATCH(N96,'Periods'!$A$2:$A$22,0)))," ","_")</f>
        <v>q3_2026</v>
      </c>
    </row>
    <row r="97">
      <c r="A97" s="0" t="inlineStr">
        <is>
          <t xml:space="preserve">o0096</t>
        </is>
      </c>
      <c r="B97" s="0" t="inlineStr">
        <is>
          <t xml:space="preserve">a0886</t>
        </is>
      </c>
      <c r="C97" s="0" t="inlineStr">
        <is>
          <t xml:space="preserve">r04</t>
        </is>
      </c>
      <c r="D97" s="0" t="inlineStr">
        <is>
          <t xml:space="preserve">s_amer_east_in</t>
        </is>
      </c>
      <c r="E97" s="0" t="inlineStr">
        <is>
          <t xml:space="preserve">inbound</t>
        </is>
      </c>
      <c r="F97" s="0" t="inlineStr">
        <is>
          <t xml:space="preserve">proposal</t>
        </is>
      </c>
      <c r="G97" s="4">
        <v>1</v>
      </c>
      <c r="H97" s="4">
        <v>37700</v>
      </c>
      <c r="I97" s="4">
        <v>2</v>
      </c>
      <c r="J97" s="4">
        <v>1</v>
      </c>
      <c r="K97" s="16">
        <v>46159</v>
      </c>
      <c r="L97" s="16">
        <v>46293</v>
      </c>
      <c r="M97" s="0" t="inlineStr">
        <is>
          <t xml:space="preserve">may26</t>
        </is>
      </c>
      <c r="N97" s="0" t="inlineStr">
        <is>
          <t xml:space="preserve">sep26</t>
        </is>
      </c>
      <c r="O97" s="4">
        <v>134</v>
      </c>
      <c r="P97" s="4">
        <v>0</v>
      </c>
      <c r="Q97" s="4">
        <v>0</v>
      </c>
      <c r="R97" s="4">
        <v>1</v>
      </c>
      <c r="S97" s="4">
        <f>(H97*INDEX('Stages'!$D$2:$D$7,MATCH(F97,'Stages'!$A$2:$A$7,0)))</f>
        <v>18850</v>
      </c>
      <c r="T97" s="4">
        <f>(H97*I97)</f>
        <v>75400</v>
      </c>
      <c r="U97" s="4">
        <f>(H97*(I97-1))</f>
        <v>37700</v>
      </c>
      <c r="V97" s="0" t="str">
        <f>INDEX('Account executives'!$B$2:$B$25,MATCH(C97,'Account executives'!$A$2:$A$25,0))</f>
        <v>amer_east</v>
      </c>
      <c r="W97" s="0" t="str">
        <f>INDEX('Account executives'!$C$2:$C$25,MATCH(C97,'Account executives'!$A$2:$A$25,0))</f>
        <v>mid_market</v>
      </c>
      <c r="X97" s="0" t="str">
        <f>SUBSTITUTE(LOWER(INDEX('Periods'!$G$2:$G$22,MATCH(N97,'Periods'!$A$2:$A$22,0)))," ","_")</f>
        <v>q3_2026</v>
      </c>
    </row>
    <row r="98">
      <c r="A98" s="0" t="inlineStr">
        <is>
          <t xml:space="preserve">o0097</t>
        </is>
      </c>
      <c r="B98" s="0" t="inlineStr">
        <is>
          <t xml:space="preserve">a0202</t>
        </is>
      </c>
      <c r="C98" s="0" t="inlineStr">
        <is>
          <t xml:space="preserve">r09</t>
        </is>
      </c>
      <c r="D98" s="0" t="inlineStr">
        <is>
          <t xml:space="preserve">s_amer_west_out</t>
        </is>
      </c>
      <c r="E98" s="0" t="inlineStr">
        <is>
          <t xml:space="preserve">outbound</t>
        </is>
      </c>
      <c r="F98" s="0" t="inlineStr">
        <is>
          <t xml:space="preserve">closed_lost</t>
        </is>
      </c>
      <c r="G98" s="4">
        <v>1</v>
      </c>
      <c r="H98" s="4">
        <v>57000</v>
      </c>
      <c r="I98" s="4">
        <v>1</v>
      </c>
      <c r="J98" s="4">
        <v>1</v>
      </c>
      <c r="K98" s="16">
        <v>45818</v>
      </c>
      <c r="L98" s="16">
        <v>45899</v>
      </c>
      <c r="M98" s="0" t="inlineStr">
        <is>
          <t xml:space="preserve">jun25</t>
        </is>
      </c>
      <c r="N98" s="0" t="inlineStr">
        <is>
          <t xml:space="preserve">aug25</t>
        </is>
      </c>
      <c r="O98" s="4">
        <v>81</v>
      </c>
      <c r="P98" s="4">
        <v>0</v>
      </c>
      <c r="Q98" s="4">
        <v>1</v>
      </c>
      <c r="R98" s="4">
        <v>0</v>
      </c>
      <c r="S98" s="4">
        <f>(H98*INDEX('Stages'!$D$2:$D$7,MATCH(F98,'Stages'!$A$2:$A$7,0)))</f>
        <v>0</v>
      </c>
      <c r="T98" s="4">
        <f>(H98*I98)</f>
        <v>57000</v>
      </c>
      <c r="U98" s="4">
        <f>(H98*(I98-1))</f>
        <v>0</v>
      </c>
      <c r="V98" s="0" t="str">
        <f>INDEX('Account executives'!$B$2:$B$25,MATCH(C98,'Account executives'!$A$2:$A$25,0))</f>
        <v>amer_west</v>
      </c>
      <c r="W98" s="0" t="str">
        <f>INDEX('Account executives'!$C$2:$C$25,MATCH(C98,'Account executives'!$A$2:$A$25,0))</f>
        <v>mid_market</v>
      </c>
      <c r="X98" s="0" t="str">
        <f>SUBSTITUTE(LOWER(INDEX('Periods'!$G$2:$G$22,MATCH(N98,'Periods'!$A$2:$A$22,0)))," ","_")</f>
        <v>q3_2025</v>
      </c>
    </row>
    <row r="99">
      <c r="A99" s="0" t="inlineStr">
        <is>
          <t xml:space="preserve">o0098</t>
        </is>
      </c>
      <c r="B99" s="0" t="inlineStr">
        <is>
          <t xml:space="preserve">a0771</t>
        </is>
      </c>
      <c r="C99" s="0" t="inlineStr">
        <is>
          <t xml:space="preserve">r10</t>
        </is>
      </c>
      <c r="D99" s="0" t="inlineStr">
        <is>
          <t xml:space="preserve">s_amer_west_in</t>
        </is>
      </c>
      <c r="E99" s="0" t="inlineStr">
        <is>
          <t xml:space="preserve">inbound</t>
        </is>
      </c>
      <c r="F99" s="0" t="inlineStr">
        <is>
          <t xml:space="preserve">closed_won</t>
        </is>
      </c>
      <c r="G99" s="4">
        <v>0</v>
      </c>
      <c r="H99" s="4">
        <v>17700</v>
      </c>
      <c r="I99" s="4">
        <v>2</v>
      </c>
      <c r="J99" s="4">
        <v>0</v>
      </c>
      <c r="K99" s="16">
        <v>46231</v>
      </c>
      <c r="L99" s="16">
        <v>46269</v>
      </c>
      <c r="M99" s="0" t="inlineStr">
        <is>
          <t xml:space="preserve">jul26</t>
        </is>
      </c>
      <c r="N99" s="0" t="inlineStr">
        <is>
          <t xml:space="preserve">sep26</t>
        </is>
      </c>
      <c r="O99" s="4">
        <v>38</v>
      </c>
      <c r="P99" s="4">
        <v>1</v>
      </c>
      <c r="Q99" s="4">
        <v>0</v>
      </c>
      <c r="R99" s="4">
        <v>0</v>
      </c>
      <c r="S99" s="4">
        <f>(H99*INDEX('Stages'!$D$2:$D$7,MATCH(F99,'Stages'!$A$2:$A$7,0)))</f>
        <v>17700</v>
      </c>
      <c r="T99" s="4">
        <f>(H99*I99)</f>
        <v>35400</v>
      </c>
      <c r="U99" s="4">
        <f>(H99*(I99-1))</f>
        <v>17700</v>
      </c>
      <c r="V99" s="0" t="str">
        <f>INDEX('Account executives'!$B$2:$B$25,MATCH(C99,'Account executives'!$A$2:$A$25,0))</f>
        <v>amer_west</v>
      </c>
      <c r="W99" s="0" t="str">
        <f>INDEX('Account executives'!$C$2:$C$25,MATCH(C99,'Account executives'!$A$2:$A$25,0))</f>
        <v>mid_market</v>
      </c>
      <c r="X99" s="0" t="str">
        <f>SUBSTITUTE(LOWER(INDEX('Periods'!$G$2:$G$22,MATCH(N99,'Periods'!$A$2:$A$22,0)))," ","_")</f>
        <v>q3_2026</v>
      </c>
    </row>
    <row r="100">
      <c r="A100" s="0" t="inlineStr">
        <is>
          <t xml:space="preserve">o0099</t>
        </is>
      </c>
      <c r="B100" s="0" t="inlineStr">
        <is>
          <t xml:space="preserve">a0149</t>
        </is>
      </c>
      <c r="C100" s="0" t="inlineStr">
        <is>
          <t xml:space="preserve">r22</t>
        </is>
      </c>
      <c r="D100" s="0" t="inlineStr">
        <is>
          <t xml:space="preserve">s_apac_out</t>
        </is>
      </c>
      <c r="E100" s="0" t="inlineStr">
        <is>
          <t xml:space="preserve">outbound</t>
        </is>
      </c>
      <c r="F100" s="0" t="inlineStr">
        <is>
          <t xml:space="preserve">closed_lost</t>
        </is>
      </c>
      <c r="G100" s="4">
        <v>0</v>
      </c>
      <c r="H100" s="4">
        <v>100300</v>
      </c>
      <c r="I100" s="4">
        <v>1</v>
      </c>
      <c r="J100" s="4">
        <v>0</v>
      </c>
      <c r="K100" s="16">
        <v>46084</v>
      </c>
      <c r="L100" s="16">
        <v>46116</v>
      </c>
      <c r="M100" s="0" t="inlineStr">
        <is>
          <t xml:space="preserve">mar26</t>
        </is>
      </c>
      <c r="N100" s="0" t="inlineStr">
        <is>
          <t xml:space="preserve">apr26</t>
        </is>
      </c>
      <c r="O100" s="4">
        <v>32</v>
      </c>
      <c r="P100" s="4">
        <v>0</v>
      </c>
      <c r="Q100" s="4">
        <v>1</v>
      </c>
      <c r="R100" s="4">
        <v>0</v>
      </c>
      <c r="S100" s="4">
        <f>(H100*INDEX('Stages'!$D$2:$D$7,MATCH(F100,'Stages'!$A$2:$A$7,0)))</f>
        <v>0</v>
      </c>
      <c r="T100" s="4">
        <f>(H100*I100)</f>
        <v>100300</v>
      </c>
      <c r="U100" s="4">
        <f>(H100*(I100-1))</f>
        <v>0</v>
      </c>
      <c r="V100" s="0" t="str">
        <f>INDEX('Account executives'!$B$2:$B$25,MATCH(C100,'Account executives'!$A$2:$A$25,0))</f>
        <v>apac</v>
      </c>
      <c r="W100" s="0" t="str">
        <f>INDEX('Account executives'!$C$2:$C$25,MATCH(C100,'Account executives'!$A$2:$A$25,0))</f>
        <v>mid_market</v>
      </c>
      <c r="X100" s="0" t="str">
        <f>SUBSTITUTE(LOWER(INDEX('Periods'!$G$2:$G$22,MATCH(N100,'Periods'!$A$2:$A$22,0)))," ","_")</f>
        <v>q2_2026</v>
      </c>
    </row>
    <row r="101">
      <c r="A101" s="0" t="inlineStr">
        <is>
          <t xml:space="preserve">o0100</t>
        </is>
      </c>
      <c r="B101" s="0" t="inlineStr">
        <is>
          <t xml:space="preserve">a1034</t>
        </is>
      </c>
      <c r="C101" s="0" t="inlineStr">
        <is>
          <t xml:space="preserve">r13</t>
        </is>
      </c>
      <c r="D101" s="0" t="inlineStr">
        <is>
          <t xml:space="preserve">s_emea_out</t>
        </is>
      </c>
      <c r="E101" s="0" t="inlineStr">
        <is>
          <t xml:space="preserve">outbound</t>
        </is>
      </c>
      <c r="F101" s="0" t="inlineStr">
        <is>
          <t xml:space="preserve">proposal</t>
        </is>
      </c>
      <c r="G101" s="4">
        <v>1</v>
      </c>
      <c r="H101" s="4">
        <v>171900</v>
      </c>
      <c r="I101" s="4">
        <v>3</v>
      </c>
      <c r="J101" s="4">
        <v>0</v>
      </c>
      <c r="K101" s="16">
        <v>46174</v>
      </c>
      <c r="L101" s="16">
        <v>46296</v>
      </c>
      <c r="M101" s="0" t="inlineStr">
        <is>
          <t xml:space="preserve">jun26</t>
        </is>
      </c>
      <c r="N101" s="0" t="inlineStr">
        <is>
          <t xml:space="preserve">oct26</t>
        </is>
      </c>
      <c r="O101" s="4">
        <v>119</v>
      </c>
      <c r="P101" s="4">
        <v>0</v>
      </c>
      <c r="Q101" s="4">
        <v>0</v>
      </c>
      <c r="R101" s="4">
        <v>1</v>
      </c>
      <c r="S101" s="4">
        <f>(H101*INDEX('Stages'!$D$2:$D$7,MATCH(F101,'Stages'!$A$2:$A$7,0)))</f>
        <v>85950</v>
      </c>
      <c r="T101" s="4">
        <f>(H101*I101)</f>
        <v>515700</v>
      </c>
      <c r="U101" s="4">
        <f>(H101*(I101-1))</f>
        <v>343800</v>
      </c>
      <c r="V101" s="0" t="str">
        <f>INDEX('Account executives'!$B$2:$B$25,MATCH(C101,'Account executives'!$A$2:$A$25,0))</f>
        <v>emea</v>
      </c>
      <c r="W101" s="0" t="str">
        <f>INDEX('Account executives'!$C$2:$C$25,MATCH(C101,'Account executives'!$A$2:$A$25,0))</f>
        <v>enterprise</v>
      </c>
      <c r="X101" s="0" t="str">
        <f>SUBSTITUTE(LOWER(INDEX('Periods'!$G$2:$G$22,MATCH(N101,'Periods'!$A$2:$A$22,0)))," ","_")</f>
        <v>q4_2026</v>
      </c>
    </row>
    <row r="102">
      <c r="A102" s="0" t="inlineStr">
        <is>
          <t xml:space="preserve">o0101</t>
        </is>
      </c>
      <c r="B102" s="0" t="inlineStr">
        <is>
          <t xml:space="preserve">a0232</t>
        </is>
      </c>
      <c r="C102" s="0" t="inlineStr">
        <is>
          <t xml:space="preserve">r05</t>
        </is>
      </c>
      <c r="D102" s="0" t="inlineStr">
        <is>
          <t xml:space="preserve">s_amer_east_in</t>
        </is>
      </c>
      <c r="E102" s="0" t="inlineStr">
        <is>
          <t xml:space="preserve">inbound</t>
        </is>
      </c>
      <c r="F102" s="0" t="inlineStr">
        <is>
          <t xml:space="preserve">closed_won</t>
        </is>
      </c>
      <c r="G102" s="4">
        <v>1</v>
      </c>
      <c r="H102" s="4">
        <v>28100</v>
      </c>
      <c r="I102" s="4">
        <v>1</v>
      </c>
      <c r="J102" s="4">
        <v>0</v>
      </c>
      <c r="K102" s="16">
        <v>45859</v>
      </c>
      <c r="L102" s="16">
        <v>45892</v>
      </c>
      <c r="M102" s="0" t="inlineStr">
        <is>
          <t xml:space="preserve">jul25</t>
        </is>
      </c>
      <c r="N102" s="0" t="inlineStr">
        <is>
          <t xml:space="preserve">aug25</t>
        </is>
      </c>
      <c r="O102" s="4">
        <v>33</v>
      </c>
      <c r="P102" s="4">
        <v>1</v>
      </c>
      <c r="Q102" s="4">
        <v>0</v>
      </c>
      <c r="R102" s="4">
        <v>0</v>
      </c>
      <c r="S102" s="4">
        <f>(H102*INDEX('Stages'!$D$2:$D$7,MATCH(F102,'Stages'!$A$2:$A$7,0)))</f>
        <v>28100</v>
      </c>
      <c r="T102" s="4">
        <f>(H102*I102)</f>
        <v>28100</v>
      </c>
      <c r="U102" s="4">
        <f>(H102*(I102-1))</f>
        <v>0</v>
      </c>
      <c r="V102" s="0" t="str">
        <f>INDEX('Account executives'!$B$2:$B$25,MATCH(C102,'Account executives'!$A$2:$A$25,0))</f>
        <v>amer_east</v>
      </c>
      <c r="W102" s="0" t="str">
        <f>INDEX('Account executives'!$C$2:$C$25,MATCH(C102,'Account executives'!$A$2:$A$25,0))</f>
        <v>smb</v>
      </c>
      <c r="X102" s="0" t="str">
        <f>SUBSTITUTE(LOWER(INDEX('Periods'!$G$2:$G$22,MATCH(N102,'Periods'!$A$2:$A$22,0)))," ","_")</f>
        <v>q3_2025</v>
      </c>
    </row>
    <row r="103">
      <c r="A103" s="0" t="inlineStr">
        <is>
          <t xml:space="preserve">o0102</t>
        </is>
      </c>
      <c r="B103" s="0" t="inlineStr">
        <is>
          <t xml:space="preserve">a0215</t>
        </is>
      </c>
      <c r="C103" s="0" t="inlineStr">
        <is>
          <t xml:space="preserve">r17</t>
        </is>
      </c>
      <c r="D103" s="0" t="inlineStr">
        <is>
          <t xml:space="preserve">s_emea_out</t>
        </is>
      </c>
      <c r="E103" s="0" t="inlineStr">
        <is>
          <t xml:space="preserve">outbound</t>
        </is>
      </c>
      <c r="F103" s="0" t="inlineStr">
        <is>
          <t xml:space="preserve">closed_won</t>
        </is>
      </c>
      <c r="G103" s="4">
        <v>0</v>
      </c>
      <c r="H103" s="4">
        <v>3600</v>
      </c>
      <c r="I103" s="4">
        <v>1</v>
      </c>
      <c r="J103" s="4">
        <v>0</v>
      </c>
      <c r="K103" s="16">
        <v>45832</v>
      </c>
      <c r="L103" s="16">
        <v>45928</v>
      </c>
      <c r="M103" s="0" t="inlineStr">
        <is>
          <t xml:space="preserve">jun25</t>
        </is>
      </c>
      <c r="N103" s="0" t="inlineStr">
        <is>
          <t xml:space="preserve">sep25</t>
        </is>
      </c>
      <c r="O103" s="4">
        <v>96</v>
      </c>
      <c r="P103" s="4">
        <v>1</v>
      </c>
      <c r="Q103" s="4">
        <v>0</v>
      </c>
      <c r="R103" s="4">
        <v>0</v>
      </c>
      <c r="S103" s="4">
        <f>(H103*INDEX('Stages'!$D$2:$D$7,MATCH(F103,'Stages'!$A$2:$A$7,0)))</f>
        <v>3600</v>
      </c>
      <c r="T103" s="4">
        <f>(H103*I103)</f>
        <v>3600</v>
      </c>
      <c r="U103" s="4">
        <f>(H103*(I103-1))</f>
        <v>0</v>
      </c>
      <c r="V103" s="0" t="str">
        <f>INDEX('Account executives'!$B$2:$B$25,MATCH(C103,'Account executives'!$A$2:$A$25,0))</f>
        <v>emea</v>
      </c>
      <c r="W103" s="0" t="str">
        <f>INDEX('Account executives'!$C$2:$C$25,MATCH(C103,'Account executives'!$A$2:$A$25,0))</f>
        <v>smb</v>
      </c>
      <c r="X103" s="0" t="str">
        <f>SUBSTITUTE(LOWER(INDEX('Periods'!$G$2:$G$22,MATCH(N103,'Periods'!$A$2:$A$22,0)))," ","_")</f>
        <v>q3_2025</v>
      </c>
    </row>
    <row r="104">
      <c r="A104" s="0" t="inlineStr">
        <is>
          <t xml:space="preserve">o0103</t>
        </is>
      </c>
      <c r="B104" s="0" t="inlineStr">
        <is>
          <t xml:space="preserve">a0530</t>
        </is>
      </c>
      <c r="C104" s="0" t="inlineStr">
        <is>
          <t xml:space="preserve">r21</t>
        </is>
      </c>
      <c r="D104" s="0" t="inlineStr">
        <is>
          <t xml:space="preserve">s_apac_out</t>
        </is>
      </c>
      <c r="E104" s="0" t="inlineStr">
        <is>
          <t xml:space="preserve">outbound</t>
        </is>
      </c>
      <c r="F104" s="0" t="inlineStr">
        <is>
          <t xml:space="preserve">closed_won</t>
        </is>
      </c>
      <c r="G104" s="4">
        <v>1</v>
      </c>
      <c r="H104" s="4">
        <v>101900</v>
      </c>
      <c r="I104" s="4">
        <v>1</v>
      </c>
      <c r="J104" s="4">
        <v>1</v>
      </c>
      <c r="K104" s="16">
        <v>45980</v>
      </c>
      <c r="L104" s="16">
        <v>46033</v>
      </c>
      <c r="M104" s="0" t="inlineStr">
        <is>
          <t xml:space="preserve">nov25</t>
        </is>
      </c>
      <c r="N104" s="0" t="inlineStr">
        <is>
          <t xml:space="preserve">jan26</t>
        </is>
      </c>
      <c r="O104" s="4">
        <v>53</v>
      </c>
      <c r="P104" s="4">
        <v>1</v>
      </c>
      <c r="Q104" s="4">
        <v>0</v>
      </c>
      <c r="R104" s="4">
        <v>0</v>
      </c>
      <c r="S104" s="4">
        <f>(H104*INDEX('Stages'!$D$2:$D$7,MATCH(F104,'Stages'!$A$2:$A$7,0)))</f>
        <v>101900</v>
      </c>
      <c r="T104" s="4">
        <f>(H104*I104)</f>
        <v>101900</v>
      </c>
      <c r="U104" s="4">
        <f>(H104*(I104-1))</f>
        <v>0</v>
      </c>
      <c r="V104" s="0" t="str">
        <f>INDEX('Account executives'!$B$2:$B$25,MATCH(C104,'Account executives'!$A$2:$A$25,0))</f>
        <v>apac</v>
      </c>
      <c r="W104" s="0" t="str">
        <f>INDEX('Account executives'!$C$2:$C$25,MATCH(C104,'Account executives'!$A$2:$A$25,0))</f>
        <v>mid_market</v>
      </c>
      <c r="X104" s="0" t="str">
        <f>SUBSTITUTE(LOWER(INDEX('Periods'!$G$2:$G$22,MATCH(N104,'Periods'!$A$2:$A$22,0)))," ","_")</f>
        <v>q1_2026</v>
      </c>
    </row>
    <row r="105">
      <c r="A105" s="0" t="inlineStr">
        <is>
          <t xml:space="preserve">o0104</t>
        </is>
      </c>
      <c r="B105" s="0" t="inlineStr">
        <is>
          <t xml:space="preserve">a0324</t>
        </is>
      </c>
      <c r="C105" s="0" t="inlineStr">
        <is>
          <t xml:space="preserve">r07</t>
        </is>
      </c>
      <c r="D105" s="0" t="inlineStr">
        <is>
          <t xml:space="preserve">s_amer_west_in</t>
        </is>
      </c>
      <c r="E105" s="0" t="inlineStr">
        <is>
          <t xml:space="preserve">inbound</t>
        </is>
      </c>
      <c r="F105" s="0" t="inlineStr">
        <is>
          <t xml:space="preserve">closed_won</t>
        </is>
      </c>
      <c r="G105" s="4">
        <v>1</v>
      </c>
      <c r="H105" s="4">
        <v>146800</v>
      </c>
      <c r="I105" s="4">
        <v>2</v>
      </c>
      <c r="J105" s="4">
        <v>0</v>
      </c>
      <c r="K105" s="16">
        <v>45882</v>
      </c>
      <c r="L105" s="16">
        <v>45924</v>
      </c>
      <c r="M105" s="0" t="inlineStr">
        <is>
          <t xml:space="preserve">aug25</t>
        </is>
      </c>
      <c r="N105" s="0" t="inlineStr">
        <is>
          <t xml:space="preserve">sep25</t>
        </is>
      </c>
      <c r="O105" s="4">
        <v>42</v>
      </c>
      <c r="P105" s="4">
        <v>1</v>
      </c>
      <c r="Q105" s="4">
        <v>0</v>
      </c>
      <c r="R105" s="4">
        <v>0</v>
      </c>
      <c r="S105" s="4">
        <f>(H105*INDEX('Stages'!$D$2:$D$7,MATCH(F105,'Stages'!$A$2:$A$7,0)))</f>
        <v>146800</v>
      </c>
      <c r="T105" s="4">
        <f>(H105*I105)</f>
        <v>293600</v>
      </c>
      <c r="U105" s="4">
        <f>(H105*(I105-1))</f>
        <v>146800</v>
      </c>
      <c r="V105" s="0" t="str">
        <f>INDEX('Account executives'!$B$2:$B$25,MATCH(C105,'Account executives'!$A$2:$A$25,0))</f>
        <v>amer_west</v>
      </c>
      <c r="W105" s="0" t="str">
        <f>INDEX('Account executives'!$C$2:$C$25,MATCH(C105,'Account executives'!$A$2:$A$25,0))</f>
        <v>enterprise</v>
      </c>
      <c r="X105" s="0" t="str">
        <f>SUBSTITUTE(LOWER(INDEX('Periods'!$G$2:$G$22,MATCH(N105,'Periods'!$A$2:$A$22,0)))," ","_")</f>
        <v>q3_2025</v>
      </c>
    </row>
    <row r="106">
      <c r="A106" s="0" t="inlineStr">
        <is>
          <t xml:space="preserve">o0105</t>
        </is>
      </c>
      <c r="B106" s="0" t="inlineStr">
        <is>
          <t xml:space="preserve">a1159</t>
        </is>
      </c>
      <c r="C106" s="0" t="inlineStr">
        <is>
          <t xml:space="preserve">r06</t>
        </is>
      </c>
      <c r="D106" s="0"/>
      <c r="E106" s="0" t="inlineStr">
        <is>
          <t xml:space="preserve">partner</t>
        </is>
      </c>
      <c r="F106" s="0" t="inlineStr">
        <is>
          <t xml:space="preserve">closed_lost</t>
        </is>
      </c>
      <c r="G106" s="4">
        <v>1</v>
      </c>
      <c r="H106" s="4">
        <v>17400</v>
      </c>
      <c r="I106" s="4">
        <v>1</v>
      </c>
      <c r="J106" s="4">
        <v>0</v>
      </c>
      <c r="K106" s="16">
        <v>46235</v>
      </c>
      <c r="L106" s="16">
        <v>46258</v>
      </c>
      <c r="M106" s="0" t="inlineStr">
        <is>
          <t xml:space="preserve">aug26</t>
        </is>
      </c>
      <c r="N106" s="0" t="inlineStr">
        <is>
          <t xml:space="preserve">aug26</t>
        </is>
      </c>
      <c r="O106" s="4">
        <v>23</v>
      </c>
      <c r="P106" s="4">
        <v>0</v>
      </c>
      <c r="Q106" s="4">
        <v>1</v>
      </c>
      <c r="R106" s="4">
        <v>0</v>
      </c>
      <c r="S106" s="4">
        <f>(H106*INDEX('Stages'!$D$2:$D$7,MATCH(F106,'Stages'!$A$2:$A$7,0)))</f>
        <v>0</v>
      </c>
      <c r="T106" s="4">
        <f>(H106*I106)</f>
        <v>17400</v>
      </c>
      <c r="U106" s="4">
        <f>(H106*(I106-1))</f>
        <v>0</v>
      </c>
      <c r="V106" s="0" t="str">
        <f>INDEX('Account executives'!$B$2:$B$25,MATCH(C106,'Account executives'!$A$2:$A$25,0))</f>
        <v>amer_east</v>
      </c>
      <c r="W106" s="0" t="str">
        <f>INDEX('Account executives'!$C$2:$C$25,MATCH(C106,'Account executives'!$A$2:$A$25,0))</f>
        <v>smb</v>
      </c>
      <c r="X106" s="0" t="str">
        <f>SUBSTITUTE(LOWER(INDEX('Periods'!$G$2:$G$22,MATCH(N106,'Periods'!$A$2:$A$22,0)))," ","_")</f>
        <v>q3_2026</v>
      </c>
    </row>
    <row r="107">
      <c r="A107" s="0" t="inlineStr">
        <is>
          <t xml:space="preserve">o0106</t>
        </is>
      </c>
      <c r="B107" s="0" t="inlineStr">
        <is>
          <t xml:space="preserve">a0164</t>
        </is>
      </c>
      <c r="C107" s="0" t="inlineStr">
        <is>
          <t xml:space="preserve">r06</t>
        </is>
      </c>
      <c r="D107" s="0"/>
      <c r="E107" s="0" t="inlineStr">
        <is>
          <t xml:space="preserve">referral</t>
        </is>
      </c>
      <c r="F107" s="0" t="inlineStr">
        <is>
          <t xml:space="preserve">discovery</t>
        </is>
      </c>
      <c r="G107" s="4">
        <v>0</v>
      </c>
      <c r="H107" s="4">
        <v>22400</v>
      </c>
      <c r="I107" s="4">
        <v>1</v>
      </c>
      <c r="J107" s="4">
        <v>0</v>
      </c>
      <c r="K107" s="16">
        <v>46277</v>
      </c>
      <c r="L107" s="16">
        <v>46371</v>
      </c>
      <c r="M107" s="0" t="inlineStr">
        <is>
          <t xml:space="preserve">sep26</t>
        </is>
      </c>
      <c r="N107" s="0" t="inlineStr">
        <is>
          <t xml:space="preserve">dec26</t>
        </is>
      </c>
      <c r="O107" s="4">
        <v>25</v>
      </c>
      <c r="P107" s="4">
        <v>0</v>
      </c>
      <c r="Q107" s="4">
        <v>0</v>
      </c>
      <c r="R107" s="4">
        <v>1</v>
      </c>
      <c r="S107" s="4">
        <f>(H107*INDEX('Stages'!$D$2:$D$7,MATCH(F107,'Stages'!$A$2:$A$7,0)))</f>
        <v>2240</v>
      </c>
      <c r="T107" s="4">
        <f>(H107*I107)</f>
        <v>22400</v>
      </c>
      <c r="U107" s="4">
        <f>(H107*(I107-1))</f>
        <v>0</v>
      </c>
      <c r="V107" s="0" t="str">
        <f>INDEX('Account executives'!$B$2:$B$25,MATCH(C107,'Account executives'!$A$2:$A$25,0))</f>
        <v>amer_east</v>
      </c>
      <c r="W107" s="0" t="str">
        <f>INDEX('Account executives'!$C$2:$C$25,MATCH(C107,'Account executives'!$A$2:$A$25,0))</f>
        <v>smb</v>
      </c>
      <c r="X107" s="0" t="str">
        <f>SUBSTITUTE(LOWER(INDEX('Periods'!$G$2:$G$22,MATCH(N107,'Periods'!$A$2:$A$22,0)))," ","_")</f>
        <v>q4_2026</v>
      </c>
    </row>
    <row r="108">
      <c r="A108" s="0" t="inlineStr">
        <is>
          <t xml:space="preserve">o0107</t>
        </is>
      </c>
      <c r="B108" s="0" t="inlineStr">
        <is>
          <t xml:space="preserve">a0103</t>
        </is>
      </c>
      <c r="C108" s="0" t="inlineStr">
        <is>
          <t xml:space="preserve">r07</t>
        </is>
      </c>
      <c r="D108" s="0" t="inlineStr">
        <is>
          <t xml:space="preserve">s_amer_west_out</t>
        </is>
      </c>
      <c r="E108" s="0" t="inlineStr">
        <is>
          <t xml:space="preserve">outbound</t>
        </is>
      </c>
      <c r="F108" s="0" t="inlineStr">
        <is>
          <t xml:space="preserve">closed_lost</t>
        </is>
      </c>
      <c r="G108" s="4">
        <v>1</v>
      </c>
      <c r="H108" s="4">
        <v>495100</v>
      </c>
      <c r="I108" s="4">
        <v>2</v>
      </c>
      <c r="J108" s="4">
        <v>1</v>
      </c>
      <c r="K108" s="16">
        <v>45781</v>
      </c>
      <c r="L108" s="16">
        <v>46019</v>
      </c>
      <c r="M108" s="0" t="inlineStr">
        <is>
          <t xml:space="preserve">may25</t>
        </is>
      </c>
      <c r="N108" s="0" t="inlineStr">
        <is>
          <t xml:space="preserve">dec25</t>
        </is>
      </c>
      <c r="O108" s="4">
        <v>238</v>
      </c>
      <c r="P108" s="4">
        <v>0</v>
      </c>
      <c r="Q108" s="4">
        <v>1</v>
      </c>
      <c r="R108" s="4">
        <v>0</v>
      </c>
      <c r="S108" s="4">
        <f>(H108*INDEX('Stages'!$D$2:$D$7,MATCH(F108,'Stages'!$A$2:$A$7,0)))</f>
        <v>0</v>
      </c>
      <c r="T108" s="4">
        <f>(H108*I108)</f>
        <v>990200</v>
      </c>
      <c r="U108" s="4">
        <f>(H108*(I108-1))</f>
        <v>495100</v>
      </c>
      <c r="V108" s="0" t="str">
        <f>INDEX('Account executives'!$B$2:$B$25,MATCH(C108,'Account executives'!$A$2:$A$25,0))</f>
        <v>amer_west</v>
      </c>
      <c r="W108" s="0" t="str">
        <f>INDEX('Account executives'!$C$2:$C$25,MATCH(C108,'Account executives'!$A$2:$A$25,0))</f>
        <v>enterprise</v>
      </c>
      <c r="X108" s="0" t="str">
        <f>SUBSTITUTE(LOWER(INDEX('Periods'!$G$2:$G$22,MATCH(N108,'Periods'!$A$2:$A$22,0)))," ","_")</f>
        <v>q4_2025</v>
      </c>
    </row>
    <row r="109">
      <c r="A109" s="0" t="inlineStr">
        <is>
          <t xml:space="preserve">o0108</t>
        </is>
      </c>
      <c r="B109" s="0" t="inlineStr">
        <is>
          <t xml:space="preserve">a1155</t>
        </is>
      </c>
      <c r="C109" s="0" t="inlineStr">
        <is>
          <t xml:space="preserve">r06</t>
        </is>
      </c>
      <c r="D109" s="0" t="inlineStr">
        <is>
          <t xml:space="preserve">s_amer_east_in</t>
        </is>
      </c>
      <c r="E109" s="0" t="inlineStr">
        <is>
          <t xml:space="preserve">paid</t>
        </is>
      </c>
      <c r="F109" s="0" t="inlineStr">
        <is>
          <t xml:space="preserve">closed_lost</t>
        </is>
      </c>
      <c r="G109" s="4">
        <v>1</v>
      </c>
      <c r="H109" s="4">
        <v>7300</v>
      </c>
      <c r="I109" s="4">
        <v>1</v>
      </c>
      <c r="J109" s="4">
        <v>1</v>
      </c>
      <c r="K109" s="16">
        <v>46237</v>
      </c>
      <c r="L109" s="16">
        <v>46270</v>
      </c>
      <c r="M109" s="0" t="inlineStr">
        <is>
          <t xml:space="preserve">aug26</t>
        </is>
      </c>
      <c r="N109" s="0" t="inlineStr">
        <is>
          <t xml:space="preserve">sep26</t>
        </is>
      </c>
      <c r="O109" s="4">
        <v>33</v>
      </c>
      <c r="P109" s="4">
        <v>0</v>
      </c>
      <c r="Q109" s="4">
        <v>1</v>
      </c>
      <c r="R109" s="4">
        <v>0</v>
      </c>
      <c r="S109" s="4">
        <f>(H109*INDEX('Stages'!$D$2:$D$7,MATCH(F109,'Stages'!$A$2:$A$7,0)))</f>
        <v>0</v>
      </c>
      <c r="T109" s="4">
        <f>(H109*I109)</f>
        <v>7300</v>
      </c>
      <c r="U109" s="4">
        <f>(H109*(I109-1))</f>
        <v>0</v>
      </c>
      <c r="V109" s="0" t="str">
        <f>INDEX('Account executives'!$B$2:$B$25,MATCH(C109,'Account executives'!$A$2:$A$25,0))</f>
        <v>amer_east</v>
      </c>
      <c r="W109" s="0" t="str">
        <f>INDEX('Account executives'!$C$2:$C$25,MATCH(C109,'Account executives'!$A$2:$A$25,0))</f>
        <v>smb</v>
      </c>
      <c r="X109" s="0" t="str">
        <f>SUBSTITUTE(LOWER(INDEX('Periods'!$G$2:$G$22,MATCH(N109,'Periods'!$A$2:$A$22,0)))," ","_")</f>
        <v>q3_2026</v>
      </c>
    </row>
    <row r="110">
      <c r="A110" s="0" t="inlineStr">
        <is>
          <t xml:space="preserve">o0109</t>
        </is>
      </c>
      <c r="B110" s="0" t="inlineStr">
        <is>
          <t xml:space="preserve">a0483</t>
        </is>
      </c>
      <c r="C110" s="0" t="inlineStr">
        <is>
          <t xml:space="preserve">r04</t>
        </is>
      </c>
      <c r="D110" s="0" t="inlineStr">
        <is>
          <t xml:space="preserve">s_amer_east_in</t>
        </is>
      </c>
      <c r="E110" s="0" t="inlineStr">
        <is>
          <t xml:space="preserve">paid</t>
        </is>
      </c>
      <c r="F110" s="0" t="inlineStr">
        <is>
          <t xml:space="preserve">closed_lost</t>
        </is>
      </c>
      <c r="G110" s="4">
        <v>1</v>
      </c>
      <c r="H110" s="4">
        <v>32000</v>
      </c>
      <c r="I110" s="4">
        <v>1</v>
      </c>
      <c r="J110" s="4">
        <v>0</v>
      </c>
      <c r="K110" s="16">
        <v>45968</v>
      </c>
      <c r="L110" s="16">
        <v>46034</v>
      </c>
      <c r="M110" s="0" t="inlineStr">
        <is>
          <t xml:space="preserve">nov25</t>
        </is>
      </c>
      <c r="N110" s="0" t="inlineStr">
        <is>
          <t xml:space="preserve">jan26</t>
        </is>
      </c>
      <c r="O110" s="4">
        <v>66</v>
      </c>
      <c r="P110" s="4">
        <v>0</v>
      </c>
      <c r="Q110" s="4">
        <v>1</v>
      </c>
      <c r="R110" s="4">
        <v>0</v>
      </c>
      <c r="S110" s="4">
        <f>(H110*INDEX('Stages'!$D$2:$D$7,MATCH(F110,'Stages'!$A$2:$A$7,0)))</f>
        <v>0</v>
      </c>
      <c r="T110" s="4">
        <f>(H110*I110)</f>
        <v>32000</v>
      </c>
      <c r="U110" s="4">
        <f>(H110*(I110-1))</f>
        <v>0</v>
      </c>
      <c r="V110" s="0" t="str">
        <f>INDEX('Account executives'!$B$2:$B$25,MATCH(C110,'Account executives'!$A$2:$A$25,0))</f>
        <v>amer_east</v>
      </c>
      <c r="W110" s="0" t="str">
        <f>INDEX('Account executives'!$C$2:$C$25,MATCH(C110,'Account executives'!$A$2:$A$25,0))</f>
        <v>mid_market</v>
      </c>
      <c r="X110" s="0" t="str">
        <f>SUBSTITUTE(LOWER(INDEX('Periods'!$G$2:$G$22,MATCH(N110,'Periods'!$A$2:$A$22,0)))," ","_")</f>
        <v>q1_2026</v>
      </c>
    </row>
    <row r="111">
      <c r="A111" s="0" t="inlineStr">
        <is>
          <t xml:space="preserve">o0110</t>
        </is>
      </c>
      <c r="B111" s="0" t="inlineStr">
        <is>
          <t xml:space="preserve">a0554</t>
        </is>
      </c>
      <c r="C111" s="0" t="inlineStr">
        <is>
          <t xml:space="preserve">r01</t>
        </is>
      </c>
      <c r="D111" s="0"/>
      <c r="E111" s="0" t="inlineStr">
        <is>
          <t xml:space="preserve">referral</t>
        </is>
      </c>
      <c r="F111" s="0" t="inlineStr">
        <is>
          <t xml:space="preserve">closed_lost</t>
        </is>
      </c>
      <c r="G111" s="4">
        <v>1</v>
      </c>
      <c r="H111" s="4">
        <v>295800</v>
      </c>
      <c r="I111" s="4">
        <v>2</v>
      </c>
      <c r="J111" s="4">
        <v>1</v>
      </c>
      <c r="K111" s="16">
        <v>46014</v>
      </c>
      <c r="L111" s="16">
        <v>46087</v>
      </c>
      <c r="M111" s="0" t="inlineStr">
        <is>
          <t xml:space="preserve">dec25</t>
        </is>
      </c>
      <c r="N111" s="0" t="inlineStr">
        <is>
          <t xml:space="preserve">mar26</t>
        </is>
      </c>
      <c r="O111" s="4">
        <v>73</v>
      </c>
      <c r="P111" s="4">
        <v>0</v>
      </c>
      <c r="Q111" s="4">
        <v>1</v>
      </c>
      <c r="R111" s="4">
        <v>0</v>
      </c>
      <c r="S111" s="4">
        <f>(H111*INDEX('Stages'!$D$2:$D$7,MATCH(F111,'Stages'!$A$2:$A$7,0)))</f>
        <v>0</v>
      </c>
      <c r="T111" s="4">
        <f>(H111*I111)</f>
        <v>591600</v>
      </c>
      <c r="U111" s="4">
        <f>(H111*(I111-1))</f>
        <v>295800</v>
      </c>
      <c r="V111" s="0" t="str">
        <f>INDEX('Account executives'!$B$2:$B$25,MATCH(C111,'Account executives'!$A$2:$A$25,0))</f>
        <v>amer_east</v>
      </c>
      <c r="W111" s="0" t="str">
        <f>INDEX('Account executives'!$C$2:$C$25,MATCH(C111,'Account executives'!$A$2:$A$25,0))</f>
        <v>enterprise</v>
      </c>
      <c r="X111" s="0" t="str">
        <f>SUBSTITUTE(LOWER(INDEX('Periods'!$G$2:$G$22,MATCH(N111,'Periods'!$A$2:$A$22,0)))," ","_")</f>
        <v>q1_2026</v>
      </c>
    </row>
    <row r="112">
      <c r="A112" s="0" t="inlineStr">
        <is>
          <t xml:space="preserve">o0111</t>
        </is>
      </c>
      <c r="B112" s="0" t="inlineStr">
        <is>
          <t xml:space="preserve">a0683</t>
        </is>
      </c>
      <c r="C112" s="0" t="inlineStr">
        <is>
          <t xml:space="preserve">r07</t>
        </is>
      </c>
      <c r="D112" s="0"/>
      <c r="E112" s="0" t="inlineStr">
        <is>
          <t xml:space="preserve">events</t>
        </is>
      </c>
      <c r="F112" s="0" t="inlineStr">
        <is>
          <t xml:space="preserve">negotiation</t>
        </is>
      </c>
      <c r="G112" s="4">
        <v>1</v>
      </c>
      <c r="H112" s="4">
        <v>72200</v>
      </c>
      <c r="I112" s="4">
        <v>1</v>
      </c>
      <c r="J112" s="4">
        <v>0</v>
      </c>
      <c r="K112" s="16">
        <v>46074</v>
      </c>
      <c r="L112" s="16">
        <v>46293</v>
      </c>
      <c r="M112" s="0" t="inlineStr">
        <is>
          <t xml:space="preserve">feb26</t>
        </is>
      </c>
      <c r="N112" s="0" t="inlineStr">
        <is>
          <t xml:space="preserve">sep26</t>
        </is>
      </c>
      <c r="O112" s="4">
        <v>219</v>
      </c>
      <c r="P112" s="4">
        <v>0</v>
      </c>
      <c r="Q112" s="4">
        <v>0</v>
      </c>
      <c r="R112" s="4">
        <v>1</v>
      </c>
      <c r="S112" s="4">
        <f>(H112*INDEX('Stages'!$D$2:$D$7,MATCH(F112,'Stages'!$A$2:$A$7,0)))</f>
        <v>54150</v>
      </c>
      <c r="T112" s="4">
        <f>(H112*I112)</f>
        <v>72200</v>
      </c>
      <c r="U112" s="4">
        <f>(H112*(I112-1))</f>
        <v>0</v>
      </c>
      <c r="V112" s="0" t="str">
        <f>INDEX('Account executives'!$B$2:$B$25,MATCH(C112,'Account executives'!$A$2:$A$25,0))</f>
        <v>amer_west</v>
      </c>
      <c r="W112" s="0" t="str">
        <f>INDEX('Account executives'!$C$2:$C$25,MATCH(C112,'Account executives'!$A$2:$A$25,0))</f>
        <v>enterprise</v>
      </c>
      <c r="X112" s="0" t="str">
        <f>SUBSTITUTE(LOWER(INDEX('Periods'!$G$2:$G$22,MATCH(N112,'Periods'!$A$2:$A$22,0)))," ","_")</f>
        <v>q3_2026</v>
      </c>
    </row>
    <row r="113">
      <c r="A113" s="0" t="inlineStr">
        <is>
          <t xml:space="preserve">o0112</t>
        </is>
      </c>
      <c r="B113" s="0" t="inlineStr">
        <is>
          <t xml:space="preserve">a0273</t>
        </is>
      </c>
      <c r="C113" s="0" t="inlineStr">
        <is>
          <t xml:space="preserve">r13</t>
        </is>
      </c>
      <c r="D113" s="0" t="inlineStr">
        <is>
          <t xml:space="preserve">s_emea_in</t>
        </is>
      </c>
      <c r="E113" s="0" t="inlineStr">
        <is>
          <t xml:space="preserve">inbound</t>
        </is>
      </c>
      <c r="F113" s="0" t="inlineStr">
        <is>
          <t xml:space="preserve">closed_won</t>
        </is>
      </c>
      <c r="G113" s="4">
        <v>1</v>
      </c>
      <c r="H113" s="4">
        <v>418100</v>
      </c>
      <c r="I113" s="4">
        <v>1</v>
      </c>
      <c r="J113" s="4">
        <v>0</v>
      </c>
      <c r="K113" s="16">
        <v>45855</v>
      </c>
      <c r="L113" s="16">
        <v>45919</v>
      </c>
      <c r="M113" s="0" t="inlineStr">
        <is>
          <t xml:space="preserve">jul25</t>
        </is>
      </c>
      <c r="N113" s="0" t="inlineStr">
        <is>
          <t xml:space="preserve">sep25</t>
        </is>
      </c>
      <c r="O113" s="4">
        <v>64</v>
      </c>
      <c r="P113" s="4">
        <v>1</v>
      </c>
      <c r="Q113" s="4">
        <v>0</v>
      </c>
      <c r="R113" s="4">
        <v>0</v>
      </c>
      <c r="S113" s="4">
        <f>(H113*INDEX('Stages'!$D$2:$D$7,MATCH(F113,'Stages'!$A$2:$A$7,0)))</f>
        <v>418100</v>
      </c>
      <c r="T113" s="4">
        <f>(H113*I113)</f>
        <v>418100</v>
      </c>
      <c r="U113" s="4">
        <f>(H113*(I113-1))</f>
        <v>0</v>
      </c>
      <c r="V113" s="0" t="str">
        <f>INDEX('Account executives'!$B$2:$B$25,MATCH(C113,'Account executives'!$A$2:$A$25,0))</f>
        <v>emea</v>
      </c>
      <c r="W113" s="0" t="str">
        <f>INDEX('Account executives'!$C$2:$C$25,MATCH(C113,'Account executives'!$A$2:$A$25,0))</f>
        <v>enterprise</v>
      </c>
      <c r="X113" s="0" t="str">
        <f>SUBSTITUTE(LOWER(INDEX('Periods'!$G$2:$G$22,MATCH(N113,'Periods'!$A$2:$A$22,0)))," ","_")</f>
        <v>q3_2025</v>
      </c>
    </row>
    <row r="114">
      <c r="A114" s="0" t="inlineStr">
        <is>
          <t xml:space="preserve">o0113</t>
        </is>
      </c>
      <c r="B114" s="0" t="inlineStr">
        <is>
          <t xml:space="preserve">a0495</t>
        </is>
      </c>
      <c r="C114" s="0" t="inlineStr">
        <is>
          <t xml:space="preserve">r08</t>
        </is>
      </c>
      <c r="D114" s="0" t="inlineStr">
        <is>
          <t xml:space="preserve">s_amer_west_out</t>
        </is>
      </c>
      <c r="E114" s="0" t="inlineStr">
        <is>
          <t xml:space="preserve">outbound</t>
        </is>
      </c>
      <c r="F114" s="0" t="inlineStr">
        <is>
          <t xml:space="preserve">closed_won</t>
        </is>
      </c>
      <c r="G114" s="4">
        <v>0</v>
      </c>
      <c r="H114" s="4">
        <v>126700</v>
      </c>
      <c r="I114" s="4">
        <v>3</v>
      </c>
      <c r="J114" s="4">
        <v>0</v>
      </c>
      <c r="K114" s="16">
        <v>46043</v>
      </c>
      <c r="L114" s="16">
        <v>46207</v>
      </c>
      <c r="M114" s="0" t="inlineStr">
        <is>
          <t xml:space="preserve">jan26</t>
        </is>
      </c>
      <c r="N114" s="0" t="inlineStr">
        <is>
          <t xml:space="preserve">jul26</t>
        </is>
      </c>
      <c r="O114" s="4">
        <v>164</v>
      </c>
      <c r="P114" s="4">
        <v>1</v>
      </c>
      <c r="Q114" s="4">
        <v>0</v>
      </c>
      <c r="R114" s="4">
        <v>0</v>
      </c>
      <c r="S114" s="4">
        <f>(H114*INDEX('Stages'!$D$2:$D$7,MATCH(F114,'Stages'!$A$2:$A$7,0)))</f>
        <v>126700</v>
      </c>
      <c r="T114" s="4">
        <f>(H114*I114)</f>
        <v>380100</v>
      </c>
      <c r="U114" s="4">
        <f>(H114*(I114-1))</f>
        <v>253400</v>
      </c>
      <c r="V114" s="0" t="str">
        <f>INDEX('Account executives'!$B$2:$B$25,MATCH(C114,'Account executives'!$A$2:$A$25,0))</f>
        <v>amer_west</v>
      </c>
      <c r="W114" s="0" t="str">
        <f>INDEX('Account executives'!$C$2:$C$25,MATCH(C114,'Account executives'!$A$2:$A$25,0))</f>
        <v>enterprise</v>
      </c>
      <c r="X114" s="0" t="str">
        <f>SUBSTITUTE(LOWER(INDEX('Periods'!$G$2:$G$22,MATCH(N114,'Periods'!$A$2:$A$22,0)))," ","_")</f>
        <v>q3_2026</v>
      </c>
    </row>
    <row r="115">
      <c r="A115" s="0" t="inlineStr">
        <is>
          <t xml:space="preserve">o0114</t>
        </is>
      </c>
      <c r="B115" s="0" t="inlineStr">
        <is>
          <t xml:space="preserve">a0723</t>
        </is>
      </c>
      <c r="C115" s="0" t="inlineStr">
        <is>
          <t xml:space="preserve">r05</t>
        </is>
      </c>
      <c r="D115" s="0" t="inlineStr">
        <is>
          <t xml:space="preserve">s_amer_east_in</t>
        </is>
      </c>
      <c r="E115" s="0" t="inlineStr">
        <is>
          <t xml:space="preserve">inbound</t>
        </is>
      </c>
      <c r="F115" s="0" t="inlineStr">
        <is>
          <t xml:space="preserve">closed_lost</t>
        </is>
      </c>
      <c r="G115" s="4">
        <v>0</v>
      </c>
      <c r="H115" s="4">
        <v>8500</v>
      </c>
      <c r="I115" s="4">
        <v>1</v>
      </c>
      <c r="J115" s="4">
        <v>0</v>
      </c>
      <c r="K115" s="16">
        <v>46130</v>
      </c>
      <c r="L115" s="16">
        <v>46158</v>
      </c>
      <c r="M115" s="0" t="inlineStr">
        <is>
          <t xml:space="preserve">apr26</t>
        </is>
      </c>
      <c r="N115" s="0" t="inlineStr">
        <is>
          <t xml:space="preserve">may26</t>
        </is>
      </c>
      <c r="O115" s="4">
        <v>28</v>
      </c>
      <c r="P115" s="4">
        <v>0</v>
      </c>
      <c r="Q115" s="4">
        <v>1</v>
      </c>
      <c r="R115" s="4">
        <v>0</v>
      </c>
      <c r="S115" s="4">
        <f>(H115*INDEX('Stages'!$D$2:$D$7,MATCH(F115,'Stages'!$A$2:$A$7,0)))</f>
        <v>0</v>
      </c>
      <c r="T115" s="4">
        <f>(H115*I115)</f>
        <v>8500</v>
      </c>
      <c r="U115" s="4">
        <f>(H115*(I115-1))</f>
        <v>0</v>
      </c>
      <c r="V115" s="0" t="str">
        <f>INDEX('Account executives'!$B$2:$B$25,MATCH(C115,'Account executives'!$A$2:$A$25,0))</f>
        <v>amer_east</v>
      </c>
      <c r="W115" s="0" t="str">
        <f>INDEX('Account executives'!$C$2:$C$25,MATCH(C115,'Account executives'!$A$2:$A$25,0))</f>
        <v>smb</v>
      </c>
      <c r="X115" s="0" t="str">
        <f>SUBSTITUTE(LOWER(INDEX('Periods'!$G$2:$G$22,MATCH(N115,'Periods'!$A$2:$A$22,0)))," ","_")</f>
        <v>q2_2026</v>
      </c>
    </row>
    <row r="116">
      <c r="A116" s="0" t="inlineStr">
        <is>
          <t xml:space="preserve">o0115</t>
        </is>
      </c>
      <c r="B116" s="0" t="inlineStr">
        <is>
          <t xml:space="preserve">a0824</t>
        </is>
      </c>
      <c r="C116" s="0" t="inlineStr">
        <is>
          <t xml:space="preserve">r03</t>
        </is>
      </c>
      <c r="D116" s="0" t="inlineStr">
        <is>
          <t xml:space="preserve">s_amer_east_in</t>
        </is>
      </c>
      <c r="E116" s="0" t="inlineStr">
        <is>
          <t xml:space="preserve">paid</t>
        </is>
      </c>
      <c r="F116" s="0" t="inlineStr">
        <is>
          <t xml:space="preserve">closed_lost</t>
        </is>
      </c>
      <c r="G116" s="4">
        <v>1</v>
      </c>
      <c r="H116" s="4">
        <v>40700</v>
      </c>
      <c r="I116" s="4">
        <v>1</v>
      </c>
      <c r="J116" s="4">
        <v>1</v>
      </c>
      <c r="K116" s="16">
        <v>46116</v>
      </c>
      <c r="L116" s="16">
        <v>46205</v>
      </c>
      <c r="M116" s="0" t="inlineStr">
        <is>
          <t xml:space="preserve">apr26</t>
        </is>
      </c>
      <c r="N116" s="0" t="inlineStr">
        <is>
          <t xml:space="preserve">jul26</t>
        </is>
      </c>
      <c r="O116" s="4">
        <v>89</v>
      </c>
      <c r="P116" s="4">
        <v>0</v>
      </c>
      <c r="Q116" s="4">
        <v>1</v>
      </c>
      <c r="R116" s="4">
        <v>0</v>
      </c>
      <c r="S116" s="4">
        <f>(H116*INDEX('Stages'!$D$2:$D$7,MATCH(F116,'Stages'!$A$2:$A$7,0)))</f>
        <v>0</v>
      </c>
      <c r="T116" s="4">
        <f>(H116*I116)</f>
        <v>40700</v>
      </c>
      <c r="U116" s="4">
        <f>(H116*(I116-1))</f>
        <v>0</v>
      </c>
      <c r="V116" s="0" t="str">
        <f>INDEX('Account executives'!$B$2:$B$25,MATCH(C116,'Account executives'!$A$2:$A$25,0))</f>
        <v>amer_east</v>
      </c>
      <c r="W116" s="0" t="str">
        <f>INDEX('Account executives'!$C$2:$C$25,MATCH(C116,'Account executives'!$A$2:$A$25,0))</f>
        <v>mid_market</v>
      </c>
      <c r="X116" s="0" t="str">
        <f>SUBSTITUTE(LOWER(INDEX('Periods'!$G$2:$G$22,MATCH(N116,'Periods'!$A$2:$A$22,0)))," ","_")</f>
        <v>q3_2026</v>
      </c>
    </row>
    <row r="117">
      <c r="A117" s="0" t="inlineStr">
        <is>
          <t xml:space="preserve">o0116</t>
        </is>
      </c>
      <c r="B117" s="0" t="inlineStr">
        <is>
          <t xml:space="preserve">a0420</t>
        </is>
      </c>
      <c r="C117" s="0" t="inlineStr">
        <is>
          <t xml:space="preserve">r05</t>
        </is>
      </c>
      <c r="D117" s="0"/>
      <c r="E117" s="0" t="inlineStr">
        <is>
          <t xml:space="preserve">referral</t>
        </is>
      </c>
      <c r="F117" s="0" t="inlineStr">
        <is>
          <t xml:space="preserve">closed_lost</t>
        </is>
      </c>
      <c r="G117" s="4">
        <v>0</v>
      </c>
      <c r="H117" s="4">
        <v>5900</v>
      </c>
      <c r="I117" s="4">
        <v>1</v>
      </c>
      <c r="J117" s="4">
        <v>1</v>
      </c>
      <c r="K117" s="16">
        <v>46116</v>
      </c>
      <c r="L117" s="16">
        <v>46147</v>
      </c>
      <c r="M117" s="0" t="inlineStr">
        <is>
          <t xml:space="preserve">apr26</t>
        </is>
      </c>
      <c r="N117" s="0" t="inlineStr">
        <is>
          <t xml:space="preserve">may26</t>
        </is>
      </c>
      <c r="O117" s="4">
        <v>31</v>
      </c>
      <c r="P117" s="4">
        <v>0</v>
      </c>
      <c r="Q117" s="4">
        <v>1</v>
      </c>
      <c r="R117" s="4">
        <v>0</v>
      </c>
      <c r="S117" s="4">
        <f>(H117*INDEX('Stages'!$D$2:$D$7,MATCH(F117,'Stages'!$A$2:$A$7,0)))</f>
        <v>0</v>
      </c>
      <c r="T117" s="4">
        <f>(H117*I117)</f>
        <v>5900</v>
      </c>
      <c r="U117" s="4">
        <f>(H117*(I117-1))</f>
        <v>0</v>
      </c>
      <c r="V117" s="0" t="str">
        <f>INDEX('Account executives'!$B$2:$B$25,MATCH(C117,'Account executives'!$A$2:$A$25,0))</f>
        <v>amer_east</v>
      </c>
      <c r="W117" s="0" t="str">
        <f>INDEX('Account executives'!$C$2:$C$25,MATCH(C117,'Account executives'!$A$2:$A$25,0))</f>
        <v>smb</v>
      </c>
      <c r="X117" s="0" t="str">
        <f>SUBSTITUTE(LOWER(INDEX('Periods'!$G$2:$G$22,MATCH(N117,'Periods'!$A$2:$A$22,0)))," ","_")</f>
        <v>q2_2026</v>
      </c>
    </row>
    <row r="118">
      <c r="A118" s="0" t="inlineStr">
        <is>
          <t xml:space="preserve">o0117</t>
        </is>
      </c>
      <c r="B118" s="0" t="inlineStr">
        <is>
          <t xml:space="preserve">a0191</t>
        </is>
      </c>
      <c r="C118" s="0" t="inlineStr">
        <is>
          <t xml:space="preserve">r12</t>
        </is>
      </c>
      <c r="D118" s="0" t="inlineStr">
        <is>
          <t xml:space="preserve">s_amer_west_in</t>
        </is>
      </c>
      <c r="E118" s="0" t="inlineStr">
        <is>
          <t xml:space="preserve">paid</t>
        </is>
      </c>
      <c r="F118" s="0" t="inlineStr">
        <is>
          <t xml:space="preserve">closed_lost</t>
        </is>
      </c>
      <c r="G118" s="4">
        <v>1</v>
      </c>
      <c r="H118" s="4">
        <v>17800</v>
      </c>
      <c r="I118" s="4">
        <v>2</v>
      </c>
      <c r="J118" s="4">
        <v>0</v>
      </c>
      <c r="K118" s="16">
        <v>45829</v>
      </c>
      <c r="L118" s="16">
        <v>45836</v>
      </c>
      <c r="M118" s="0" t="inlineStr">
        <is>
          <t xml:space="preserve">jun25</t>
        </is>
      </c>
      <c r="N118" s="0" t="inlineStr">
        <is>
          <t xml:space="preserve">jun25</t>
        </is>
      </c>
      <c r="O118" s="4">
        <v>7</v>
      </c>
      <c r="P118" s="4">
        <v>0</v>
      </c>
      <c r="Q118" s="4">
        <v>1</v>
      </c>
      <c r="R118" s="4">
        <v>0</v>
      </c>
      <c r="S118" s="4">
        <f>(H118*INDEX('Stages'!$D$2:$D$7,MATCH(F118,'Stages'!$A$2:$A$7,0)))</f>
        <v>0</v>
      </c>
      <c r="T118" s="4">
        <f>(H118*I118)</f>
        <v>35600</v>
      </c>
      <c r="U118" s="4">
        <f>(H118*(I118-1))</f>
        <v>17800</v>
      </c>
      <c r="V118" s="0" t="str">
        <f>INDEX('Account executives'!$B$2:$B$25,MATCH(C118,'Account executives'!$A$2:$A$25,0))</f>
        <v>amer_west</v>
      </c>
      <c r="W118" s="0" t="str">
        <f>INDEX('Account executives'!$C$2:$C$25,MATCH(C118,'Account executives'!$A$2:$A$25,0))</f>
        <v>smb</v>
      </c>
      <c r="X118" s="0" t="str">
        <f>SUBSTITUTE(LOWER(INDEX('Periods'!$G$2:$G$22,MATCH(N118,'Periods'!$A$2:$A$22,0)))," ","_")</f>
        <v>q2_2025</v>
      </c>
    </row>
    <row r="119">
      <c r="A119" s="0" t="inlineStr">
        <is>
          <t xml:space="preserve">o0118</t>
        </is>
      </c>
      <c r="B119" s="0" t="inlineStr">
        <is>
          <t xml:space="preserve">a0401</t>
        </is>
      </c>
      <c r="C119" s="0" t="inlineStr">
        <is>
          <t xml:space="preserve">r15</t>
        </is>
      </c>
      <c r="D119" s="0" t="inlineStr">
        <is>
          <t xml:space="preserve">s_emea_out</t>
        </is>
      </c>
      <c r="E119" s="0" t="inlineStr">
        <is>
          <t xml:space="preserve">outbound</t>
        </is>
      </c>
      <c r="F119" s="0" t="inlineStr">
        <is>
          <t xml:space="preserve">closed_won</t>
        </is>
      </c>
      <c r="G119" s="4">
        <v>1</v>
      </c>
      <c r="H119" s="4">
        <v>75900</v>
      </c>
      <c r="I119" s="4">
        <v>1</v>
      </c>
      <c r="J119" s="4">
        <v>0</v>
      </c>
      <c r="K119" s="16">
        <v>45903</v>
      </c>
      <c r="L119" s="16">
        <v>45978</v>
      </c>
      <c r="M119" s="0" t="inlineStr">
        <is>
          <t xml:space="preserve">sep25</t>
        </is>
      </c>
      <c r="N119" s="0" t="inlineStr">
        <is>
          <t xml:space="preserve">nov25</t>
        </is>
      </c>
      <c r="O119" s="4">
        <v>75</v>
      </c>
      <c r="P119" s="4">
        <v>1</v>
      </c>
      <c r="Q119" s="4">
        <v>0</v>
      </c>
      <c r="R119" s="4">
        <v>0</v>
      </c>
      <c r="S119" s="4">
        <f>(H119*INDEX('Stages'!$D$2:$D$7,MATCH(F119,'Stages'!$A$2:$A$7,0)))</f>
        <v>75900</v>
      </c>
      <c r="T119" s="4">
        <f>(H119*I119)</f>
        <v>75900</v>
      </c>
      <c r="U119" s="4">
        <f>(H119*(I119-1))</f>
        <v>0</v>
      </c>
      <c r="V119" s="0" t="str">
        <f>INDEX('Account executives'!$B$2:$B$25,MATCH(C119,'Account executives'!$A$2:$A$25,0))</f>
        <v>emea</v>
      </c>
      <c r="W119" s="0" t="str">
        <f>INDEX('Account executives'!$C$2:$C$25,MATCH(C119,'Account executives'!$A$2:$A$25,0))</f>
        <v>mid_market</v>
      </c>
      <c r="X119" s="0" t="str">
        <f>SUBSTITUTE(LOWER(INDEX('Periods'!$G$2:$G$22,MATCH(N119,'Periods'!$A$2:$A$22,0)))," ","_")</f>
        <v>q4_2025</v>
      </c>
    </row>
    <row r="120">
      <c r="A120" s="0" t="inlineStr">
        <is>
          <t xml:space="preserve">o0119</t>
        </is>
      </c>
      <c r="B120" s="0" t="inlineStr">
        <is>
          <t xml:space="preserve">a0902</t>
        </is>
      </c>
      <c r="C120" s="0" t="inlineStr">
        <is>
          <t xml:space="preserve">r01</t>
        </is>
      </c>
      <c r="D120" s="0"/>
      <c r="E120" s="0" t="inlineStr">
        <is>
          <t xml:space="preserve">partner</t>
        </is>
      </c>
      <c r="F120" s="0" t="inlineStr">
        <is>
          <t xml:space="preserve">negotiation</t>
        </is>
      </c>
      <c r="G120" s="4">
        <v>1</v>
      </c>
      <c r="H120" s="4">
        <v>65500</v>
      </c>
      <c r="I120" s="4">
        <v>3</v>
      </c>
      <c r="J120" s="4">
        <v>0</v>
      </c>
      <c r="K120" s="16">
        <v>46143</v>
      </c>
      <c r="L120" s="16">
        <v>46320</v>
      </c>
      <c r="M120" s="0" t="inlineStr">
        <is>
          <t xml:space="preserve">may26</t>
        </is>
      </c>
      <c r="N120" s="0" t="inlineStr">
        <is>
          <t xml:space="preserve">oct26</t>
        </is>
      </c>
      <c r="O120" s="4">
        <v>160</v>
      </c>
      <c r="P120" s="4">
        <v>0</v>
      </c>
      <c r="Q120" s="4">
        <v>0</v>
      </c>
      <c r="R120" s="4">
        <v>1</v>
      </c>
      <c r="S120" s="4">
        <f>(H120*INDEX('Stages'!$D$2:$D$7,MATCH(F120,'Stages'!$A$2:$A$7,0)))</f>
        <v>49125</v>
      </c>
      <c r="T120" s="4">
        <f>(H120*I120)</f>
        <v>196500</v>
      </c>
      <c r="U120" s="4">
        <f>(H120*(I120-1))</f>
        <v>131000</v>
      </c>
      <c r="V120" s="0" t="str">
        <f>INDEX('Account executives'!$B$2:$B$25,MATCH(C120,'Account executives'!$A$2:$A$25,0))</f>
        <v>amer_east</v>
      </c>
      <c r="W120" s="0" t="str">
        <f>INDEX('Account executives'!$C$2:$C$25,MATCH(C120,'Account executives'!$A$2:$A$25,0))</f>
        <v>enterprise</v>
      </c>
      <c r="X120" s="0" t="str">
        <f>SUBSTITUTE(LOWER(INDEX('Periods'!$G$2:$G$22,MATCH(N120,'Periods'!$A$2:$A$22,0)))," ","_")</f>
        <v>q4_2026</v>
      </c>
    </row>
    <row r="121">
      <c r="A121" s="0" t="inlineStr">
        <is>
          <t xml:space="preserve">o0120</t>
        </is>
      </c>
      <c r="B121" s="0" t="inlineStr">
        <is>
          <t xml:space="preserve">a0830</t>
        </is>
      </c>
      <c r="C121" s="0" t="inlineStr">
        <is>
          <t xml:space="preserve">r03</t>
        </is>
      </c>
      <c r="D121" s="0"/>
      <c r="E121" s="0" t="inlineStr">
        <is>
          <t xml:space="preserve">events</t>
        </is>
      </c>
      <c r="F121" s="0" t="inlineStr">
        <is>
          <t xml:space="preserve">closed_lost</t>
        </is>
      </c>
      <c r="G121" s="4">
        <v>1</v>
      </c>
      <c r="H121" s="4">
        <v>40700</v>
      </c>
      <c r="I121" s="4">
        <v>3</v>
      </c>
      <c r="J121" s="4">
        <v>0</v>
      </c>
      <c r="K121" s="16">
        <v>46126</v>
      </c>
      <c r="L121" s="16">
        <v>46201</v>
      </c>
      <c r="M121" s="0" t="inlineStr">
        <is>
          <t xml:space="preserve">apr26</t>
        </is>
      </c>
      <c r="N121" s="0" t="inlineStr">
        <is>
          <t xml:space="preserve">jun26</t>
        </is>
      </c>
      <c r="O121" s="4">
        <v>75</v>
      </c>
      <c r="P121" s="4">
        <v>0</v>
      </c>
      <c r="Q121" s="4">
        <v>1</v>
      </c>
      <c r="R121" s="4">
        <v>0</v>
      </c>
      <c r="S121" s="4">
        <f>(H121*INDEX('Stages'!$D$2:$D$7,MATCH(F121,'Stages'!$A$2:$A$7,0)))</f>
        <v>0</v>
      </c>
      <c r="T121" s="4">
        <f>(H121*I121)</f>
        <v>122100</v>
      </c>
      <c r="U121" s="4">
        <f>(H121*(I121-1))</f>
        <v>81400</v>
      </c>
      <c r="V121" s="0" t="str">
        <f>INDEX('Account executives'!$B$2:$B$25,MATCH(C121,'Account executives'!$A$2:$A$25,0))</f>
        <v>amer_east</v>
      </c>
      <c r="W121" s="0" t="str">
        <f>INDEX('Account executives'!$C$2:$C$25,MATCH(C121,'Account executives'!$A$2:$A$25,0))</f>
        <v>mid_market</v>
      </c>
      <c r="X121" s="0" t="str">
        <f>SUBSTITUTE(LOWER(INDEX('Periods'!$G$2:$G$22,MATCH(N121,'Periods'!$A$2:$A$22,0)))," ","_")</f>
        <v>q2_2026</v>
      </c>
    </row>
    <row r="122">
      <c r="A122" s="0" t="inlineStr">
        <is>
          <t xml:space="preserve">o0121</t>
        </is>
      </c>
      <c r="B122" s="0" t="inlineStr">
        <is>
          <t xml:space="preserve">a0398</t>
        </is>
      </c>
      <c r="C122" s="0" t="inlineStr">
        <is>
          <t xml:space="preserve">r18</t>
        </is>
      </c>
      <c r="D122" s="0"/>
      <c r="E122" s="0" t="inlineStr">
        <is>
          <t xml:space="preserve">events</t>
        </is>
      </c>
      <c r="F122" s="0" t="inlineStr">
        <is>
          <t xml:space="preserve">closed_lost</t>
        </is>
      </c>
      <c r="G122" s="4">
        <v>1</v>
      </c>
      <c r="H122" s="4">
        <v>11500</v>
      </c>
      <c r="I122" s="4">
        <v>1</v>
      </c>
      <c r="J122" s="4">
        <v>0</v>
      </c>
      <c r="K122" s="16">
        <v>45910</v>
      </c>
      <c r="L122" s="16">
        <v>45938</v>
      </c>
      <c r="M122" s="0" t="inlineStr">
        <is>
          <t xml:space="preserve">sep25</t>
        </is>
      </c>
      <c r="N122" s="0" t="inlineStr">
        <is>
          <t xml:space="preserve">oct25</t>
        </is>
      </c>
      <c r="O122" s="4">
        <v>28</v>
      </c>
      <c r="P122" s="4">
        <v>0</v>
      </c>
      <c r="Q122" s="4">
        <v>1</v>
      </c>
      <c r="R122" s="4">
        <v>0</v>
      </c>
      <c r="S122" s="4">
        <f>(H122*INDEX('Stages'!$D$2:$D$7,MATCH(F122,'Stages'!$A$2:$A$7,0)))</f>
        <v>0</v>
      </c>
      <c r="T122" s="4">
        <f>(H122*I122)</f>
        <v>11500</v>
      </c>
      <c r="U122" s="4">
        <f>(H122*(I122-1))</f>
        <v>0</v>
      </c>
      <c r="V122" s="0" t="str">
        <f>INDEX('Account executives'!$B$2:$B$25,MATCH(C122,'Account executives'!$A$2:$A$25,0))</f>
        <v>emea</v>
      </c>
      <c r="W122" s="0" t="str">
        <f>INDEX('Account executives'!$C$2:$C$25,MATCH(C122,'Account executives'!$A$2:$A$25,0))</f>
        <v>smb</v>
      </c>
      <c r="X122" s="0" t="str">
        <f>SUBSTITUTE(LOWER(INDEX('Periods'!$G$2:$G$22,MATCH(N122,'Periods'!$A$2:$A$22,0)))," ","_")</f>
        <v>q4_2025</v>
      </c>
    </row>
    <row r="123">
      <c r="A123" s="0" t="inlineStr">
        <is>
          <t xml:space="preserve">o0122</t>
        </is>
      </c>
      <c r="B123" s="0" t="inlineStr">
        <is>
          <t xml:space="preserve">a0330</t>
        </is>
      </c>
      <c r="C123" s="0" t="inlineStr">
        <is>
          <t xml:space="preserve">r09</t>
        </is>
      </c>
      <c r="D123" s="0"/>
      <c r="E123" s="0" t="inlineStr">
        <is>
          <t xml:space="preserve">events</t>
        </is>
      </c>
      <c r="F123" s="0" t="inlineStr">
        <is>
          <t xml:space="preserve">closed_lost</t>
        </is>
      </c>
      <c r="G123" s="4">
        <v>0</v>
      </c>
      <c r="H123" s="4">
        <v>13800</v>
      </c>
      <c r="I123" s="4">
        <v>1</v>
      </c>
      <c r="J123" s="4">
        <v>0</v>
      </c>
      <c r="K123" s="16">
        <v>46095</v>
      </c>
      <c r="L123" s="16">
        <v>46201</v>
      </c>
      <c r="M123" s="0" t="inlineStr">
        <is>
          <t xml:space="preserve">mar26</t>
        </is>
      </c>
      <c r="N123" s="0" t="inlineStr">
        <is>
          <t xml:space="preserve">jun26</t>
        </is>
      </c>
      <c r="O123" s="4">
        <v>106</v>
      </c>
      <c r="P123" s="4">
        <v>0</v>
      </c>
      <c r="Q123" s="4">
        <v>1</v>
      </c>
      <c r="R123" s="4">
        <v>0</v>
      </c>
      <c r="S123" s="4">
        <f>(H123*INDEX('Stages'!$D$2:$D$7,MATCH(F123,'Stages'!$A$2:$A$7,0)))</f>
        <v>0</v>
      </c>
      <c r="T123" s="4">
        <f>(H123*I123)</f>
        <v>13800</v>
      </c>
      <c r="U123" s="4">
        <f>(H123*(I123-1))</f>
        <v>0</v>
      </c>
      <c r="V123" s="0" t="str">
        <f>INDEX('Account executives'!$B$2:$B$25,MATCH(C123,'Account executives'!$A$2:$A$25,0))</f>
        <v>amer_west</v>
      </c>
      <c r="W123" s="0" t="str">
        <f>INDEX('Account executives'!$C$2:$C$25,MATCH(C123,'Account executives'!$A$2:$A$25,0))</f>
        <v>mid_market</v>
      </c>
      <c r="X123" s="0" t="str">
        <f>SUBSTITUTE(LOWER(INDEX('Periods'!$G$2:$G$22,MATCH(N123,'Periods'!$A$2:$A$22,0)))," ","_")</f>
        <v>q2_2026</v>
      </c>
    </row>
    <row r="124">
      <c r="A124" s="0" t="inlineStr">
        <is>
          <t xml:space="preserve">o0123</t>
        </is>
      </c>
      <c r="B124" s="0" t="inlineStr">
        <is>
          <t xml:space="preserve">a0638</t>
        </is>
      </c>
      <c r="C124" s="0" t="inlineStr">
        <is>
          <t xml:space="preserve">r17</t>
        </is>
      </c>
      <c r="D124" s="0" t="inlineStr">
        <is>
          <t xml:space="preserve">s_emea_in</t>
        </is>
      </c>
      <c r="E124" s="0" t="inlineStr">
        <is>
          <t xml:space="preserve">inbound</t>
        </is>
      </c>
      <c r="F124" s="0" t="inlineStr">
        <is>
          <t xml:space="preserve">closed_lost</t>
        </is>
      </c>
      <c r="G124" s="4">
        <v>1</v>
      </c>
      <c r="H124" s="4">
        <v>17600</v>
      </c>
      <c r="I124" s="4">
        <v>1</v>
      </c>
      <c r="J124" s="4">
        <v>0</v>
      </c>
      <c r="K124" s="16">
        <v>46032</v>
      </c>
      <c r="L124" s="16">
        <v>46109</v>
      </c>
      <c r="M124" s="0" t="inlineStr">
        <is>
          <t xml:space="preserve">jan26</t>
        </is>
      </c>
      <c r="N124" s="0" t="inlineStr">
        <is>
          <t xml:space="preserve">mar26</t>
        </is>
      </c>
      <c r="O124" s="4">
        <v>77</v>
      </c>
      <c r="P124" s="4">
        <v>0</v>
      </c>
      <c r="Q124" s="4">
        <v>1</v>
      </c>
      <c r="R124" s="4">
        <v>0</v>
      </c>
      <c r="S124" s="4">
        <f>(H124*INDEX('Stages'!$D$2:$D$7,MATCH(F124,'Stages'!$A$2:$A$7,0)))</f>
        <v>0</v>
      </c>
      <c r="T124" s="4">
        <f>(H124*I124)</f>
        <v>17600</v>
      </c>
      <c r="U124" s="4">
        <f>(H124*(I124-1))</f>
        <v>0</v>
      </c>
      <c r="V124" s="0" t="str">
        <f>INDEX('Account executives'!$B$2:$B$25,MATCH(C124,'Account executives'!$A$2:$A$25,0))</f>
        <v>emea</v>
      </c>
      <c r="W124" s="0" t="str">
        <f>INDEX('Account executives'!$C$2:$C$25,MATCH(C124,'Account executives'!$A$2:$A$25,0))</f>
        <v>smb</v>
      </c>
      <c r="X124" s="0" t="str">
        <f>SUBSTITUTE(LOWER(INDEX('Periods'!$G$2:$G$22,MATCH(N124,'Periods'!$A$2:$A$22,0)))," ","_")</f>
        <v>q1_2026</v>
      </c>
    </row>
    <row r="125">
      <c r="A125" s="0" t="inlineStr">
        <is>
          <t xml:space="preserve">o0124</t>
        </is>
      </c>
      <c r="B125" s="0" t="inlineStr">
        <is>
          <t xml:space="preserve">a0969</t>
        </is>
      </c>
      <c r="C125" s="0" t="inlineStr">
        <is>
          <t xml:space="preserve">r04</t>
        </is>
      </c>
      <c r="D125" s="0"/>
      <c r="E125" s="0" t="inlineStr">
        <is>
          <t xml:space="preserve">events</t>
        </is>
      </c>
      <c r="F125" s="0" t="inlineStr">
        <is>
          <t xml:space="preserve">closed_lost</t>
        </is>
      </c>
      <c r="G125" s="4">
        <v>1</v>
      </c>
      <c r="H125" s="4">
        <v>25700</v>
      </c>
      <c r="I125" s="4">
        <v>1</v>
      </c>
      <c r="J125" s="4">
        <v>0</v>
      </c>
      <c r="K125" s="16">
        <v>46186</v>
      </c>
      <c r="L125" s="16">
        <v>46225</v>
      </c>
      <c r="M125" s="0" t="inlineStr">
        <is>
          <t xml:space="preserve">jun26</t>
        </is>
      </c>
      <c r="N125" s="0" t="inlineStr">
        <is>
          <t xml:space="preserve">jul26</t>
        </is>
      </c>
      <c r="O125" s="4">
        <v>39</v>
      </c>
      <c r="P125" s="4">
        <v>0</v>
      </c>
      <c r="Q125" s="4">
        <v>1</v>
      </c>
      <c r="R125" s="4">
        <v>0</v>
      </c>
      <c r="S125" s="4">
        <f>(H125*INDEX('Stages'!$D$2:$D$7,MATCH(F125,'Stages'!$A$2:$A$7,0)))</f>
        <v>0</v>
      </c>
      <c r="T125" s="4">
        <f>(H125*I125)</f>
        <v>25700</v>
      </c>
      <c r="U125" s="4">
        <f>(H125*(I125-1))</f>
        <v>0</v>
      </c>
      <c r="V125" s="0" t="str">
        <f>INDEX('Account executives'!$B$2:$B$25,MATCH(C125,'Account executives'!$A$2:$A$25,0))</f>
        <v>amer_east</v>
      </c>
      <c r="W125" s="0" t="str">
        <f>INDEX('Account executives'!$C$2:$C$25,MATCH(C125,'Account executives'!$A$2:$A$25,0))</f>
        <v>mid_market</v>
      </c>
      <c r="X125" s="0" t="str">
        <f>SUBSTITUTE(LOWER(INDEX('Periods'!$G$2:$G$22,MATCH(N125,'Periods'!$A$2:$A$22,0)))," ","_")</f>
        <v>q3_2026</v>
      </c>
    </row>
    <row r="126">
      <c r="A126" s="0" t="inlineStr">
        <is>
          <t xml:space="preserve">o0125</t>
        </is>
      </c>
      <c r="B126" s="0" t="inlineStr">
        <is>
          <t xml:space="preserve">a1269</t>
        </is>
      </c>
      <c r="C126" s="0" t="inlineStr">
        <is>
          <t xml:space="preserve">r23</t>
        </is>
      </c>
      <c r="D126" s="0" t="inlineStr">
        <is>
          <t xml:space="preserve">s_apac_out</t>
        </is>
      </c>
      <c r="E126" s="0" t="inlineStr">
        <is>
          <t xml:space="preserve">outbound</t>
        </is>
      </c>
      <c r="F126" s="0" t="inlineStr">
        <is>
          <t xml:space="preserve">discovery</t>
        </is>
      </c>
      <c r="G126" s="4">
        <v>1</v>
      </c>
      <c r="H126" s="4">
        <v>26600</v>
      </c>
      <c r="I126" s="4">
        <v>1</v>
      </c>
      <c r="J126" s="4">
        <v>0</v>
      </c>
      <c r="K126" s="16">
        <v>46283</v>
      </c>
      <c r="L126" s="16">
        <v>46300</v>
      </c>
      <c r="M126" s="0" t="inlineStr">
        <is>
          <t xml:space="preserve">sep26</t>
        </is>
      </c>
      <c r="N126" s="0" t="inlineStr">
        <is>
          <t xml:space="preserve">oct26</t>
        </is>
      </c>
      <c r="O126" s="4">
        <v>22</v>
      </c>
      <c r="P126" s="4">
        <v>0</v>
      </c>
      <c r="Q126" s="4">
        <v>0</v>
      </c>
      <c r="R126" s="4">
        <v>1</v>
      </c>
      <c r="S126" s="4">
        <f>(H126*INDEX('Stages'!$D$2:$D$7,MATCH(F126,'Stages'!$A$2:$A$7,0)))</f>
        <v>2660</v>
      </c>
      <c r="T126" s="4">
        <f>(H126*I126)</f>
        <v>26600</v>
      </c>
      <c r="U126" s="4">
        <f>(H126*(I126-1))</f>
        <v>0</v>
      </c>
      <c r="V126" s="0" t="str">
        <f>INDEX('Account executives'!$B$2:$B$25,MATCH(C126,'Account executives'!$A$2:$A$25,0))</f>
        <v>apac</v>
      </c>
      <c r="W126" s="0" t="str">
        <f>INDEX('Account executives'!$C$2:$C$25,MATCH(C126,'Account executives'!$A$2:$A$25,0))</f>
        <v>smb</v>
      </c>
      <c r="X126" s="0" t="str">
        <f>SUBSTITUTE(LOWER(INDEX('Periods'!$G$2:$G$22,MATCH(N126,'Periods'!$A$2:$A$22,0)))," ","_")</f>
        <v>q4_2026</v>
      </c>
    </row>
    <row r="127">
      <c r="A127" s="0" t="inlineStr">
        <is>
          <t xml:space="preserve">o0126</t>
        </is>
      </c>
      <c r="B127" s="0" t="inlineStr">
        <is>
          <t xml:space="preserve">a0440</t>
        </is>
      </c>
      <c r="C127" s="0" t="inlineStr">
        <is>
          <t xml:space="preserve">r12</t>
        </is>
      </c>
      <c r="D127" s="0" t="inlineStr">
        <is>
          <t xml:space="preserve">s_amer_west_in</t>
        </is>
      </c>
      <c r="E127" s="0" t="inlineStr">
        <is>
          <t xml:space="preserve">inbound</t>
        </is>
      </c>
      <c r="F127" s="0" t="inlineStr">
        <is>
          <t xml:space="preserve">discovery</t>
        </is>
      </c>
      <c r="G127" s="4">
        <v>0</v>
      </c>
      <c r="H127" s="4">
        <v>2500</v>
      </c>
      <c r="I127" s="4">
        <v>1</v>
      </c>
      <c r="J127" s="4">
        <v>1</v>
      </c>
      <c r="K127" s="16">
        <v>46278</v>
      </c>
      <c r="L127" s="16">
        <v>46308</v>
      </c>
      <c r="M127" s="0" t="inlineStr">
        <is>
          <t xml:space="preserve">sep26</t>
        </is>
      </c>
      <c r="N127" s="0" t="inlineStr">
        <is>
          <t xml:space="preserve">oct26</t>
        </is>
      </c>
      <c r="O127" s="4">
        <v>35</v>
      </c>
      <c r="P127" s="4">
        <v>0</v>
      </c>
      <c r="Q127" s="4">
        <v>0</v>
      </c>
      <c r="R127" s="4">
        <v>1</v>
      </c>
      <c r="S127" s="4">
        <f>(H127*INDEX('Stages'!$D$2:$D$7,MATCH(F127,'Stages'!$A$2:$A$7,0)))</f>
        <v>250</v>
      </c>
      <c r="T127" s="4">
        <f>(H127*I127)</f>
        <v>2500</v>
      </c>
      <c r="U127" s="4">
        <f>(H127*(I127-1))</f>
        <v>0</v>
      </c>
      <c r="V127" s="0" t="str">
        <f>INDEX('Account executives'!$B$2:$B$25,MATCH(C127,'Account executives'!$A$2:$A$25,0))</f>
        <v>amer_west</v>
      </c>
      <c r="W127" s="0" t="str">
        <f>INDEX('Account executives'!$C$2:$C$25,MATCH(C127,'Account executives'!$A$2:$A$25,0))</f>
        <v>smb</v>
      </c>
      <c r="X127" s="0" t="str">
        <f>SUBSTITUTE(LOWER(INDEX('Periods'!$G$2:$G$22,MATCH(N127,'Periods'!$A$2:$A$22,0)))," ","_")</f>
        <v>q4_2026</v>
      </c>
    </row>
    <row r="128">
      <c r="A128" s="0" t="inlineStr">
        <is>
          <t xml:space="preserve">o0127</t>
        </is>
      </c>
      <c r="B128" s="0" t="inlineStr">
        <is>
          <t xml:space="preserve">a0748</t>
        </is>
      </c>
      <c r="C128" s="0" t="inlineStr">
        <is>
          <t xml:space="preserve">r05</t>
        </is>
      </c>
      <c r="D128" s="0" t="inlineStr">
        <is>
          <t xml:space="preserve">s_amer_east_out</t>
        </is>
      </c>
      <c r="E128" s="0" t="inlineStr">
        <is>
          <t xml:space="preserve">outbound</t>
        </is>
      </c>
      <c r="F128" s="0" t="inlineStr">
        <is>
          <t xml:space="preserve">closed_lost</t>
        </is>
      </c>
      <c r="G128" s="4">
        <v>1</v>
      </c>
      <c r="H128" s="4">
        <v>9800</v>
      </c>
      <c r="I128" s="4">
        <v>1</v>
      </c>
      <c r="J128" s="4">
        <v>0</v>
      </c>
      <c r="K128" s="16">
        <v>46090</v>
      </c>
      <c r="L128" s="16">
        <v>46110</v>
      </c>
      <c r="M128" s="0" t="inlineStr">
        <is>
          <t xml:space="preserve">mar26</t>
        </is>
      </c>
      <c r="N128" s="0" t="inlineStr">
        <is>
          <t xml:space="preserve">mar26</t>
        </is>
      </c>
      <c r="O128" s="4">
        <v>20</v>
      </c>
      <c r="P128" s="4">
        <v>0</v>
      </c>
      <c r="Q128" s="4">
        <v>1</v>
      </c>
      <c r="R128" s="4">
        <v>0</v>
      </c>
      <c r="S128" s="4">
        <f>(H128*INDEX('Stages'!$D$2:$D$7,MATCH(F128,'Stages'!$A$2:$A$7,0)))</f>
        <v>0</v>
      </c>
      <c r="T128" s="4">
        <f>(H128*I128)</f>
        <v>9800</v>
      </c>
      <c r="U128" s="4">
        <f>(H128*(I128-1))</f>
        <v>0</v>
      </c>
      <c r="V128" s="0" t="str">
        <f>INDEX('Account executives'!$B$2:$B$25,MATCH(C128,'Account executives'!$A$2:$A$25,0))</f>
        <v>amer_east</v>
      </c>
      <c r="W128" s="0" t="str">
        <f>INDEX('Account executives'!$C$2:$C$25,MATCH(C128,'Account executives'!$A$2:$A$25,0))</f>
        <v>smb</v>
      </c>
      <c r="X128" s="0" t="str">
        <f>SUBSTITUTE(LOWER(INDEX('Periods'!$G$2:$G$22,MATCH(N128,'Periods'!$A$2:$A$22,0)))," ","_")</f>
        <v>q1_2026</v>
      </c>
    </row>
    <row r="129">
      <c r="A129" s="0" t="inlineStr">
        <is>
          <t xml:space="preserve">o0128</t>
        </is>
      </c>
      <c r="B129" s="0" t="inlineStr">
        <is>
          <t xml:space="preserve">a0011</t>
        </is>
      </c>
      <c r="C129" s="0" t="inlineStr">
        <is>
          <t xml:space="preserve">r04</t>
        </is>
      </c>
      <c r="D129" s="0"/>
      <c r="E129" s="0" t="inlineStr">
        <is>
          <t xml:space="preserve">partner</t>
        </is>
      </c>
      <c r="F129" s="0" t="inlineStr">
        <is>
          <t xml:space="preserve">closed_lost</t>
        </is>
      </c>
      <c r="G129" s="4">
        <v>0</v>
      </c>
      <c r="H129" s="4">
        <v>14200</v>
      </c>
      <c r="I129" s="4">
        <v>1</v>
      </c>
      <c r="J129" s="4">
        <v>1</v>
      </c>
      <c r="K129" s="16">
        <v>45761</v>
      </c>
      <c r="L129" s="16">
        <v>45928</v>
      </c>
      <c r="M129" s="0" t="inlineStr">
        <is>
          <t xml:space="preserve">apr25</t>
        </is>
      </c>
      <c r="N129" s="0" t="inlineStr">
        <is>
          <t xml:space="preserve">sep25</t>
        </is>
      </c>
      <c r="O129" s="4">
        <v>167</v>
      </c>
      <c r="P129" s="4">
        <v>0</v>
      </c>
      <c r="Q129" s="4">
        <v>1</v>
      </c>
      <c r="R129" s="4">
        <v>0</v>
      </c>
      <c r="S129" s="4">
        <f>(H129*INDEX('Stages'!$D$2:$D$7,MATCH(F129,'Stages'!$A$2:$A$7,0)))</f>
        <v>0</v>
      </c>
      <c r="T129" s="4">
        <f>(H129*I129)</f>
        <v>14200</v>
      </c>
      <c r="U129" s="4">
        <f>(H129*(I129-1))</f>
        <v>0</v>
      </c>
      <c r="V129" s="0" t="str">
        <f>INDEX('Account executives'!$B$2:$B$25,MATCH(C129,'Account executives'!$A$2:$A$25,0))</f>
        <v>amer_east</v>
      </c>
      <c r="W129" s="0" t="str">
        <f>INDEX('Account executives'!$C$2:$C$25,MATCH(C129,'Account executives'!$A$2:$A$25,0))</f>
        <v>mid_market</v>
      </c>
      <c r="X129" s="0" t="str">
        <f>SUBSTITUTE(LOWER(INDEX('Periods'!$G$2:$G$22,MATCH(N129,'Periods'!$A$2:$A$22,0)))," ","_")</f>
        <v>q3_2025</v>
      </c>
    </row>
    <row r="130">
      <c r="A130" s="0" t="inlineStr">
        <is>
          <t xml:space="preserve">o0129</t>
        </is>
      </c>
      <c r="B130" s="0" t="inlineStr">
        <is>
          <t xml:space="preserve">a1010</t>
        </is>
      </c>
      <c r="C130" s="0" t="inlineStr">
        <is>
          <t xml:space="preserve">r13</t>
        </is>
      </c>
      <c r="D130" s="0" t="inlineStr">
        <is>
          <t xml:space="preserve">s_emea_in</t>
        </is>
      </c>
      <c r="E130" s="0" t="inlineStr">
        <is>
          <t xml:space="preserve">inbound</t>
        </is>
      </c>
      <c r="F130" s="0" t="inlineStr">
        <is>
          <t xml:space="preserve">closed_won</t>
        </is>
      </c>
      <c r="G130" s="4">
        <v>1</v>
      </c>
      <c r="H130" s="4">
        <v>157100</v>
      </c>
      <c r="I130" s="4">
        <v>3</v>
      </c>
      <c r="J130" s="4">
        <v>1</v>
      </c>
      <c r="K130" s="16">
        <v>46186</v>
      </c>
      <c r="L130" s="16">
        <v>46278</v>
      </c>
      <c r="M130" s="0" t="inlineStr">
        <is>
          <t xml:space="preserve">jun26</t>
        </is>
      </c>
      <c r="N130" s="0" t="inlineStr">
        <is>
          <t xml:space="preserve">sep26</t>
        </is>
      </c>
      <c r="O130" s="4">
        <v>92</v>
      </c>
      <c r="P130" s="4">
        <v>1</v>
      </c>
      <c r="Q130" s="4">
        <v>0</v>
      </c>
      <c r="R130" s="4">
        <v>0</v>
      </c>
      <c r="S130" s="4">
        <f>(H130*INDEX('Stages'!$D$2:$D$7,MATCH(F130,'Stages'!$A$2:$A$7,0)))</f>
        <v>157100</v>
      </c>
      <c r="T130" s="4">
        <f>(H130*I130)</f>
        <v>471300</v>
      </c>
      <c r="U130" s="4">
        <f>(H130*(I130-1))</f>
        <v>314200</v>
      </c>
      <c r="V130" s="0" t="str">
        <f>INDEX('Account executives'!$B$2:$B$25,MATCH(C130,'Account executives'!$A$2:$A$25,0))</f>
        <v>emea</v>
      </c>
      <c r="W130" s="0" t="str">
        <f>INDEX('Account executives'!$C$2:$C$25,MATCH(C130,'Account executives'!$A$2:$A$25,0))</f>
        <v>enterprise</v>
      </c>
      <c r="X130" s="0" t="str">
        <f>SUBSTITUTE(LOWER(INDEX('Periods'!$G$2:$G$22,MATCH(N130,'Periods'!$A$2:$A$22,0)))," ","_")</f>
        <v>q3_2026</v>
      </c>
    </row>
    <row r="131">
      <c r="A131" s="0" t="inlineStr">
        <is>
          <t xml:space="preserve">o0130</t>
        </is>
      </c>
      <c r="B131" s="0" t="inlineStr">
        <is>
          <t xml:space="preserve">a0686</t>
        </is>
      </c>
      <c r="C131" s="0" t="inlineStr">
        <is>
          <t xml:space="preserve">r11</t>
        </is>
      </c>
      <c r="D131" s="0"/>
      <c r="E131" s="0" t="inlineStr">
        <is>
          <t xml:space="preserve">partner</t>
        </is>
      </c>
      <c r="F131" s="0" t="inlineStr">
        <is>
          <t xml:space="preserve">closed_won</t>
        </is>
      </c>
      <c r="G131" s="4">
        <v>1</v>
      </c>
      <c r="H131" s="4">
        <v>8400</v>
      </c>
      <c r="I131" s="4">
        <v>3</v>
      </c>
      <c r="J131" s="4">
        <v>1</v>
      </c>
      <c r="K131" s="16">
        <v>46079</v>
      </c>
      <c r="L131" s="16">
        <v>46110</v>
      </c>
      <c r="M131" s="0" t="inlineStr">
        <is>
          <t xml:space="preserve">feb26</t>
        </is>
      </c>
      <c r="N131" s="0" t="inlineStr">
        <is>
          <t xml:space="preserve">mar26</t>
        </is>
      </c>
      <c r="O131" s="4">
        <v>31</v>
      </c>
      <c r="P131" s="4">
        <v>1</v>
      </c>
      <c r="Q131" s="4">
        <v>0</v>
      </c>
      <c r="R131" s="4">
        <v>0</v>
      </c>
      <c r="S131" s="4">
        <f>(H131*INDEX('Stages'!$D$2:$D$7,MATCH(F131,'Stages'!$A$2:$A$7,0)))</f>
        <v>8400</v>
      </c>
      <c r="T131" s="4">
        <f>(H131*I131)</f>
        <v>25200</v>
      </c>
      <c r="U131" s="4">
        <f>(H131*(I131-1))</f>
        <v>16800</v>
      </c>
      <c r="V131" s="0" t="str">
        <f>INDEX('Account executives'!$B$2:$B$25,MATCH(C131,'Account executives'!$A$2:$A$25,0))</f>
        <v>amer_west</v>
      </c>
      <c r="W131" s="0" t="str">
        <f>INDEX('Account executives'!$C$2:$C$25,MATCH(C131,'Account executives'!$A$2:$A$25,0))</f>
        <v>smb</v>
      </c>
      <c r="X131" s="0" t="str">
        <f>SUBSTITUTE(LOWER(INDEX('Periods'!$G$2:$G$22,MATCH(N131,'Periods'!$A$2:$A$22,0)))," ","_")</f>
        <v>q1_2026</v>
      </c>
    </row>
    <row r="132">
      <c r="A132" s="0" t="inlineStr">
        <is>
          <t xml:space="preserve">o0131</t>
        </is>
      </c>
      <c r="B132" s="0" t="inlineStr">
        <is>
          <t xml:space="preserve">a0005</t>
        </is>
      </c>
      <c r="C132" s="0" t="inlineStr">
        <is>
          <t xml:space="preserve">r05</t>
        </is>
      </c>
      <c r="D132" s="0"/>
      <c r="E132" s="0" t="inlineStr">
        <is>
          <t xml:space="preserve">referral</t>
        </is>
      </c>
      <c r="F132" s="0" t="inlineStr">
        <is>
          <t xml:space="preserve">closed_lost</t>
        </is>
      </c>
      <c r="G132" s="4">
        <v>0</v>
      </c>
      <c r="H132" s="4">
        <v>3300</v>
      </c>
      <c r="I132" s="4">
        <v>1</v>
      </c>
      <c r="J132" s="4">
        <v>0</v>
      </c>
      <c r="K132" s="16">
        <v>45771</v>
      </c>
      <c r="L132" s="16">
        <v>45795</v>
      </c>
      <c r="M132" s="0" t="inlineStr">
        <is>
          <t xml:space="preserve">apr25</t>
        </is>
      </c>
      <c r="N132" s="0" t="inlineStr">
        <is>
          <t xml:space="preserve">may25</t>
        </is>
      </c>
      <c r="O132" s="4">
        <v>24</v>
      </c>
      <c r="P132" s="4">
        <v>0</v>
      </c>
      <c r="Q132" s="4">
        <v>1</v>
      </c>
      <c r="R132" s="4">
        <v>0</v>
      </c>
      <c r="S132" s="4">
        <f>(H132*INDEX('Stages'!$D$2:$D$7,MATCH(F132,'Stages'!$A$2:$A$7,0)))</f>
        <v>0</v>
      </c>
      <c r="T132" s="4">
        <f>(H132*I132)</f>
        <v>3300</v>
      </c>
      <c r="U132" s="4">
        <f>(H132*(I132-1))</f>
        <v>0</v>
      </c>
      <c r="V132" s="0" t="str">
        <f>INDEX('Account executives'!$B$2:$B$25,MATCH(C132,'Account executives'!$A$2:$A$25,0))</f>
        <v>amer_east</v>
      </c>
      <c r="W132" s="0" t="str">
        <f>INDEX('Account executives'!$C$2:$C$25,MATCH(C132,'Account executives'!$A$2:$A$25,0))</f>
        <v>smb</v>
      </c>
      <c r="X132" s="0" t="str">
        <f>SUBSTITUTE(LOWER(INDEX('Periods'!$G$2:$G$22,MATCH(N132,'Periods'!$A$2:$A$22,0)))," ","_")</f>
        <v>q2_2025</v>
      </c>
    </row>
    <row r="133">
      <c r="A133" s="0" t="inlineStr">
        <is>
          <t xml:space="preserve">o0132</t>
        </is>
      </c>
      <c r="B133" s="0" t="inlineStr">
        <is>
          <t xml:space="preserve">a0073</t>
        </is>
      </c>
      <c r="C133" s="0" t="inlineStr">
        <is>
          <t xml:space="preserve">r05</t>
        </is>
      </c>
      <c r="D133" s="0"/>
      <c r="E133" s="0" t="inlineStr">
        <is>
          <t xml:space="preserve">referral</t>
        </is>
      </c>
      <c r="F133" s="0" t="inlineStr">
        <is>
          <t xml:space="preserve">closed_won</t>
        </is>
      </c>
      <c r="G133" s="4">
        <v>0</v>
      </c>
      <c r="H133" s="4">
        <v>9800</v>
      </c>
      <c r="I133" s="4">
        <v>2</v>
      </c>
      <c r="J133" s="4">
        <v>0</v>
      </c>
      <c r="K133" s="16">
        <v>45931</v>
      </c>
      <c r="L133" s="16">
        <v>45964</v>
      </c>
      <c r="M133" s="0" t="inlineStr">
        <is>
          <t xml:space="preserve">oct25</t>
        </is>
      </c>
      <c r="N133" s="0" t="inlineStr">
        <is>
          <t xml:space="preserve">nov25</t>
        </is>
      </c>
      <c r="O133" s="4">
        <v>33</v>
      </c>
      <c r="P133" s="4">
        <v>1</v>
      </c>
      <c r="Q133" s="4">
        <v>0</v>
      </c>
      <c r="R133" s="4">
        <v>0</v>
      </c>
      <c r="S133" s="4">
        <f>(H133*INDEX('Stages'!$D$2:$D$7,MATCH(F133,'Stages'!$A$2:$A$7,0)))</f>
        <v>9800</v>
      </c>
      <c r="T133" s="4">
        <f>(H133*I133)</f>
        <v>19600</v>
      </c>
      <c r="U133" s="4">
        <f>(H133*(I133-1))</f>
        <v>9800</v>
      </c>
      <c r="V133" s="0" t="str">
        <f>INDEX('Account executives'!$B$2:$B$25,MATCH(C133,'Account executives'!$A$2:$A$25,0))</f>
        <v>amer_east</v>
      </c>
      <c r="W133" s="0" t="str">
        <f>INDEX('Account executives'!$C$2:$C$25,MATCH(C133,'Account executives'!$A$2:$A$25,0))</f>
        <v>smb</v>
      </c>
      <c r="X133" s="0" t="str">
        <f>SUBSTITUTE(LOWER(INDEX('Periods'!$G$2:$G$22,MATCH(N133,'Periods'!$A$2:$A$22,0)))," ","_")</f>
        <v>q4_2025</v>
      </c>
    </row>
    <row r="134">
      <c r="A134" s="0" t="inlineStr">
        <is>
          <t xml:space="preserve">o0133</t>
        </is>
      </c>
      <c r="B134" s="0" t="inlineStr">
        <is>
          <t xml:space="preserve">a0450</t>
        </is>
      </c>
      <c r="C134" s="0" t="inlineStr">
        <is>
          <t xml:space="preserve">r17</t>
        </is>
      </c>
      <c r="D134" s="0" t="inlineStr">
        <is>
          <t xml:space="preserve">s_emea_in</t>
        </is>
      </c>
      <c r="E134" s="0" t="inlineStr">
        <is>
          <t xml:space="preserve">paid</t>
        </is>
      </c>
      <c r="F134" s="0" t="inlineStr">
        <is>
          <t xml:space="preserve">closed_lost</t>
        </is>
      </c>
      <c r="G134" s="4">
        <v>1</v>
      </c>
      <c r="H134" s="4">
        <v>13900</v>
      </c>
      <c r="I134" s="4">
        <v>1</v>
      </c>
      <c r="J134" s="4">
        <v>1</v>
      </c>
      <c r="K134" s="16">
        <v>45941</v>
      </c>
      <c r="L134" s="16">
        <v>45971</v>
      </c>
      <c r="M134" s="0" t="inlineStr">
        <is>
          <t xml:space="preserve">oct25</t>
        </is>
      </c>
      <c r="N134" s="0" t="inlineStr">
        <is>
          <t xml:space="preserve">nov25</t>
        </is>
      </c>
      <c r="O134" s="4">
        <v>30</v>
      </c>
      <c r="P134" s="4">
        <v>0</v>
      </c>
      <c r="Q134" s="4">
        <v>1</v>
      </c>
      <c r="R134" s="4">
        <v>0</v>
      </c>
      <c r="S134" s="4">
        <f>(H134*INDEX('Stages'!$D$2:$D$7,MATCH(F134,'Stages'!$A$2:$A$7,0)))</f>
        <v>0</v>
      </c>
      <c r="T134" s="4">
        <f>(H134*I134)</f>
        <v>13900</v>
      </c>
      <c r="U134" s="4">
        <f>(H134*(I134-1))</f>
        <v>0</v>
      </c>
      <c r="V134" s="0" t="str">
        <f>INDEX('Account executives'!$B$2:$B$25,MATCH(C134,'Account executives'!$A$2:$A$25,0))</f>
        <v>emea</v>
      </c>
      <c r="W134" s="0" t="str">
        <f>INDEX('Account executives'!$C$2:$C$25,MATCH(C134,'Account executives'!$A$2:$A$25,0))</f>
        <v>smb</v>
      </c>
      <c r="X134" s="0" t="str">
        <f>SUBSTITUTE(LOWER(INDEX('Periods'!$G$2:$G$22,MATCH(N134,'Periods'!$A$2:$A$22,0)))," ","_")</f>
        <v>q4_2025</v>
      </c>
    </row>
    <row r="135">
      <c r="A135" s="0" t="inlineStr">
        <is>
          <t xml:space="preserve">o0134</t>
        </is>
      </c>
      <c r="B135" s="0" t="inlineStr">
        <is>
          <t xml:space="preserve">a0231</t>
        </is>
      </c>
      <c r="C135" s="0" t="inlineStr">
        <is>
          <t xml:space="preserve">r24</t>
        </is>
      </c>
      <c r="D135" s="0" t="inlineStr">
        <is>
          <t xml:space="preserve">s_apac_in</t>
        </is>
      </c>
      <c r="E135" s="0" t="inlineStr">
        <is>
          <t xml:space="preserve">inbound</t>
        </is>
      </c>
      <c r="F135" s="0" t="inlineStr">
        <is>
          <t xml:space="preserve">closed_won</t>
        </is>
      </c>
      <c r="G135" s="4">
        <v>0</v>
      </c>
      <c r="H135" s="4">
        <v>7200</v>
      </c>
      <c r="I135" s="4">
        <v>1</v>
      </c>
      <c r="J135" s="4">
        <v>0</v>
      </c>
      <c r="K135" s="16">
        <v>46140</v>
      </c>
      <c r="L135" s="16">
        <v>46148</v>
      </c>
      <c r="M135" s="0" t="inlineStr">
        <is>
          <t xml:space="preserve">apr26</t>
        </is>
      </c>
      <c r="N135" s="0" t="inlineStr">
        <is>
          <t xml:space="preserve">may26</t>
        </is>
      </c>
      <c r="O135" s="4">
        <v>8</v>
      </c>
      <c r="P135" s="4">
        <v>1</v>
      </c>
      <c r="Q135" s="4">
        <v>0</v>
      </c>
      <c r="R135" s="4">
        <v>0</v>
      </c>
      <c r="S135" s="4">
        <f>(H135*INDEX('Stages'!$D$2:$D$7,MATCH(F135,'Stages'!$A$2:$A$7,0)))</f>
        <v>7200</v>
      </c>
      <c r="T135" s="4">
        <f>(H135*I135)</f>
        <v>7200</v>
      </c>
      <c r="U135" s="4">
        <f>(H135*(I135-1))</f>
        <v>0</v>
      </c>
      <c r="V135" s="0" t="str">
        <f>INDEX('Account executives'!$B$2:$B$25,MATCH(C135,'Account executives'!$A$2:$A$25,0))</f>
        <v>apac</v>
      </c>
      <c r="W135" s="0" t="str">
        <f>INDEX('Account executives'!$C$2:$C$25,MATCH(C135,'Account executives'!$A$2:$A$25,0))</f>
        <v>smb</v>
      </c>
      <c r="X135" s="0" t="str">
        <f>SUBSTITUTE(LOWER(INDEX('Periods'!$G$2:$G$22,MATCH(N135,'Periods'!$A$2:$A$22,0)))," ","_")</f>
        <v>q2_2026</v>
      </c>
    </row>
    <row r="136">
      <c r="A136" s="0" t="inlineStr">
        <is>
          <t xml:space="preserve">o0135</t>
        </is>
      </c>
      <c r="B136" s="0" t="inlineStr">
        <is>
          <t xml:space="preserve">a0989</t>
        </is>
      </c>
      <c r="C136" s="0" t="inlineStr">
        <is>
          <t xml:space="preserve">r12</t>
        </is>
      </c>
      <c r="D136" s="0" t="inlineStr">
        <is>
          <t xml:space="preserve">s_amer_west_in</t>
        </is>
      </c>
      <c r="E136" s="0" t="inlineStr">
        <is>
          <t xml:space="preserve">inbound</t>
        </is>
      </c>
      <c r="F136" s="0" t="inlineStr">
        <is>
          <t xml:space="preserve">discovery</t>
        </is>
      </c>
      <c r="G136" s="4">
        <v>0</v>
      </c>
      <c r="H136" s="4">
        <v>9800</v>
      </c>
      <c r="I136" s="4">
        <v>1</v>
      </c>
      <c r="J136" s="4">
        <v>0</v>
      </c>
      <c r="K136" s="16">
        <v>46272</v>
      </c>
      <c r="L136" s="16">
        <v>46371</v>
      </c>
      <c r="M136" s="0" t="inlineStr">
        <is>
          <t xml:space="preserve">sep26</t>
        </is>
      </c>
      <c r="N136" s="0" t="inlineStr">
        <is>
          <t xml:space="preserve">dec26</t>
        </is>
      </c>
      <c r="O136" s="4">
        <v>112</v>
      </c>
      <c r="P136" s="4">
        <v>0</v>
      </c>
      <c r="Q136" s="4">
        <v>0</v>
      </c>
      <c r="R136" s="4">
        <v>1</v>
      </c>
      <c r="S136" s="4">
        <f>(H136*INDEX('Stages'!$D$2:$D$7,MATCH(F136,'Stages'!$A$2:$A$7,0)))</f>
        <v>980</v>
      </c>
      <c r="T136" s="4">
        <f>(H136*I136)</f>
        <v>9800</v>
      </c>
      <c r="U136" s="4">
        <f>(H136*(I136-1))</f>
        <v>0</v>
      </c>
      <c r="V136" s="0" t="str">
        <f>INDEX('Account executives'!$B$2:$B$25,MATCH(C136,'Account executives'!$A$2:$A$25,0))</f>
        <v>amer_west</v>
      </c>
      <c r="W136" s="0" t="str">
        <f>INDEX('Account executives'!$C$2:$C$25,MATCH(C136,'Account executives'!$A$2:$A$25,0))</f>
        <v>smb</v>
      </c>
      <c r="X136" s="0" t="str">
        <f>SUBSTITUTE(LOWER(INDEX('Periods'!$G$2:$G$22,MATCH(N136,'Periods'!$A$2:$A$22,0)))," ","_")</f>
        <v>q4_2026</v>
      </c>
    </row>
    <row r="137">
      <c r="A137" s="0" t="inlineStr">
        <is>
          <t xml:space="preserve">o0136</t>
        </is>
      </c>
      <c r="B137" s="0" t="inlineStr">
        <is>
          <t xml:space="preserve">a0859</t>
        </is>
      </c>
      <c r="C137" s="0" t="inlineStr">
        <is>
          <t xml:space="preserve">r15</t>
        </is>
      </c>
      <c r="D137" s="0" t="inlineStr">
        <is>
          <t xml:space="preserve">s_emea_in</t>
        </is>
      </c>
      <c r="E137" s="0" t="inlineStr">
        <is>
          <t xml:space="preserve">inbound</t>
        </is>
      </c>
      <c r="F137" s="0" t="inlineStr">
        <is>
          <t xml:space="preserve">closed_lost</t>
        </is>
      </c>
      <c r="G137" s="4">
        <v>1</v>
      </c>
      <c r="H137" s="4">
        <v>78600</v>
      </c>
      <c r="I137" s="4">
        <v>1</v>
      </c>
      <c r="J137" s="4">
        <v>0</v>
      </c>
      <c r="K137" s="16">
        <v>46127</v>
      </c>
      <c r="L137" s="16">
        <v>46204</v>
      </c>
      <c r="M137" s="0" t="inlineStr">
        <is>
          <t xml:space="preserve">apr26</t>
        </is>
      </c>
      <c r="N137" s="0" t="inlineStr">
        <is>
          <t xml:space="preserve">jul26</t>
        </is>
      </c>
      <c r="O137" s="4">
        <v>77</v>
      </c>
      <c r="P137" s="4">
        <v>0</v>
      </c>
      <c r="Q137" s="4">
        <v>1</v>
      </c>
      <c r="R137" s="4">
        <v>0</v>
      </c>
      <c r="S137" s="4">
        <f>(H137*INDEX('Stages'!$D$2:$D$7,MATCH(F137,'Stages'!$A$2:$A$7,0)))</f>
        <v>0</v>
      </c>
      <c r="T137" s="4">
        <f>(H137*I137)</f>
        <v>78600</v>
      </c>
      <c r="U137" s="4">
        <f>(H137*(I137-1))</f>
        <v>0</v>
      </c>
      <c r="V137" s="0" t="str">
        <f>INDEX('Account executives'!$B$2:$B$25,MATCH(C137,'Account executives'!$A$2:$A$25,0))</f>
        <v>emea</v>
      </c>
      <c r="W137" s="0" t="str">
        <f>INDEX('Account executives'!$C$2:$C$25,MATCH(C137,'Account executives'!$A$2:$A$25,0))</f>
        <v>mid_market</v>
      </c>
      <c r="X137" s="0" t="str">
        <f>SUBSTITUTE(LOWER(INDEX('Periods'!$G$2:$G$22,MATCH(N137,'Periods'!$A$2:$A$22,0)))," ","_")</f>
        <v>q3_2026</v>
      </c>
    </row>
    <row r="138">
      <c r="A138" s="0" t="inlineStr">
        <is>
          <t xml:space="preserve">o0137</t>
        </is>
      </c>
      <c r="B138" s="0" t="inlineStr">
        <is>
          <t xml:space="preserve">a0418</t>
        </is>
      </c>
      <c r="C138" s="0" t="inlineStr">
        <is>
          <t xml:space="preserve">r05</t>
        </is>
      </c>
      <c r="D138" s="0" t="inlineStr">
        <is>
          <t xml:space="preserve">s_amer_east_in</t>
        </is>
      </c>
      <c r="E138" s="0" t="inlineStr">
        <is>
          <t xml:space="preserve">inbound</t>
        </is>
      </c>
      <c r="F138" s="0" t="inlineStr">
        <is>
          <t xml:space="preserve">closed_won</t>
        </is>
      </c>
      <c r="G138" s="4">
        <v>1</v>
      </c>
      <c r="H138" s="4">
        <v>15800</v>
      </c>
      <c r="I138" s="4">
        <v>1</v>
      </c>
      <c r="J138" s="4">
        <v>0</v>
      </c>
      <c r="K138" s="16">
        <v>45955</v>
      </c>
      <c r="L138" s="16">
        <v>45976</v>
      </c>
      <c r="M138" s="0" t="inlineStr">
        <is>
          <t xml:space="preserve">oct25</t>
        </is>
      </c>
      <c r="N138" s="0" t="inlineStr">
        <is>
          <t xml:space="preserve">nov25</t>
        </is>
      </c>
      <c r="O138" s="4">
        <v>21</v>
      </c>
      <c r="P138" s="4">
        <v>1</v>
      </c>
      <c r="Q138" s="4">
        <v>0</v>
      </c>
      <c r="R138" s="4">
        <v>0</v>
      </c>
      <c r="S138" s="4">
        <f>(H138*INDEX('Stages'!$D$2:$D$7,MATCH(F138,'Stages'!$A$2:$A$7,0)))</f>
        <v>15800</v>
      </c>
      <c r="T138" s="4">
        <f>(H138*I138)</f>
        <v>15800</v>
      </c>
      <c r="U138" s="4">
        <f>(H138*(I138-1))</f>
        <v>0</v>
      </c>
      <c r="V138" s="0" t="str">
        <f>INDEX('Account executives'!$B$2:$B$25,MATCH(C138,'Account executives'!$A$2:$A$25,0))</f>
        <v>amer_east</v>
      </c>
      <c r="W138" s="0" t="str">
        <f>INDEX('Account executives'!$C$2:$C$25,MATCH(C138,'Account executives'!$A$2:$A$25,0))</f>
        <v>smb</v>
      </c>
      <c r="X138" s="0" t="str">
        <f>SUBSTITUTE(LOWER(INDEX('Periods'!$G$2:$G$22,MATCH(N138,'Periods'!$A$2:$A$22,0)))," ","_")</f>
        <v>q4_2025</v>
      </c>
    </row>
    <row r="139">
      <c r="A139" s="0" t="inlineStr">
        <is>
          <t xml:space="preserve">o0138</t>
        </is>
      </c>
      <c r="B139" s="0" t="inlineStr">
        <is>
          <t xml:space="preserve">a0910</t>
        </is>
      </c>
      <c r="C139" s="0" t="inlineStr">
        <is>
          <t xml:space="preserve">r09</t>
        </is>
      </c>
      <c r="D139" s="0" t="inlineStr">
        <is>
          <t xml:space="preserve">s_amer_west_in</t>
        </is>
      </c>
      <c r="E139" s="0" t="inlineStr">
        <is>
          <t xml:space="preserve">inbound</t>
        </is>
      </c>
      <c r="F139" s="0" t="inlineStr">
        <is>
          <t xml:space="preserve">closed_won</t>
        </is>
      </c>
      <c r="G139" s="4">
        <v>1</v>
      </c>
      <c r="H139" s="4">
        <v>21600</v>
      </c>
      <c r="I139" s="4">
        <v>1</v>
      </c>
      <c r="J139" s="4">
        <v>1</v>
      </c>
      <c r="K139" s="16">
        <v>46156</v>
      </c>
      <c r="L139" s="16">
        <v>46220</v>
      </c>
      <c r="M139" s="0" t="inlineStr">
        <is>
          <t xml:space="preserve">may26</t>
        </is>
      </c>
      <c r="N139" s="0" t="inlineStr">
        <is>
          <t xml:space="preserve">jul26</t>
        </is>
      </c>
      <c r="O139" s="4">
        <v>64</v>
      </c>
      <c r="P139" s="4">
        <v>1</v>
      </c>
      <c r="Q139" s="4">
        <v>0</v>
      </c>
      <c r="R139" s="4">
        <v>0</v>
      </c>
      <c r="S139" s="4">
        <f>(H139*INDEX('Stages'!$D$2:$D$7,MATCH(F139,'Stages'!$A$2:$A$7,0)))</f>
        <v>21600</v>
      </c>
      <c r="T139" s="4">
        <f>(H139*I139)</f>
        <v>21600</v>
      </c>
      <c r="U139" s="4">
        <f>(H139*(I139-1))</f>
        <v>0</v>
      </c>
      <c r="V139" s="0" t="str">
        <f>INDEX('Account executives'!$B$2:$B$25,MATCH(C139,'Account executives'!$A$2:$A$25,0))</f>
        <v>amer_west</v>
      </c>
      <c r="W139" s="0" t="str">
        <f>INDEX('Account executives'!$C$2:$C$25,MATCH(C139,'Account executives'!$A$2:$A$25,0))</f>
        <v>mid_market</v>
      </c>
      <c r="X139" s="0" t="str">
        <f>SUBSTITUTE(LOWER(INDEX('Periods'!$G$2:$G$22,MATCH(N139,'Periods'!$A$2:$A$22,0)))," ","_")</f>
        <v>q3_2026</v>
      </c>
    </row>
    <row r="140">
      <c r="A140" s="0" t="inlineStr">
        <is>
          <t xml:space="preserve">o0139</t>
        </is>
      </c>
      <c r="B140" s="0" t="inlineStr">
        <is>
          <t xml:space="preserve">a0460</t>
        </is>
      </c>
      <c r="C140" s="0" t="inlineStr">
        <is>
          <t xml:space="preserve">r17</t>
        </is>
      </c>
      <c r="D140" s="0"/>
      <c r="E140" s="0" t="inlineStr">
        <is>
          <t xml:space="preserve">partner</t>
        </is>
      </c>
      <c r="F140" s="0" t="inlineStr">
        <is>
          <t xml:space="preserve">closed_won</t>
        </is>
      </c>
      <c r="G140" s="4">
        <v>1</v>
      </c>
      <c r="H140" s="4">
        <v>15200</v>
      </c>
      <c r="I140" s="4">
        <v>1</v>
      </c>
      <c r="J140" s="4">
        <v>1</v>
      </c>
      <c r="K140" s="16">
        <v>45943</v>
      </c>
      <c r="L140" s="16">
        <v>46019</v>
      </c>
      <c r="M140" s="0" t="inlineStr">
        <is>
          <t xml:space="preserve">oct25</t>
        </is>
      </c>
      <c r="N140" s="0" t="inlineStr">
        <is>
          <t xml:space="preserve">dec25</t>
        </is>
      </c>
      <c r="O140" s="4">
        <v>76</v>
      </c>
      <c r="P140" s="4">
        <v>1</v>
      </c>
      <c r="Q140" s="4">
        <v>0</v>
      </c>
      <c r="R140" s="4">
        <v>0</v>
      </c>
      <c r="S140" s="4">
        <f>(H140*INDEX('Stages'!$D$2:$D$7,MATCH(F140,'Stages'!$A$2:$A$7,0)))</f>
        <v>15200</v>
      </c>
      <c r="T140" s="4">
        <f>(H140*I140)</f>
        <v>15200</v>
      </c>
      <c r="U140" s="4">
        <f>(H140*(I140-1))</f>
        <v>0</v>
      </c>
      <c r="V140" s="0" t="str">
        <f>INDEX('Account executives'!$B$2:$B$25,MATCH(C140,'Account executives'!$A$2:$A$25,0))</f>
        <v>emea</v>
      </c>
      <c r="W140" s="0" t="str">
        <f>INDEX('Account executives'!$C$2:$C$25,MATCH(C140,'Account executives'!$A$2:$A$25,0))</f>
        <v>smb</v>
      </c>
      <c r="X140" s="0" t="str">
        <f>SUBSTITUTE(LOWER(INDEX('Periods'!$G$2:$G$22,MATCH(N140,'Periods'!$A$2:$A$22,0)))," ","_")</f>
        <v>q4_2025</v>
      </c>
    </row>
    <row r="141">
      <c r="A141" s="0" t="inlineStr">
        <is>
          <t xml:space="preserve">o0140</t>
        </is>
      </c>
      <c r="B141" s="0" t="inlineStr">
        <is>
          <t xml:space="preserve">a0067</t>
        </is>
      </c>
      <c r="C141" s="0" t="inlineStr">
        <is>
          <t xml:space="preserve">r05</t>
        </is>
      </c>
      <c r="D141" s="0" t="inlineStr">
        <is>
          <t xml:space="preserve">s_amer_east_in</t>
        </is>
      </c>
      <c r="E141" s="0" t="inlineStr">
        <is>
          <t xml:space="preserve">inbound</t>
        </is>
      </c>
      <c r="F141" s="0" t="inlineStr">
        <is>
          <t xml:space="preserve">closed_won</t>
        </is>
      </c>
      <c r="G141" s="4">
        <v>0</v>
      </c>
      <c r="H141" s="4">
        <v>4400</v>
      </c>
      <c r="I141" s="4">
        <v>1</v>
      </c>
      <c r="J141" s="4">
        <v>1</v>
      </c>
      <c r="K141" s="16">
        <v>45887</v>
      </c>
      <c r="L141" s="16">
        <v>45910</v>
      </c>
      <c r="M141" s="0" t="inlineStr">
        <is>
          <t xml:space="preserve">aug25</t>
        </is>
      </c>
      <c r="N141" s="0" t="inlineStr">
        <is>
          <t xml:space="preserve">sep25</t>
        </is>
      </c>
      <c r="O141" s="4">
        <v>23</v>
      </c>
      <c r="P141" s="4">
        <v>1</v>
      </c>
      <c r="Q141" s="4">
        <v>0</v>
      </c>
      <c r="R141" s="4">
        <v>0</v>
      </c>
      <c r="S141" s="4">
        <f>(H141*INDEX('Stages'!$D$2:$D$7,MATCH(F141,'Stages'!$A$2:$A$7,0)))</f>
        <v>4400</v>
      </c>
      <c r="T141" s="4">
        <f>(H141*I141)</f>
        <v>4400</v>
      </c>
      <c r="U141" s="4">
        <f>(H141*(I141-1))</f>
        <v>0</v>
      </c>
      <c r="V141" s="0" t="str">
        <f>INDEX('Account executives'!$B$2:$B$25,MATCH(C141,'Account executives'!$A$2:$A$25,0))</f>
        <v>amer_east</v>
      </c>
      <c r="W141" s="0" t="str">
        <f>INDEX('Account executives'!$C$2:$C$25,MATCH(C141,'Account executives'!$A$2:$A$25,0))</f>
        <v>smb</v>
      </c>
      <c r="X141" s="0" t="str">
        <f>SUBSTITUTE(LOWER(INDEX('Periods'!$G$2:$G$22,MATCH(N141,'Periods'!$A$2:$A$22,0)))," ","_")</f>
        <v>q3_2025</v>
      </c>
    </row>
    <row r="142">
      <c r="A142" s="0" t="inlineStr">
        <is>
          <t xml:space="preserve">o0141</t>
        </is>
      </c>
      <c r="B142" s="0" t="inlineStr">
        <is>
          <t xml:space="preserve">a1254</t>
        </is>
      </c>
      <c r="C142" s="0" t="inlineStr">
        <is>
          <t xml:space="preserve">r23</t>
        </is>
      </c>
      <c r="D142" s="0" t="inlineStr">
        <is>
          <t xml:space="preserve">s_apac_in</t>
        </is>
      </c>
      <c r="E142" s="0" t="inlineStr">
        <is>
          <t xml:space="preserve">inbound</t>
        </is>
      </c>
      <c r="F142" s="0" t="inlineStr">
        <is>
          <t xml:space="preserve">negotiation</t>
        </is>
      </c>
      <c r="G142" s="4">
        <v>1</v>
      </c>
      <c r="H142" s="4">
        <v>8200</v>
      </c>
      <c r="I142" s="4">
        <v>1</v>
      </c>
      <c r="J142" s="4">
        <v>0</v>
      </c>
      <c r="K142" s="16">
        <v>46266</v>
      </c>
      <c r="L142" s="16">
        <v>46293</v>
      </c>
      <c r="M142" s="0" t="inlineStr">
        <is>
          <t xml:space="preserve">sep26</t>
        </is>
      </c>
      <c r="N142" s="0" t="inlineStr">
        <is>
          <t xml:space="preserve">sep26</t>
        </is>
      </c>
      <c r="O142" s="4">
        <v>21</v>
      </c>
      <c r="P142" s="4">
        <v>0</v>
      </c>
      <c r="Q142" s="4">
        <v>0</v>
      </c>
      <c r="R142" s="4">
        <v>1</v>
      </c>
      <c r="S142" s="4">
        <f>(H142*INDEX('Stages'!$D$2:$D$7,MATCH(F142,'Stages'!$A$2:$A$7,0)))</f>
        <v>6150</v>
      </c>
      <c r="T142" s="4">
        <f>(H142*I142)</f>
        <v>8200</v>
      </c>
      <c r="U142" s="4">
        <f>(H142*(I142-1))</f>
        <v>0</v>
      </c>
      <c r="V142" s="0" t="str">
        <f>INDEX('Account executives'!$B$2:$B$25,MATCH(C142,'Account executives'!$A$2:$A$25,0))</f>
        <v>apac</v>
      </c>
      <c r="W142" s="0" t="str">
        <f>INDEX('Account executives'!$C$2:$C$25,MATCH(C142,'Account executives'!$A$2:$A$25,0))</f>
        <v>smb</v>
      </c>
      <c r="X142" s="0" t="str">
        <f>SUBSTITUTE(LOWER(INDEX('Periods'!$G$2:$G$22,MATCH(N142,'Periods'!$A$2:$A$22,0)))," ","_")</f>
        <v>q3_2026</v>
      </c>
    </row>
    <row r="143">
      <c r="A143" s="0" t="inlineStr">
        <is>
          <t xml:space="preserve">o0142</t>
        </is>
      </c>
      <c r="B143" s="0" t="inlineStr">
        <is>
          <t xml:space="preserve">a0109</t>
        </is>
      </c>
      <c r="C143" s="0" t="inlineStr">
        <is>
          <t xml:space="preserve">r12</t>
        </is>
      </c>
      <c r="D143" s="0" t="inlineStr">
        <is>
          <t xml:space="preserve">s_amer_west_out</t>
        </is>
      </c>
      <c r="E143" s="0" t="inlineStr">
        <is>
          <t xml:space="preserve">outbound</t>
        </is>
      </c>
      <c r="F143" s="0" t="inlineStr">
        <is>
          <t xml:space="preserve">closed_won</t>
        </is>
      </c>
      <c r="G143" s="4">
        <v>1</v>
      </c>
      <c r="H143" s="4">
        <v>12600</v>
      </c>
      <c r="I143" s="4">
        <v>1</v>
      </c>
      <c r="J143" s="4">
        <v>0</v>
      </c>
      <c r="K143" s="16">
        <v>45780</v>
      </c>
      <c r="L143" s="16">
        <v>45788</v>
      </c>
      <c r="M143" s="0" t="inlineStr">
        <is>
          <t xml:space="preserve">may25</t>
        </is>
      </c>
      <c r="N143" s="0" t="inlineStr">
        <is>
          <t xml:space="preserve">may25</t>
        </is>
      </c>
      <c r="O143" s="4">
        <v>8</v>
      </c>
      <c r="P143" s="4">
        <v>1</v>
      </c>
      <c r="Q143" s="4">
        <v>0</v>
      </c>
      <c r="R143" s="4">
        <v>0</v>
      </c>
      <c r="S143" s="4">
        <f>(H143*INDEX('Stages'!$D$2:$D$7,MATCH(F143,'Stages'!$A$2:$A$7,0)))</f>
        <v>12600</v>
      </c>
      <c r="T143" s="4">
        <f>(H143*I143)</f>
        <v>12600</v>
      </c>
      <c r="U143" s="4">
        <f>(H143*(I143-1))</f>
        <v>0</v>
      </c>
      <c r="V143" s="0" t="str">
        <f>INDEX('Account executives'!$B$2:$B$25,MATCH(C143,'Account executives'!$A$2:$A$25,0))</f>
        <v>amer_west</v>
      </c>
      <c r="W143" s="0" t="str">
        <f>INDEX('Account executives'!$C$2:$C$25,MATCH(C143,'Account executives'!$A$2:$A$25,0))</f>
        <v>smb</v>
      </c>
      <c r="X143" s="0" t="str">
        <f>SUBSTITUTE(LOWER(INDEX('Periods'!$G$2:$G$22,MATCH(N143,'Periods'!$A$2:$A$22,0)))," ","_")</f>
        <v>q2_2025</v>
      </c>
    </row>
    <row r="144">
      <c r="A144" s="0" t="inlineStr">
        <is>
          <t xml:space="preserve">o0143</t>
        </is>
      </c>
      <c r="B144" s="0" t="inlineStr">
        <is>
          <t xml:space="preserve">a1097</t>
        </is>
      </c>
      <c r="C144" s="0" t="inlineStr">
        <is>
          <t xml:space="preserve">r12</t>
        </is>
      </c>
      <c r="D144" s="0" t="inlineStr">
        <is>
          <t xml:space="preserve">s_amer_west_in</t>
        </is>
      </c>
      <c r="E144" s="0" t="inlineStr">
        <is>
          <t xml:space="preserve">inbound</t>
        </is>
      </c>
      <c r="F144" s="0" t="inlineStr">
        <is>
          <t xml:space="preserve">closed_won</t>
        </is>
      </c>
      <c r="G144" s="4">
        <v>1</v>
      </c>
      <c r="H144" s="4">
        <v>18600</v>
      </c>
      <c r="I144" s="4">
        <v>1</v>
      </c>
      <c r="J144" s="4">
        <v>1</v>
      </c>
      <c r="K144" s="16">
        <v>46207</v>
      </c>
      <c r="L144" s="16">
        <v>46243</v>
      </c>
      <c r="M144" s="0" t="inlineStr">
        <is>
          <t xml:space="preserve">jul26</t>
        </is>
      </c>
      <c r="N144" s="0" t="inlineStr">
        <is>
          <t xml:space="preserve">aug26</t>
        </is>
      </c>
      <c r="O144" s="4">
        <v>36</v>
      </c>
      <c r="P144" s="4">
        <v>1</v>
      </c>
      <c r="Q144" s="4">
        <v>0</v>
      </c>
      <c r="R144" s="4">
        <v>0</v>
      </c>
      <c r="S144" s="4">
        <f>(H144*INDEX('Stages'!$D$2:$D$7,MATCH(F144,'Stages'!$A$2:$A$7,0)))</f>
        <v>18600</v>
      </c>
      <c r="T144" s="4">
        <f>(H144*I144)</f>
        <v>18600</v>
      </c>
      <c r="U144" s="4">
        <f>(H144*(I144-1))</f>
        <v>0</v>
      </c>
      <c r="V144" s="0" t="str">
        <f>INDEX('Account executives'!$B$2:$B$25,MATCH(C144,'Account executives'!$A$2:$A$25,0))</f>
        <v>amer_west</v>
      </c>
      <c r="W144" s="0" t="str">
        <f>INDEX('Account executives'!$C$2:$C$25,MATCH(C144,'Account executives'!$A$2:$A$25,0))</f>
        <v>smb</v>
      </c>
      <c r="X144" s="0" t="str">
        <f>SUBSTITUTE(LOWER(INDEX('Periods'!$G$2:$G$22,MATCH(N144,'Periods'!$A$2:$A$22,0)))," ","_")</f>
        <v>q3_2026</v>
      </c>
    </row>
    <row r="145">
      <c r="A145" s="0" t="inlineStr">
        <is>
          <t xml:space="preserve">o0144</t>
        </is>
      </c>
      <c r="B145" s="0" t="inlineStr">
        <is>
          <t xml:space="preserve">a0075</t>
        </is>
      </c>
      <c r="C145" s="0" t="inlineStr">
        <is>
          <t xml:space="preserve">r05</t>
        </is>
      </c>
      <c r="D145" s="0"/>
      <c r="E145" s="0" t="inlineStr">
        <is>
          <t xml:space="preserve">events</t>
        </is>
      </c>
      <c r="F145" s="0" t="inlineStr">
        <is>
          <t xml:space="preserve">closed_won</t>
        </is>
      </c>
      <c r="G145" s="4">
        <v>1</v>
      </c>
      <c r="H145" s="4">
        <v>13200</v>
      </c>
      <c r="I145" s="4">
        <v>1</v>
      </c>
      <c r="J145" s="4">
        <v>0</v>
      </c>
      <c r="K145" s="16">
        <v>45794</v>
      </c>
      <c r="L145" s="16">
        <v>45810</v>
      </c>
      <c r="M145" s="0" t="inlineStr">
        <is>
          <t xml:space="preserve">may25</t>
        </is>
      </c>
      <c r="N145" s="0" t="inlineStr">
        <is>
          <t xml:space="preserve">jun25</t>
        </is>
      </c>
      <c r="O145" s="4">
        <v>16</v>
      </c>
      <c r="P145" s="4">
        <v>1</v>
      </c>
      <c r="Q145" s="4">
        <v>0</v>
      </c>
      <c r="R145" s="4">
        <v>0</v>
      </c>
      <c r="S145" s="4">
        <f>(H145*INDEX('Stages'!$D$2:$D$7,MATCH(F145,'Stages'!$A$2:$A$7,0)))</f>
        <v>13200</v>
      </c>
      <c r="T145" s="4">
        <f>(H145*I145)</f>
        <v>13200</v>
      </c>
      <c r="U145" s="4">
        <f>(H145*(I145-1))</f>
        <v>0</v>
      </c>
      <c r="V145" s="0" t="str">
        <f>INDEX('Account executives'!$B$2:$B$25,MATCH(C145,'Account executives'!$A$2:$A$25,0))</f>
        <v>amer_east</v>
      </c>
      <c r="W145" s="0" t="str">
        <f>INDEX('Account executives'!$C$2:$C$25,MATCH(C145,'Account executives'!$A$2:$A$25,0))</f>
        <v>smb</v>
      </c>
      <c r="X145" s="0" t="str">
        <f>SUBSTITUTE(LOWER(INDEX('Periods'!$G$2:$G$22,MATCH(N145,'Periods'!$A$2:$A$22,0)))," ","_")</f>
        <v>q2_2025</v>
      </c>
    </row>
    <row r="146">
      <c r="A146" s="0" t="inlineStr">
        <is>
          <t xml:space="preserve">o0145</t>
        </is>
      </c>
      <c r="B146" s="0" t="inlineStr">
        <is>
          <t xml:space="preserve">a0644</t>
        </is>
      </c>
      <c r="C146" s="0" t="inlineStr">
        <is>
          <t xml:space="preserve">r17</t>
        </is>
      </c>
      <c r="D146" s="0" t="inlineStr">
        <is>
          <t xml:space="preserve">s_emea_in</t>
        </is>
      </c>
      <c r="E146" s="0" t="inlineStr">
        <is>
          <t xml:space="preserve">inbound</t>
        </is>
      </c>
      <c r="F146" s="0" t="inlineStr">
        <is>
          <t xml:space="preserve">closed_lost</t>
        </is>
      </c>
      <c r="G146" s="4">
        <v>1</v>
      </c>
      <c r="H146" s="4">
        <v>10400</v>
      </c>
      <c r="I146" s="4">
        <v>2</v>
      </c>
      <c r="J146" s="4">
        <v>1</v>
      </c>
      <c r="K146" s="16">
        <v>46031</v>
      </c>
      <c r="L146" s="16">
        <v>46109</v>
      </c>
      <c r="M146" s="0" t="inlineStr">
        <is>
          <t xml:space="preserve">jan26</t>
        </is>
      </c>
      <c r="N146" s="0" t="inlineStr">
        <is>
          <t xml:space="preserve">mar26</t>
        </is>
      </c>
      <c r="O146" s="4">
        <v>78</v>
      </c>
      <c r="P146" s="4">
        <v>0</v>
      </c>
      <c r="Q146" s="4">
        <v>1</v>
      </c>
      <c r="R146" s="4">
        <v>0</v>
      </c>
      <c r="S146" s="4">
        <f>(H146*INDEX('Stages'!$D$2:$D$7,MATCH(F146,'Stages'!$A$2:$A$7,0)))</f>
        <v>0</v>
      </c>
      <c r="T146" s="4">
        <f>(H146*I146)</f>
        <v>20800</v>
      </c>
      <c r="U146" s="4">
        <f>(H146*(I146-1))</f>
        <v>10400</v>
      </c>
      <c r="V146" s="0" t="str">
        <f>INDEX('Account executives'!$B$2:$B$25,MATCH(C146,'Account executives'!$A$2:$A$25,0))</f>
        <v>emea</v>
      </c>
      <c r="W146" s="0" t="str">
        <f>INDEX('Account executives'!$C$2:$C$25,MATCH(C146,'Account executives'!$A$2:$A$25,0))</f>
        <v>smb</v>
      </c>
      <c r="X146" s="0" t="str">
        <f>SUBSTITUTE(LOWER(INDEX('Periods'!$G$2:$G$22,MATCH(N146,'Periods'!$A$2:$A$22,0)))," ","_")</f>
        <v>q1_2026</v>
      </c>
    </row>
    <row r="147">
      <c r="A147" s="0" t="inlineStr">
        <is>
          <t xml:space="preserve">o0146</t>
        </is>
      </c>
      <c r="B147" s="0" t="inlineStr">
        <is>
          <t xml:space="preserve">a0046</t>
        </is>
      </c>
      <c r="C147" s="0" t="inlineStr">
        <is>
          <t xml:space="preserve">r18</t>
        </is>
      </c>
      <c r="D147" s="0" t="inlineStr">
        <is>
          <t xml:space="preserve">s_emea_in</t>
        </is>
      </c>
      <c r="E147" s="0" t="inlineStr">
        <is>
          <t xml:space="preserve">paid</t>
        </is>
      </c>
      <c r="F147" s="0" t="inlineStr">
        <is>
          <t xml:space="preserve">closed_lost</t>
        </is>
      </c>
      <c r="G147" s="4">
        <v>0</v>
      </c>
      <c r="H147" s="4">
        <v>4800</v>
      </c>
      <c r="I147" s="4">
        <v>1</v>
      </c>
      <c r="J147" s="4">
        <v>1</v>
      </c>
      <c r="K147" s="16">
        <v>45768</v>
      </c>
      <c r="L147" s="16">
        <v>45792</v>
      </c>
      <c r="M147" s="0" t="inlineStr">
        <is>
          <t xml:space="preserve">apr25</t>
        </is>
      </c>
      <c r="N147" s="0" t="inlineStr">
        <is>
          <t xml:space="preserve">may25</t>
        </is>
      </c>
      <c r="O147" s="4">
        <v>24</v>
      </c>
      <c r="P147" s="4">
        <v>0</v>
      </c>
      <c r="Q147" s="4">
        <v>1</v>
      </c>
      <c r="R147" s="4">
        <v>0</v>
      </c>
      <c r="S147" s="4">
        <f>(H147*INDEX('Stages'!$D$2:$D$7,MATCH(F147,'Stages'!$A$2:$A$7,0)))</f>
        <v>0</v>
      </c>
      <c r="T147" s="4">
        <f>(H147*I147)</f>
        <v>4800</v>
      </c>
      <c r="U147" s="4">
        <f>(H147*(I147-1))</f>
        <v>0</v>
      </c>
      <c r="V147" s="0" t="str">
        <f>INDEX('Account executives'!$B$2:$B$25,MATCH(C147,'Account executives'!$A$2:$A$25,0))</f>
        <v>emea</v>
      </c>
      <c r="W147" s="0" t="str">
        <f>INDEX('Account executives'!$C$2:$C$25,MATCH(C147,'Account executives'!$A$2:$A$25,0))</f>
        <v>smb</v>
      </c>
      <c r="X147" s="0" t="str">
        <f>SUBSTITUTE(LOWER(INDEX('Periods'!$G$2:$G$22,MATCH(N147,'Periods'!$A$2:$A$22,0)))," ","_")</f>
        <v>q2_2025</v>
      </c>
    </row>
    <row r="148">
      <c r="A148" s="0" t="inlineStr">
        <is>
          <t xml:space="preserve">o0147</t>
        </is>
      </c>
      <c r="B148" s="0" t="inlineStr">
        <is>
          <t xml:space="preserve">a0874</t>
        </is>
      </c>
      <c r="C148" s="0" t="inlineStr">
        <is>
          <t xml:space="preserve">r18</t>
        </is>
      </c>
      <c r="D148" s="0" t="inlineStr">
        <is>
          <t xml:space="preserve">s_emea_out</t>
        </is>
      </c>
      <c r="E148" s="0" t="inlineStr">
        <is>
          <t xml:space="preserve">outbound</t>
        </is>
      </c>
      <c r="F148" s="0" t="inlineStr">
        <is>
          <t xml:space="preserve">closed_won</t>
        </is>
      </c>
      <c r="G148" s="4">
        <v>1</v>
      </c>
      <c r="H148" s="4">
        <v>25700</v>
      </c>
      <c r="I148" s="4">
        <v>3</v>
      </c>
      <c r="J148" s="4">
        <v>1</v>
      </c>
      <c r="K148" s="16">
        <v>46131</v>
      </c>
      <c r="L148" s="16">
        <v>46201</v>
      </c>
      <c r="M148" s="0" t="inlineStr">
        <is>
          <t xml:space="preserve">apr26</t>
        </is>
      </c>
      <c r="N148" s="0" t="inlineStr">
        <is>
          <t xml:space="preserve">jun26</t>
        </is>
      </c>
      <c r="O148" s="4">
        <v>70</v>
      </c>
      <c r="P148" s="4">
        <v>1</v>
      </c>
      <c r="Q148" s="4">
        <v>0</v>
      </c>
      <c r="R148" s="4">
        <v>0</v>
      </c>
      <c r="S148" s="4">
        <f>(H148*INDEX('Stages'!$D$2:$D$7,MATCH(F148,'Stages'!$A$2:$A$7,0)))</f>
        <v>25700</v>
      </c>
      <c r="T148" s="4">
        <f>(H148*I148)</f>
        <v>77100</v>
      </c>
      <c r="U148" s="4">
        <f>(H148*(I148-1))</f>
        <v>51400</v>
      </c>
      <c r="V148" s="0" t="str">
        <f>INDEX('Account executives'!$B$2:$B$25,MATCH(C148,'Account executives'!$A$2:$A$25,0))</f>
        <v>emea</v>
      </c>
      <c r="W148" s="0" t="str">
        <f>INDEX('Account executives'!$C$2:$C$25,MATCH(C148,'Account executives'!$A$2:$A$25,0))</f>
        <v>smb</v>
      </c>
      <c r="X148" s="0" t="str">
        <f>SUBSTITUTE(LOWER(INDEX('Periods'!$G$2:$G$22,MATCH(N148,'Periods'!$A$2:$A$22,0)))," ","_")</f>
        <v>q2_2026</v>
      </c>
    </row>
    <row r="149">
      <c r="A149" s="0" t="inlineStr">
        <is>
          <t xml:space="preserve">o0148</t>
        </is>
      </c>
      <c r="B149" s="0" t="inlineStr">
        <is>
          <t xml:space="preserve">a1018</t>
        </is>
      </c>
      <c r="C149" s="0" t="inlineStr">
        <is>
          <t xml:space="preserve">r18</t>
        </is>
      </c>
      <c r="D149" s="0" t="inlineStr">
        <is>
          <t xml:space="preserve">s_emea_in</t>
        </is>
      </c>
      <c r="E149" s="0" t="inlineStr">
        <is>
          <t xml:space="preserve">inbound</t>
        </is>
      </c>
      <c r="F149" s="0" t="inlineStr">
        <is>
          <t xml:space="preserve">closed_lost</t>
        </is>
      </c>
      <c r="G149" s="4">
        <v>1</v>
      </c>
      <c r="H149" s="4">
        <v>11700</v>
      </c>
      <c r="I149" s="4">
        <v>1</v>
      </c>
      <c r="J149" s="4">
        <v>0</v>
      </c>
      <c r="K149" s="16">
        <v>46177</v>
      </c>
      <c r="L149" s="16">
        <v>46189</v>
      </c>
      <c r="M149" s="0" t="inlineStr">
        <is>
          <t xml:space="preserve">jun26</t>
        </is>
      </c>
      <c r="N149" s="0" t="inlineStr">
        <is>
          <t xml:space="preserve">jun26</t>
        </is>
      </c>
      <c r="O149" s="4">
        <v>12</v>
      </c>
      <c r="P149" s="4">
        <v>0</v>
      </c>
      <c r="Q149" s="4">
        <v>1</v>
      </c>
      <c r="R149" s="4">
        <v>0</v>
      </c>
      <c r="S149" s="4">
        <f>(H149*INDEX('Stages'!$D$2:$D$7,MATCH(F149,'Stages'!$A$2:$A$7,0)))</f>
        <v>0</v>
      </c>
      <c r="T149" s="4">
        <f>(H149*I149)</f>
        <v>11700</v>
      </c>
      <c r="U149" s="4">
        <f>(H149*(I149-1))</f>
        <v>0</v>
      </c>
      <c r="V149" s="0" t="str">
        <f>INDEX('Account executives'!$B$2:$B$25,MATCH(C149,'Account executives'!$A$2:$A$25,0))</f>
        <v>emea</v>
      </c>
      <c r="W149" s="0" t="str">
        <f>INDEX('Account executives'!$C$2:$C$25,MATCH(C149,'Account executives'!$A$2:$A$25,0))</f>
        <v>smb</v>
      </c>
      <c r="X149" s="0" t="str">
        <f>SUBSTITUTE(LOWER(INDEX('Periods'!$G$2:$G$22,MATCH(N149,'Periods'!$A$2:$A$22,0)))," ","_")</f>
        <v>q2_2026</v>
      </c>
    </row>
    <row r="150">
      <c r="A150" s="0" t="inlineStr">
        <is>
          <t xml:space="preserve">o0149</t>
        </is>
      </c>
      <c r="B150" s="0" t="inlineStr">
        <is>
          <t xml:space="preserve">a0970</t>
        </is>
      </c>
      <c r="C150" s="0" t="inlineStr">
        <is>
          <t xml:space="preserve">r01</t>
        </is>
      </c>
      <c r="D150" s="0"/>
      <c r="E150" s="0" t="inlineStr">
        <is>
          <t xml:space="preserve">events</t>
        </is>
      </c>
      <c r="F150" s="0" t="inlineStr">
        <is>
          <t xml:space="preserve">closed_lost</t>
        </is>
      </c>
      <c r="G150" s="4">
        <v>1</v>
      </c>
      <c r="H150" s="4">
        <v>135000</v>
      </c>
      <c r="I150" s="4">
        <v>3</v>
      </c>
      <c r="J150" s="4">
        <v>0</v>
      </c>
      <c r="K150" s="16">
        <v>46193</v>
      </c>
      <c r="L150" s="16">
        <v>46263</v>
      </c>
      <c r="M150" s="0" t="inlineStr">
        <is>
          <t xml:space="preserve">jun26</t>
        </is>
      </c>
      <c r="N150" s="0" t="inlineStr">
        <is>
          <t xml:space="preserve">aug26</t>
        </is>
      </c>
      <c r="O150" s="4">
        <v>70</v>
      </c>
      <c r="P150" s="4">
        <v>0</v>
      </c>
      <c r="Q150" s="4">
        <v>1</v>
      </c>
      <c r="R150" s="4">
        <v>0</v>
      </c>
      <c r="S150" s="4">
        <f>(H150*INDEX('Stages'!$D$2:$D$7,MATCH(F150,'Stages'!$A$2:$A$7,0)))</f>
        <v>0</v>
      </c>
      <c r="T150" s="4">
        <f>(H150*I150)</f>
        <v>405000</v>
      </c>
      <c r="U150" s="4">
        <f>(H150*(I150-1))</f>
        <v>270000</v>
      </c>
      <c r="V150" s="0" t="str">
        <f>INDEX('Account executives'!$B$2:$B$25,MATCH(C150,'Account executives'!$A$2:$A$25,0))</f>
        <v>amer_east</v>
      </c>
      <c r="W150" s="0" t="str">
        <f>INDEX('Account executives'!$C$2:$C$25,MATCH(C150,'Account executives'!$A$2:$A$25,0))</f>
        <v>enterprise</v>
      </c>
      <c r="X150" s="0" t="str">
        <f>SUBSTITUTE(LOWER(INDEX('Periods'!$G$2:$G$22,MATCH(N150,'Periods'!$A$2:$A$22,0)))," ","_")</f>
        <v>q3_2026</v>
      </c>
    </row>
    <row r="151">
      <c r="A151" s="0" t="inlineStr">
        <is>
          <t xml:space="preserve">o0150</t>
        </is>
      </c>
      <c r="B151" s="0" t="inlineStr">
        <is>
          <t xml:space="preserve">a0404</t>
        </is>
      </c>
      <c r="C151" s="0" t="inlineStr">
        <is>
          <t xml:space="preserve">r15</t>
        </is>
      </c>
      <c r="D151" s="0"/>
      <c r="E151" s="0" t="inlineStr">
        <is>
          <t xml:space="preserve">referral</t>
        </is>
      </c>
      <c r="F151" s="0" t="inlineStr">
        <is>
          <t xml:space="preserve">closed_won</t>
        </is>
      </c>
      <c r="G151" s="4">
        <v>0</v>
      </c>
      <c r="H151" s="4">
        <v>29000</v>
      </c>
      <c r="I151" s="4">
        <v>1</v>
      </c>
      <c r="J151" s="4">
        <v>0</v>
      </c>
      <c r="K151" s="16">
        <v>45954</v>
      </c>
      <c r="L151" s="16">
        <v>46020</v>
      </c>
      <c r="M151" s="0" t="inlineStr">
        <is>
          <t xml:space="preserve">oct25</t>
        </is>
      </c>
      <c r="N151" s="0" t="inlineStr">
        <is>
          <t xml:space="preserve">dec25</t>
        </is>
      </c>
      <c r="O151" s="4">
        <v>66</v>
      </c>
      <c r="P151" s="4">
        <v>1</v>
      </c>
      <c r="Q151" s="4">
        <v>0</v>
      </c>
      <c r="R151" s="4">
        <v>0</v>
      </c>
      <c r="S151" s="4">
        <f>(H151*INDEX('Stages'!$D$2:$D$7,MATCH(F151,'Stages'!$A$2:$A$7,0)))</f>
        <v>29000</v>
      </c>
      <c r="T151" s="4">
        <f>(H151*I151)</f>
        <v>29000</v>
      </c>
      <c r="U151" s="4">
        <f>(H151*(I151-1))</f>
        <v>0</v>
      </c>
      <c r="V151" s="0" t="str">
        <f>INDEX('Account executives'!$B$2:$B$25,MATCH(C151,'Account executives'!$A$2:$A$25,0))</f>
        <v>emea</v>
      </c>
      <c r="W151" s="0" t="str">
        <f>INDEX('Account executives'!$C$2:$C$25,MATCH(C151,'Account executives'!$A$2:$A$25,0))</f>
        <v>mid_market</v>
      </c>
      <c r="X151" s="0" t="str">
        <f>SUBSTITUTE(LOWER(INDEX('Periods'!$G$2:$G$22,MATCH(N151,'Periods'!$A$2:$A$22,0)))," ","_")</f>
        <v>q4_2025</v>
      </c>
    </row>
    <row r="152">
      <c r="A152" s="0" t="inlineStr">
        <is>
          <t xml:space="preserve">o0151</t>
        </is>
      </c>
      <c r="B152" s="0" t="inlineStr">
        <is>
          <t xml:space="preserve">a0878</t>
        </is>
      </c>
      <c r="C152" s="0" t="inlineStr">
        <is>
          <t xml:space="preserve">r24</t>
        </is>
      </c>
      <c r="D152" s="0"/>
      <c r="E152" s="0" t="inlineStr">
        <is>
          <t xml:space="preserve">partner</t>
        </is>
      </c>
      <c r="F152" s="0" t="inlineStr">
        <is>
          <t xml:space="preserve">closed_lost</t>
        </is>
      </c>
      <c r="G152" s="4">
        <v>1</v>
      </c>
      <c r="H152" s="4">
        <v>7200</v>
      </c>
      <c r="I152" s="4">
        <v>1</v>
      </c>
      <c r="J152" s="4">
        <v>0</v>
      </c>
      <c r="K152" s="16">
        <v>46123</v>
      </c>
      <c r="L152" s="16">
        <v>46148</v>
      </c>
      <c r="M152" s="0" t="inlineStr">
        <is>
          <t xml:space="preserve">apr26</t>
        </is>
      </c>
      <c r="N152" s="0" t="inlineStr">
        <is>
          <t xml:space="preserve">may26</t>
        </is>
      </c>
      <c r="O152" s="4">
        <v>25</v>
      </c>
      <c r="P152" s="4">
        <v>0</v>
      </c>
      <c r="Q152" s="4">
        <v>1</v>
      </c>
      <c r="R152" s="4">
        <v>0</v>
      </c>
      <c r="S152" s="4">
        <f>(H152*INDEX('Stages'!$D$2:$D$7,MATCH(F152,'Stages'!$A$2:$A$7,0)))</f>
        <v>0</v>
      </c>
      <c r="T152" s="4">
        <f>(H152*I152)</f>
        <v>7200</v>
      </c>
      <c r="U152" s="4">
        <f>(H152*(I152-1))</f>
        <v>0</v>
      </c>
      <c r="V152" s="0" t="str">
        <f>INDEX('Account executives'!$B$2:$B$25,MATCH(C152,'Account executives'!$A$2:$A$25,0))</f>
        <v>apac</v>
      </c>
      <c r="W152" s="0" t="str">
        <f>INDEX('Account executives'!$C$2:$C$25,MATCH(C152,'Account executives'!$A$2:$A$25,0))</f>
        <v>smb</v>
      </c>
      <c r="X152" s="0" t="str">
        <f>SUBSTITUTE(LOWER(INDEX('Periods'!$G$2:$G$22,MATCH(N152,'Periods'!$A$2:$A$22,0)))," ","_")</f>
        <v>q2_2026</v>
      </c>
    </row>
    <row r="153">
      <c r="A153" s="0" t="inlineStr">
        <is>
          <t xml:space="preserve">o0152</t>
        </is>
      </c>
      <c r="B153" s="0" t="inlineStr">
        <is>
          <t xml:space="preserve">a0730</t>
        </is>
      </c>
      <c r="C153" s="0" t="inlineStr">
        <is>
          <t xml:space="preserve">r06</t>
        </is>
      </c>
      <c r="D153" s="0"/>
      <c r="E153" s="0" t="inlineStr">
        <is>
          <t xml:space="preserve">events</t>
        </is>
      </c>
      <c r="F153" s="0" t="inlineStr">
        <is>
          <t xml:space="preserve">closed_won</t>
        </is>
      </c>
      <c r="G153" s="4">
        <v>1</v>
      </c>
      <c r="H153" s="4">
        <v>21900</v>
      </c>
      <c r="I153" s="4">
        <v>1</v>
      </c>
      <c r="J153" s="4">
        <v>0</v>
      </c>
      <c r="K153" s="16">
        <v>46082</v>
      </c>
      <c r="L153" s="16">
        <v>46201</v>
      </c>
      <c r="M153" s="0" t="inlineStr">
        <is>
          <t xml:space="preserve">mar26</t>
        </is>
      </c>
      <c r="N153" s="0" t="inlineStr">
        <is>
          <t xml:space="preserve">jun26</t>
        </is>
      </c>
      <c r="O153" s="4">
        <v>119</v>
      </c>
      <c r="P153" s="4">
        <v>1</v>
      </c>
      <c r="Q153" s="4">
        <v>0</v>
      </c>
      <c r="R153" s="4">
        <v>0</v>
      </c>
      <c r="S153" s="4">
        <f>(H153*INDEX('Stages'!$D$2:$D$7,MATCH(F153,'Stages'!$A$2:$A$7,0)))</f>
        <v>21900</v>
      </c>
      <c r="T153" s="4">
        <f>(H153*I153)</f>
        <v>21900</v>
      </c>
      <c r="U153" s="4">
        <f>(H153*(I153-1))</f>
        <v>0</v>
      </c>
      <c r="V153" s="0" t="str">
        <f>INDEX('Account executives'!$B$2:$B$25,MATCH(C153,'Account executives'!$A$2:$A$25,0))</f>
        <v>amer_east</v>
      </c>
      <c r="W153" s="0" t="str">
        <f>INDEX('Account executives'!$C$2:$C$25,MATCH(C153,'Account executives'!$A$2:$A$25,0))</f>
        <v>smb</v>
      </c>
      <c r="X153" s="0" t="str">
        <f>SUBSTITUTE(LOWER(INDEX('Periods'!$G$2:$G$22,MATCH(N153,'Periods'!$A$2:$A$22,0)))," ","_")</f>
        <v>q2_2026</v>
      </c>
    </row>
    <row r="154">
      <c r="A154" s="0" t="inlineStr">
        <is>
          <t xml:space="preserve">o0153</t>
        </is>
      </c>
      <c r="B154" s="0" t="inlineStr">
        <is>
          <t xml:space="preserve">a0444</t>
        </is>
      </c>
      <c r="C154" s="0" t="inlineStr">
        <is>
          <t xml:space="preserve">r17</t>
        </is>
      </c>
      <c r="D154" s="0" t="inlineStr">
        <is>
          <t xml:space="preserve">s_emea_in</t>
        </is>
      </c>
      <c r="E154" s="0" t="inlineStr">
        <is>
          <t xml:space="preserve">inbound</t>
        </is>
      </c>
      <c r="F154" s="0" t="inlineStr">
        <is>
          <t xml:space="preserve">closed_won</t>
        </is>
      </c>
      <c r="G154" s="4">
        <v>1</v>
      </c>
      <c r="H154" s="4">
        <v>33800</v>
      </c>
      <c r="I154" s="4">
        <v>1</v>
      </c>
      <c r="J154" s="4">
        <v>0</v>
      </c>
      <c r="K154" s="16">
        <v>45931</v>
      </c>
      <c r="L154" s="16">
        <v>46019</v>
      </c>
      <c r="M154" s="0" t="inlineStr">
        <is>
          <t xml:space="preserve">oct25</t>
        </is>
      </c>
      <c r="N154" s="0" t="inlineStr">
        <is>
          <t xml:space="preserve">dec25</t>
        </is>
      </c>
      <c r="O154" s="4">
        <v>88</v>
      </c>
      <c r="P154" s="4">
        <v>1</v>
      </c>
      <c r="Q154" s="4">
        <v>0</v>
      </c>
      <c r="R154" s="4">
        <v>0</v>
      </c>
      <c r="S154" s="4">
        <f>(H154*INDEX('Stages'!$D$2:$D$7,MATCH(F154,'Stages'!$A$2:$A$7,0)))</f>
        <v>33800</v>
      </c>
      <c r="T154" s="4">
        <f>(H154*I154)</f>
        <v>33800</v>
      </c>
      <c r="U154" s="4">
        <f>(H154*(I154-1))</f>
        <v>0</v>
      </c>
      <c r="V154" s="0" t="str">
        <f>INDEX('Account executives'!$B$2:$B$25,MATCH(C154,'Account executives'!$A$2:$A$25,0))</f>
        <v>emea</v>
      </c>
      <c r="W154" s="0" t="str">
        <f>INDEX('Account executives'!$C$2:$C$25,MATCH(C154,'Account executives'!$A$2:$A$25,0))</f>
        <v>smb</v>
      </c>
      <c r="X154" s="0" t="str">
        <f>SUBSTITUTE(LOWER(INDEX('Periods'!$G$2:$G$22,MATCH(N154,'Periods'!$A$2:$A$22,0)))," ","_")</f>
        <v>q4_2025</v>
      </c>
    </row>
    <row r="155">
      <c r="A155" s="0" t="inlineStr">
        <is>
          <t xml:space="preserve">o0154</t>
        </is>
      </c>
      <c r="B155" s="0" t="inlineStr">
        <is>
          <t xml:space="preserve">a0164</t>
        </is>
      </c>
      <c r="C155" s="0" t="inlineStr">
        <is>
          <t xml:space="preserve">r05</t>
        </is>
      </c>
      <c r="D155" s="0" t="inlineStr">
        <is>
          <t xml:space="preserve">s_amer_east_in</t>
        </is>
      </c>
      <c r="E155" s="0" t="inlineStr">
        <is>
          <t xml:space="preserve">inbound</t>
        </is>
      </c>
      <c r="F155" s="0" t="inlineStr">
        <is>
          <t xml:space="preserve">closed_won</t>
        </is>
      </c>
      <c r="G155" s="4">
        <v>1</v>
      </c>
      <c r="H155" s="4">
        <v>9300</v>
      </c>
      <c r="I155" s="4">
        <v>1</v>
      </c>
      <c r="J155" s="4">
        <v>0</v>
      </c>
      <c r="K155" s="16">
        <v>45818</v>
      </c>
      <c r="L155" s="16">
        <v>45848</v>
      </c>
      <c r="M155" s="0" t="inlineStr">
        <is>
          <t xml:space="preserve">jun25</t>
        </is>
      </c>
      <c r="N155" s="0" t="inlineStr">
        <is>
          <t xml:space="preserve">jul25</t>
        </is>
      </c>
      <c r="O155" s="4">
        <v>30</v>
      </c>
      <c r="P155" s="4">
        <v>1</v>
      </c>
      <c r="Q155" s="4">
        <v>0</v>
      </c>
      <c r="R155" s="4">
        <v>0</v>
      </c>
      <c r="S155" s="4">
        <f>(H155*INDEX('Stages'!$D$2:$D$7,MATCH(F155,'Stages'!$A$2:$A$7,0)))</f>
        <v>9300</v>
      </c>
      <c r="T155" s="4">
        <f>(H155*I155)</f>
        <v>9300</v>
      </c>
      <c r="U155" s="4">
        <f>(H155*(I155-1))</f>
        <v>0</v>
      </c>
      <c r="V155" s="0" t="str">
        <f>INDEX('Account executives'!$B$2:$B$25,MATCH(C155,'Account executives'!$A$2:$A$25,0))</f>
        <v>amer_east</v>
      </c>
      <c r="W155" s="0" t="str">
        <f>INDEX('Account executives'!$C$2:$C$25,MATCH(C155,'Account executives'!$A$2:$A$25,0))</f>
        <v>smb</v>
      </c>
      <c r="X155" s="0" t="str">
        <f>SUBSTITUTE(LOWER(INDEX('Periods'!$G$2:$G$22,MATCH(N155,'Periods'!$A$2:$A$22,0)))," ","_")</f>
        <v>q3_2025</v>
      </c>
    </row>
    <row r="156">
      <c r="A156" s="0" t="inlineStr">
        <is>
          <t xml:space="preserve">o0155</t>
        </is>
      </c>
      <c r="B156" s="0" t="inlineStr">
        <is>
          <t xml:space="preserve">a1265</t>
        </is>
      </c>
      <c r="C156" s="0" t="inlineStr">
        <is>
          <t xml:space="preserve">r19</t>
        </is>
      </c>
      <c r="D156" s="0"/>
      <c r="E156" s="0" t="inlineStr">
        <is>
          <t xml:space="preserve">partner</t>
        </is>
      </c>
      <c r="F156" s="0" t="inlineStr">
        <is>
          <t xml:space="preserve">discovery</t>
        </is>
      </c>
      <c r="G156" s="4">
        <v>1</v>
      </c>
      <c r="H156" s="4">
        <v>193600</v>
      </c>
      <c r="I156" s="4">
        <v>1</v>
      </c>
      <c r="J156" s="4">
        <v>0</v>
      </c>
      <c r="K156" s="16">
        <v>46271</v>
      </c>
      <c r="L156" s="16">
        <v>46356</v>
      </c>
      <c r="M156" s="0" t="inlineStr">
        <is>
          <t xml:space="preserve">sep26</t>
        </is>
      </c>
      <c r="N156" s="0" t="inlineStr">
        <is>
          <t xml:space="preserve">nov26</t>
        </is>
      </c>
      <c r="O156" s="4">
        <v>106</v>
      </c>
      <c r="P156" s="4">
        <v>0</v>
      </c>
      <c r="Q156" s="4">
        <v>0</v>
      </c>
      <c r="R156" s="4">
        <v>1</v>
      </c>
      <c r="S156" s="4">
        <f>(H156*INDEX('Stages'!$D$2:$D$7,MATCH(F156,'Stages'!$A$2:$A$7,0)))</f>
        <v>19360</v>
      </c>
      <c r="T156" s="4">
        <f>(H156*I156)</f>
        <v>193600</v>
      </c>
      <c r="U156" s="4">
        <f>(H156*(I156-1))</f>
        <v>0</v>
      </c>
      <c r="V156" s="0" t="str">
        <f>INDEX('Account executives'!$B$2:$B$25,MATCH(C156,'Account executives'!$A$2:$A$25,0))</f>
        <v>apac</v>
      </c>
      <c r="W156" s="0" t="str">
        <f>INDEX('Account executives'!$C$2:$C$25,MATCH(C156,'Account executives'!$A$2:$A$25,0))</f>
        <v>enterprise</v>
      </c>
      <c r="X156" s="0" t="str">
        <f>SUBSTITUTE(LOWER(INDEX('Periods'!$G$2:$G$22,MATCH(N156,'Periods'!$A$2:$A$22,0)))," ","_")</f>
        <v>q4_2026</v>
      </c>
    </row>
    <row r="157">
      <c r="A157" s="0" t="inlineStr">
        <is>
          <t xml:space="preserve">o0156</t>
        </is>
      </c>
      <c r="B157" s="0" t="inlineStr">
        <is>
          <t xml:space="preserve">a1068</t>
        </is>
      </c>
      <c r="C157" s="0" t="inlineStr">
        <is>
          <t xml:space="preserve">r05</t>
        </is>
      </c>
      <c r="D157" s="0" t="inlineStr">
        <is>
          <t xml:space="preserve">s_amer_east_in</t>
        </is>
      </c>
      <c r="E157" s="0" t="inlineStr">
        <is>
          <t xml:space="preserve">inbound</t>
        </is>
      </c>
      <c r="F157" s="0" t="inlineStr">
        <is>
          <t xml:space="preserve">closed_won</t>
        </is>
      </c>
      <c r="G157" s="4">
        <v>1</v>
      </c>
      <c r="H157" s="4">
        <v>13500</v>
      </c>
      <c r="I157" s="4">
        <v>1</v>
      </c>
      <c r="J157" s="4">
        <v>1</v>
      </c>
      <c r="K157" s="16">
        <v>46230</v>
      </c>
      <c r="L157" s="16">
        <v>46255</v>
      </c>
      <c r="M157" s="0" t="inlineStr">
        <is>
          <t xml:space="preserve">jul26</t>
        </is>
      </c>
      <c r="N157" s="0" t="inlineStr">
        <is>
          <t xml:space="preserve">aug26</t>
        </is>
      </c>
      <c r="O157" s="4">
        <v>25</v>
      </c>
      <c r="P157" s="4">
        <v>1</v>
      </c>
      <c r="Q157" s="4">
        <v>0</v>
      </c>
      <c r="R157" s="4">
        <v>0</v>
      </c>
      <c r="S157" s="4">
        <f>(H157*INDEX('Stages'!$D$2:$D$7,MATCH(F157,'Stages'!$A$2:$A$7,0)))</f>
        <v>13500</v>
      </c>
      <c r="T157" s="4">
        <f>(H157*I157)</f>
        <v>13500</v>
      </c>
      <c r="U157" s="4">
        <f>(H157*(I157-1))</f>
        <v>0</v>
      </c>
      <c r="V157" s="0" t="str">
        <f>INDEX('Account executives'!$B$2:$B$25,MATCH(C157,'Account executives'!$A$2:$A$25,0))</f>
        <v>amer_east</v>
      </c>
      <c r="W157" s="0" t="str">
        <f>INDEX('Account executives'!$C$2:$C$25,MATCH(C157,'Account executives'!$A$2:$A$25,0))</f>
        <v>smb</v>
      </c>
      <c r="X157" s="0" t="str">
        <f>SUBSTITUTE(LOWER(INDEX('Periods'!$G$2:$G$22,MATCH(N157,'Periods'!$A$2:$A$22,0)))," ","_")</f>
        <v>q3_2026</v>
      </c>
    </row>
    <row r="158">
      <c r="A158" s="0" t="inlineStr">
        <is>
          <t xml:space="preserve">o0157</t>
        </is>
      </c>
      <c r="B158" s="0" t="inlineStr">
        <is>
          <t xml:space="preserve">a1250</t>
        </is>
      </c>
      <c r="C158" s="0" t="inlineStr">
        <is>
          <t xml:space="preserve">r17</t>
        </is>
      </c>
      <c r="D158" s="0" t="inlineStr">
        <is>
          <t xml:space="preserve">s_emea_in</t>
        </is>
      </c>
      <c r="E158" s="0" t="inlineStr">
        <is>
          <t xml:space="preserve">inbound</t>
        </is>
      </c>
      <c r="F158" s="0" t="inlineStr">
        <is>
          <t xml:space="preserve">evaluation</t>
        </is>
      </c>
      <c r="G158" s="4">
        <v>1</v>
      </c>
      <c r="H158" s="4">
        <v>20200</v>
      </c>
      <c r="I158" s="4">
        <v>1</v>
      </c>
      <c r="J158" s="4">
        <v>0</v>
      </c>
      <c r="K158" s="16">
        <v>46268</v>
      </c>
      <c r="L158" s="16">
        <v>46293</v>
      </c>
      <c r="M158" s="0" t="inlineStr">
        <is>
          <t xml:space="preserve">sep26</t>
        </is>
      </c>
      <c r="N158" s="0" t="inlineStr">
        <is>
          <t xml:space="preserve">sep26</t>
        </is>
      </c>
      <c r="O158" s="4">
        <v>21</v>
      </c>
      <c r="P158" s="4">
        <v>0</v>
      </c>
      <c r="Q158" s="4">
        <v>0</v>
      </c>
      <c r="R158" s="4">
        <v>1</v>
      </c>
      <c r="S158" s="4">
        <f>(H158*INDEX('Stages'!$D$2:$D$7,MATCH(F158,'Stages'!$A$2:$A$7,0)))</f>
        <v>5050</v>
      </c>
      <c r="T158" s="4">
        <f>(H158*I158)</f>
        <v>20200</v>
      </c>
      <c r="U158" s="4">
        <f>(H158*(I158-1))</f>
        <v>0</v>
      </c>
      <c r="V158" s="0" t="str">
        <f>INDEX('Account executives'!$B$2:$B$25,MATCH(C158,'Account executives'!$A$2:$A$25,0))</f>
        <v>emea</v>
      </c>
      <c r="W158" s="0" t="str">
        <f>INDEX('Account executives'!$C$2:$C$25,MATCH(C158,'Account executives'!$A$2:$A$25,0))</f>
        <v>smb</v>
      </c>
      <c r="X158" s="0" t="str">
        <f>SUBSTITUTE(LOWER(INDEX('Periods'!$G$2:$G$22,MATCH(N158,'Periods'!$A$2:$A$22,0)))," ","_")</f>
        <v>q3_2026</v>
      </c>
    </row>
    <row r="159">
      <c r="A159" s="0" t="inlineStr">
        <is>
          <t xml:space="preserve">o0158</t>
        </is>
      </c>
      <c r="B159" s="0" t="inlineStr">
        <is>
          <t xml:space="preserve">a0439</t>
        </is>
      </c>
      <c r="C159" s="0" t="inlineStr">
        <is>
          <t xml:space="preserve">r12</t>
        </is>
      </c>
      <c r="D159" s="0" t="inlineStr">
        <is>
          <t xml:space="preserve">s_amer_west_out</t>
        </is>
      </c>
      <c r="E159" s="0" t="inlineStr">
        <is>
          <t xml:space="preserve">outbound</t>
        </is>
      </c>
      <c r="F159" s="0" t="inlineStr">
        <is>
          <t xml:space="preserve">closed_lost</t>
        </is>
      </c>
      <c r="G159" s="4">
        <v>1</v>
      </c>
      <c r="H159" s="4">
        <v>13200</v>
      </c>
      <c r="I159" s="4">
        <v>1</v>
      </c>
      <c r="J159" s="4">
        <v>0</v>
      </c>
      <c r="K159" s="16">
        <v>45954</v>
      </c>
      <c r="L159" s="16">
        <v>45973</v>
      </c>
      <c r="M159" s="0" t="inlineStr">
        <is>
          <t xml:space="preserve">oct25</t>
        </is>
      </c>
      <c r="N159" s="0" t="inlineStr">
        <is>
          <t xml:space="preserve">nov25</t>
        </is>
      </c>
      <c r="O159" s="4">
        <v>19</v>
      </c>
      <c r="P159" s="4">
        <v>0</v>
      </c>
      <c r="Q159" s="4">
        <v>1</v>
      </c>
      <c r="R159" s="4">
        <v>0</v>
      </c>
      <c r="S159" s="4">
        <f>(H159*INDEX('Stages'!$D$2:$D$7,MATCH(F159,'Stages'!$A$2:$A$7,0)))</f>
        <v>0</v>
      </c>
      <c r="T159" s="4">
        <f>(H159*I159)</f>
        <v>13200</v>
      </c>
      <c r="U159" s="4">
        <f>(H159*(I159-1))</f>
        <v>0</v>
      </c>
      <c r="V159" s="0" t="str">
        <f>INDEX('Account executives'!$B$2:$B$25,MATCH(C159,'Account executives'!$A$2:$A$25,0))</f>
        <v>amer_west</v>
      </c>
      <c r="W159" s="0" t="str">
        <f>INDEX('Account executives'!$C$2:$C$25,MATCH(C159,'Account executives'!$A$2:$A$25,0))</f>
        <v>smb</v>
      </c>
      <c r="X159" s="0" t="str">
        <f>SUBSTITUTE(LOWER(INDEX('Periods'!$G$2:$G$22,MATCH(N159,'Periods'!$A$2:$A$22,0)))," ","_")</f>
        <v>q4_2025</v>
      </c>
    </row>
    <row r="160">
      <c r="A160" s="0" t="inlineStr">
        <is>
          <t xml:space="preserve">o0159</t>
        </is>
      </c>
      <c r="B160" s="0" t="inlineStr">
        <is>
          <t xml:space="preserve">a1225</t>
        </is>
      </c>
      <c r="C160" s="0" t="inlineStr">
        <is>
          <t xml:space="preserve">r03</t>
        </is>
      </c>
      <c r="D160" s="0"/>
      <c r="E160" s="0" t="inlineStr">
        <is>
          <t xml:space="preserve">events</t>
        </is>
      </c>
      <c r="F160" s="0" t="inlineStr">
        <is>
          <t xml:space="preserve">discovery</t>
        </is>
      </c>
      <c r="G160" s="4">
        <v>1</v>
      </c>
      <c r="H160" s="4">
        <v>49300</v>
      </c>
      <c r="I160" s="4">
        <v>2</v>
      </c>
      <c r="J160" s="4">
        <v>1</v>
      </c>
      <c r="K160" s="16">
        <v>46269</v>
      </c>
      <c r="L160" s="16">
        <v>46371</v>
      </c>
      <c r="M160" s="0" t="inlineStr">
        <is>
          <t xml:space="preserve">sep26</t>
        </is>
      </c>
      <c r="N160" s="0" t="inlineStr">
        <is>
          <t xml:space="preserve">dec26</t>
        </is>
      </c>
      <c r="O160" s="4">
        <v>61</v>
      </c>
      <c r="P160" s="4">
        <v>0</v>
      </c>
      <c r="Q160" s="4">
        <v>0</v>
      </c>
      <c r="R160" s="4">
        <v>1</v>
      </c>
      <c r="S160" s="4">
        <f>(H160*INDEX('Stages'!$D$2:$D$7,MATCH(F160,'Stages'!$A$2:$A$7,0)))</f>
        <v>4930</v>
      </c>
      <c r="T160" s="4">
        <f>(H160*I160)</f>
        <v>98600</v>
      </c>
      <c r="U160" s="4">
        <f>(H160*(I160-1))</f>
        <v>49300</v>
      </c>
      <c r="V160" s="0" t="str">
        <f>INDEX('Account executives'!$B$2:$B$25,MATCH(C160,'Account executives'!$A$2:$A$25,0))</f>
        <v>amer_east</v>
      </c>
      <c r="W160" s="0" t="str">
        <f>INDEX('Account executives'!$C$2:$C$25,MATCH(C160,'Account executives'!$A$2:$A$25,0))</f>
        <v>mid_market</v>
      </c>
      <c r="X160" s="0" t="str">
        <f>SUBSTITUTE(LOWER(INDEX('Periods'!$G$2:$G$22,MATCH(N160,'Periods'!$A$2:$A$22,0)))," ","_")</f>
        <v>q4_2026</v>
      </c>
    </row>
    <row r="161">
      <c r="A161" s="0" t="inlineStr">
        <is>
          <t xml:space="preserve">o0160</t>
        </is>
      </c>
      <c r="B161" s="0" t="inlineStr">
        <is>
          <t xml:space="preserve">a0734</t>
        </is>
      </c>
      <c r="C161" s="0" t="inlineStr">
        <is>
          <t xml:space="preserve">r03</t>
        </is>
      </c>
      <c r="D161" s="0"/>
      <c r="E161" s="0" t="inlineStr">
        <is>
          <t xml:space="preserve">events</t>
        </is>
      </c>
      <c r="F161" s="0" t="inlineStr">
        <is>
          <t xml:space="preserve">closed_lost</t>
        </is>
      </c>
      <c r="G161" s="4">
        <v>1</v>
      </c>
      <c r="H161" s="4">
        <v>38700</v>
      </c>
      <c r="I161" s="4">
        <v>1</v>
      </c>
      <c r="J161" s="4">
        <v>0</v>
      </c>
      <c r="K161" s="16">
        <v>46108</v>
      </c>
      <c r="L161" s="16">
        <v>46188</v>
      </c>
      <c r="M161" s="0" t="inlineStr">
        <is>
          <t xml:space="preserve">mar26</t>
        </is>
      </c>
      <c r="N161" s="0" t="inlineStr">
        <is>
          <t xml:space="preserve">jun26</t>
        </is>
      </c>
      <c r="O161" s="4">
        <v>80</v>
      </c>
      <c r="P161" s="4">
        <v>0</v>
      </c>
      <c r="Q161" s="4">
        <v>1</v>
      </c>
      <c r="R161" s="4">
        <v>0</v>
      </c>
      <c r="S161" s="4">
        <f>(H161*INDEX('Stages'!$D$2:$D$7,MATCH(F161,'Stages'!$A$2:$A$7,0)))</f>
        <v>0</v>
      </c>
      <c r="T161" s="4">
        <f>(H161*I161)</f>
        <v>38700</v>
      </c>
      <c r="U161" s="4">
        <f>(H161*(I161-1))</f>
        <v>0</v>
      </c>
      <c r="V161" s="0" t="str">
        <f>INDEX('Account executives'!$B$2:$B$25,MATCH(C161,'Account executives'!$A$2:$A$25,0))</f>
        <v>amer_east</v>
      </c>
      <c r="W161" s="0" t="str">
        <f>INDEX('Account executives'!$C$2:$C$25,MATCH(C161,'Account executives'!$A$2:$A$25,0))</f>
        <v>mid_market</v>
      </c>
      <c r="X161" s="0" t="str">
        <f>SUBSTITUTE(LOWER(INDEX('Periods'!$G$2:$G$22,MATCH(N161,'Periods'!$A$2:$A$22,0)))," ","_")</f>
        <v>q2_2026</v>
      </c>
    </row>
    <row r="162">
      <c r="A162" s="0" t="inlineStr">
        <is>
          <t xml:space="preserve">o0161</t>
        </is>
      </c>
      <c r="B162" s="0" t="inlineStr">
        <is>
          <t xml:space="preserve">a0027</t>
        </is>
      </c>
      <c r="C162" s="0" t="inlineStr">
        <is>
          <t xml:space="preserve">r09</t>
        </is>
      </c>
      <c r="D162" s="0"/>
      <c r="E162" s="0" t="inlineStr">
        <is>
          <t xml:space="preserve">events</t>
        </is>
      </c>
      <c r="F162" s="0" t="inlineStr">
        <is>
          <t xml:space="preserve">closed_lost</t>
        </is>
      </c>
      <c r="G162" s="4">
        <v>0</v>
      </c>
      <c r="H162" s="4">
        <v>27900</v>
      </c>
      <c r="I162" s="4">
        <v>1</v>
      </c>
      <c r="J162" s="4">
        <v>1</v>
      </c>
      <c r="K162" s="16">
        <v>45922</v>
      </c>
      <c r="L162" s="16">
        <v>45963</v>
      </c>
      <c r="M162" s="0" t="inlineStr">
        <is>
          <t xml:space="preserve">sep25</t>
        </is>
      </c>
      <c r="N162" s="0" t="inlineStr">
        <is>
          <t xml:space="preserve">nov25</t>
        </is>
      </c>
      <c r="O162" s="4">
        <v>41</v>
      </c>
      <c r="P162" s="4">
        <v>0</v>
      </c>
      <c r="Q162" s="4">
        <v>1</v>
      </c>
      <c r="R162" s="4">
        <v>0</v>
      </c>
      <c r="S162" s="4">
        <f>(H162*INDEX('Stages'!$D$2:$D$7,MATCH(F162,'Stages'!$A$2:$A$7,0)))</f>
        <v>0</v>
      </c>
      <c r="T162" s="4">
        <f>(H162*I162)</f>
        <v>27900</v>
      </c>
      <c r="U162" s="4">
        <f>(H162*(I162-1))</f>
        <v>0</v>
      </c>
      <c r="V162" s="0" t="str">
        <f>INDEX('Account executives'!$B$2:$B$25,MATCH(C162,'Account executives'!$A$2:$A$25,0))</f>
        <v>amer_west</v>
      </c>
      <c r="W162" s="0" t="str">
        <f>INDEX('Account executives'!$C$2:$C$25,MATCH(C162,'Account executives'!$A$2:$A$25,0))</f>
        <v>mid_market</v>
      </c>
      <c r="X162" s="0" t="str">
        <f>SUBSTITUTE(LOWER(INDEX('Periods'!$G$2:$G$22,MATCH(N162,'Periods'!$A$2:$A$22,0)))," ","_")</f>
        <v>q4_2025</v>
      </c>
    </row>
    <row r="163">
      <c r="A163" s="0" t="inlineStr">
        <is>
          <t xml:space="preserve">o0162</t>
        </is>
      </c>
      <c r="B163" s="0" t="inlineStr">
        <is>
          <t xml:space="preserve">a1195</t>
        </is>
      </c>
      <c r="C163" s="0" t="inlineStr">
        <is>
          <t xml:space="preserve">r18</t>
        </is>
      </c>
      <c r="D163" s="0" t="inlineStr">
        <is>
          <t xml:space="preserve">s_emea_out</t>
        </is>
      </c>
      <c r="E163" s="0" t="inlineStr">
        <is>
          <t xml:space="preserve">outbound</t>
        </is>
      </c>
      <c r="F163" s="0" t="inlineStr">
        <is>
          <t xml:space="preserve">closed_lost</t>
        </is>
      </c>
      <c r="G163" s="4">
        <v>1</v>
      </c>
      <c r="H163" s="4">
        <v>17100</v>
      </c>
      <c r="I163" s="4">
        <v>1</v>
      </c>
      <c r="J163" s="4">
        <v>0</v>
      </c>
      <c r="K163" s="16">
        <v>46238</v>
      </c>
      <c r="L163" s="16">
        <v>46259</v>
      </c>
      <c r="M163" s="0" t="inlineStr">
        <is>
          <t xml:space="preserve">aug26</t>
        </is>
      </c>
      <c r="N163" s="0" t="inlineStr">
        <is>
          <t xml:space="preserve">aug26</t>
        </is>
      </c>
      <c r="O163" s="4">
        <v>21</v>
      </c>
      <c r="P163" s="4">
        <v>0</v>
      </c>
      <c r="Q163" s="4">
        <v>1</v>
      </c>
      <c r="R163" s="4">
        <v>0</v>
      </c>
      <c r="S163" s="4">
        <f>(H163*INDEX('Stages'!$D$2:$D$7,MATCH(F163,'Stages'!$A$2:$A$7,0)))</f>
        <v>0</v>
      </c>
      <c r="T163" s="4">
        <f>(H163*I163)</f>
        <v>17100</v>
      </c>
      <c r="U163" s="4">
        <f>(H163*(I163-1))</f>
        <v>0</v>
      </c>
      <c r="V163" s="0" t="str">
        <f>INDEX('Account executives'!$B$2:$B$25,MATCH(C163,'Account executives'!$A$2:$A$25,0))</f>
        <v>emea</v>
      </c>
      <c r="W163" s="0" t="str">
        <f>INDEX('Account executives'!$C$2:$C$25,MATCH(C163,'Account executives'!$A$2:$A$25,0))</f>
        <v>smb</v>
      </c>
      <c r="X163" s="0" t="str">
        <f>SUBSTITUTE(LOWER(INDEX('Periods'!$G$2:$G$22,MATCH(N163,'Periods'!$A$2:$A$22,0)))," ","_")</f>
        <v>q3_2026</v>
      </c>
    </row>
    <row r="164">
      <c r="A164" s="0" t="inlineStr">
        <is>
          <t xml:space="preserve">o0163</t>
        </is>
      </c>
      <c r="B164" s="0" t="inlineStr">
        <is>
          <t xml:space="preserve">a0223</t>
        </is>
      </c>
      <c r="C164" s="0" t="inlineStr">
        <is>
          <t xml:space="preserve">r22</t>
        </is>
      </c>
      <c r="D164" s="0" t="inlineStr">
        <is>
          <t xml:space="preserve">s_apac_in</t>
        </is>
      </c>
      <c r="E164" s="0" t="inlineStr">
        <is>
          <t xml:space="preserve">inbound</t>
        </is>
      </c>
      <c r="F164" s="0" t="inlineStr">
        <is>
          <t xml:space="preserve">closed_won</t>
        </is>
      </c>
      <c r="G164" s="4">
        <v>0</v>
      </c>
      <c r="H164" s="4">
        <v>37900</v>
      </c>
      <c r="I164" s="4">
        <v>2</v>
      </c>
      <c r="J164" s="4">
        <v>0</v>
      </c>
      <c r="K164" s="16">
        <v>46038</v>
      </c>
      <c r="L164" s="16">
        <v>46201</v>
      </c>
      <c r="M164" s="0" t="inlineStr">
        <is>
          <t xml:space="preserve">jan26</t>
        </is>
      </c>
      <c r="N164" s="0" t="inlineStr">
        <is>
          <t xml:space="preserve">jun26</t>
        </is>
      </c>
      <c r="O164" s="4">
        <v>163</v>
      </c>
      <c r="P164" s="4">
        <v>1</v>
      </c>
      <c r="Q164" s="4">
        <v>0</v>
      </c>
      <c r="R164" s="4">
        <v>0</v>
      </c>
      <c r="S164" s="4">
        <f>(H164*INDEX('Stages'!$D$2:$D$7,MATCH(F164,'Stages'!$A$2:$A$7,0)))</f>
        <v>37900</v>
      </c>
      <c r="T164" s="4">
        <f>(H164*I164)</f>
        <v>75800</v>
      </c>
      <c r="U164" s="4">
        <f>(H164*(I164-1))</f>
        <v>37900</v>
      </c>
      <c r="V164" s="0" t="str">
        <f>INDEX('Account executives'!$B$2:$B$25,MATCH(C164,'Account executives'!$A$2:$A$25,0))</f>
        <v>apac</v>
      </c>
      <c r="W164" s="0" t="str">
        <f>INDEX('Account executives'!$C$2:$C$25,MATCH(C164,'Account executives'!$A$2:$A$25,0))</f>
        <v>mid_market</v>
      </c>
      <c r="X164" s="0" t="str">
        <f>SUBSTITUTE(LOWER(INDEX('Periods'!$G$2:$G$22,MATCH(N164,'Periods'!$A$2:$A$22,0)))," ","_")</f>
        <v>q2_2026</v>
      </c>
    </row>
    <row r="165">
      <c r="A165" s="0" t="inlineStr">
        <is>
          <t xml:space="preserve">o0164</t>
        </is>
      </c>
      <c r="B165" s="0" t="inlineStr">
        <is>
          <t xml:space="preserve">a1094</t>
        </is>
      </c>
      <c r="C165" s="0" t="inlineStr">
        <is>
          <t xml:space="preserve">r09</t>
        </is>
      </c>
      <c r="D165" s="0" t="inlineStr">
        <is>
          <t xml:space="preserve">s_amer_west_in</t>
        </is>
      </c>
      <c r="E165" s="0" t="inlineStr">
        <is>
          <t xml:space="preserve">inbound</t>
        </is>
      </c>
      <c r="F165" s="0" t="inlineStr">
        <is>
          <t xml:space="preserve">negotiation</t>
        </is>
      </c>
      <c r="G165" s="4">
        <v>1</v>
      </c>
      <c r="H165" s="4">
        <v>18800</v>
      </c>
      <c r="I165" s="4">
        <v>1</v>
      </c>
      <c r="J165" s="4">
        <v>0</v>
      </c>
      <c r="K165" s="16">
        <v>46204</v>
      </c>
      <c r="L165" s="16">
        <v>46293</v>
      </c>
      <c r="M165" s="0" t="inlineStr">
        <is>
          <t xml:space="preserve">jul26</t>
        </is>
      </c>
      <c r="N165" s="0" t="inlineStr">
        <is>
          <t xml:space="preserve">sep26</t>
        </is>
      </c>
      <c r="O165" s="4">
        <v>82</v>
      </c>
      <c r="P165" s="4">
        <v>0</v>
      </c>
      <c r="Q165" s="4">
        <v>0</v>
      </c>
      <c r="R165" s="4">
        <v>1</v>
      </c>
      <c r="S165" s="4">
        <f>(H165*INDEX('Stages'!$D$2:$D$7,MATCH(F165,'Stages'!$A$2:$A$7,0)))</f>
        <v>14100</v>
      </c>
      <c r="T165" s="4">
        <f>(H165*I165)</f>
        <v>18800</v>
      </c>
      <c r="U165" s="4">
        <f>(H165*(I165-1))</f>
        <v>0</v>
      </c>
      <c r="V165" s="0" t="str">
        <f>INDEX('Account executives'!$B$2:$B$25,MATCH(C165,'Account executives'!$A$2:$A$25,0))</f>
        <v>amer_west</v>
      </c>
      <c r="W165" s="0" t="str">
        <f>INDEX('Account executives'!$C$2:$C$25,MATCH(C165,'Account executives'!$A$2:$A$25,0))</f>
        <v>mid_market</v>
      </c>
      <c r="X165" s="0" t="str">
        <f>SUBSTITUTE(LOWER(INDEX('Periods'!$G$2:$G$22,MATCH(N165,'Periods'!$A$2:$A$22,0)))," ","_")</f>
        <v>q3_2026</v>
      </c>
    </row>
    <row r="166">
      <c r="A166" s="0" t="inlineStr">
        <is>
          <t xml:space="preserve">o0165</t>
        </is>
      </c>
      <c r="B166" s="0" t="inlineStr">
        <is>
          <t xml:space="preserve">a0329</t>
        </is>
      </c>
      <c r="C166" s="0" t="inlineStr">
        <is>
          <t xml:space="preserve">r09</t>
        </is>
      </c>
      <c r="D166" s="0" t="inlineStr">
        <is>
          <t xml:space="preserve">s_amer_west_in</t>
        </is>
      </c>
      <c r="E166" s="0" t="inlineStr">
        <is>
          <t xml:space="preserve">inbound</t>
        </is>
      </c>
      <c r="F166" s="0" t="inlineStr">
        <is>
          <t xml:space="preserve">closed_lost</t>
        </is>
      </c>
      <c r="G166" s="4">
        <v>1</v>
      </c>
      <c r="H166" s="4">
        <v>16800</v>
      </c>
      <c r="I166" s="4">
        <v>1</v>
      </c>
      <c r="J166" s="4">
        <v>1</v>
      </c>
      <c r="K166" s="16">
        <v>45879</v>
      </c>
      <c r="L166" s="16">
        <v>45946</v>
      </c>
      <c r="M166" s="0" t="inlineStr">
        <is>
          <t xml:space="preserve">aug25</t>
        </is>
      </c>
      <c r="N166" s="0" t="inlineStr">
        <is>
          <t xml:space="preserve">oct25</t>
        </is>
      </c>
      <c r="O166" s="4">
        <v>67</v>
      </c>
      <c r="P166" s="4">
        <v>0</v>
      </c>
      <c r="Q166" s="4">
        <v>1</v>
      </c>
      <c r="R166" s="4">
        <v>0</v>
      </c>
      <c r="S166" s="4">
        <f>(H166*INDEX('Stages'!$D$2:$D$7,MATCH(F166,'Stages'!$A$2:$A$7,0)))</f>
        <v>0</v>
      </c>
      <c r="T166" s="4">
        <f>(H166*I166)</f>
        <v>16800</v>
      </c>
      <c r="U166" s="4">
        <f>(H166*(I166-1))</f>
        <v>0</v>
      </c>
      <c r="V166" s="0" t="str">
        <f>INDEX('Account executives'!$B$2:$B$25,MATCH(C166,'Account executives'!$A$2:$A$25,0))</f>
        <v>amer_west</v>
      </c>
      <c r="W166" s="0" t="str">
        <f>INDEX('Account executives'!$C$2:$C$25,MATCH(C166,'Account executives'!$A$2:$A$25,0))</f>
        <v>mid_market</v>
      </c>
      <c r="X166" s="0" t="str">
        <f>SUBSTITUTE(LOWER(INDEX('Periods'!$G$2:$G$22,MATCH(N166,'Periods'!$A$2:$A$22,0)))," ","_")</f>
        <v>q4_2025</v>
      </c>
    </row>
    <row r="167">
      <c r="A167" s="0" t="inlineStr">
        <is>
          <t xml:space="preserve">o0166</t>
        </is>
      </c>
      <c r="B167" s="0" t="inlineStr">
        <is>
          <t xml:space="preserve">a0365</t>
        </is>
      </c>
      <c r="C167" s="0" t="inlineStr">
        <is>
          <t xml:space="preserve">r03</t>
        </is>
      </c>
      <c r="D167" s="0" t="inlineStr">
        <is>
          <t xml:space="preserve">s_amer_east_in</t>
        </is>
      </c>
      <c r="E167" s="0" t="inlineStr">
        <is>
          <t xml:space="preserve">paid</t>
        </is>
      </c>
      <c r="F167" s="0" t="inlineStr">
        <is>
          <t xml:space="preserve">closed_lost</t>
        </is>
      </c>
      <c r="G167" s="4">
        <v>1</v>
      </c>
      <c r="H167" s="4">
        <v>14300</v>
      </c>
      <c r="I167" s="4">
        <v>1</v>
      </c>
      <c r="J167" s="4">
        <v>0</v>
      </c>
      <c r="K167" s="16">
        <v>45922</v>
      </c>
      <c r="L167" s="16">
        <v>45972</v>
      </c>
      <c r="M167" s="0" t="inlineStr">
        <is>
          <t xml:space="preserve">sep25</t>
        </is>
      </c>
      <c r="N167" s="0" t="inlineStr">
        <is>
          <t xml:space="preserve">nov25</t>
        </is>
      </c>
      <c r="O167" s="4">
        <v>50</v>
      </c>
      <c r="P167" s="4">
        <v>0</v>
      </c>
      <c r="Q167" s="4">
        <v>1</v>
      </c>
      <c r="R167" s="4">
        <v>0</v>
      </c>
      <c r="S167" s="4">
        <f>(H167*INDEX('Stages'!$D$2:$D$7,MATCH(F167,'Stages'!$A$2:$A$7,0)))</f>
        <v>0</v>
      </c>
      <c r="T167" s="4">
        <f>(H167*I167)</f>
        <v>14300</v>
      </c>
      <c r="U167" s="4">
        <f>(H167*(I167-1))</f>
        <v>0</v>
      </c>
      <c r="V167" s="0" t="str">
        <f>INDEX('Account executives'!$B$2:$B$25,MATCH(C167,'Account executives'!$A$2:$A$25,0))</f>
        <v>amer_east</v>
      </c>
      <c r="W167" s="0" t="str">
        <f>INDEX('Account executives'!$C$2:$C$25,MATCH(C167,'Account executives'!$A$2:$A$25,0))</f>
        <v>mid_market</v>
      </c>
      <c r="X167" s="0" t="str">
        <f>SUBSTITUTE(LOWER(INDEX('Periods'!$G$2:$G$22,MATCH(N167,'Periods'!$A$2:$A$22,0)))," ","_")</f>
        <v>q4_2025</v>
      </c>
    </row>
    <row r="168">
      <c r="A168" s="0" t="inlineStr">
        <is>
          <t xml:space="preserve">o0167</t>
        </is>
      </c>
      <c r="B168" s="0" t="inlineStr">
        <is>
          <t xml:space="preserve">a0075</t>
        </is>
      </c>
      <c r="C168" s="0" t="inlineStr">
        <is>
          <t xml:space="preserve">r06</t>
        </is>
      </c>
      <c r="D168" s="0" t="inlineStr">
        <is>
          <t xml:space="preserve">s_amer_east_in</t>
        </is>
      </c>
      <c r="E168" s="0" t="inlineStr">
        <is>
          <t xml:space="preserve">inbound</t>
        </is>
      </c>
      <c r="F168" s="0" t="inlineStr">
        <is>
          <t xml:space="preserve">discovery</t>
        </is>
      </c>
      <c r="G168" s="4">
        <v>0</v>
      </c>
      <c r="H168" s="4">
        <v>2500</v>
      </c>
      <c r="I168" s="4">
        <v>2</v>
      </c>
      <c r="J168" s="4">
        <v>0</v>
      </c>
      <c r="K168" s="16">
        <v>46281</v>
      </c>
      <c r="L168" s="16">
        <v>46293</v>
      </c>
      <c r="M168" s="0" t="inlineStr">
        <is>
          <t xml:space="preserve">sep26</t>
        </is>
      </c>
      <c r="N168" s="0" t="inlineStr">
        <is>
          <t xml:space="preserve">sep26</t>
        </is>
      </c>
      <c r="O168" s="4">
        <v>19</v>
      </c>
      <c r="P168" s="4">
        <v>0</v>
      </c>
      <c r="Q168" s="4">
        <v>0</v>
      </c>
      <c r="R168" s="4">
        <v>1</v>
      </c>
      <c r="S168" s="4">
        <f>(H168*INDEX('Stages'!$D$2:$D$7,MATCH(F168,'Stages'!$A$2:$A$7,0)))</f>
        <v>250</v>
      </c>
      <c r="T168" s="4">
        <f>(H168*I168)</f>
        <v>5000</v>
      </c>
      <c r="U168" s="4">
        <f>(H168*(I168-1))</f>
        <v>2500</v>
      </c>
      <c r="V168" s="0" t="str">
        <f>INDEX('Account executives'!$B$2:$B$25,MATCH(C168,'Account executives'!$A$2:$A$25,0))</f>
        <v>amer_east</v>
      </c>
      <c r="W168" s="0" t="str">
        <f>INDEX('Account executives'!$C$2:$C$25,MATCH(C168,'Account executives'!$A$2:$A$25,0))</f>
        <v>smb</v>
      </c>
      <c r="X168" s="0" t="str">
        <f>SUBSTITUTE(LOWER(INDEX('Periods'!$G$2:$G$22,MATCH(N168,'Periods'!$A$2:$A$22,0)))," ","_")</f>
        <v>q3_2026</v>
      </c>
    </row>
    <row r="169">
      <c r="A169" s="0" t="inlineStr">
        <is>
          <t xml:space="preserve">o0168</t>
        </is>
      </c>
      <c r="B169" s="0" t="inlineStr">
        <is>
          <t xml:space="preserve">a0260</t>
        </is>
      </c>
      <c r="C169" s="0" t="inlineStr">
        <is>
          <t xml:space="preserve">r12</t>
        </is>
      </c>
      <c r="D169" s="0"/>
      <c r="E169" s="0" t="inlineStr">
        <is>
          <t xml:space="preserve">partner</t>
        </is>
      </c>
      <c r="F169" s="0" t="inlineStr">
        <is>
          <t xml:space="preserve">closed_won</t>
        </is>
      </c>
      <c r="G169" s="4">
        <v>1</v>
      </c>
      <c r="H169" s="4">
        <v>10500</v>
      </c>
      <c r="I169" s="4">
        <v>2</v>
      </c>
      <c r="J169" s="4">
        <v>0</v>
      </c>
      <c r="K169" s="16">
        <v>45858</v>
      </c>
      <c r="L169" s="16">
        <v>45928</v>
      </c>
      <c r="M169" s="0" t="inlineStr">
        <is>
          <t xml:space="preserve">jul25</t>
        </is>
      </c>
      <c r="N169" s="0" t="inlineStr">
        <is>
          <t xml:space="preserve">sep25</t>
        </is>
      </c>
      <c r="O169" s="4">
        <v>70</v>
      </c>
      <c r="P169" s="4">
        <v>1</v>
      </c>
      <c r="Q169" s="4">
        <v>0</v>
      </c>
      <c r="R169" s="4">
        <v>0</v>
      </c>
      <c r="S169" s="4">
        <f>(H169*INDEX('Stages'!$D$2:$D$7,MATCH(F169,'Stages'!$A$2:$A$7,0)))</f>
        <v>10500</v>
      </c>
      <c r="T169" s="4">
        <f>(H169*I169)</f>
        <v>21000</v>
      </c>
      <c r="U169" s="4">
        <f>(H169*(I169-1))</f>
        <v>10500</v>
      </c>
      <c r="V169" s="0" t="str">
        <f>INDEX('Account executives'!$B$2:$B$25,MATCH(C169,'Account executives'!$A$2:$A$25,0))</f>
        <v>amer_west</v>
      </c>
      <c r="W169" s="0" t="str">
        <f>INDEX('Account executives'!$C$2:$C$25,MATCH(C169,'Account executives'!$A$2:$A$25,0))</f>
        <v>smb</v>
      </c>
      <c r="X169" s="0" t="str">
        <f>SUBSTITUTE(LOWER(INDEX('Periods'!$G$2:$G$22,MATCH(N169,'Periods'!$A$2:$A$22,0)))," ","_")</f>
        <v>q3_2025</v>
      </c>
    </row>
    <row r="170">
      <c r="A170" s="0" t="inlineStr">
        <is>
          <t xml:space="preserve">o0169</t>
        </is>
      </c>
      <c r="B170" s="0" t="inlineStr">
        <is>
          <t xml:space="preserve">a0974</t>
        </is>
      </c>
      <c r="C170" s="0" t="inlineStr">
        <is>
          <t xml:space="preserve">r05</t>
        </is>
      </c>
      <c r="D170" s="0"/>
      <c r="E170" s="0" t="inlineStr">
        <is>
          <t xml:space="preserve">events</t>
        </is>
      </c>
      <c r="F170" s="0" t="inlineStr">
        <is>
          <t xml:space="preserve">closed_lost</t>
        </is>
      </c>
      <c r="G170" s="4">
        <v>1</v>
      </c>
      <c r="H170" s="4">
        <v>22600</v>
      </c>
      <c r="I170" s="4">
        <v>1</v>
      </c>
      <c r="J170" s="4">
        <v>0</v>
      </c>
      <c r="K170" s="16">
        <v>46184</v>
      </c>
      <c r="L170" s="16">
        <v>46219</v>
      </c>
      <c r="M170" s="0" t="inlineStr">
        <is>
          <t xml:space="preserve">jun26</t>
        </is>
      </c>
      <c r="N170" s="0" t="inlineStr">
        <is>
          <t xml:space="preserve">jul26</t>
        </is>
      </c>
      <c r="O170" s="4">
        <v>35</v>
      </c>
      <c r="P170" s="4">
        <v>0</v>
      </c>
      <c r="Q170" s="4">
        <v>1</v>
      </c>
      <c r="R170" s="4">
        <v>0</v>
      </c>
      <c r="S170" s="4">
        <f>(H170*INDEX('Stages'!$D$2:$D$7,MATCH(F170,'Stages'!$A$2:$A$7,0)))</f>
        <v>0</v>
      </c>
      <c r="T170" s="4">
        <f>(H170*I170)</f>
        <v>22600</v>
      </c>
      <c r="U170" s="4">
        <f>(H170*(I170-1))</f>
        <v>0</v>
      </c>
      <c r="V170" s="0" t="str">
        <f>INDEX('Account executives'!$B$2:$B$25,MATCH(C170,'Account executives'!$A$2:$A$25,0))</f>
        <v>amer_east</v>
      </c>
      <c r="W170" s="0" t="str">
        <f>INDEX('Account executives'!$C$2:$C$25,MATCH(C170,'Account executives'!$A$2:$A$25,0))</f>
        <v>smb</v>
      </c>
      <c r="X170" s="0" t="str">
        <f>SUBSTITUTE(LOWER(INDEX('Periods'!$G$2:$G$22,MATCH(N170,'Periods'!$A$2:$A$22,0)))," ","_")</f>
        <v>q3_2026</v>
      </c>
    </row>
    <row r="171">
      <c r="A171" s="0" t="inlineStr">
        <is>
          <t xml:space="preserve">o0170</t>
        </is>
      </c>
      <c r="B171" s="0" t="inlineStr">
        <is>
          <t xml:space="preserve">a0007</t>
        </is>
      </c>
      <c r="C171" s="0" t="inlineStr">
        <is>
          <t xml:space="preserve">r04</t>
        </is>
      </c>
      <c r="D171" s="0" t="inlineStr">
        <is>
          <t xml:space="preserve">s_amer_east_in</t>
        </is>
      </c>
      <c r="E171" s="0" t="inlineStr">
        <is>
          <t xml:space="preserve">inbound</t>
        </is>
      </c>
      <c r="F171" s="0" t="inlineStr">
        <is>
          <t xml:space="preserve">closed_lost</t>
        </is>
      </c>
      <c r="G171" s="4">
        <v>0</v>
      </c>
      <c r="H171" s="4">
        <v>15000</v>
      </c>
      <c r="I171" s="4">
        <v>3</v>
      </c>
      <c r="J171" s="4">
        <v>0</v>
      </c>
      <c r="K171" s="16">
        <v>45762</v>
      </c>
      <c r="L171" s="16">
        <v>45818</v>
      </c>
      <c r="M171" s="0" t="inlineStr">
        <is>
          <t xml:space="preserve">apr25</t>
        </is>
      </c>
      <c r="N171" s="0" t="inlineStr">
        <is>
          <t xml:space="preserve">jun25</t>
        </is>
      </c>
      <c r="O171" s="4">
        <v>56</v>
      </c>
      <c r="P171" s="4">
        <v>0</v>
      </c>
      <c r="Q171" s="4">
        <v>1</v>
      </c>
      <c r="R171" s="4">
        <v>0</v>
      </c>
      <c r="S171" s="4">
        <f>(H171*INDEX('Stages'!$D$2:$D$7,MATCH(F171,'Stages'!$A$2:$A$7,0)))</f>
        <v>0</v>
      </c>
      <c r="T171" s="4">
        <f>(H171*I171)</f>
        <v>45000</v>
      </c>
      <c r="U171" s="4">
        <f>(H171*(I171-1))</f>
        <v>30000</v>
      </c>
      <c r="V171" s="0" t="str">
        <f>INDEX('Account executives'!$B$2:$B$25,MATCH(C171,'Account executives'!$A$2:$A$25,0))</f>
        <v>amer_east</v>
      </c>
      <c r="W171" s="0" t="str">
        <f>INDEX('Account executives'!$C$2:$C$25,MATCH(C171,'Account executives'!$A$2:$A$25,0))</f>
        <v>mid_market</v>
      </c>
      <c r="X171" s="0" t="str">
        <f>SUBSTITUTE(LOWER(INDEX('Periods'!$G$2:$G$22,MATCH(N171,'Periods'!$A$2:$A$22,0)))," ","_")</f>
        <v>q2_2025</v>
      </c>
    </row>
    <row r="172">
      <c r="A172" s="0" t="inlineStr">
        <is>
          <t xml:space="preserve">o0171</t>
        </is>
      </c>
      <c r="B172" s="0" t="inlineStr">
        <is>
          <t xml:space="preserve">a0418</t>
        </is>
      </c>
      <c r="C172" s="0" t="inlineStr">
        <is>
          <t xml:space="preserve">r05</t>
        </is>
      </c>
      <c r="D172" s="0" t="inlineStr">
        <is>
          <t xml:space="preserve">s_amer_east_in</t>
        </is>
      </c>
      <c r="E172" s="0" t="inlineStr">
        <is>
          <t xml:space="preserve">inbound</t>
        </is>
      </c>
      <c r="F172" s="0" t="inlineStr">
        <is>
          <t xml:space="preserve">discovery</t>
        </is>
      </c>
      <c r="G172" s="4">
        <v>0</v>
      </c>
      <c r="H172" s="4">
        <v>8300</v>
      </c>
      <c r="I172" s="4">
        <v>2</v>
      </c>
      <c r="J172" s="4">
        <v>0</v>
      </c>
      <c r="K172" s="16">
        <v>46261</v>
      </c>
      <c r="L172" s="16">
        <v>46300</v>
      </c>
      <c r="M172" s="0" t="inlineStr">
        <is>
          <t xml:space="preserve">aug26</t>
        </is>
      </c>
      <c r="N172" s="0" t="inlineStr">
        <is>
          <t xml:space="preserve">oct26</t>
        </is>
      </c>
      <c r="O172" s="4">
        <v>53</v>
      </c>
      <c r="P172" s="4">
        <v>0</v>
      </c>
      <c r="Q172" s="4">
        <v>0</v>
      </c>
      <c r="R172" s="4">
        <v>1</v>
      </c>
      <c r="S172" s="4">
        <f>(H172*INDEX('Stages'!$D$2:$D$7,MATCH(F172,'Stages'!$A$2:$A$7,0)))</f>
        <v>830</v>
      </c>
      <c r="T172" s="4">
        <f>(H172*I172)</f>
        <v>16600</v>
      </c>
      <c r="U172" s="4">
        <f>(H172*(I172-1))</f>
        <v>8300</v>
      </c>
      <c r="V172" s="0" t="str">
        <f>INDEX('Account executives'!$B$2:$B$25,MATCH(C172,'Account executives'!$A$2:$A$25,0))</f>
        <v>amer_east</v>
      </c>
      <c r="W172" s="0" t="str">
        <f>INDEX('Account executives'!$C$2:$C$25,MATCH(C172,'Account executives'!$A$2:$A$25,0))</f>
        <v>smb</v>
      </c>
      <c r="X172" s="0" t="str">
        <f>SUBSTITUTE(LOWER(INDEX('Periods'!$G$2:$G$22,MATCH(N172,'Periods'!$A$2:$A$22,0)))," ","_")</f>
        <v>q4_2026</v>
      </c>
    </row>
    <row r="173">
      <c r="A173" s="0" t="inlineStr">
        <is>
          <t xml:space="preserve">o0172</t>
        </is>
      </c>
      <c r="B173" s="0" t="inlineStr">
        <is>
          <t xml:space="preserve">a0610</t>
        </is>
      </c>
      <c r="C173" s="0" t="inlineStr">
        <is>
          <t xml:space="preserve">r03</t>
        </is>
      </c>
      <c r="D173" s="0" t="inlineStr">
        <is>
          <t xml:space="preserve">s_amer_east_in</t>
        </is>
      </c>
      <c r="E173" s="0" t="inlineStr">
        <is>
          <t xml:space="preserve">paid</t>
        </is>
      </c>
      <c r="F173" s="0" t="inlineStr">
        <is>
          <t xml:space="preserve">closed_lost</t>
        </is>
      </c>
      <c r="G173" s="4">
        <v>1</v>
      </c>
      <c r="H173" s="4">
        <v>55500</v>
      </c>
      <c r="I173" s="4">
        <v>1</v>
      </c>
      <c r="J173" s="4">
        <v>0</v>
      </c>
      <c r="K173" s="16">
        <v>46029</v>
      </c>
      <c r="L173" s="16">
        <v>46070</v>
      </c>
      <c r="M173" s="0" t="inlineStr">
        <is>
          <t xml:space="preserve">jan26</t>
        </is>
      </c>
      <c r="N173" s="0" t="inlineStr">
        <is>
          <t xml:space="preserve">feb26</t>
        </is>
      </c>
      <c r="O173" s="4">
        <v>41</v>
      </c>
      <c r="P173" s="4">
        <v>0</v>
      </c>
      <c r="Q173" s="4">
        <v>1</v>
      </c>
      <c r="R173" s="4">
        <v>0</v>
      </c>
      <c r="S173" s="4">
        <f>(H173*INDEX('Stages'!$D$2:$D$7,MATCH(F173,'Stages'!$A$2:$A$7,0)))</f>
        <v>0</v>
      </c>
      <c r="T173" s="4">
        <f>(H173*I173)</f>
        <v>55500</v>
      </c>
      <c r="U173" s="4">
        <f>(H173*(I173-1))</f>
        <v>0</v>
      </c>
      <c r="V173" s="0" t="str">
        <f>INDEX('Account executives'!$B$2:$B$25,MATCH(C173,'Account executives'!$A$2:$A$25,0))</f>
        <v>amer_east</v>
      </c>
      <c r="W173" s="0" t="str">
        <f>INDEX('Account executives'!$C$2:$C$25,MATCH(C173,'Account executives'!$A$2:$A$25,0))</f>
        <v>mid_market</v>
      </c>
      <c r="X173" s="0" t="str">
        <f>SUBSTITUTE(LOWER(INDEX('Periods'!$G$2:$G$22,MATCH(N173,'Periods'!$A$2:$A$22,0)))," ","_")</f>
        <v>q1_2026</v>
      </c>
    </row>
    <row r="174">
      <c r="A174" s="0" t="inlineStr">
        <is>
          <t xml:space="preserve">o0173</t>
        </is>
      </c>
      <c r="B174" s="0" t="inlineStr">
        <is>
          <t xml:space="preserve">a1158</t>
        </is>
      </c>
      <c r="C174" s="0" t="inlineStr">
        <is>
          <t xml:space="preserve">r05</t>
        </is>
      </c>
      <c r="D174" s="0"/>
      <c r="E174" s="0" t="inlineStr">
        <is>
          <t xml:space="preserve">partner</t>
        </is>
      </c>
      <c r="F174" s="0" t="inlineStr">
        <is>
          <t xml:space="preserve">closed_won</t>
        </is>
      </c>
      <c r="G174" s="4">
        <v>1</v>
      </c>
      <c r="H174" s="4">
        <v>23100</v>
      </c>
      <c r="I174" s="4">
        <v>1</v>
      </c>
      <c r="J174" s="4">
        <v>0</v>
      </c>
      <c r="K174" s="16">
        <v>46254</v>
      </c>
      <c r="L174" s="16">
        <v>46284</v>
      </c>
      <c r="M174" s="0" t="inlineStr">
        <is>
          <t xml:space="preserve">aug26</t>
        </is>
      </c>
      <c r="N174" s="0" t="inlineStr">
        <is>
          <t xml:space="preserve">sep26</t>
        </is>
      </c>
      <c r="O174" s="4">
        <v>30</v>
      </c>
      <c r="P174" s="4">
        <v>1</v>
      </c>
      <c r="Q174" s="4">
        <v>0</v>
      </c>
      <c r="R174" s="4">
        <v>0</v>
      </c>
      <c r="S174" s="4">
        <f>(H174*INDEX('Stages'!$D$2:$D$7,MATCH(F174,'Stages'!$A$2:$A$7,0)))</f>
        <v>23100</v>
      </c>
      <c r="T174" s="4">
        <f>(H174*I174)</f>
        <v>23100</v>
      </c>
      <c r="U174" s="4">
        <f>(H174*(I174-1))</f>
        <v>0</v>
      </c>
      <c r="V174" s="0" t="str">
        <f>INDEX('Account executives'!$B$2:$B$25,MATCH(C174,'Account executives'!$A$2:$A$25,0))</f>
        <v>amer_east</v>
      </c>
      <c r="W174" s="0" t="str">
        <f>INDEX('Account executives'!$C$2:$C$25,MATCH(C174,'Account executives'!$A$2:$A$25,0))</f>
        <v>smb</v>
      </c>
      <c r="X174" s="0" t="str">
        <f>SUBSTITUTE(LOWER(INDEX('Periods'!$G$2:$G$22,MATCH(N174,'Periods'!$A$2:$A$22,0)))," ","_")</f>
        <v>q3_2026</v>
      </c>
    </row>
    <row r="175">
      <c r="A175" s="0" t="inlineStr">
        <is>
          <t xml:space="preserve">o0174</t>
        </is>
      </c>
      <c r="B175" s="0" t="inlineStr">
        <is>
          <t xml:space="preserve">a0900</t>
        </is>
      </c>
      <c r="C175" s="0" t="inlineStr">
        <is>
          <t xml:space="preserve">r06</t>
        </is>
      </c>
      <c r="D175" s="0" t="inlineStr">
        <is>
          <t xml:space="preserve">s_amer_east_in</t>
        </is>
      </c>
      <c r="E175" s="0" t="inlineStr">
        <is>
          <t xml:space="preserve">paid</t>
        </is>
      </c>
      <c r="F175" s="0" t="inlineStr">
        <is>
          <t xml:space="preserve">closed_lost</t>
        </is>
      </c>
      <c r="G175" s="4">
        <v>1</v>
      </c>
      <c r="H175" s="4">
        <v>24100</v>
      </c>
      <c r="I175" s="4">
        <v>1</v>
      </c>
      <c r="J175" s="4">
        <v>0</v>
      </c>
      <c r="K175" s="16">
        <v>46162</v>
      </c>
      <c r="L175" s="16">
        <v>46196</v>
      </c>
      <c r="M175" s="0" t="inlineStr">
        <is>
          <t xml:space="preserve">may26</t>
        </is>
      </c>
      <c r="N175" s="0" t="inlineStr">
        <is>
          <t xml:space="preserve">jun26</t>
        </is>
      </c>
      <c r="O175" s="4">
        <v>34</v>
      </c>
      <c r="P175" s="4">
        <v>0</v>
      </c>
      <c r="Q175" s="4">
        <v>1</v>
      </c>
      <c r="R175" s="4">
        <v>0</v>
      </c>
      <c r="S175" s="4">
        <f>(H175*INDEX('Stages'!$D$2:$D$7,MATCH(F175,'Stages'!$A$2:$A$7,0)))</f>
        <v>0</v>
      </c>
      <c r="T175" s="4">
        <f>(H175*I175)</f>
        <v>24100</v>
      </c>
      <c r="U175" s="4">
        <f>(H175*(I175-1))</f>
        <v>0</v>
      </c>
      <c r="V175" s="0" t="str">
        <f>INDEX('Account executives'!$B$2:$B$25,MATCH(C175,'Account executives'!$A$2:$A$25,0))</f>
        <v>amer_east</v>
      </c>
      <c r="W175" s="0" t="str">
        <f>INDEX('Account executives'!$C$2:$C$25,MATCH(C175,'Account executives'!$A$2:$A$25,0))</f>
        <v>smb</v>
      </c>
      <c r="X175" s="0" t="str">
        <f>SUBSTITUTE(LOWER(INDEX('Periods'!$G$2:$G$22,MATCH(N175,'Periods'!$A$2:$A$22,0)))," ","_")</f>
        <v>q2_2026</v>
      </c>
    </row>
    <row r="176">
      <c r="A176" s="0" t="inlineStr">
        <is>
          <t xml:space="preserve">o0175</t>
        </is>
      </c>
      <c r="B176" s="0" t="inlineStr">
        <is>
          <t xml:space="preserve">a0526</t>
        </is>
      </c>
      <c r="C176" s="0" t="inlineStr">
        <is>
          <t xml:space="preserve">r24</t>
        </is>
      </c>
      <c r="D176" s="0"/>
      <c r="E176" s="0" t="inlineStr">
        <is>
          <t xml:space="preserve">partner</t>
        </is>
      </c>
      <c r="F176" s="0" t="inlineStr">
        <is>
          <t xml:space="preserve">closed_lost</t>
        </is>
      </c>
      <c r="G176" s="4">
        <v>1</v>
      </c>
      <c r="H176" s="4">
        <v>19600</v>
      </c>
      <c r="I176" s="4">
        <v>1</v>
      </c>
      <c r="J176" s="4">
        <v>1</v>
      </c>
      <c r="K176" s="16">
        <v>45975</v>
      </c>
      <c r="L176" s="16">
        <v>46006</v>
      </c>
      <c r="M176" s="0" t="inlineStr">
        <is>
          <t xml:space="preserve">nov25</t>
        </is>
      </c>
      <c r="N176" s="0" t="inlineStr">
        <is>
          <t xml:space="preserve">dec25</t>
        </is>
      </c>
      <c r="O176" s="4">
        <v>31</v>
      </c>
      <c r="P176" s="4">
        <v>0</v>
      </c>
      <c r="Q176" s="4">
        <v>1</v>
      </c>
      <c r="R176" s="4">
        <v>0</v>
      </c>
      <c r="S176" s="4">
        <f>(H176*INDEX('Stages'!$D$2:$D$7,MATCH(F176,'Stages'!$A$2:$A$7,0)))</f>
        <v>0</v>
      </c>
      <c r="T176" s="4">
        <f>(H176*I176)</f>
        <v>19600</v>
      </c>
      <c r="U176" s="4">
        <f>(H176*(I176-1))</f>
        <v>0</v>
      </c>
      <c r="V176" s="0" t="str">
        <f>INDEX('Account executives'!$B$2:$B$25,MATCH(C176,'Account executives'!$A$2:$A$25,0))</f>
        <v>apac</v>
      </c>
      <c r="W176" s="0" t="str">
        <f>INDEX('Account executives'!$C$2:$C$25,MATCH(C176,'Account executives'!$A$2:$A$25,0))</f>
        <v>smb</v>
      </c>
      <c r="X176" s="0" t="str">
        <f>SUBSTITUTE(LOWER(INDEX('Periods'!$G$2:$G$22,MATCH(N176,'Periods'!$A$2:$A$22,0)))," ","_")</f>
        <v>q4_2025</v>
      </c>
    </row>
    <row r="177">
      <c r="A177" s="0" t="inlineStr">
        <is>
          <t xml:space="preserve">o0176</t>
        </is>
      </c>
      <c r="B177" s="0" t="inlineStr">
        <is>
          <t xml:space="preserve">a1050</t>
        </is>
      </c>
      <c r="C177" s="0" t="inlineStr">
        <is>
          <t xml:space="preserve">r23</t>
        </is>
      </c>
      <c r="D177" s="0"/>
      <c r="E177" s="0" t="inlineStr">
        <is>
          <t xml:space="preserve">events</t>
        </is>
      </c>
      <c r="F177" s="0" t="inlineStr">
        <is>
          <t xml:space="preserve">closed_won</t>
        </is>
      </c>
      <c r="G177" s="4">
        <v>1</v>
      </c>
      <c r="H177" s="4">
        <v>10700</v>
      </c>
      <c r="I177" s="4">
        <v>1</v>
      </c>
      <c r="J177" s="4">
        <v>0</v>
      </c>
      <c r="K177" s="16">
        <v>46180</v>
      </c>
      <c r="L177" s="16">
        <v>46204</v>
      </c>
      <c r="M177" s="0" t="inlineStr">
        <is>
          <t xml:space="preserve">jun26</t>
        </is>
      </c>
      <c r="N177" s="0" t="inlineStr">
        <is>
          <t xml:space="preserve">jul26</t>
        </is>
      </c>
      <c r="O177" s="4">
        <v>24</v>
      </c>
      <c r="P177" s="4">
        <v>1</v>
      </c>
      <c r="Q177" s="4">
        <v>0</v>
      </c>
      <c r="R177" s="4">
        <v>0</v>
      </c>
      <c r="S177" s="4">
        <f>(H177*INDEX('Stages'!$D$2:$D$7,MATCH(F177,'Stages'!$A$2:$A$7,0)))</f>
        <v>10700</v>
      </c>
      <c r="T177" s="4">
        <f>(H177*I177)</f>
        <v>10700</v>
      </c>
      <c r="U177" s="4">
        <f>(H177*(I177-1))</f>
        <v>0</v>
      </c>
      <c r="V177" s="0" t="str">
        <f>INDEX('Account executives'!$B$2:$B$25,MATCH(C177,'Account executives'!$A$2:$A$25,0))</f>
        <v>apac</v>
      </c>
      <c r="W177" s="0" t="str">
        <f>INDEX('Account executives'!$C$2:$C$25,MATCH(C177,'Account executives'!$A$2:$A$25,0))</f>
        <v>smb</v>
      </c>
      <c r="X177" s="0" t="str">
        <f>SUBSTITUTE(LOWER(INDEX('Periods'!$G$2:$G$22,MATCH(N177,'Periods'!$A$2:$A$22,0)))," ","_")</f>
        <v>q3_2026</v>
      </c>
    </row>
    <row r="178">
      <c r="A178" s="0" t="inlineStr">
        <is>
          <t xml:space="preserve">o0177</t>
        </is>
      </c>
      <c r="B178" s="0" t="inlineStr">
        <is>
          <t xml:space="preserve">a0244</t>
        </is>
      </c>
      <c r="C178" s="0" t="inlineStr">
        <is>
          <t xml:space="preserve">r06</t>
        </is>
      </c>
      <c r="D178" s="0"/>
      <c r="E178" s="0" t="inlineStr">
        <is>
          <t xml:space="preserve">events</t>
        </is>
      </c>
      <c r="F178" s="0" t="inlineStr">
        <is>
          <t xml:space="preserve">closed_won</t>
        </is>
      </c>
      <c r="G178" s="4">
        <v>0</v>
      </c>
      <c r="H178" s="4">
        <v>7200</v>
      </c>
      <c r="I178" s="4">
        <v>1</v>
      </c>
      <c r="J178" s="4">
        <v>0</v>
      </c>
      <c r="K178" s="16">
        <v>45933</v>
      </c>
      <c r="L178" s="16">
        <v>45980</v>
      </c>
      <c r="M178" s="0" t="inlineStr">
        <is>
          <t xml:space="preserve">oct25</t>
        </is>
      </c>
      <c r="N178" s="0" t="inlineStr">
        <is>
          <t xml:space="preserve">nov25</t>
        </is>
      </c>
      <c r="O178" s="4">
        <v>47</v>
      </c>
      <c r="P178" s="4">
        <v>1</v>
      </c>
      <c r="Q178" s="4">
        <v>0</v>
      </c>
      <c r="R178" s="4">
        <v>0</v>
      </c>
      <c r="S178" s="4">
        <f>(H178*INDEX('Stages'!$D$2:$D$7,MATCH(F178,'Stages'!$A$2:$A$7,0)))</f>
        <v>7200</v>
      </c>
      <c r="T178" s="4">
        <f>(H178*I178)</f>
        <v>7200</v>
      </c>
      <c r="U178" s="4">
        <f>(H178*(I178-1))</f>
        <v>0</v>
      </c>
      <c r="V178" s="0" t="str">
        <f>INDEX('Account executives'!$B$2:$B$25,MATCH(C178,'Account executives'!$A$2:$A$25,0))</f>
        <v>amer_east</v>
      </c>
      <c r="W178" s="0" t="str">
        <f>INDEX('Account executives'!$C$2:$C$25,MATCH(C178,'Account executives'!$A$2:$A$25,0))</f>
        <v>smb</v>
      </c>
      <c r="X178" s="0" t="str">
        <f>SUBSTITUTE(LOWER(INDEX('Periods'!$G$2:$G$22,MATCH(N178,'Periods'!$A$2:$A$22,0)))," ","_")</f>
        <v>q4_2025</v>
      </c>
    </row>
    <row r="179">
      <c r="A179" s="0" t="inlineStr">
        <is>
          <t xml:space="preserve">o0178</t>
        </is>
      </c>
      <c r="B179" s="0" t="inlineStr">
        <is>
          <t xml:space="preserve">a0911</t>
        </is>
      </c>
      <c r="C179" s="0" t="inlineStr">
        <is>
          <t xml:space="preserve">r09</t>
        </is>
      </c>
      <c r="D179" s="0"/>
      <c r="E179" s="0" t="inlineStr">
        <is>
          <t xml:space="preserve">referral</t>
        </is>
      </c>
      <c r="F179" s="0" t="inlineStr">
        <is>
          <t xml:space="preserve">closed_won</t>
        </is>
      </c>
      <c r="G179" s="4">
        <v>0</v>
      </c>
      <c r="H179" s="4">
        <v>36400</v>
      </c>
      <c r="I179" s="4">
        <v>2</v>
      </c>
      <c r="J179" s="4">
        <v>1</v>
      </c>
      <c r="K179" s="16">
        <v>46160</v>
      </c>
      <c r="L179" s="16">
        <v>46199</v>
      </c>
      <c r="M179" s="0" t="inlineStr">
        <is>
          <t xml:space="preserve">may26</t>
        </is>
      </c>
      <c r="N179" s="0" t="inlineStr">
        <is>
          <t xml:space="preserve">jun26</t>
        </is>
      </c>
      <c r="O179" s="4">
        <v>39</v>
      </c>
      <c r="P179" s="4">
        <v>1</v>
      </c>
      <c r="Q179" s="4">
        <v>0</v>
      </c>
      <c r="R179" s="4">
        <v>0</v>
      </c>
      <c r="S179" s="4">
        <f>(H179*INDEX('Stages'!$D$2:$D$7,MATCH(F179,'Stages'!$A$2:$A$7,0)))</f>
        <v>36400</v>
      </c>
      <c r="T179" s="4">
        <f>(H179*I179)</f>
        <v>72800</v>
      </c>
      <c r="U179" s="4">
        <f>(H179*(I179-1))</f>
        <v>36400</v>
      </c>
      <c r="V179" s="0" t="str">
        <f>INDEX('Account executives'!$B$2:$B$25,MATCH(C179,'Account executives'!$A$2:$A$25,0))</f>
        <v>amer_west</v>
      </c>
      <c r="W179" s="0" t="str">
        <f>INDEX('Account executives'!$C$2:$C$25,MATCH(C179,'Account executives'!$A$2:$A$25,0))</f>
        <v>mid_market</v>
      </c>
      <c r="X179" s="0" t="str">
        <f>SUBSTITUTE(LOWER(INDEX('Periods'!$G$2:$G$22,MATCH(N179,'Periods'!$A$2:$A$22,0)))," ","_")</f>
        <v>q2_2026</v>
      </c>
    </row>
    <row r="180">
      <c r="A180" s="0" t="inlineStr">
        <is>
          <t xml:space="preserve">o0179</t>
        </is>
      </c>
      <c r="B180" s="0" t="inlineStr">
        <is>
          <t xml:space="preserve">a1096</t>
        </is>
      </c>
      <c r="C180" s="0" t="inlineStr">
        <is>
          <t xml:space="preserve">r09</t>
        </is>
      </c>
      <c r="D180" s="0" t="inlineStr">
        <is>
          <t xml:space="preserve">s_amer_west_in</t>
        </is>
      </c>
      <c r="E180" s="0" t="inlineStr">
        <is>
          <t xml:space="preserve">inbound</t>
        </is>
      </c>
      <c r="F180" s="0" t="inlineStr">
        <is>
          <t xml:space="preserve">evaluation</t>
        </is>
      </c>
      <c r="G180" s="4">
        <v>1</v>
      </c>
      <c r="H180" s="4">
        <v>34400</v>
      </c>
      <c r="I180" s="4">
        <v>1</v>
      </c>
      <c r="J180" s="4">
        <v>0</v>
      </c>
      <c r="K180" s="16">
        <v>46229</v>
      </c>
      <c r="L180" s="16">
        <v>46317</v>
      </c>
      <c r="M180" s="0" t="inlineStr">
        <is>
          <t xml:space="preserve">jul26</t>
        </is>
      </c>
      <c r="N180" s="0" t="inlineStr">
        <is>
          <t xml:space="preserve">oct26</t>
        </is>
      </c>
      <c r="O180" s="4">
        <v>66</v>
      </c>
      <c r="P180" s="4">
        <v>0</v>
      </c>
      <c r="Q180" s="4">
        <v>0</v>
      </c>
      <c r="R180" s="4">
        <v>1</v>
      </c>
      <c r="S180" s="4">
        <f>(H180*INDEX('Stages'!$D$2:$D$7,MATCH(F180,'Stages'!$A$2:$A$7,0)))</f>
        <v>8600</v>
      </c>
      <c r="T180" s="4">
        <f>(H180*I180)</f>
        <v>34400</v>
      </c>
      <c r="U180" s="4">
        <f>(H180*(I180-1))</f>
        <v>0</v>
      </c>
      <c r="V180" s="0" t="str">
        <f>INDEX('Account executives'!$B$2:$B$25,MATCH(C180,'Account executives'!$A$2:$A$25,0))</f>
        <v>amer_west</v>
      </c>
      <c r="W180" s="0" t="str">
        <f>INDEX('Account executives'!$C$2:$C$25,MATCH(C180,'Account executives'!$A$2:$A$25,0))</f>
        <v>mid_market</v>
      </c>
      <c r="X180" s="0" t="str">
        <f>SUBSTITUTE(LOWER(INDEX('Periods'!$G$2:$G$22,MATCH(N180,'Periods'!$A$2:$A$22,0)))," ","_")</f>
        <v>q4_2026</v>
      </c>
    </row>
    <row r="181">
      <c r="A181" s="0" t="inlineStr">
        <is>
          <t xml:space="preserve">o0180</t>
        </is>
      </c>
      <c r="B181" s="0" t="inlineStr">
        <is>
          <t xml:space="preserve">a0019</t>
        </is>
      </c>
      <c r="C181" s="0" t="inlineStr">
        <is>
          <t xml:space="preserve">r04</t>
        </is>
      </c>
      <c r="D181" s="0" t="inlineStr">
        <is>
          <t xml:space="preserve">s_amer_east_out</t>
        </is>
      </c>
      <c r="E181" s="0" t="inlineStr">
        <is>
          <t xml:space="preserve">outbound</t>
        </is>
      </c>
      <c r="F181" s="0" t="inlineStr">
        <is>
          <t xml:space="preserve">closed_lost</t>
        </is>
      </c>
      <c r="G181" s="4">
        <v>1</v>
      </c>
      <c r="H181" s="4">
        <v>93500</v>
      </c>
      <c r="I181" s="4">
        <v>1</v>
      </c>
      <c r="J181" s="4">
        <v>0</v>
      </c>
      <c r="K181" s="16">
        <v>45761</v>
      </c>
      <c r="L181" s="16">
        <v>45845</v>
      </c>
      <c r="M181" s="0" t="inlineStr">
        <is>
          <t xml:space="preserve">apr25</t>
        </is>
      </c>
      <c r="N181" s="0" t="inlineStr">
        <is>
          <t xml:space="preserve">jul25</t>
        </is>
      </c>
      <c r="O181" s="4">
        <v>84</v>
      </c>
      <c r="P181" s="4">
        <v>0</v>
      </c>
      <c r="Q181" s="4">
        <v>1</v>
      </c>
      <c r="R181" s="4">
        <v>0</v>
      </c>
      <c r="S181" s="4">
        <f>(H181*INDEX('Stages'!$D$2:$D$7,MATCH(F181,'Stages'!$A$2:$A$7,0)))</f>
        <v>0</v>
      </c>
      <c r="T181" s="4">
        <f>(H181*I181)</f>
        <v>93500</v>
      </c>
      <c r="U181" s="4">
        <f>(H181*(I181-1))</f>
        <v>0</v>
      </c>
      <c r="V181" s="0" t="str">
        <f>INDEX('Account executives'!$B$2:$B$25,MATCH(C181,'Account executives'!$A$2:$A$25,0))</f>
        <v>amer_east</v>
      </c>
      <c r="W181" s="0" t="str">
        <f>INDEX('Account executives'!$C$2:$C$25,MATCH(C181,'Account executives'!$A$2:$A$25,0))</f>
        <v>mid_market</v>
      </c>
      <c r="X181" s="0" t="str">
        <f>SUBSTITUTE(LOWER(INDEX('Periods'!$G$2:$G$22,MATCH(N181,'Periods'!$A$2:$A$22,0)))," ","_")</f>
        <v>q3_2025</v>
      </c>
    </row>
    <row r="182">
      <c r="A182" s="0" t="inlineStr">
        <is>
          <t xml:space="preserve">o0181</t>
        </is>
      </c>
      <c r="B182" s="0" t="inlineStr">
        <is>
          <t xml:space="preserve">a0287</t>
        </is>
      </c>
      <c r="C182" s="0" t="inlineStr">
        <is>
          <t xml:space="preserve">r13</t>
        </is>
      </c>
      <c r="D182" s="0"/>
      <c r="E182" s="0" t="inlineStr">
        <is>
          <t xml:space="preserve">events</t>
        </is>
      </c>
      <c r="F182" s="0" t="inlineStr">
        <is>
          <t xml:space="preserve">closed_won</t>
        </is>
      </c>
      <c r="G182" s="4">
        <v>1</v>
      </c>
      <c r="H182" s="4">
        <v>121300</v>
      </c>
      <c r="I182" s="4">
        <v>2</v>
      </c>
      <c r="J182" s="4">
        <v>0</v>
      </c>
      <c r="K182" s="16">
        <v>45856</v>
      </c>
      <c r="L182" s="16">
        <v>45943</v>
      </c>
      <c r="M182" s="0" t="inlineStr">
        <is>
          <t xml:space="preserve">jul25</t>
        </is>
      </c>
      <c r="N182" s="0" t="inlineStr">
        <is>
          <t xml:space="preserve">oct25</t>
        </is>
      </c>
      <c r="O182" s="4">
        <v>87</v>
      </c>
      <c r="P182" s="4">
        <v>1</v>
      </c>
      <c r="Q182" s="4">
        <v>0</v>
      </c>
      <c r="R182" s="4">
        <v>0</v>
      </c>
      <c r="S182" s="4">
        <f>(H182*INDEX('Stages'!$D$2:$D$7,MATCH(F182,'Stages'!$A$2:$A$7,0)))</f>
        <v>121300</v>
      </c>
      <c r="T182" s="4">
        <f>(H182*I182)</f>
        <v>242600</v>
      </c>
      <c r="U182" s="4">
        <f>(H182*(I182-1))</f>
        <v>121300</v>
      </c>
      <c r="V182" s="0" t="str">
        <f>INDEX('Account executives'!$B$2:$B$25,MATCH(C182,'Account executives'!$A$2:$A$25,0))</f>
        <v>emea</v>
      </c>
      <c r="W182" s="0" t="str">
        <f>INDEX('Account executives'!$C$2:$C$25,MATCH(C182,'Account executives'!$A$2:$A$25,0))</f>
        <v>enterprise</v>
      </c>
      <c r="X182" s="0" t="str">
        <f>SUBSTITUTE(LOWER(INDEX('Periods'!$G$2:$G$22,MATCH(N182,'Periods'!$A$2:$A$22,0)))," ","_")</f>
        <v>q4_2025</v>
      </c>
    </row>
    <row r="183">
      <c r="A183" s="0" t="inlineStr">
        <is>
          <t xml:space="preserve">o0182</t>
        </is>
      </c>
      <c r="B183" s="0" t="inlineStr">
        <is>
          <t xml:space="preserve">a1193</t>
        </is>
      </c>
      <c r="C183" s="0" t="inlineStr">
        <is>
          <t xml:space="preserve">r17</t>
        </is>
      </c>
      <c r="D183" s="0" t="inlineStr">
        <is>
          <t xml:space="preserve">s_emea_out</t>
        </is>
      </c>
      <c r="E183" s="0" t="inlineStr">
        <is>
          <t xml:space="preserve">outbound</t>
        </is>
      </c>
      <c r="F183" s="0" t="inlineStr">
        <is>
          <t xml:space="preserve">closed_lost</t>
        </is>
      </c>
      <c r="G183" s="4">
        <v>1</v>
      </c>
      <c r="H183" s="4">
        <v>6300</v>
      </c>
      <c r="I183" s="4">
        <v>1</v>
      </c>
      <c r="J183" s="4">
        <v>0</v>
      </c>
      <c r="K183" s="16">
        <v>46237</v>
      </c>
      <c r="L183" s="16">
        <v>46252</v>
      </c>
      <c r="M183" s="0" t="inlineStr">
        <is>
          <t xml:space="preserve">aug26</t>
        </is>
      </c>
      <c r="N183" s="0" t="inlineStr">
        <is>
          <t xml:space="preserve">aug26</t>
        </is>
      </c>
      <c r="O183" s="4">
        <v>15</v>
      </c>
      <c r="P183" s="4">
        <v>0</v>
      </c>
      <c r="Q183" s="4">
        <v>1</v>
      </c>
      <c r="R183" s="4">
        <v>0</v>
      </c>
      <c r="S183" s="4">
        <f>(H183*INDEX('Stages'!$D$2:$D$7,MATCH(F183,'Stages'!$A$2:$A$7,0)))</f>
        <v>0</v>
      </c>
      <c r="T183" s="4">
        <f>(H183*I183)</f>
        <v>6300</v>
      </c>
      <c r="U183" s="4">
        <f>(H183*(I183-1))</f>
        <v>0</v>
      </c>
      <c r="V183" s="0" t="str">
        <f>INDEX('Account executives'!$B$2:$B$25,MATCH(C183,'Account executives'!$A$2:$A$25,0))</f>
        <v>emea</v>
      </c>
      <c r="W183" s="0" t="str">
        <f>INDEX('Account executives'!$C$2:$C$25,MATCH(C183,'Account executives'!$A$2:$A$25,0))</f>
        <v>smb</v>
      </c>
      <c r="X183" s="0" t="str">
        <f>SUBSTITUTE(LOWER(INDEX('Periods'!$G$2:$G$22,MATCH(N183,'Periods'!$A$2:$A$22,0)))," ","_")</f>
        <v>q3_2026</v>
      </c>
    </row>
    <row r="184">
      <c r="A184" s="0" t="inlineStr">
        <is>
          <t xml:space="preserve">o0183</t>
        </is>
      </c>
      <c r="B184" s="0" t="inlineStr">
        <is>
          <t xml:space="preserve">a1124</t>
        </is>
      </c>
      <c r="C184" s="0" t="inlineStr">
        <is>
          <t xml:space="preserve">r13</t>
        </is>
      </c>
      <c r="D184" s="0" t="inlineStr">
        <is>
          <t xml:space="preserve">s_emea_in</t>
        </is>
      </c>
      <c r="E184" s="0" t="inlineStr">
        <is>
          <t xml:space="preserve">paid</t>
        </is>
      </c>
      <c r="F184" s="0" t="inlineStr">
        <is>
          <t xml:space="preserve">negotiation</t>
        </is>
      </c>
      <c r="G184" s="4">
        <v>1</v>
      </c>
      <c r="H184" s="4">
        <v>112600</v>
      </c>
      <c r="I184" s="4">
        <v>2</v>
      </c>
      <c r="J184" s="4">
        <v>1</v>
      </c>
      <c r="K184" s="16">
        <v>46227</v>
      </c>
      <c r="L184" s="16">
        <v>46293</v>
      </c>
      <c r="M184" s="0" t="inlineStr">
        <is>
          <t xml:space="preserve">jul26</t>
        </is>
      </c>
      <c r="N184" s="0" t="inlineStr">
        <is>
          <t xml:space="preserve">sep26</t>
        </is>
      </c>
      <c r="O184" s="4">
        <v>63</v>
      </c>
      <c r="P184" s="4">
        <v>0</v>
      </c>
      <c r="Q184" s="4">
        <v>0</v>
      </c>
      <c r="R184" s="4">
        <v>1</v>
      </c>
      <c r="S184" s="4">
        <f>(H184*INDEX('Stages'!$D$2:$D$7,MATCH(F184,'Stages'!$A$2:$A$7,0)))</f>
        <v>84450</v>
      </c>
      <c r="T184" s="4">
        <f>(H184*I184)</f>
        <v>225200</v>
      </c>
      <c r="U184" s="4">
        <f>(H184*(I184-1))</f>
        <v>112600</v>
      </c>
      <c r="V184" s="0" t="str">
        <f>INDEX('Account executives'!$B$2:$B$25,MATCH(C184,'Account executives'!$A$2:$A$25,0))</f>
        <v>emea</v>
      </c>
      <c r="W184" s="0" t="str">
        <f>INDEX('Account executives'!$C$2:$C$25,MATCH(C184,'Account executives'!$A$2:$A$25,0))</f>
        <v>enterprise</v>
      </c>
      <c r="X184" s="0" t="str">
        <f>SUBSTITUTE(LOWER(INDEX('Periods'!$G$2:$G$22,MATCH(N184,'Periods'!$A$2:$A$22,0)))," ","_")</f>
        <v>q3_2026</v>
      </c>
    </row>
    <row r="185">
      <c r="A185" s="0" t="inlineStr">
        <is>
          <t xml:space="preserve">o0184</t>
        </is>
      </c>
      <c r="B185" s="0" t="inlineStr">
        <is>
          <t xml:space="preserve">a0333</t>
        </is>
      </c>
      <c r="C185" s="0" t="inlineStr">
        <is>
          <t xml:space="preserve">r12</t>
        </is>
      </c>
      <c r="D185" s="0"/>
      <c r="E185" s="0" t="inlineStr">
        <is>
          <t xml:space="preserve">partner</t>
        </is>
      </c>
      <c r="F185" s="0" t="inlineStr">
        <is>
          <t xml:space="preserve">closed_won</t>
        </is>
      </c>
      <c r="G185" s="4">
        <v>1</v>
      </c>
      <c r="H185" s="4">
        <v>15800</v>
      </c>
      <c r="I185" s="4">
        <v>1</v>
      </c>
      <c r="J185" s="4">
        <v>0</v>
      </c>
      <c r="K185" s="16">
        <v>45897</v>
      </c>
      <c r="L185" s="16">
        <v>45923</v>
      </c>
      <c r="M185" s="0" t="inlineStr">
        <is>
          <t xml:space="preserve">aug25</t>
        </is>
      </c>
      <c r="N185" s="0" t="inlineStr">
        <is>
          <t xml:space="preserve">sep25</t>
        </is>
      </c>
      <c r="O185" s="4">
        <v>26</v>
      </c>
      <c r="P185" s="4">
        <v>1</v>
      </c>
      <c r="Q185" s="4">
        <v>0</v>
      </c>
      <c r="R185" s="4">
        <v>0</v>
      </c>
      <c r="S185" s="4">
        <f>(H185*INDEX('Stages'!$D$2:$D$7,MATCH(F185,'Stages'!$A$2:$A$7,0)))</f>
        <v>15800</v>
      </c>
      <c r="T185" s="4">
        <f>(H185*I185)</f>
        <v>15800</v>
      </c>
      <c r="U185" s="4">
        <f>(H185*(I185-1))</f>
        <v>0</v>
      </c>
      <c r="V185" s="0" t="str">
        <f>INDEX('Account executives'!$B$2:$B$25,MATCH(C185,'Account executives'!$A$2:$A$25,0))</f>
        <v>amer_west</v>
      </c>
      <c r="W185" s="0" t="str">
        <f>INDEX('Account executives'!$C$2:$C$25,MATCH(C185,'Account executives'!$A$2:$A$25,0))</f>
        <v>smb</v>
      </c>
      <c r="X185" s="0" t="str">
        <f>SUBSTITUTE(LOWER(INDEX('Periods'!$G$2:$G$22,MATCH(N185,'Periods'!$A$2:$A$22,0)))," ","_")</f>
        <v>q3_2025</v>
      </c>
    </row>
    <row r="186">
      <c r="A186" s="0" t="inlineStr">
        <is>
          <t xml:space="preserve">o0185</t>
        </is>
      </c>
      <c r="B186" s="0" t="inlineStr">
        <is>
          <t xml:space="preserve">a0635</t>
        </is>
      </c>
      <c r="C186" s="0" t="inlineStr">
        <is>
          <t xml:space="preserve">r12</t>
        </is>
      </c>
      <c r="D186" s="0" t="inlineStr">
        <is>
          <t xml:space="preserve">s_amer_west_out</t>
        </is>
      </c>
      <c r="E186" s="0" t="inlineStr">
        <is>
          <t xml:space="preserve">outbound</t>
        </is>
      </c>
      <c r="F186" s="0" t="inlineStr">
        <is>
          <t xml:space="preserve">closed_lost</t>
        </is>
      </c>
      <c r="G186" s="4">
        <v>1</v>
      </c>
      <c r="H186" s="4">
        <v>12300</v>
      </c>
      <c r="I186" s="4">
        <v>1</v>
      </c>
      <c r="J186" s="4">
        <v>0</v>
      </c>
      <c r="K186" s="16">
        <v>46029</v>
      </c>
      <c r="L186" s="16">
        <v>46109</v>
      </c>
      <c r="M186" s="0" t="inlineStr">
        <is>
          <t xml:space="preserve">jan26</t>
        </is>
      </c>
      <c r="N186" s="0" t="inlineStr">
        <is>
          <t xml:space="preserve">mar26</t>
        </is>
      </c>
      <c r="O186" s="4">
        <v>80</v>
      </c>
      <c r="P186" s="4">
        <v>0</v>
      </c>
      <c r="Q186" s="4">
        <v>1</v>
      </c>
      <c r="R186" s="4">
        <v>0</v>
      </c>
      <c r="S186" s="4">
        <f>(H186*INDEX('Stages'!$D$2:$D$7,MATCH(F186,'Stages'!$A$2:$A$7,0)))</f>
        <v>0</v>
      </c>
      <c r="T186" s="4">
        <f>(H186*I186)</f>
        <v>12300</v>
      </c>
      <c r="U186" s="4">
        <f>(H186*(I186-1))</f>
        <v>0</v>
      </c>
      <c r="V186" s="0" t="str">
        <f>INDEX('Account executives'!$B$2:$B$25,MATCH(C186,'Account executives'!$A$2:$A$25,0))</f>
        <v>amer_west</v>
      </c>
      <c r="W186" s="0" t="str">
        <f>INDEX('Account executives'!$C$2:$C$25,MATCH(C186,'Account executives'!$A$2:$A$25,0))</f>
        <v>smb</v>
      </c>
      <c r="X186" s="0" t="str">
        <f>SUBSTITUTE(LOWER(INDEX('Periods'!$G$2:$G$22,MATCH(N186,'Periods'!$A$2:$A$22,0)))," ","_")</f>
        <v>q1_2026</v>
      </c>
    </row>
    <row r="187">
      <c r="A187" s="0" t="inlineStr">
        <is>
          <t xml:space="preserve">o0186</t>
        </is>
      </c>
      <c r="B187" s="0" t="inlineStr">
        <is>
          <t xml:space="preserve">a1137</t>
        </is>
      </c>
      <c r="C187" s="0" t="inlineStr">
        <is>
          <t xml:space="preserve">r21</t>
        </is>
      </c>
      <c r="D187" s="0" t="inlineStr">
        <is>
          <t xml:space="preserve">s_apac_in</t>
        </is>
      </c>
      <c r="E187" s="0" t="inlineStr">
        <is>
          <t xml:space="preserve">inbound</t>
        </is>
      </c>
      <c r="F187" s="0" t="inlineStr">
        <is>
          <t xml:space="preserve">closed_lost</t>
        </is>
      </c>
      <c r="G187" s="4">
        <v>1</v>
      </c>
      <c r="H187" s="4">
        <v>34600</v>
      </c>
      <c r="I187" s="4">
        <v>1</v>
      </c>
      <c r="J187" s="4">
        <v>1</v>
      </c>
      <c r="K187" s="16">
        <v>46220</v>
      </c>
      <c r="L187" s="16">
        <v>46271</v>
      </c>
      <c r="M187" s="0" t="inlineStr">
        <is>
          <t xml:space="preserve">jul26</t>
        </is>
      </c>
      <c r="N187" s="0" t="inlineStr">
        <is>
          <t xml:space="preserve">sep26</t>
        </is>
      </c>
      <c r="O187" s="4">
        <v>51</v>
      </c>
      <c r="P187" s="4">
        <v>0</v>
      </c>
      <c r="Q187" s="4">
        <v>1</v>
      </c>
      <c r="R187" s="4">
        <v>0</v>
      </c>
      <c r="S187" s="4">
        <f>(H187*INDEX('Stages'!$D$2:$D$7,MATCH(F187,'Stages'!$A$2:$A$7,0)))</f>
        <v>0</v>
      </c>
      <c r="T187" s="4">
        <f>(H187*I187)</f>
        <v>34600</v>
      </c>
      <c r="U187" s="4">
        <f>(H187*(I187-1))</f>
        <v>0</v>
      </c>
      <c r="V187" s="0" t="str">
        <f>INDEX('Account executives'!$B$2:$B$25,MATCH(C187,'Account executives'!$A$2:$A$25,0))</f>
        <v>apac</v>
      </c>
      <c r="W187" s="0" t="str">
        <f>INDEX('Account executives'!$C$2:$C$25,MATCH(C187,'Account executives'!$A$2:$A$25,0))</f>
        <v>mid_market</v>
      </c>
      <c r="X187" s="0" t="str">
        <f>SUBSTITUTE(LOWER(INDEX('Periods'!$G$2:$G$22,MATCH(N187,'Periods'!$A$2:$A$22,0)))," ","_")</f>
        <v>q3_2026</v>
      </c>
    </row>
    <row r="188">
      <c r="A188" s="0" t="inlineStr">
        <is>
          <t xml:space="preserve">o0187</t>
        </is>
      </c>
      <c r="B188" s="0" t="inlineStr">
        <is>
          <t xml:space="preserve">a0498</t>
        </is>
      </c>
      <c r="C188" s="0" t="inlineStr">
        <is>
          <t xml:space="preserve">r07</t>
        </is>
      </c>
      <c r="D188" s="0" t="inlineStr">
        <is>
          <t xml:space="preserve">s_amer_west_in</t>
        </is>
      </c>
      <c r="E188" s="0" t="inlineStr">
        <is>
          <t xml:space="preserve">paid</t>
        </is>
      </c>
      <c r="F188" s="0" t="inlineStr">
        <is>
          <t xml:space="preserve">closed_won</t>
        </is>
      </c>
      <c r="G188" s="4">
        <v>1</v>
      </c>
      <c r="H188" s="4">
        <v>53000</v>
      </c>
      <c r="I188" s="4">
        <v>2</v>
      </c>
      <c r="J188" s="4">
        <v>1</v>
      </c>
      <c r="K188" s="16">
        <v>45983</v>
      </c>
      <c r="L188" s="16">
        <v>46201</v>
      </c>
      <c r="M188" s="0" t="inlineStr">
        <is>
          <t xml:space="preserve">nov25</t>
        </is>
      </c>
      <c r="N188" s="0" t="inlineStr">
        <is>
          <t xml:space="preserve">jun26</t>
        </is>
      </c>
      <c r="O188" s="4">
        <v>218</v>
      </c>
      <c r="P188" s="4">
        <v>1</v>
      </c>
      <c r="Q188" s="4">
        <v>0</v>
      </c>
      <c r="R188" s="4">
        <v>0</v>
      </c>
      <c r="S188" s="4">
        <f>(H188*INDEX('Stages'!$D$2:$D$7,MATCH(F188,'Stages'!$A$2:$A$7,0)))</f>
        <v>53000</v>
      </c>
      <c r="T188" s="4">
        <f>(H188*I188)</f>
        <v>106000</v>
      </c>
      <c r="U188" s="4">
        <f>(H188*(I188-1))</f>
        <v>53000</v>
      </c>
      <c r="V188" s="0" t="str">
        <f>INDEX('Account executives'!$B$2:$B$25,MATCH(C188,'Account executives'!$A$2:$A$25,0))</f>
        <v>amer_west</v>
      </c>
      <c r="W188" s="0" t="str">
        <f>INDEX('Account executives'!$C$2:$C$25,MATCH(C188,'Account executives'!$A$2:$A$25,0))</f>
        <v>enterprise</v>
      </c>
      <c r="X188" s="0" t="str">
        <f>SUBSTITUTE(LOWER(INDEX('Periods'!$G$2:$G$22,MATCH(N188,'Periods'!$A$2:$A$22,0)))," ","_")</f>
        <v>q2_2026</v>
      </c>
    </row>
    <row r="189">
      <c r="A189" s="0" t="inlineStr">
        <is>
          <t xml:space="preserve">o0188</t>
        </is>
      </c>
      <c r="B189" s="0" t="inlineStr">
        <is>
          <t xml:space="preserve">a0260</t>
        </is>
      </c>
      <c r="C189" s="0" t="inlineStr">
        <is>
          <t xml:space="preserve">r11</t>
        </is>
      </c>
      <c r="D189" s="0" t="inlineStr">
        <is>
          <t xml:space="preserve">s_amer_west_in</t>
        </is>
      </c>
      <c r="E189" s="0" t="inlineStr">
        <is>
          <t xml:space="preserve">inbound</t>
        </is>
      </c>
      <c r="F189" s="0" t="inlineStr">
        <is>
          <t xml:space="preserve">closed_lost</t>
        </is>
      </c>
      <c r="G189" s="4">
        <v>0</v>
      </c>
      <c r="H189" s="4">
        <v>6300</v>
      </c>
      <c r="I189" s="4">
        <v>2</v>
      </c>
      <c r="J189" s="4">
        <v>0</v>
      </c>
      <c r="K189" s="16">
        <v>46109</v>
      </c>
      <c r="L189" s="16">
        <v>46131</v>
      </c>
      <c r="M189" s="0" t="inlineStr">
        <is>
          <t xml:space="preserve">mar26</t>
        </is>
      </c>
      <c r="N189" s="0" t="inlineStr">
        <is>
          <t xml:space="preserve">apr26</t>
        </is>
      </c>
      <c r="O189" s="4">
        <v>22</v>
      </c>
      <c r="P189" s="4">
        <v>0</v>
      </c>
      <c r="Q189" s="4">
        <v>1</v>
      </c>
      <c r="R189" s="4">
        <v>0</v>
      </c>
      <c r="S189" s="4">
        <f>(H189*INDEX('Stages'!$D$2:$D$7,MATCH(F189,'Stages'!$A$2:$A$7,0)))</f>
        <v>0</v>
      </c>
      <c r="T189" s="4">
        <f>(H189*I189)</f>
        <v>12600</v>
      </c>
      <c r="U189" s="4">
        <f>(H189*(I189-1))</f>
        <v>6300</v>
      </c>
      <c r="V189" s="0" t="str">
        <f>INDEX('Account executives'!$B$2:$B$25,MATCH(C189,'Account executives'!$A$2:$A$25,0))</f>
        <v>amer_west</v>
      </c>
      <c r="W189" s="0" t="str">
        <f>INDEX('Account executives'!$C$2:$C$25,MATCH(C189,'Account executives'!$A$2:$A$25,0))</f>
        <v>smb</v>
      </c>
      <c r="X189" s="0" t="str">
        <f>SUBSTITUTE(LOWER(INDEX('Periods'!$G$2:$G$22,MATCH(N189,'Periods'!$A$2:$A$22,0)))," ","_")</f>
        <v>q2_2026</v>
      </c>
    </row>
    <row r="190">
      <c r="A190" s="0" t="inlineStr">
        <is>
          <t xml:space="preserve">o0189</t>
        </is>
      </c>
      <c r="B190" s="0" t="inlineStr">
        <is>
          <t xml:space="preserve">a0072</t>
        </is>
      </c>
      <c r="C190" s="0" t="inlineStr">
        <is>
          <t xml:space="preserve">r04</t>
        </is>
      </c>
      <c r="D190" s="0"/>
      <c r="E190" s="0" t="inlineStr">
        <is>
          <t xml:space="preserve">partner</t>
        </is>
      </c>
      <c r="F190" s="0" t="inlineStr">
        <is>
          <t xml:space="preserve">closed_lost</t>
        </is>
      </c>
      <c r="G190" s="4">
        <v>0</v>
      </c>
      <c r="H190" s="4">
        <v>39500</v>
      </c>
      <c r="I190" s="4">
        <v>1</v>
      </c>
      <c r="J190" s="4">
        <v>0</v>
      </c>
      <c r="K190" s="16">
        <v>45781</v>
      </c>
      <c r="L190" s="16">
        <v>45822</v>
      </c>
      <c r="M190" s="0" t="inlineStr">
        <is>
          <t xml:space="preserve">may25</t>
        </is>
      </c>
      <c r="N190" s="0" t="inlineStr">
        <is>
          <t xml:space="preserve">jun25</t>
        </is>
      </c>
      <c r="O190" s="4">
        <v>41</v>
      </c>
      <c r="P190" s="4">
        <v>0</v>
      </c>
      <c r="Q190" s="4">
        <v>1</v>
      </c>
      <c r="R190" s="4">
        <v>0</v>
      </c>
      <c r="S190" s="4">
        <f>(H190*INDEX('Stages'!$D$2:$D$7,MATCH(F190,'Stages'!$A$2:$A$7,0)))</f>
        <v>0</v>
      </c>
      <c r="T190" s="4">
        <f>(H190*I190)</f>
        <v>39500</v>
      </c>
      <c r="U190" s="4">
        <f>(H190*(I190-1))</f>
        <v>0</v>
      </c>
      <c r="V190" s="0" t="str">
        <f>INDEX('Account executives'!$B$2:$B$25,MATCH(C190,'Account executives'!$A$2:$A$25,0))</f>
        <v>amer_east</v>
      </c>
      <c r="W190" s="0" t="str">
        <f>INDEX('Account executives'!$C$2:$C$25,MATCH(C190,'Account executives'!$A$2:$A$25,0))</f>
        <v>mid_market</v>
      </c>
      <c r="X190" s="0" t="str">
        <f>SUBSTITUTE(LOWER(INDEX('Periods'!$G$2:$G$22,MATCH(N190,'Periods'!$A$2:$A$22,0)))," ","_")</f>
        <v>q2_2025</v>
      </c>
    </row>
    <row r="191">
      <c r="A191" s="0" t="inlineStr">
        <is>
          <t xml:space="preserve">o0190</t>
        </is>
      </c>
      <c r="B191" s="0" t="inlineStr">
        <is>
          <t xml:space="preserve">a0468</t>
        </is>
      </c>
      <c r="C191" s="0" t="inlineStr">
        <is>
          <t xml:space="preserve">r24</t>
        </is>
      </c>
      <c r="D191" s="0"/>
      <c r="E191" s="0" t="inlineStr">
        <is>
          <t xml:space="preserve">events</t>
        </is>
      </c>
      <c r="F191" s="0" t="inlineStr">
        <is>
          <t xml:space="preserve">closed_won</t>
        </is>
      </c>
      <c r="G191" s="4">
        <v>1</v>
      </c>
      <c r="H191" s="4">
        <v>15200</v>
      </c>
      <c r="I191" s="4">
        <v>1</v>
      </c>
      <c r="J191" s="4">
        <v>0</v>
      </c>
      <c r="K191" s="16">
        <v>45935</v>
      </c>
      <c r="L191" s="16">
        <v>45942</v>
      </c>
      <c r="M191" s="0" t="inlineStr">
        <is>
          <t xml:space="preserve">oct25</t>
        </is>
      </c>
      <c r="N191" s="0" t="inlineStr">
        <is>
          <t xml:space="preserve">oct25</t>
        </is>
      </c>
      <c r="O191" s="4">
        <v>7</v>
      </c>
      <c r="P191" s="4">
        <v>1</v>
      </c>
      <c r="Q191" s="4">
        <v>0</v>
      </c>
      <c r="R191" s="4">
        <v>0</v>
      </c>
      <c r="S191" s="4">
        <f>(H191*INDEX('Stages'!$D$2:$D$7,MATCH(F191,'Stages'!$A$2:$A$7,0)))</f>
        <v>15200</v>
      </c>
      <c r="T191" s="4">
        <f>(H191*I191)</f>
        <v>15200</v>
      </c>
      <c r="U191" s="4">
        <f>(H191*(I191-1))</f>
        <v>0</v>
      </c>
      <c r="V191" s="0" t="str">
        <f>INDEX('Account executives'!$B$2:$B$25,MATCH(C191,'Account executives'!$A$2:$A$25,0))</f>
        <v>apac</v>
      </c>
      <c r="W191" s="0" t="str">
        <f>INDEX('Account executives'!$C$2:$C$25,MATCH(C191,'Account executives'!$A$2:$A$25,0))</f>
        <v>smb</v>
      </c>
      <c r="X191" s="0" t="str">
        <f>SUBSTITUTE(LOWER(INDEX('Periods'!$G$2:$G$22,MATCH(N191,'Periods'!$A$2:$A$22,0)))," ","_")</f>
        <v>q4_2025</v>
      </c>
    </row>
    <row r="192">
      <c r="A192" s="0" t="inlineStr">
        <is>
          <t xml:space="preserve">o0191</t>
        </is>
      </c>
      <c r="B192" s="0" t="inlineStr">
        <is>
          <t xml:space="preserve">a0067</t>
        </is>
      </c>
      <c r="C192" s="0" t="inlineStr">
        <is>
          <t xml:space="preserve">r05</t>
        </is>
      </c>
      <c r="D192" s="0" t="inlineStr">
        <is>
          <t xml:space="preserve">s_amer_east_in</t>
        </is>
      </c>
      <c r="E192" s="0" t="inlineStr">
        <is>
          <t xml:space="preserve">inbound</t>
        </is>
      </c>
      <c r="F192" s="0" t="inlineStr">
        <is>
          <t xml:space="preserve">closed_won</t>
        </is>
      </c>
      <c r="G192" s="4">
        <v>1</v>
      </c>
      <c r="H192" s="4">
        <v>32800</v>
      </c>
      <c r="I192" s="4">
        <v>2</v>
      </c>
      <c r="J192" s="4">
        <v>0</v>
      </c>
      <c r="K192" s="16">
        <v>45785</v>
      </c>
      <c r="L192" s="16">
        <v>45802</v>
      </c>
      <c r="M192" s="0" t="inlineStr">
        <is>
          <t xml:space="preserve">may25</t>
        </is>
      </c>
      <c r="N192" s="0" t="inlineStr">
        <is>
          <t xml:space="preserve">may25</t>
        </is>
      </c>
      <c r="O192" s="4">
        <v>17</v>
      </c>
      <c r="P192" s="4">
        <v>1</v>
      </c>
      <c r="Q192" s="4">
        <v>0</v>
      </c>
      <c r="R192" s="4">
        <v>0</v>
      </c>
      <c r="S192" s="4">
        <f>(H192*INDEX('Stages'!$D$2:$D$7,MATCH(F192,'Stages'!$A$2:$A$7,0)))</f>
        <v>32800</v>
      </c>
      <c r="T192" s="4">
        <f>(H192*I192)</f>
        <v>65600</v>
      </c>
      <c r="U192" s="4">
        <f>(H192*(I192-1))</f>
        <v>32800</v>
      </c>
      <c r="V192" s="0" t="str">
        <f>INDEX('Account executives'!$B$2:$B$25,MATCH(C192,'Account executives'!$A$2:$A$25,0))</f>
        <v>amer_east</v>
      </c>
      <c r="W192" s="0" t="str">
        <f>INDEX('Account executives'!$C$2:$C$25,MATCH(C192,'Account executives'!$A$2:$A$25,0))</f>
        <v>smb</v>
      </c>
      <c r="X192" s="0" t="str">
        <f>SUBSTITUTE(LOWER(INDEX('Periods'!$G$2:$G$22,MATCH(N192,'Periods'!$A$2:$A$22,0)))," ","_")</f>
        <v>q2_2025</v>
      </c>
    </row>
    <row r="193">
      <c r="A193" s="0" t="inlineStr">
        <is>
          <t xml:space="preserve">o0192</t>
        </is>
      </c>
      <c r="B193" s="0" t="inlineStr">
        <is>
          <t xml:space="preserve">a0918</t>
        </is>
      </c>
      <c r="C193" s="0" t="inlineStr">
        <is>
          <t xml:space="preserve">r09</t>
        </is>
      </c>
      <c r="D193" s="0" t="inlineStr">
        <is>
          <t xml:space="preserve">s_amer_west_in</t>
        </is>
      </c>
      <c r="E193" s="0" t="inlineStr">
        <is>
          <t xml:space="preserve">paid</t>
        </is>
      </c>
      <c r="F193" s="0" t="inlineStr">
        <is>
          <t xml:space="preserve">closed_lost</t>
        </is>
      </c>
      <c r="G193" s="4">
        <v>1</v>
      </c>
      <c r="H193" s="4">
        <v>34400</v>
      </c>
      <c r="I193" s="4">
        <v>1</v>
      </c>
      <c r="J193" s="4">
        <v>0</v>
      </c>
      <c r="K193" s="16">
        <v>46149</v>
      </c>
      <c r="L193" s="16">
        <v>46226</v>
      </c>
      <c r="M193" s="0" t="inlineStr">
        <is>
          <t xml:space="preserve">may26</t>
        </is>
      </c>
      <c r="N193" s="0" t="inlineStr">
        <is>
          <t xml:space="preserve">jul26</t>
        </is>
      </c>
      <c r="O193" s="4">
        <v>77</v>
      </c>
      <c r="P193" s="4">
        <v>0</v>
      </c>
      <c r="Q193" s="4">
        <v>1</v>
      </c>
      <c r="R193" s="4">
        <v>0</v>
      </c>
      <c r="S193" s="4">
        <f>(H193*INDEX('Stages'!$D$2:$D$7,MATCH(F193,'Stages'!$A$2:$A$7,0)))</f>
        <v>0</v>
      </c>
      <c r="T193" s="4">
        <f>(H193*I193)</f>
        <v>34400</v>
      </c>
      <c r="U193" s="4">
        <f>(H193*(I193-1))</f>
        <v>0</v>
      </c>
      <c r="V193" s="0" t="str">
        <f>INDEX('Account executives'!$B$2:$B$25,MATCH(C193,'Account executives'!$A$2:$A$25,0))</f>
        <v>amer_west</v>
      </c>
      <c r="W193" s="0" t="str">
        <f>INDEX('Account executives'!$C$2:$C$25,MATCH(C193,'Account executives'!$A$2:$A$25,0))</f>
        <v>mid_market</v>
      </c>
      <c r="X193" s="0" t="str">
        <f>SUBSTITUTE(LOWER(INDEX('Periods'!$G$2:$G$22,MATCH(N193,'Periods'!$A$2:$A$22,0)))," ","_")</f>
        <v>q3_2026</v>
      </c>
    </row>
    <row r="194">
      <c r="A194" s="0" t="inlineStr">
        <is>
          <t xml:space="preserve">o0193</t>
        </is>
      </c>
      <c r="B194" s="0" t="inlineStr">
        <is>
          <t xml:space="preserve">a0533</t>
        </is>
      </c>
      <c r="C194" s="0" t="inlineStr">
        <is>
          <t xml:space="preserve">r24</t>
        </is>
      </c>
      <c r="D194" s="0" t="inlineStr">
        <is>
          <t xml:space="preserve">s_apac_out</t>
        </is>
      </c>
      <c r="E194" s="0" t="inlineStr">
        <is>
          <t xml:space="preserve">outbound</t>
        </is>
      </c>
      <c r="F194" s="0" t="inlineStr">
        <is>
          <t xml:space="preserve">closed_lost</t>
        </is>
      </c>
      <c r="G194" s="4">
        <v>1</v>
      </c>
      <c r="H194" s="4">
        <v>11100</v>
      </c>
      <c r="I194" s="4">
        <v>1</v>
      </c>
      <c r="J194" s="4">
        <v>0</v>
      </c>
      <c r="K194" s="16">
        <v>45962</v>
      </c>
      <c r="L194" s="16">
        <v>45995</v>
      </c>
      <c r="M194" s="0" t="inlineStr">
        <is>
          <t xml:space="preserve">nov25</t>
        </is>
      </c>
      <c r="N194" s="0" t="inlineStr">
        <is>
          <t xml:space="preserve">dec25</t>
        </is>
      </c>
      <c r="O194" s="4">
        <v>33</v>
      </c>
      <c r="P194" s="4">
        <v>0</v>
      </c>
      <c r="Q194" s="4">
        <v>1</v>
      </c>
      <c r="R194" s="4">
        <v>0</v>
      </c>
      <c r="S194" s="4">
        <f>(H194*INDEX('Stages'!$D$2:$D$7,MATCH(F194,'Stages'!$A$2:$A$7,0)))</f>
        <v>0</v>
      </c>
      <c r="T194" s="4">
        <f>(H194*I194)</f>
        <v>11100</v>
      </c>
      <c r="U194" s="4">
        <f>(H194*(I194-1))</f>
        <v>0</v>
      </c>
      <c r="V194" s="0" t="str">
        <f>INDEX('Account executives'!$B$2:$B$25,MATCH(C194,'Account executives'!$A$2:$A$25,0))</f>
        <v>apac</v>
      </c>
      <c r="W194" s="0" t="str">
        <f>INDEX('Account executives'!$C$2:$C$25,MATCH(C194,'Account executives'!$A$2:$A$25,0))</f>
        <v>smb</v>
      </c>
      <c r="X194" s="0" t="str">
        <f>SUBSTITUTE(LOWER(INDEX('Periods'!$G$2:$G$22,MATCH(N194,'Periods'!$A$2:$A$22,0)))," ","_")</f>
        <v>q4_2025</v>
      </c>
    </row>
    <row r="195">
      <c r="A195" s="0" t="inlineStr">
        <is>
          <t xml:space="preserve">o0194</t>
        </is>
      </c>
      <c r="B195" s="0" t="inlineStr">
        <is>
          <t xml:space="preserve">a0713</t>
        </is>
      </c>
      <c r="C195" s="0" t="inlineStr">
        <is>
          <t xml:space="preserve">r22</t>
        </is>
      </c>
      <c r="D195" s="0" t="inlineStr">
        <is>
          <t xml:space="preserve">s_apac_out</t>
        </is>
      </c>
      <c r="E195" s="0" t="inlineStr">
        <is>
          <t xml:space="preserve">outbound</t>
        </is>
      </c>
      <c r="F195" s="0" t="inlineStr">
        <is>
          <t xml:space="preserve">closed_won</t>
        </is>
      </c>
      <c r="G195" s="4">
        <v>0</v>
      </c>
      <c r="H195" s="4">
        <v>26800</v>
      </c>
      <c r="I195" s="4">
        <v>1</v>
      </c>
      <c r="J195" s="4">
        <v>0</v>
      </c>
      <c r="K195" s="16">
        <v>46080</v>
      </c>
      <c r="L195" s="16">
        <v>46176</v>
      </c>
      <c r="M195" s="0" t="inlineStr">
        <is>
          <t xml:space="preserve">feb26</t>
        </is>
      </c>
      <c r="N195" s="0" t="inlineStr">
        <is>
          <t xml:space="preserve">jun26</t>
        </is>
      </c>
      <c r="O195" s="4">
        <v>96</v>
      </c>
      <c r="P195" s="4">
        <v>1</v>
      </c>
      <c r="Q195" s="4">
        <v>0</v>
      </c>
      <c r="R195" s="4">
        <v>0</v>
      </c>
      <c r="S195" s="4">
        <f>(H195*INDEX('Stages'!$D$2:$D$7,MATCH(F195,'Stages'!$A$2:$A$7,0)))</f>
        <v>26800</v>
      </c>
      <c r="T195" s="4">
        <f>(H195*I195)</f>
        <v>26800</v>
      </c>
      <c r="U195" s="4">
        <f>(H195*(I195-1))</f>
        <v>0</v>
      </c>
      <c r="V195" s="0" t="str">
        <f>INDEX('Account executives'!$B$2:$B$25,MATCH(C195,'Account executives'!$A$2:$A$25,0))</f>
        <v>apac</v>
      </c>
      <c r="W195" s="0" t="str">
        <f>INDEX('Account executives'!$C$2:$C$25,MATCH(C195,'Account executives'!$A$2:$A$25,0))</f>
        <v>mid_market</v>
      </c>
      <c r="X195" s="0" t="str">
        <f>SUBSTITUTE(LOWER(INDEX('Periods'!$G$2:$G$22,MATCH(N195,'Periods'!$A$2:$A$22,0)))," ","_")</f>
        <v>q2_2026</v>
      </c>
    </row>
    <row r="196">
      <c r="A196" s="0" t="inlineStr">
        <is>
          <t xml:space="preserve">o0195</t>
        </is>
      </c>
      <c r="B196" s="0" t="inlineStr">
        <is>
          <t xml:space="preserve">a0183</t>
        </is>
      </c>
      <c r="C196" s="0" t="inlineStr">
        <is>
          <t xml:space="preserve">r06</t>
        </is>
      </c>
      <c r="D196" s="0" t="inlineStr">
        <is>
          <t xml:space="preserve">s_amer_east_in</t>
        </is>
      </c>
      <c r="E196" s="0" t="inlineStr">
        <is>
          <t xml:space="preserve">inbound</t>
        </is>
      </c>
      <c r="F196" s="0" t="inlineStr">
        <is>
          <t xml:space="preserve">closed_lost</t>
        </is>
      </c>
      <c r="G196" s="4">
        <v>0</v>
      </c>
      <c r="H196" s="4">
        <v>14900</v>
      </c>
      <c r="I196" s="4">
        <v>1</v>
      </c>
      <c r="J196" s="4">
        <v>0</v>
      </c>
      <c r="K196" s="16">
        <v>46069</v>
      </c>
      <c r="L196" s="16">
        <v>46082</v>
      </c>
      <c r="M196" s="0" t="inlineStr">
        <is>
          <t xml:space="preserve">feb26</t>
        </is>
      </c>
      <c r="N196" s="0" t="inlineStr">
        <is>
          <t xml:space="preserve">mar26</t>
        </is>
      </c>
      <c r="O196" s="4">
        <v>13</v>
      </c>
      <c r="P196" s="4">
        <v>0</v>
      </c>
      <c r="Q196" s="4">
        <v>1</v>
      </c>
      <c r="R196" s="4">
        <v>0</v>
      </c>
      <c r="S196" s="4">
        <f>(H196*INDEX('Stages'!$D$2:$D$7,MATCH(F196,'Stages'!$A$2:$A$7,0)))</f>
        <v>0</v>
      </c>
      <c r="T196" s="4">
        <f>(H196*I196)</f>
        <v>14900</v>
      </c>
      <c r="U196" s="4">
        <f>(H196*(I196-1))</f>
        <v>0</v>
      </c>
      <c r="V196" s="0" t="str">
        <f>INDEX('Account executives'!$B$2:$B$25,MATCH(C196,'Account executives'!$A$2:$A$25,0))</f>
        <v>amer_east</v>
      </c>
      <c r="W196" s="0" t="str">
        <f>INDEX('Account executives'!$C$2:$C$25,MATCH(C196,'Account executives'!$A$2:$A$25,0))</f>
        <v>smb</v>
      </c>
      <c r="X196" s="0" t="str">
        <f>SUBSTITUTE(LOWER(INDEX('Periods'!$G$2:$G$22,MATCH(N196,'Periods'!$A$2:$A$22,0)))," ","_")</f>
        <v>q1_2026</v>
      </c>
    </row>
    <row r="197">
      <c r="A197" s="0" t="inlineStr">
        <is>
          <t xml:space="preserve">o0196</t>
        </is>
      </c>
      <c r="B197" s="0" t="inlineStr">
        <is>
          <t xml:space="preserve">a0749</t>
        </is>
      </c>
      <c r="C197" s="0" t="inlineStr">
        <is>
          <t xml:space="preserve">r01</t>
        </is>
      </c>
      <c r="D197" s="0" t="inlineStr">
        <is>
          <t xml:space="preserve">s_amer_east_out</t>
        </is>
      </c>
      <c r="E197" s="0" t="inlineStr">
        <is>
          <t xml:space="preserve">outbound</t>
        </is>
      </c>
      <c r="F197" s="0" t="inlineStr">
        <is>
          <t xml:space="preserve">proposal</t>
        </is>
      </c>
      <c r="G197" s="4">
        <v>1</v>
      </c>
      <c r="H197" s="4">
        <v>87600</v>
      </c>
      <c r="I197" s="4">
        <v>3</v>
      </c>
      <c r="J197" s="4">
        <v>0</v>
      </c>
      <c r="K197" s="16">
        <v>46102</v>
      </c>
      <c r="L197" s="16">
        <v>46320</v>
      </c>
      <c r="M197" s="0" t="inlineStr">
        <is>
          <t xml:space="preserve">mar26</t>
        </is>
      </c>
      <c r="N197" s="0" t="inlineStr">
        <is>
          <t xml:space="preserve">oct26</t>
        </is>
      </c>
      <c r="O197" s="4">
        <v>224</v>
      </c>
      <c r="P197" s="4">
        <v>0</v>
      </c>
      <c r="Q197" s="4">
        <v>0</v>
      </c>
      <c r="R197" s="4">
        <v>1</v>
      </c>
      <c r="S197" s="4">
        <f>(H197*INDEX('Stages'!$D$2:$D$7,MATCH(F197,'Stages'!$A$2:$A$7,0)))</f>
        <v>43800</v>
      </c>
      <c r="T197" s="4">
        <f>(H197*I197)</f>
        <v>262800</v>
      </c>
      <c r="U197" s="4">
        <f>(H197*(I197-1))</f>
        <v>175200</v>
      </c>
      <c r="V197" s="0" t="str">
        <f>INDEX('Account executives'!$B$2:$B$25,MATCH(C197,'Account executives'!$A$2:$A$25,0))</f>
        <v>amer_east</v>
      </c>
      <c r="W197" s="0" t="str">
        <f>INDEX('Account executives'!$C$2:$C$25,MATCH(C197,'Account executives'!$A$2:$A$25,0))</f>
        <v>enterprise</v>
      </c>
      <c r="X197" s="0" t="str">
        <f>SUBSTITUTE(LOWER(INDEX('Periods'!$G$2:$G$22,MATCH(N197,'Periods'!$A$2:$A$22,0)))," ","_")</f>
        <v>q4_2026</v>
      </c>
    </row>
    <row r="198">
      <c r="A198" s="0" t="inlineStr">
        <is>
          <t xml:space="preserve">o0197</t>
        </is>
      </c>
      <c r="B198" s="0" t="inlineStr">
        <is>
          <t xml:space="preserve">a0003</t>
        </is>
      </c>
      <c r="C198" s="0" t="inlineStr">
        <is>
          <t xml:space="preserve">r01</t>
        </is>
      </c>
      <c r="D198" s="0" t="inlineStr">
        <is>
          <t xml:space="preserve">s_amer_east_in</t>
        </is>
      </c>
      <c r="E198" s="0" t="inlineStr">
        <is>
          <t xml:space="preserve">inbound</t>
        </is>
      </c>
      <c r="F198" s="0" t="inlineStr">
        <is>
          <t xml:space="preserve">closed_lost</t>
        </is>
      </c>
      <c r="G198" s="4">
        <v>1</v>
      </c>
      <c r="H198" s="4">
        <v>116300</v>
      </c>
      <c r="I198" s="4">
        <v>1</v>
      </c>
      <c r="J198" s="4">
        <v>0</v>
      </c>
      <c r="K198" s="16">
        <v>45753</v>
      </c>
      <c r="L198" s="16">
        <v>46019</v>
      </c>
      <c r="M198" s="0" t="inlineStr">
        <is>
          <t xml:space="preserve">apr25</t>
        </is>
      </c>
      <c r="N198" s="0" t="inlineStr">
        <is>
          <t xml:space="preserve">dec25</t>
        </is>
      </c>
      <c r="O198" s="4">
        <v>266</v>
      </c>
      <c r="P198" s="4">
        <v>0</v>
      </c>
      <c r="Q198" s="4">
        <v>1</v>
      </c>
      <c r="R198" s="4">
        <v>0</v>
      </c>
      <c r="S198" s="4">
        <f>(H198*INDEX('Stages'!$D$2:$D$7,MATCH(F198,'Stages'!$A$2:$A$7,0)))</f>
        <v>0</v>
      </c>
      <c r="T198" s="4">
        <f>(H198*I198)</f>
        <v>116300</v>
      </c>
      <c r="U198" s="4">
        <f>(H198*(I198-1))</f>
        <v>0</v>
      </c>
      <c r="V198" s="0" t="str">
        <f>INDEX('Account executives'!$B$2:$B$25,MATCH(C198,'Account executives'!$A$2:$A$25,0))</f>
        <v>amer_east</v>
      </c>
      <c r="W198" s="0" t="str">
        <f>INDEX('Account executives'!$C$2:$C$25,MATCH(C198,'Account executives'!$A$2:$A$25,0))</f>
        <v>enterprise</v>
      </c>
      <c r="X198" s="0" t="str">
        <f>SUBSTITUTE(LOWER(INDEX('Periods'!$G$2:$G$22,MATCH(N198,'Periods'!$A$2:$A$22,0)))," ","_")</f>
        <v>q4_2025</v>
      </c>
    </row>
    <row r="199">
      <c r="A199" s="0" t="inlineStr">
        <is>
          <t xml:space="preserve">o0198</t>
        </is>
      </c>
      <c r="B199" s="0" t="inlineStr">
        <is>
          <t xml:space="preserve">a0556</t>
        </is>
      </c>
      <c r="C199" s="0" t="inlineStr">
        <is>
          <t xml:space="preserve">r05</t>
        </is>
      </c>
      <c r="D199" s="0" t="inlineStr">
        <is>
          <t xml:space="preserve">s_amer_east_in</t>
        </is>
      </c>
      <c r="E199" s="0" t="inlineStr">
        <is>
          <t xml:space="preserve">inbound</t>
        </is>
      </c>
      <c r="F199" s="0" t="inlineStr">
        <is>
          <t xml:space="preserve">closed_won</t>
        </is>
      </c>
      <c r="G199" s="4">
        <v>0</v>
      </c>
      <c r="H199" s="4">
        <v>8100</v>
      </c>
      <c r="I199" s="4">
        <v>1</v>
      </c>
      <c r="J199" s="4">
        <v>0</v>
      </c>
      <c r="K199" s="16">
        <v>46253</v>
      </c>
      <c r="L199" s="16">
        <v>46269</v>
      </c>
      <c r="M199" s="0" t="inlineStr">
        <is>
          <t xml:space="preserve">aug26</t>
        </is>
      </c>
      <c r="N199" s="0" t="inlineStr">
        <is>
          <t xml:space="preserve">sep26</t>
        </is>
      </c>
      <c r="O199" s="4">
        <v>16</v>
      </c>
      <c r="P199" s="4">
        <v>1</v>
      </c>
      <c r="Q199" s="4">
        <v>0</v>
      </c>
      <c r="R199" s="4">
        <v>0</v>
      </c>
      <c r="S199" s="4">
        <f>(H199*INDEX('Stages'!$D$2:$D$7,MATCH(F199,'Stages'!$A$2:$A$7,0)))</f>
        <v>8100</v>
      </c>
      <c r="T199" s="4">
        <f>(H199*I199)</f>
        <v>8100</v>
      </c>
      <c r="U199" s="4">
        <f>(H199*(I199-1))</f>
        <v>0</v>
      </c>
      <c r="V199" s="0" t="str">
        <f>INDEX('Account executives'!$B$2:$B$25,MATCH(C199,'Account executives'!$A$2:$A$25,0))</f>
        <v>amer_east</v>
      </c>
      <c r="W199" s="0" t="str">
        <f>INDEX('Account executives'!$C$2:$C$25,MATCH(C199,'Account executives'!$A$2:$A$25,0))</f>
        <v>smb</v>
      </c>
      <c r="X199" s="0" t="str">
        <f>SUBSTITUTE(LOWER(INDEX('Periods'!$G$2:$G$22,MATCH(N199,'Periods'!$A$2:$A$22,0)))," ","_")</f>
        <v>q3_2026</v>
      </c>
    </row>
    <row r="200">
      <c r="A200" s="0" t="inlineStr">
        <is>
          <t xml:space="preserve">o0199</t>
        </is>
      </c>
      <c r="B200" s="0" t="inlineStr">
        <is>
          <t xml:space="preserve">a0355</t>
        </is>
      </c>
      <c r="C200" s="0" t="inlineStr">
        <is>
          <t xml:space="preserve">r21</t>
        </is>
      </c>
      <c r="D200" s="0" t="inlineStr">
        <is>
          <t xml:space="preserve">s_apac_in</t>
        </is>
      </c>
      <c r="E200" s="0" t="inlineStr">
        <is>
          <t xml:space="preserve">paid</t>
        </is>
      </c>
      <c r="F200" s="0" t="inlineStr">
        <is>
          <t xml:space="preserve">closed_won</t>
        </is>
      </c>
      <c r="G200" s="4">
        <v>1</v>
      </c>
      <c r="H200" s="4">
        <v>21900</v>
      </c>
      <c r="I200" s="4">
        <v>1</v>
      </c>
      <c r="J200" s="4">
        <v>0</v>
      </c>
      <c r="K200" s="16">
        <v>45884</v>
      </c>
      <c r="L200" s="16">
        <v>45972</v>
      </c>
      <c r="M200" s="0" t="inlineStr">
        <is>
          <t xml:space="preserve">aug25</t>
        </is>
      </c>
      <c r="N200" s="0" t="inlineStr">
        <is>
          <t xml:space="preserve">nov25</t>
        </is>
      </c>
      <c r="O200" s="4">
        <v>88</v>
      </c>
      <c r="P200" s="4">
        <v>1</v>
      </c>
      <c r="Q200" s="4">
        <v>0</v>
      </c>
      <c r="R200" s="4">
        <v>0</v>
      </c>
      <c r="S200" s="4">
        <f>(H200*INDEX('Stages'!$D$2:$D$7,MATCH(F200,'Stages'!$A$2:$A$7,0)))</f>
        <v>21900</v>
      </c>
      <c r="T200" s="4">
        <f>(H200*I200)</f>
        <v>21900</v>
      </c>
      <c r="U200" s="4">
        <f>(H200*(I200-1))</f>
        <v>0</v>
      </c>
      <c r="V200" s="0" t="str">
        <f>INDEX('Account executives'!$B$2:$B$25,MATCH(C200,'Account executives'!$A$2:$A$25,0))</f>
        <v>apac</v>
      </c>
      <c r="W200" s="0" t="str">
        <f>INDEX('Account executives'!$C$2:$C$25,MATCH(C200,'Account executives'!$A$2:$A$25,0))</f>
        <v>mid_market</v>
      </c>
      <c r="X200" s="0" t="str">
        <f>SUBSTITUTE(LOWER(INDEX('Periods'!$G$2:$G$22,MATCH(N200,'Periods'!$A$2:$A$22,0)))," ","_")</f>
        <v>q4_2025</v>
      </c>
    </row>
    <row r="201">
      <c r="A201" s="0" t="inlineStr">
        <is>
          <t xml:space="preserve">o0200</t>
        </is>
      </c>
      <c r="B201" s="0" t="inlineStr">
        <is>
          <t xml:space="preserve">a1082</t>
        </is>
      </c>
      <c r="C201" s="0" t="inlineStr">
        <is>
          <t xml:space="preserve">r05</t>
        </is>
      </c>
      <c r="D201" s="0" t="inlineStr">
        <is>
          <t xml:space="preserve">s_amer_east_out</t>
        </is>
      </c>
      <c r="E201" s="0" t="inlineStr">
        <is>
          <t xml:space="preserve">outbound</t>
        </is>
      </c>
      <c r="F201" s="0" t="inlineStr">
        <is>
          <t xml:space="preserve">closed_won</t>
        </is>
      </c>
      <c r="G201" s="4">
        <v>1</v>
      </c>
      <c r="H201" s="4">
        <v>15100</v>
      </c>
      <c r="I201" s="4">
        <v>1</v>
      </c>
      <c r="J201" s="4">
        <v>1</v>
      </c>
      <c r="K201" s="16">
        <v>46206</v>
      </c>
      <c r="L201" s="16">
        <v>46237</v>
      </c>
      <c r="M201" s="0" t="inlineStr">
        <is>
          <t xml:space="preserve">jul26</t>
        </is>
      </c>
      <c r="N201" s="0" t="inlineStr">
        <is>
          <t xml:space="preserve">aug26</t>
        </is>
      </c>
      <c r="O201" s="4">
        <v>31</v>
      </c>
      <c r="P201" s="4">
        <v>1</v>
      </c>
      <c r="Q201" s="4">
        <v>0</v>
      </c>
      <c r="R201" s="4">
        <v>0</v>
      </c>
      <c r="S201" s="4">
        <f>(H201*INDEX('Stages'!$D$2:$D$7,MATCH(F201,'Stages'!$A$2:$A$7,0)))</f>
        <v>15100</v>
      </c>
      <c r="T201" s="4">
        <f>(H201*I201)</f>
        <v>15100</v>
      </c>
      <c r="U201" s="4">
        <f>(H201*(I201-1))</f>
        <v>0</v>
      </c>
      <c r="V201" s="0" t="str">
        <f>INDEX('Account executives'!$B$2:$B$25,MATCH(C201,'Account executives'!$A$2:$A$25,0))</f>
        <v>amer_east</v>
      </c>
      <c r="W201" s="0" t="str">
        <f>INDEX('Account executives'!$C$2:$C$25,MATCH(C201,'Account executives'!$A$2:$A$25,0))</f>
        <v>smb</v>
      </c>
      <c r="X201" s="0" t="str">
        <f>SUBSTITUTE(LOWER(INDEX('Periods'!$G$2:$G$22,MATCH(N201,'Periods'!$A$2:$A$22,0)))," ","_")</f>
        <v>q3_2026</v>
      </c>
    </row>
    <row r="202">
      <c r="A202" s="0" t="inlineStr">
        <is>
          <t xml:space="preserve">o0201</t>
        </is>
      </c>
      <c r="B202" s="0" t="inlineStr">
        <is>
          <t xml:space="preserve">a0346</t>
        </is>
      </c>
      <c r="C202" s="0" t="inlineStr">
        <is>
          <t xml:space="preserve">r17</t>
        </is>
      </c>
      <c r="D202" s="0" t="inlineStr">
        <is>
          <t xml:space="preserve">s_emea_in</t>
        </is>
      </c>
      <c r="E202" s="0" t="inlineStr">
        <is>
          <t xml:space="preserve">inbound</t>
        </is>
      </c>
      <c r="F202" s="0" t="inlineStr">
        <is>
          <t xml:space="preserve">closed_won</t>
        </is>
      </c>
      <c r="G202" s="4">
        <v>0</v>
      </c>
      <c r="H202" s="4">
        <v>9300</v>
      </c>
      <c r="I202" s="4">
        <v>1</v>
      </c>
      <c r="J202" s="4">
        <v>0</v>
      </c>
      <c r="K202" s="16">
        <v>46038</v>
      </c>
      <c r="L202" s="16">
        <v>46064</v>
      </c>
      <c r="M202" s="0" t="inlineStr">
        <is>
          <t xml:space="preserve">jan26</t>
        </is>
      </c>
      <c r="N202" s="0" t="inlineStr">
        <is>
          <t xml:space="preserve">feb26</t>
        </is>
      </c>
      <c r="O202" s="4">
        <v>26</v>
      </c>
      <c r="P202" s="4">
        <v>1</v>
      </c>
      <c r="Q202" s="4">
        <v>0</v>
      </c>
      <c r="R202" s="4">
        <v>0</v>
      </c>
      <c r="S202" s="4">
        <f>(H202*INDEX('Stages'!$D$2:$D$7,MATCH(F202,'Stages'!$A$2:$A$7,0)))</f>
        <v>9300</v>
      </c>
      <c r="T202" s="4">
        <f>(H202*I202)</f>
        <v>9300</v>
      </c>
      <c r="U202" s="4">
        <f>(H202*(I202-1))</f>
        <v>0</v>
      </c>
      <c r="V202" s="0" t="str">
        <f>INDEX('Account executives'!$B$2:$B$25,MATCH(C202,'Account executives'!$A$2:$A$25,0))</f>
        <v>emea</v>
      </c>
      <c r="W202" s="0" t="str">
        <f>INDEX('Account executives'!$C$2:$C$25,MATCH(C202,'Account executives'!$A$2:$A$25,0))</f>
        <v>smb</v>
      </c>
      <c r="X202" s="0" t="str">
        <f>SUBSTITUTE(LOWER(INDEX('Periods'!$G$2:$G$22,MATCH(N202,'Periods'!$A$2:$A$22,0)))," ","_")</f>
        <v>q1_2026</v>
      </c>
    </row>
    <row r="203">
      <c r="A203" s="0" t="inlineStr">
        <is>
          <t xml:space="preserve">o0202</t>
        </is>
      </c>
      <c r="B203" s="0" t="inlineStr">
        <is>
          <t xml:space="preserve">a0934</t>
        </is>
      </c>
      <c r="C203" s="0" t="inlineStr">
        <is>
          <t xml:space="preserve">r18</t>
        </is>
      </c>
      <c r="D203" s="0"/>
      <c r="E203" s="0" t="inlineStr">
        <is>
          <t xml:space="preserve">events</t>
        </is>
      </c>
      <c r="F203" s="0" t="inlineStr">
        <is>
          <t xml:space="preserve">negotiation</t>
        </is>
      </c>
      <c r="G203" s="4">
        <v>0</v>
      </c>
      <c r="H203" s="4">
        <v>5800</v>
      </c>
      <c r="I203" s="4">
        <v>1</v>
      </c>
      <c r="J203" s="4">
        <v>0</v>
      </c>
      <c r="K203" s="16">
        <v>46207</v>
      </c>
      <c r="L203" s="16">
        <v>46293</v>
      </c>
      <c r="M203" s="0" t="inlineStr">
        <is>
          <t xml:space="preserve">jul26</t>
        </is>
      </c>
      <c r="N203" s="0" t="inlineStr">
        <is>
          <t xml:space="preserve">sep26</t>
        </is>
      </c>
      <c r="O203" s="4">
        <v>86</v>
      </c>
      <c r="P203" s="4">
        <v>0</v>
      </c>
      <c r="Q203" s="4">
        <v>0</v>
      </c>
      <c r="R203" s="4">
        <v>1</v>
      </c>
      <c r="S203" s="4">
        <f>(H203*INDEX('Stages'!$D$2:$D$7,MATCH(F203,'Stages'!$A$2:$A$7,0)))</f>
        <v>4350</v>
      </c>
      <c r="T203" s="4">
        <f>(H203*I203)</f>
        <v>5800</v>
      </c>
      <c r="U203" s="4">
        <f>(H203*(I203-1))</f>
        <v>0</v>
      </c>
      <c r="V203" s="0" t="str">
        <f>INDEX('Account executives'!$B$2:$B$25,MATCH(C203,'Account executives'!$A$2:$A$25,0))</f>
        <v>emea</v>
      </c>
      <c r="W203" s="0" t="str">
        <f>INDEX('Account executives'!$C$2:$C$25,MATCH(C203,'Account executives'!$A$2:$A$25,0))</f>
        <v>smb</v>
      </c>
      <c r="X203" s="0" t="str">
        <f>SUBSTITUTE(LOWER(INDEX('Periods'!$G$2:$G$22,MATCH(N203,'Periods'!$A$2:$A$22,0)))," ","_")</f>
        <v>q3_2026</v>
      </c>
    </row>
    <row r="204">
      <c r="A204" s="0" t="inlineStr">
        <is>
          <t xml:space="preserve">o0203</t>
        </is>
      </c>
      <c r="B204" s="0" t="inlineStr">
        <is>
          <t xml:space="preserve">a0235</t>
        </is>
      </c>
      <c r="C204" s="0" t="inlineStr">
        <is>
          <t xml:space="preserve">r04</t>
        </is>
      </c>
      <c r="D204" s="0"/>
      <c r="E204" s="0" t="inlineStr">
        <is>
          <t xml:space="preserve">referral</t>
        </is>
      </c>
      <c r="F204" s="0" t="inlineStr">
        <is>
          <t xml:space="preserve">closed_won</t>
        </is>
      </c>
      <c r="G204" s="4">
        <v>0</v>
      </c>
      <c r="H204" s="4">
        <v>33500</v>
      </c>
      <c r="I204" s="4">
        <v>2</v>
      </c>
      <c r="J204" s="4">
        <v>1</v>
      </c>
      <c r="K204" s="16">
        <v>46041</v>
      </c>
      <c r="L204" s="16">
        <v>46109</v>
      </c>
      <c r="M204" s="0" t="inlineStr">
        <is>
          <t xml:space="preserve">jan26</t>
        </is>
      </c>
      <c r="N204" s="0" t="inlineStr">
        <is>
          <t xml:space="preserve">mar26</t>
        </is>
      </c>
      <c r="O204" s="4">
        <v>68</v>
      </c>
      <c r="P204" s="4">
        <v>1</v>
      </c>
      <c r="Q204" s="4">
        <v>0</v>
      </c>
      <c r="R204" s="4">
        <v>0</v>
      </c>
      <c r="S204" s="4">
        <f>(H204*INDEX('Stages'!$D$2:$D$7,MATCH(F204,'Stages'!$A$2:$A$7,0)))</f>
        <v>33500</v>
      </c>
      <c r="T204" s="4">
        <f>(H204*I204)</f>
        <v>67000</v>
      </c>
      <c r="U204" s="4">
        <f>(H204*(I204-1))</f>
        <v>33500</v>
      </c>
      <c r="V204" s="0" t="str">
        <f>INDEX('Account executives'!$B$2:$B$25,MATCH(C204,'Account executives'!$A$2:$A$25,0))</f>
        <v>amer_east</v>
      </c>
      <c r="W204" s="0" t="str">
        <f>INDEX('Account executives'!$C$2:$C$25,MATCH(C204,'Account executives'!$A$2:$A$25,0))</f>
        <v>mid_market</v>
      </c>
      <c r="X204" s="0" t="str">
        <f>SUBSTITUTE(LOWER(INDEX('Periods'!$G$2:$G$22,MATCH(N204,'Periods'!$A$2:$A$22,0)))," ","_")</f>
        <v>q1_2026</v>
      </c>
    </row>
    <row r="205">
      <c r="A205" s="0" t="inlineStr">
        <is>
          <t xml:space="preserve">o0204</t>
        </is>
      </c>
      <c r="B205" s="0" t="inlineStr">
        <is>
          <t xml:space="preserve">a0576</t>
        </is>
      </c>
      <c r="C205" s="0" t="inlineStr">
        <is>
          <t xml:space="preserve">r12</t>
        </is>
      </c>
      <c r="D205" s="0" t="inlineStr">
        <is>
          <t xml:space="preserve">s_amer_west_out</t>
        </is>
      </c>
      <c r="E205" s="0" t="inlineStr">
        <is>
          <t xml:space="preserve">outbound</t>
        </is>
      </c>
      <c r="F205" s="0" t="inlineStr">
        <is>
          <t xml:space="preserve">closed_won</t>
        </is>
      </c>
      <c r="G205" s="4">
        <v>1</v>
      </c>
      <c r="H205" s="4">
        <v>19600</v>
      </c>
      <c r="I205" s="4">
        <v>1</v>
      </c>
      <c r="J205" s="4">
        <v>0</v>
      </c>
      <c r="K205" s="16">
        <v>46014</v>
      </c>
      <c r="L205" s="16">
        <v>46036</v>
      </c>
      <c r="M205" s="0" t="inlineStr">
        <is>
          <t xml:space="preserve">dec25</t>
        </is>
      </c>
      <c r="N205" s="0" t="inlineStr">
        <is>
          <t xml:space="preserve">jan26</t>
        </is>
      </c>
      <c r="O205" s="4">
        <v>22</v>
      </c>
      <c r="P205" s="4">
        <v>1</v>
      </c>
      <c r="Q205" s="4">
        <v>0</v>
      </c>
      <c r="R205" s="4">
        <v>0</v>
      </c>
      <c r="S205" s="4">
        <f>(H205*INDEX('Stages'!$D$2:$D$7,MATCH(F205,'Stages'!$A$2:$A$7,0)))</f>
        <v>19600</v>
      </c>
      <c r="T205" s="4">
        <f>(H205*I205)</f>
        <v>19600</v>
      </c>
      <c r="U205" s="4">
        <f>(H205*(I205-1))</f>
        <v>0</v>
      </c>
      <c r="V205" s="0" t="str">
        <f>INDEX('Account executives'!$B$2:$B$25,MATCH(C205,'Account executives'!$A$2:$A$25,0))</f>
        <v>amer_west</v>
      </c>
      <c r="W205" s="0" t="str">
        <f>INDEX('Account executives'!$C$2:$C$25,MATCH(C205,'Account executives'!$A$2:$A$25,0))</f>
        <v>smb</v>
      </c>
      <c r="X205" s="0" t="str">
        <f>SUBSTITUTE(LOWER(INDEX('Periods'!$G$2:$G$22,MATCH(N205,'Periods'!$A$2:$A$22,0)))," ","_")</f>
        <v>q1_2026</v>
      </c>
    </row>
    <row r="206">
      <c r="A206" s="0" t="inlineStr">
        <is>
          <t xml:space="preserve">o0205</t>
        </is>
      </c>
      <c r="B206" s="0" t="inlineStr">
        <is>
          <t xml:space="preserve">a0759</t>
        </is>
      </c>
      <c r="C206" s="0" t="inlineStr">
        <is>
          <t xml:space="preserve">r11</t>
        </is>
      </c>
      <c r="D206" s="0" t="inlineStr">
        <is>
          <t xml:space="preserve">s_amer_west_in</t>
        </is>
      </c>
      <c r="E206" s="0" t="inlineStr">
        <is>
          <t xml:space="preserve">paid</t>
        </is>
      </c>
      <c r="F206" s="0" t="inlineStr">
        <is>
          <t xml:space="preserve">closed_won</t>
        </is>
      </c>
      <c r="G206" s="4">
        <v>1</v>
      </c>
      <c r="H206" s="4">
        <v>20500</v>
      </c>
      <c r="I206" s="4">
        <v>2</v>
      </c>
      <c r="J206" s="4">
        <v>1</v>
      </c>
      <c r="K206" s="16">
        <v>46107</v>
      </c>
      <c r="L206" s="16">
        <v>46139</v>
      </c>
      <c r="M206" s="0" t="inlineStr">
        <is>
          <t xml:space="preserve">mar26</t>
        </is>
      </c>
      <c r="N206" s="0" t="inlineStr">
        <is>
          <t xml:space="preserve">apr26</t>
        </is>
      </c>
      <c r="O206" s="4">
        <v>32</v>
      </c>
      <c r="P206" s="4">
        <v>1</v>
      </c>
      <c r="Q206" s="4">
        <v>0</v>
      </c>
      <c r="R206" s="4">
        <v>0</v>
      </c>
      <c r="S206" s="4">
        <f>(H206*INDEX('Stages'!$D$2:$D$7,MATCH(F206,'Stages'!$A$2:$A$7,0)))</f>
        <v>20500</v>
      </c>
      <c r="T206" s="4">
        <f>(H206*I206)</f>
        <v>41000</v>
      </c>
      <c r="U206" s="4">
        <f>(H206*(I206-1))</f>
        <v>20500</v>
      </c>
      <c r="V206" s="0" t="str">
        <f>INDEX('Account executives'!$B$2:$B$25,MATCH(C206,'Account executives'!$A$2:$A$25,0))</f>
        <v>amer_west</v>
      </c>
      <c r="W206" s="0" t="str">
        <f>INDEX('Account executives'!$C$2:$C$25,MATCH(C206,'Account executives'!$A$2:$A$25,0))</f>
        <v>smb</v>
      </c>
      <c r="X206" s="0" t="str">
        <f>SUBSTITUTE(LOWER(INDEX('Periods'!$G$2:$G$22,MATCH(N206,'Periods'!$A$2:$A$22,0)))," ","_")</f>
        <v>q2_2026</v>
      </c>
    </row>
    <row r="207">
      <c r="A207" s="0" t="inlineStr">
        <is>
          <t xml:space="preserve">o0206</t>
        </is>
      </c>
      <c r="B207" s="0" t="inlineStr">
        <is>
          <t xml:space="preserve">a0888</t>
        </is>
      </c>
      <c r="C207" s="0" t="inlineStr">
        <is>
          <t xml:space="preserve">r06</t>
        </is>
      </c>
      <c r="D207" s="0" t="inlineStr">
        <is>
          <t xml:space="preserve">s_amer_east_in</t>
        </is>
      </c>
      <c r="E207" s="0" t="inlineStr">
        <is>
          <t xml:space="preserve">inbound</t>
        </is>
      </c>
      <c r="F207" s="0" t="inlineStr">
        <is>
          <t xml:space="preserve">closed_won</t>
        </is>
      </c>
      <c r="G207" s="4">
        <v>1</v>
      </c>
      <c r="H207" s="4">
        <v>6800</v>
      </c>
      <c r="I207" s="4">
        <v>1</v>
      </c>
      <c r="J207" s="4">
        <v>0</v>
      </c>
      <c r="K207" s="16">
        <v>46151</v>
      </c>
      <c r="L207" s="16">
        <v>46178</v>
      </c>
      <c r="M207" s="0" t="inlineStr">
        <is>
          <t xml:space="preserve">may26</t>
        </is>
      </c>
      <c r="N207" s="0" t="inlineStr">
        <is>
          <t xml:space="preserve">jun26</t>
        </is>
      </c>
      <c r="O207" s="4">
        <v>27</v>
      </c>
      <c r="P207" s="4">
        <v>1</v>
      </c>
      <c r="Q207" s="4">
        <v>0</v>
      </c>
      <c r="R207" s="4">
        <v>0</v>
      </c>
      <c r="S207" s="4">
        <f>(H207*INDEX('Stages'!$D$2:$D$7,MATCH(F207,'Stages'!$A$2:$A$7,0)))</f>
        <v>6800</v>
      </c>
      <c r="T207" s="4">
        <f>(H207*I207)</f>
        <v>6800</v>
      </c>
      <c r="U207" s="4">
        <f>(H207*(I207-1))</f>
        <v>0</v>
      </c>
      <c r="V207" s="0" t="str">
        <f>INDEX('Account executives'!$B$2:$B$25,MATCH(C207,'Account executives'!$A$2:$A$25,0))</f>
        <v>amer_east</v>
      </c>
      <c r="W207" s="0" t="str">
        <f>INDEX('Account executives'!$C$2:$C$25,MATCH(C207,'Account executives'!$A$2:$A$25,0))</f>
        <v>smb</v>
      </c>
      <c r="X207" s="0" t="str">
        <f>SUBSTITUTE(LOWER(INDEX('Periods'!$G$2:$G$22,MATCH(N207,'Periods'!$A$2:$A$22,0)))," ","_")</f>
        <v>q2_2026</v>
      </c>
    </row>
    <row r="208">
      <c r="A208" s="0" t="inlineStr">
        <is>
          <t xml:space="preserve">o0207</t>
        </is>
      </c>
      <c r="B208" s="0" t="inlineStr">
        <is>
          <t xml:space="preserve">a0158</t>
        </is>
      </c>
      <c r="C208" s="0" t="inlineStr">
        <is>
          <t xml:space="preserve">r06</t>
        </is>
      </c>
      <c r="D208" s="0" t="inlineStr">
        <is>
          <t xml:space="preserve">s_amer_east_in</t>
        </is>
      </c>
      <c r="E208" s="0" t="inlineStr">
        <is>
          <t xml:space="preserve">paid</t>
        </is>
      </c>
      <c r="F208" s="0" t="inlineStr">
        <is>
          <t xml:space="preserve">closed_won</t>
        </is>
      </c>
      <c r="G208" s="4">
        <v>0</v>
      </c>
      <c r="H208" s="4">
        <v>5300</v>
      </c>
      <c r="I208" s="4">
        <v>1</v>
      </c>
      <c r="J208" s="4">
        <v>0</v>
      </c>
      <c r="K208" s="16">
        <v>45853</v>
      </c>
      <c r="L208" s="16">
        <v>45928</v>
      </c>
      <c r="M208" s="0" t="inlineStr">
        <is>
          <t xml:space="preserve">jul25</t>
        </is>
      </c>
      <c r="N208" s="0" t="inlineStr">
        <is>
          <t xml:space="preserve">sep25</t>
        </is>
      </c>
      <c r="O208" s="4">
        <v>75</v>
      </c>
      <c r="P208" s="4">
        <v>1</v>
      </c>
      <c r="Q208" s="4">
        <v>0</v>
      </c>
      <c r="R208" s="4">
        <v>0</v>
      </c>
      <c r="S208" s="4">
        <f>(H208*INDEX('Stages'!$D$2:$D$7,MATCH(F208,'Stages'!$A$2:$A$7,0)))</f>
        <v>5300</v>
      </c>
      <c r="T208" s="4">
        <f>(H208*I208)</f>
        <v>5300</v>
      </c>
      <c r="U208" s="4">
        <f>(H208*(I208-1))</f>
        <v>0</v>
      </c>
      <c r="V208" s="0" t="str">
        <f>INDEX('Account executives'!$B$2:$B$25,MATCH(C208,'Account executives'!$A$2:$A$25,0))</f>
        <v>amer_east</v>
      </c>
      <c r="W208" s="0" t="str">
        <f>INDEX('Account executives'!$C$2:$C$25,MATCH(C208,'Account executives'!$A$2:$A$25,0))</f>
        <v>smb</v>
      </c>
      <c r="X208" s="0" t="str">
        <f>SUBSTITUTE(LOWER(INDEX('Periods'!$G$2:$G$22,MATCH(N208,'Periods'!$A$2:$A$22,0)))," ","_")</f>
        <v>q3_2025</v>
      </c>
    </row>
    <row r="209">
      <c r="A209" s="0" t="inlineStr">
        <is>
          <t xml:space="preserve">o0208</t>
        </is>
      </c>
      <c r="B209" s="0" t="inlineStr">
        <is>
          <t xml:space="preserve">a0977</t>
        </is>
      </c>
      <c r="C209" s="0" t="inlineStr">
        <is>
          <t xml:space="preserve">r03</t>
        </is>
      </c>
      <c r="D209" s="0"/>
      <c r="E209" s="0" t="inlineStr">
        <is>
          <t xml:space="preserve">partner</t>
        </is>
      </c>
      <c r="F209" s="0" t="inlineStr">
        <is>
          <t xml:space="preserve">closed_lost</t>
        </is>
      </c>
      <c r="G209" s="4">
        <v>1</v>
      </c>
      <c r="H209" s="4">
        <v>33900</v>
      </c>
      <c r="I209" s="4">
        <v>1</v>
      </c>
      <c r="J209" s="4">
        <v>0</v>
      </c>
      <c r="K209" s="16">
        <v>46194</v>
      </c>
      <c r="L209" s="16">
        <v>46263</v>
      </c>
      <c r="M209" s="0" t="inlineStr">
        <is>
          <t xml:space="preserve">jun26</t>
        </is>
      </c>
      <c r="N209" s="0" t="inlineStr">
        <is>
          <t xml:space="preserve">aug26</t>
        </is>
      </c>
      <c r="O209" s="4">
        <v>69</v>
      </c>
      <c r="P209" s="4">
        <v>0</v>
      </c>
      <c r="Q209" s="4">
        <v>1</v>
      </c>
      <c r="R209" s="4">
        <v>0</v>
      </c>
      <c r="S209" s="4">
        <f>(H209*INDEX('Stages'!$D$2:$D$7,MATCH(F209,'Stages'!$A$2:$A$7,0)))</f>
        <v>0</v>
      </c>
      <c r="T209" s="4">
        <f>(H209*I209)</f>
        <v>33900</v>
      </c>
      <c r="U209" s="4">
        <f>(H209*(I209-1))</f>
        <v>0</v>
      </c>
      <c r="V209" s="0" t="str">
        <f>INDEX('Account executives'!$B$2:$B$25,MATCH(C209,'Account executives'!$A$2:$A$25,0))</f>
        <v>amer_east</v>
      </c>
      <c r="W209" s="0" t="str">
        <f>INDEX('Account executives'!$C$2:$C$25,MATCH(C209,'Account executives'!$A$2:$A$25,0))</f>
        <v>mid_market</v>
      </c>
      <c r="X209" s="0" t="str">
        <f>SUBSTITUTE(LOWER(INDEX('Periods'!$G$2:$G$22,MATCH(N209,'Periods'!$A$2:$A$22,0)))," ","_")</f>
        <v>q3_2026</v>
      </c>
    </row>
    <row r="210">
      <c r="A210" s="0" t="inlineStr">
        <is>
          <t xml:space="preserve">o0209</t>
        </is>
      </c>
      <c r="B210" s="0" t="inlineStr">
        <is>
          <t xml:space="preserve">a0200</t>
        </is>
      </c>
      <c r="C210" s="0" t="inlineStr">
        <is>
          <t xml:space="preserve">r09</t>
        </is>
      </c>
      <c r="D210" s="0"/>
      <c r="E210" s="0" t="inlineStr">
        <is>
          <t xml:space="preserve">referral</t>
        </is>
      </c>
      <c r="F210" s="0" t="inlineStr">
        <is>
          <t xml:space="preserve">closed_lost</t>
        </is>
      </c>
      <c r="G210" s="4">
        <v>0</v>
      </c>
      <c r="H210" s="4">
        <v>12900</v>
      </c>
      <c r="I210" s="4">
        <v>1</v>
      </c>
      <c r="J210" s="4">
        <v>0</v>
      </c>
      <c r="K210" s="16">
        <v>45980</v>
      </c>
      <c r="L210" s="16">
        <v>46109</v>
      </c>
      <c r="M210" s="0" t="inlineStr">
        <is>
          <t xml:space="preserve">nov25</t>
        </is>
      </c>
      <c r="N210" s="0" t="inlineStr">
        <is>
          <t xml:space="preserve">mar26</t>
        </is>
      </c>
      <c r="O210" s="4">
        <v>129</v>
      </c>
      <c r="P210" s="4">
        <v>0</v>
      </c>
      <c r="Q210" s="4">
        <v>1</v>
      </c>
      <c r="R210" s="4">
        <v>0</v>
      </c>
      <c r="S210" s="4">
        <f>(H210*INDEX('Stages'!$D$2:$D$7,MATCH(F210,'Stages'!$A$2:$A$7,0)))</f>
        <v>0</v>
      </c>
      <c r="T210" s="4">
        <f>(H210*I210)</f>
        <v>12900</v>
      </c>
      <c r="U210" s="4">
        <f>(H210*(I210-1))</f>
        <v>0</v>
      </c>
      <c r="V210" s="0" t="str">
        <f>INDEX('Account executives'!$B$2:$B$25,MATCH(C210,'Account executives'!$A$2:$A$25,0))</f>
        <v>amer_west</v>
      </c>
      <c r="W210" s="0" t="str">
        <f>INDEX('Account executives'!$C$2:$C$25,MATCH(C210,'Account executives'!$A$2:$A$25,0))</f>
        <v>mid_market</v>
      </c>
      <c r="X210" s="0" t="str">
        <f>SUBSTITUTE(LOWER(INDEX('Periods'!$G$2:$G$22,MATCH(N210,'Periods'!$A$2:$A$22,0)))," ","_")</f>
        <v>q1_2026</v>
      </c>
    </row>
    <row r="211">
      <c r="A211" s="0" t="inlineStr">
        <is>
          <t xml:space="preserve">o0210</t>
        </is>
      </c>
      <c r="B211" s="0" t="inlineStr">
        <is>
          <t xml:space="preserve">a0050</t>
        </is>
      </c>
      <c r="C211" s="0" t="inlineStr">
        <is>
          <t xml:space="preserve">r15</t>
        </is>
      </c>
      <c r="D211" s="0" t="inlineStr">
        <is>
          <t xml:space="preserve">s_emea_in</t>
        </is>
      </c>
      <c r="E211" s="0" t="inlineStr">
        <is>
          <t xml:space="preserve">inbound</t>
        </is>
      </c>
      <c r="F211" s="0" t="inlineStr">
        <is>
          <t xml:space="preserve">closed_won</t>
        </is>
      </c>
      <c r="G211" s="4">
        <v>0</v>
      </c>
      <c r="H211" s="4">
        <v>11000</v>
      </c>
      <c r="I211" s="4">
        <v>1</v>
      </c>
      <c r="J211" s="4">
        <v>1</v>
      </c>
      <c r="K211" s="16">
        <v>45792</v>
      </c>
      <c r="L211" s="16">
        <v>45838</v>
      </c>
      <c r="M211" s="0" t="inlineStr">
        <is>
          <t xml:space="preserve">may25</t>
        </is>
      </c>
      <c r="N211" s="0" t="inlineStr">
        <is>
          <t xml:space="preserve">jun25</t>
        </is>
      </c>
      <c r="O211" s="4">
        <v>46</v>
      </c>
      <c r="P211" s="4">
        <v>1</v>
      </c>
      <c r="Q211" s="4">
        <v>0</v>
      </c>
      <c r="R211" s="4">
        <v>0</v>
      </c>
      <c r="S211" s="4">
        <f>(H211*INDEX('Stages'!$D$2:$D$7,MATCH(F211,'Stages'!$A$2:$A$7,0)))</f>
        <v>11000</v>
      </c>
      <c r="T211" s="4">
        <f>(H211*I211)</f>
        <v>11000</v>
      </c>
      <c r="U211" s="4">
        <f>(H211*(I211-1))</f>
        <v>0</v>
      </c>
      <c r="V211" s="0" t="str">
        <f>INDEX('Account executives'!$B$2:$B$25,MATCH(C211,'Account executives'!$A$2:$A$25,0))</f>
        <v>emea</v>
      </c>
      <c r="W211" s="0" t="str">
        <f>INDEX('Account executives'!$C$2:$C$25,MATCH(C211,'Account executives'!$A$2:$A$25,0))</f>
        <v>mid_market</v>
      </c>
      <c r="X211" s="0" t="str">
        <f>SUBSTITUTE(LOWER(INDEX('Periods'!$G$2:$G$22,MATCH(N211,'Periods'!$A$2:$A$22,0)))," ","_")</f>
        <v>q2_2025</v>
      </c>
    </row>
    <row r="212">
      <c r="A212" s="0" t="inlineStr">
        <is>
          <t xml:space="preserve">o0211</t>
        </is>
      </c>
      <c r="B212" s="0" t="inlineStr">
        <is>
          <t xml:space="preserve">a1190</t>
        </is>
      </c>
      <c r="C212" s="0" t="inlineStr">
        <is>
          <t xml:space="preserve">r15</t>
        </is>
      </c>
      <c r="D212" s="0" t="inlineStr">
        <is>
          <t xml:space="preserve">s_emea_in</t>
        </is>
      </c>
      <c r="E212" s="0" t="inlineStr">
        <is>
          <t xml:space="preserve">paid</t>
        </is>
      </c>
      <c r="F212" s="0" t="inlineStr">
        <is>
          <t xml:space="preserve">discovery</t>
        </is>
      </c>
      <c r="G212" s="4">
        <v>1</v>
      </c>
      <c r="H212" s="4">
        <v>19700</v>
      </c>
      <c r="I212" s="4">
        <v>3</v>
      </c>
      <c r="J212" s="4">
        <v>0</v>
      </c>
      <c r="K212" s="16">
        <v>46257</v>
      </c>
      <c r="L212" s="16">
        <v>46293</v>
      </c>
      <c r="M212" s="0" t="inlineStr">
        <is>
          <t xml:space="preserve">aug26</t>
        </is>
      </c>
      <c r="N212" s="0" t="inlineStr">
        <is>
          <t xml:space="preserve">sep26</t>
        </is>
      </c>
      <c r="O212" s="4">
        <v>53</v>
      </c>
      <c r="P212" s="4">
        <v>0</v>
      </c>
      <c r="Q212" s="4">
        <v>0</v>
      </c>
      <c r="R212" s="4">
        <v>1</v>
      </c>
      <c r="S212" s="4">
        <f>(H212*INDEX('Stages'!$D$2:$D$7,MATCH(F212,'Stages'!$A$2:$A$7,0)))</f>
        <v>1970</v>
      </c>
      <c r="T212" s="4">
        <f>(H212*I212)</f>
        <v>59100</v>
      </c>
      <c r="U212" s="4">
        <f>(H212*(I212-1))</f>
        <v>39400</v>
      </c>
      <c r="V212" s="0" t="str">
        <f>INDEX('Account executives'!$B$2:$B$25,MATCH(C212,'Account executives'!$A$2:$A$25,0))</f>
        <v>emea</v>
      </c>
      <c r="W212" s="0" t="str">
        <f>INDEX('Account executives'!$C$2:$C$25,MATCH(C212,'Account executives'!$A$2:$A$25,0))</f>
        <v>mid_market</v>
      </c>
      <c r="X212" s="0" t="str">
        <f>SUBSTITUTE(LOWER(INDEX('Periods'!$G$2:$G$22,MATCH(N212,'Periods'!$A$2:$A$22,0)))," ","_")</f>
        <v>q3_2026</v>
      </c>
    </row>
    <row r="213">
      <c r="A213" s="0" t="inlineStr">
        <is>
          <t xml:space="preserve">o0212</t>
        </is>
      </c>
      <c r="B213" s="0" t="inlineStr">
        <is>
          <t xml:space="preserve">a0446</t>
        </is>
      </c>
      <c r="C213" s="0" t="inlineStr">
        <is>
          <t xml:space="preserve">r15</t>
        </is>
      </c>
      <c r="D213" s="0" t="inlineStr">
        <is>
          <t xml:space="preserve">s_emea_out</t>
        </is>
      </c>
      <c r="E213" s="0" t="inlineStr">
        <is>
          <t xml:space="preserve">outbound</t>
        </is>
      </c>
      <c r="F213" s="0" t="inlineStr">
        <is>
          <t xml:space="preserve">closed_won</t>
        </is>
      </c>
      <c r="G213" s="4">
        <v>0</v>
      </c>
      <c r="H213" s="4">
        <v>36600</v>
      </c>
      <c r="I213" s="4">
        <v>1</v>
      </c>
      <c r="J213" s="4">
        <v>1</v>
      </c>
      <c r="K213" s="16">
        <v>45988</v>
      </c>
      <c r="L213" s="16">
        <v>46026</v>
      </c>
      <c r="M213" s="0" t="inlineStr">
        <is>
          <t xml:space="preserve">nov25</t>
        </is>
      </c>
      <c r="N213" s="0" t="inlineStr">
        <is>
          <t xml:space="preserve">jan26</t>
        </is>
      </c>
      <c r="O213" s="4">
        <v>38</v>
      </c>
      <c r="P213" s="4">
        <v>1</v>
      </c>
      <c r="Q213" s="4">
        <v>0</v>
      </c>
      <c r="R213" s="4">
        <v>0</v>
      </c>
      <c r="S213" s="4">
        <f>(H213*INDEX('Stages'!$D$2:$D$7,MATCH(F213,'Stages'!$A$2:$A$7,0)))</f>
        <v>36600</v>
      </c>
      <c r="T213" s="4">
        <f>(H213*I213)</f>
        <v>36600</v>
      </c>
      <c r="U213" s="4">
        <f>(H213*(I213-1))</f>
        <v>0</v>
      </c>
      <c r="V213" s="0" t="str">
        <f>INDEX('Account executives'!$B$2:$B$25,MATCH(C213,'Account executives'!$A$2:$A$25,0))</f>
        <v>emea</v>
      </c>
      <c r="W213" s="0" t="str">
        <f>INDEX('Account executives'!$C$2:$C$25,MATCH(C213,'Account executives'!$A$2:$A$25,0))</f>
        <v>mid_market</v>
      </c>
      <c r="X213" s="0" t="str">
        <f>SUBSTITUTE(LOWER(INDEX('Periods'!$G$2:$G$22,MATCH(N213,'Periods'!$A$2:$A$22,0)))," ","_")</f>
        <v>q1_2026</v>
      </c>
    </row>
    <row r="214">
      <c r="A214" s="0" t="inlineStr">
        <is>
          <t xml:space="preserve">o0213</t>
        </is>
      </c>
      <c r="B214" s="0" t="inlineStr">
        <is>
          <t xml:space="preserve">a0998</t>
        </is>
      </c>
      <c r="C214" s="0" t="inlineStr">
        <is>
          <t xml:space="preserve">r12</t>
        </is>
      </c>
      <c r="D214" s="0"/>
      <c r="E214" s="0" t="inlineStr">
        <is>
          <t xml:space="preserve">events</t>
        </is>
      </c>
      <c r="F214" s="0" t="inlineStr">
        <is>
          <t xml:space="preserve">proposal</t>
        </is>
      </c>
      <c r="G214" s="4">
        <v>1</v>
      </c>
      <c r="H214" s="4">
        <v>23100</v>
      </c>
      <c r="I214" s="4">
        <v>1</v>
      </c>
      <c r="J214" s="4">
        <v>0</v>
      </c>
      <c r="K214" s="16">
        <v>46188</v>
      </c>
      <c r="L214" s="16">
        <v>46371</v>
      </c>
      <c r="M214" s="0" t="inlineStr">
        <is>
          <t xml:space="preserve">jun26</t>
        </is>
      </c>
      <c r="N214" s="0" t="inlineStr">
        <is>
          <t xml:space="preserve">dec26</t>
        </is>
      </c>
      <c r="O214" s="4">
        <v>105</v>
      </c>
      <c r="P214" s="4">
        <v>0</v>
      </c>
      <c r="Q214" s="4">
        <v>0</v>
      </c>
      <c r="R214" s="4">
        <v>1</v>
      </c>
      <c r="S214" s="4">
        <f>(H214*INDEX('Stages'!$D$2:$D$7,MATCH(F214,'Stages'!$A$2:$A$7,0)))</f>
        <v>11550</v>
      </c>
      <c r="T214" s="4">
        <f>(H214*I214)</f>
        <v>23100</v>
      </c>
      <c r="U214" s="4">
        <f>(H214*(I214-1))</f>
        <v>0</v>
      </c>
      <c r="V214" s="0" t="str">
        <f>INDEX('Account executives'!$B$2:$B$25,MATCH(C214,'Account executives'!$A$2:$A$25,0))</f>
        <v>amer_west</v>
      </c>
      <c r="W214" s="0" t="str">
        <f>INDEX('Account executives'!$C$2:$C$25,MATCH(C214,'Account executives'!$A$2:$A$25,0))</f>
        <v>smb</v>
      </c>
      <c r="X214" s="0" t="str">
        <f>SUBSTITUTE(LOWER(INDEX('Periods'!$G$2:$G$22,MATCH(N214,'Periods'!$A$2:$A$22,0)))," ","_")</f>
        <v>q4_2026</v>
      </c>
    </row>
    <row r="215">
      <c r="A215" s="0" t="inlineStr">
        <is>
          <t xml:space="preserve">o0214</t>
        </is>
      </c>
      <c r="B215" s="0" t="inlineStr">
        <is>
          <t xml:space="preserve">a0684</t>
        </is>
      </c>
      <c r="C215" s="0" t="inlineStr">
        <is>
          <t xml:space="preserve">r09</t>
        </is>
      </c>
      <c r="D215" s="0" t="inlineStr">
        <is>
          <t xml:space="preserve">s_amer_west_in</t>
        </is>
      </c>
      <c r="E215" s="0" t="inlineStr">
        <is>
          <t xml:space="preserve">paid</t>
        </is>
      </c>
      <c r="F215" s="0" t="inlineStr">
        <is>
          <t xml:space="preserve">closed_lost</t>
        </is>
      </c>
      <c r="G215" s="4">
        <v>0</v>
      </c>
      <c r="H215" s="4">
        <v>29300</v>
      </c>
      <c r="I215" s="4">
        <v>2</v>
      </c>
      <c r="J215" s="4">
        <v>0</v>
      </c>
      <c r="K215" s="16">
        <v>46230</v>
      </c>
      <c r="L215" s="16">
        <v>46282</v>
      </c>
      <c r="M215" s="0" t="inlineStr">
        <is>
          <t xml:space="preserve">jul26</t>
        </is>
      </c>
      <c r="N215" s="0" t="inlineStr">
        <is>
          <t xml:space="preserve">sep26</t>
        </is>
      </c>
      <c r="O215" s="4">
        <v>52</v>
      </c>
      <c r="P215" s="4">
        <v>0</v>
      </c>
      <c r="Q215" s="4">
        <v>1</v>
      </c>
      <c r="R215" s="4">
        <v>0</v>
      </c>
      <c r="S215" s="4">
        <f>(H215*INDEX('Stages'!$D$2:$D$7,MATCH(F215,'Stages'!$A$2:$A$7,0)))</f>
        <v>0</v>
      </c>
      <c r="T215" s="4">
        <f>(H215*I215)</f>
        <v>58600</v>
      </c>
      <c r="U215" s="4">
        <f>(H215*(I215-1))</f>
        <v>29300</v>
      </c>
      <c r="V215" s="0" t="str">
        <f>INDEX('Account executives'!$B$2:$B$25,MATCH(C215,'Account executives'!$A$2:$A$25,0))</f>
        <v>amer_west</v>
      </c>
      <c r="W215" s="0" t="str">
        <f>INDEX('Account executives'!$C$2:$C$25,MATCH(C215,'Account executives'!$A$2:$A$25,0))</f>
        <v>mid_market</v>
      </c>
      <c r="X215" s="0" t="str">
        <f>SUBSTITUTE(LOWER(INDEX('Periods'!$G$2:$G$22,MATCH(N215,'Periods'!$A$2:$A$22,0)))," ","_")</f>
        <v>q3_2026</v>
      </c>
    </row>
    <row r="216">
      <c r="A216" s="0" t="inlineStr">
        <is>
          <t xml:space="preserve">o0215</t>
        </is>
      </c>
      <c r="B216" s="0" t="inlineStr">
        <is>
          <t xml:space="preserve">a0673</t>
        </is>
      </c>
      <c r="C216" s="0" t="inlineStr">
        <is>
          <t xml:space="preserve">r11</t>
        </is>
      </c>
      <c r="D216" s="0" t="inlineStr">
        <is>
          <t xml:space="preserve">s_amer_west_in</t>
        </is>
      </c>
      <c r="E216" s="0" t="inlineStr">
        <is>
          <t xml:space="preserve">inbound</t>
        </is>
      </c>
      <c r="F216" s="0" t="inlineStr">
        <is>
          <t xml:space="preserve">closed_lost</t>
        </is>
      </c>
      <c r="G216" s="4">
        <v>1</v>
      </c>
      <c r="H216" s="4">
        <v>23400</v>
      </c>
      <c r="I216" s="4">
        <v>1</v>
      </c>
      <c r="J216" s="4">
        <v>0</v>
      </c>
      <c r="K216" s="16">
        <v>46077</v>
      </c>
      <c r="L216" s="16">
        <v>46100</v>
      </c>
      <c r="M216" s="0" t="inlineStr">
        <is>
          <t xml:space="preserve">feb26</t>
        </is>
      </c>
      <c r="N216" s="0" t="inlineStr">
        <is>
          <t xml:space="preserve">mar26</t>
        </is>
      </c>
      <c r="O216" s="4">
        <v>23</v>
      </c>
      <c r="P216" s="4">
        <v>0</v>
      </c>
      <c r="Q216" s="4">
        <v>1</v>
      </c>
      <c r="R216" s="4">
        <v>0</v>
      </c>
      <c r="S216" s="4">
        <f>(H216*INDEX('Stages'!$D$2:$D$7,MATCH(F216,'Stages'!$A$2:$A$7,0)))</f>
        <v>0</v>
      </c>
      <c r="T216" s="4">
        <f>(H216*I216)</f>
        <v>23400</v>
      </c>
      <c r="U216" s="4">
        <f>(H216*(I216-1))</f>
        <v>0</v>
      </c>
      <c r="V216" s="0" t="str">
        <f>INDEX('Account executives'!$B$2:$B$25,MATCH(C216,'Account executives'!$A$2:$A$25,0))</f>
        <v>amer_west</v>
      </c>
      <c r="W216" s="0" t="str">
        <f>INDEX('Account executives'!$C$2:$C$25,MATCH(C216,'Account executives'!$A$2:$A$25,0))</f>
        <v>smb</v>
      </c>
      <c r="X216" s="0" t="str">
        <f>SUBSTITUTE(LOWER(INDEX('Periods'!$G$2:$G$22,MATCH(N216,'Periods'!$A$2:$A$22,0)))," ","_")</f>
        <v>q1_2026</v>
      </c>
    </row>
    <row r="217">
      <c r="A217" s="0" t="inlineStr">
        <is>
          <t xml:space="preserve">o0216</t>
        </is>
      </c>
      <c r="B217" s="0" t="inlineStr">
        <is>
          <t xml:space="preserve">a0669</t>
        </is>
      </c>
      <c r="C217" s="0" t="inlineStr">
        <is>
          <t xml:space="preserve">r01</t>
        </is>
      </c>
      <c r="D217" s="0" t="inlineStr">
        <is>
          <t xml:space="preserve">s_amer_east_out</t>
        </is>
      </c>
      <c r="E217" s="0" t="inlineStr">
        <is>
          <t xml:space="preserve">outbound</t>
        </is>
      </c>
      <c r="F217" s="0" t="inlineStr">
        <is>
          <t xml:space="preserve">closed_lost</t>
        </is>
      </c>
      <c r="G217" s="4">
        <v>1</v>
      </c>
      <c r="H217" s="4">
        <v>325600</v>
      </c>
      <c r="I217" s="4">
        <v>1</v>
      </c>
      <c r="J217" s="4">
        <v>0</v>
      </c>
      <c r="K217" s="16">
        <v>46080</v>
      </c>
      <c r="L217" s="16">
        <v>46172</v>
      </c>
      <c r="M217" s="0" t="inlineStr">
        <is>
          <t xml:space="preserve">feb26</t>
        </is>
      </c>
      <c r="N217" s="0" t="inlineStr">
        <is>
          <t xml:space="preserve">may26</t>
        </is>
      </c>
      <c r="O217" s="4">
        <v>92</v>
      </c>
      <c r="P217" s="4">
        <v>0</v>
      </c>
      <c r="Q217" s="4">
        <v>1</v>
      </c>
      <c r="R217" s="4">
        <v>0</v>
      </c>
      <c r="S217" s="4">
        <f>(H217*INDEX('Stages'!$D$2:$D$7,MATCH(F217,'Stages'!$A$2:$A$7,0)))</f>
        <v>0</v>
      </c>
      <c r="T217" s="4">
        <f>(H217*I217)</f>
        <v>325600</v>
      </c>
      <c r="U217" s="4">
        <f>(H217*(I217-1))</f>
        <v>0</v>
      </c>
      <c r="V217" s="0" t="str">
        <f>INDEX('Account executives'!$B$2:$B$25,MATCH(C217,'Account executives'!$A$2:$A$25,0))</f>
        <v>amer_east</v>
      </c>
      <c r="W217" s="0" t="str">
        <f>INDEX('Account executives'!$C$2:$C$25,MATCH(C217,'Account executives'!$A$2:$A$25,0))</f>
        <v>enterprise</v>
      </c>
      <c r="X217" s="0" t="str">
        <f>SUBSTITUTE(LOWER(INDEX('Periods'!$G$2:$G$22,MATCH(N217,'Periods'!$A$2:$A$22,0)))," ","_")</f>
        <v>q2_2026</v>
      </c>
    </row>
    <row r="218">
      <c r="A218" s="0" t="inlineStr">
        <is>
          <t xml:space="preserve">o0217</t>
        </is>
      </c>
      <c r="B218" s="0" t="inlineStr">
        <is>
          <t xml:space="preserve">a1030</t>
        </is>
      </c>
      <c r="C218" s="0" t="inlineStr">
        <is>
          <t xml:space="preserve">r16</t>
        </is>
      </c>
      <c r="D218" s="0"/>
      <c r="E218" s="0" t="inlineStr">
        <is>
          <t xml:space="preserve">partner</t>
        </is>
      </c>
      <c r="F218" s="0" t="inlineStr">
        <is>
          <t xml:space="preserve">closed_lost</t>
        </is>
      </c>
      <c r="G218" s="4">
        <v>1</v>
      </c>
      <c r="H218" s="4">
        <v>19600</v>
      </c>
      <c r="I218" s="4">
        <v>1</v>
      </c>
      <c r="J218" s="4">
        <v>0</v>
      </c>
      <c r="K218" s="16">
        <v>46179</v>
      </c>
      <c r="L218" s="16">
        <v>46238</v>
      </c>
      <c r="M218" s="0" t="inlineStr">
        <is>
          <t xml:space="preserve">jun26</t>
        </is>
      </c>
      <c r="N218" s="0" t="inlineStr">
        <is>
          <t xml:space="preserve">aug26</t>
        </is>
      </c>
      <c r="O218" s="4">
        <v>59</v>
      </c>
      <c r="P218" s="4">
        <v>0</v>
      </c>
      <c r="Q218" s="4">
        <v>1</v>
      </c>
      <c r="R218" s="4">
        <v>0</v>
      </c>
      <c r="S218" s="4">
        <f>(H218*INDEX('Stages'!$D$2:$D$7,MATCH(F218,'Stages'!$A$2:$A$7,0)))</f>
        <v>0</v>
      </c>
      <c r="T218" s="4">
        <f>(H218*I218)</f>
        <v>19600</v>
      </c>
      <c r="U218" s="4">
        <f>(H218*(I218-1))</f>
        <v>0</v>
      </c>
      <c r="V218" s="0" t="str">
        <f>INDEX('Account executives'!$B$2:$B$25,MATCH(C218,'Account executives'!$A$2:$A$25,0))</f>
        <v>emea</v>
      </c>
      <c r="W218" s="0" t="str">
        <f>INDEX('Account executives'!$C$2:$C$25,MATCH(C218,'Account executives'!$A$2:$A$25,0))</f>
        <v>mid_market</v>
      </c>
      <c r="X218" s="0" t="str">
        <f>SUBSTITUTE(LOWER(INDEX('Periods'!$G$2:$G$22,MATCH(N218,'Periods'!$A$2:$A$22,0)))," ","_")</f>
        <v>q3_2026</v>
      </c>
    </row>
    <row r="219">
      <c r="A219" s="0" t="inlineStr">
        <is>
          <t xml:space="preserve">o0218</t>
        </is>
      </c>
      <c r="B219" s="0" t="inlineStr">
        <is>
          <t xml:space="preserve">a0152</t>
        </is>
      </c>
      <c r="C219" s="0" t="inlineStr">
        <is>
          <t xml:space="preserve">r21</t>
        </is>
      </c>
      <c r="D219" s="0"/>
      <c r="E219" s="0" t="inlineStr">
        <is>
          <t xml:space="preserve">events</t>
        </is>
      </c>
      <c r="F219" s="0" t="inlineStr">
        <is>
          <t xml:space="preserve">closed_lost</t>
        </is>
      </c>
      <c r="G219" s="4">
        <v>0</v>
      </c>
      <c r="H219" s="4">
        <v>34900</v>
      </c>
      <c r="I219" s="4">
        <v>1</v>
      </c>
      <c r="J219" s="4">
        <v>0</v>
      </c>
      <c r="K219" s="16">
        <v>45850</v>
      </c>
      <c r="L219" s="16">
        <v>45933</v>
      </c>
      <c r="M219" s="0" t="inlineStr">
        <is>
          <t xml:space="preserve">jul25</t>
        </is>
      </c>
      <c r="N219" s="0" t="inlineStr">
        <is>
          <t xml:space="preserve">oct25</t>
        </is>
      </c>
      <c r="O219" s="4">
        <v>83</v>
      </c>
      <c r="P219" s="4">
        <v>0</v>
      </c>
      <c r="Q219" s="4">
        <v>1</v>
      </c>
      <c r="R219" s="4">
        <v>0</v>
      </c>
      <c r="S219" s="4">
        <f>(H219*INDEX('Stages'!$D$2:$D$7,MATCH(F219,'Stages'!$A$2:$A$7,0)))</f>
        <v>0</v>
      </c>
      <c r="T219" s="4">
        <f>(H219*I219)</f>
        <v>34900</v>
      </c>
      <c r="U219" s="4">
        <f>(H219*(I219-1))</f>
        <v>0</v>
      </c>
      <c r="V219" s="0" t="str">
        <f>INDEX('Account executives'!$B$2:$B$25,MATCH(C219,'Account executives'!$A$2:$A$25,0))</f>
        <v>apac</v>
      </c>
      <c r="W219" s="0" t="str">
        <f>INDEX('Account executives'!$C$2:$C$25,MATCH(C219,'Account executives'!$A$2:$A$25,0))</f>
        <v>mid_market</v>
      </c>
      <c r="X219" s="0" t="str">
        <f>SUBSTITUTE(LOWER(INDEX('Periods'!$G$2:$G$22,MATCH(N219,'Periods'!$A$2:$A$22,0)))," ","_")</f>
        <v>q4_2025</v>
      </c>
    </row>
    <row r="220">
      <c r="A220" s="0" t="inlineStr">
        <is>
          <t xml:space="preserve">o0219</t>
        </is>
      </c>
      <c r="B220" s="0" t="inlineStr">
        <is>
          <t xml:space="preserve">a0852</t>
        </is>
      </c>
      <c r="C220" s="0" t="inlineStr">
        <is>
          <t xml:space="preserve">r12</t>
        </is>
      </c>
      <c r="D220" s="0" t="inlineStr">
        <is>
          <t xml:space="preserve">s_amer_west_out</t>
        </is>
      </c>
      <c r="E220" s="0" t="inlineStr">
        <is>
          <t xml:space="preserve">outbound</t>
        </is>
      </c>
      <c r="F220" s="0" t="inlineStr">
        <is>
          <t xml:space="preserve">closed_lost</t>
        </is>
      </c>
      <c r="G220" s="4">
        <v>1</v>
      </c>
      <c r="H220" s="4">
        <v>7900</v>
      </c>
      <c r="I220" s="4">
        <v>1</v>
      </c>
      <c r="J220" s="4">
        <v>0</v>
      </c>
      <c r="K220" s="16">
        <v>46137</v>
      </c>
      <c r="L220" s="16">
        <v>46160</v>
      </c>
      <c r="M220" s="0" t="inlineStr">
        <is>
          <t xml:space="preserve">apr26</t>
        </is>
      </c>
      <c r="N220" s="0" t="inlineStr">
        <is>
          <t xml:space="preserve">may26</t>
        </is>
      </c>
      <c r="O220" s="4">
        <v>23</v>
      </c>
      <c r="P220" s="4">
        <v>0</v>
      </c>
      <c r="Q220" s="4">
        <v>1</v>
      </c>
      <c r="R220" s="4">
        <v>0</v>
      </c>
      <c r="S220" s="4">
        <f>(H220*INDEX('Stages'!$D$2:$D$7,MATCH(F220,'Stages'!$A$2:$A$7,0)))</f>
        <v>0</v>
      </c>
      <c r="T220" s="4">
        <f>(H220*I220)</f>
        <v>7900</v>
      </c>
      <c r="U220" s="4">
        <f>(H220*(I220-1))</f>
        <v>0</v>
      </c>
      <c r="V220" s="0" t="str">
        <f>INDEX('Account executives'!$B$2:$B$25,MATCH(C220,'Account executives'!$A$2:$A$25,0))</f>
        <v>amer_west</v>
      </c>
      <c r="W220" s="0" t="str">
        <f>INDEX('Account executives'!$C$2:$C$25,MATCH(C220,'Account executives'!$A$2:$A$25,0))</f>
        <v>smb</v>
      </c>
      <c r="X220" s="0" t="str">
        <f>SUBSTITUTE(LOWER(INDEX('Periods'!$G$2:$G$22,MATCH(N220,'Periods'!$A$2:$A$22,0)))," ","_")</f>
        <v>q2_2026</v>
      </c>
    </row>
    <row r="221">
      <c r="A221" s="0" t="inlineStr">
        <is>
          <t xml:space="preserve">o0220</t>
        </is>
      </c>
      <c r="B221" s="0" t="inlineStr">
        <is>
          <t xml:space="preserve">a0237</t>
        </is>
      </c>
      <c r="C221" s="0" t="inlineStr">
        <is>
          <t xml:space="preserve">r05</t>
        </is>
      </c>
      <c r="D221" s="0" t="inlineStr">
        <is>
          <t xml:space="preserve">s_amer_east_in</t>
        </is>
      </c>
      <c r="E221" s="0" t="inlineStr">
        <is>
          <t xml:space="preserve">inbound</t>
        </is>
      </c>
      <c r="F221" s="0" t="inlineStr">
        <is>
          <t xml:space="preserve">closed_lost</t>
        </is>
      </c>
      <c r="G221" s="4">
        <v>1</v>
      </c>
      <c r="H221" s="4">
        <v>16400</v>
      </c>
      <c r="I221" s="4">
        <v>1</v>
      </c>
      <c r="J221" s="4">
        <v>0</v>
      </c>
      <c r="K221" s="16">
        <v>45845</v>
      </c>
      <c r="L221" s="16">
        <v>45869</v>
      </c>
      <c r="M221" s="0" t="inlineStr">
        <is>
          <t xml:space="preserve">jul25</t>
        </is>
      </c>
      <c r="N221" s="0" t="inlineStr">
        <is>
          <t xml:space="preserve">jul25</t>
        </is>
      </c>
      <c r="O221" s="4">
        <v>24</v>
      </c>
      <c r="P221" s="4">
        <v>0</v>
      </c>
      <c r="Q221" s="4">
        <v>1</v>
      </c>
      <c r="R221" s="4">
        <v>0</v>
      </c>
      <c r="S221" s="4">
        <f>(H221*INDEX('Stages'!$D$2:$D$7,MATCH(F221,'Stages'!$A$2:$A$7,0)))</f>
        <v>0</v>
      </c>
      <c r="T221" s="4">
        <f>(H221*I221)</f>
        <v>16400</v>
      </c>
      <c r="U221" s="4">
        <f>(H221*(I221-1))</f>
        <v>0</v>
      </c>
      <c r="V221" s="0" t="str">
        <f>INDEX('Account executives'!$B$2:$B$25,MATCH(C221,'Account executives'!$A$2:$A$25,0))</f>
        <v>amer_east</v>
      </c>
      <c r="W221" s="0" t="str">
        <f>INDEX('Account executives'!$C$2:$C$25,MATCH(C221,'Account executives'!$A$2:$A$25,0))</f>
        <v>smb</v>
      </c>
      <c r="X221" s="0" t="str">
        <f>SUBSTITUTE(LOWER(INDEX('Periods'!$G$2:$G$22,MATCH(N221,'Periods'!$A$2:$A$22,0)))," ","_")</f>
        <v>q3_2025</v>
      </c>
    </row>
    <row r="222">
      <c r="A222" s="0" t="inlineStr">
        <is>
          <t xml:space="preserve">o0221</t>
        </is>
      </c>
      <c r="B222" s="0" t="inlineStr">
        <is>
          <t xml:space="preserve">a0252</t>
        </is>
      </c>
      <c r="C222" s="0" t="inlineStr">
        <is>
          <t xml:space="preserve">r01</t>
        </is>
      </c>
      <c r="D222" s="0"/>
      <c r="E222" s="0" t="inlineStr">
        <is>
          <t xml:space="preserve">referral</t>
        </is>
      </c>
      <c r="F222" s="0" t="inlineStr">
        <is>
          <t xml:space="preserve">closed_lost</t>
        </is>
      </c>
      <c r="G222" s="4">
        <v>1</v>
      </c>
      <c r="H222" s="4">
        <v>141000</v>
      </c>
      <c r="I222" s="4">
        <v>1</v>
      </c>
      <c r="J222" s="4">
        <v>0</v>
      </c>
      <c r="K222" s="16">
        <v>45859</v>
      </c>
      <c r="L222" s="16">
        <v>46032</v>
      </c>
      <c r="M222" s="0" t="inlineStr">
        <is>
          <t xml:space="preserve">jul25</t>
        </is>
      </c>
      <c r="N222" s="0" t="inlineStr">
        <is>
          <t xml:space="preserve">jan26</t>
        </is>
      </c>
      <c r="O222" s="4">
        <v>173</v>
      </c>
      <c r="P222" s="4">
        <v>0</v>
      </c>
      <c r="Q222" s="4">
        <v>1</v>
      </c>
      <c r="R222" s="4">
        <v>0</v>
      </c>
      <c r="S222" s="4">
        <f>(H222*INDEX('Stages'!$D$2:$D$7,MATCH(F222,'Stages'!$A$2:$A$7,0)))</f>
        <v>0</v>
      </c>
      <c r="T222" s="4">
        <f>(H222*I222)</f>
        <v>141000</v>
      </c>
      <c r="U222" s="4">
        <f>(H222*(I222-1))</f>
        <v>0</v>
      </c>
      <c r="V222" s="0" t="str">
        <f>INDEX('Account executives'!$B$2:$B$25,MATCH(C222,'Account executives'!$A$2:$A$25,0))</f>
        <v>amer_east</v>
      </c>
      <c r="W222" s="0" t="str">
        <f>INDEX('Account executives'!$C$2:$C$25,MATCH(C222,'Account executives'!$A$2:$A$25,0))</f>
        <v>enterprise</v>
      </c>
      <c r="X222" s="0" t="str">
        <f>SUBSTITUTE(LOWER(INDEX('Periods'!$G$2:$G$22,MATCH(N222,'Periods'!$A$2:$A$22,0)))," ","_")</f>
        <v>q1_2026</v>
      </c>
    </row>
    <row r="223">
      <c r="A223" s="0" t="inlineStr">
        <is>
          <t xml:space="preserve">o0222</t>
        </is>
      </c>
      <c r="B223" s="0" t="inlineStr">
        <is>
          <t xml:space="preserve">a0482</t>
        </is>
      </c>
      <c r="C223" s="0" t="inlineStr">
        <is>
          <t xml:space="preserve">r03</t>
        </is>
      </c>
      <c r="D223" s="0" t="inlineStr">
        <is>
          <t xml:space="preserve">s_amer_east_in</t>
        </is>
      </c>
      <c r="E223" s="0" t="inlineStr">
        <is>
          <t xml:space="preserve">paid</t>
        </is>
      </c>
      <c r="F223" s="0" t="inlineStr">
        <is>
          <t xml:space="preserve">closed_lost</t>
        </is>
      </c>
      <c r="G223" s="4">
        <v>1</v>
      </c>
      <c r="H223" s="4">
        <v>12900</v>
      </c>
      <c r="I223" s="4">
        <v>1</v>
      </c>
      <c r="J223" s="4">
        <v>0</v>
      </c>
      <c r="K223" s="16">
        <v>45980</v>
      </c>
      <c r="L223" s="16">
        <v>46027</v>
      </c>
      <c r="M223" s="0" t="inlineStr">
        <is>
          <t xml:space="preserve">nov25</t>
        </is>
      </c>
      <c r="N223" s="0" t="inlineStr">
        <is>
          <t xml:space="preserve">jan26</t>
        </is>
      </c>
      <c r="O223" s="4">
        <v>47</v>
      </c>
      <c r="P223" s="4">
        <v>0</v>
      </c>
      <c r="Q223" s="4">
        <v>1</v>
      </c>
      <c r="R223" s="4">
        <v>0</v>
      </c>
      <c r="S223" s="4">
        <f>(H223*INDEX('Stages'!$D$2:$D$7,MATCH(F223,'Stages'!$A$2:$A$7,0)))</f>
        <v>0</v>
      </c>
      <c r="T223" s="4">
        <f>(H223*I223)</f>
        <v>12900</v>
      </c>
      <c r="U223" s="4">
        <f>(H223*(I223-1))</f>
        <v>0</v>
      </c>
      <c r="V223" s="0" t="str">
        <f>INDEX('Account executives'!$B$2:$B$25,MATCH(C223,'Account executives'!$A$2:$A$25,0))</f>
        <v>amer_east</v>
      </c>
      <c r="W223" s="0" t="str">
        <f>INDEX('Account executives'!$C$2:$C$25,MATCH(C223,'Account executives'!$A$2:$A$25,0))</f>
        <v>mid_market</v>
      </c>
      <c r="X223" s="0" t="str">
        <f>SUBSTITUTE(LOWER(INDEX('Periods'!$G$2:$G$22,MATCH(N223,'Periods'!$A$2:$A$22,0)))," ","_")</f>
        <v>q1_2026</v>
      </c>
    </row>
    <row r="224">
      <c r="A224" s="0" t="inlineStr">
        <is>
          <t xml:space="preserve">o0223</t>
        </is>
      </c>
      <c r="B224" s="0" t="inlineStr">
        <is>
          <t xml:space="preserve">a1080</t>
        </is>
      </c>
      <c r="C224" s="0" t="inlineStr">
        <is>
          <t xml:space="preserve">r04</t>
        </is>
      </c>
      <c r="D224" s="0"/>
      <c r="E224" s="0" t="inlineStr">
        <is>
          <t xml:space="preserve">partner</t>
        </is>
      </c>
      <c r="F224" s="0" t="inlineStr">
        <is>
          <t xml:space="preserve">evaluation</t>
        </is>
      </c>
      <c r="G224" s="4">
        <v>1</v>
      </c>
      <c r="H224" s="4">
        <v>52200</v>
      </c>
      <c r="I224" s="4">
        <v>1</v>
      </c>
      <c r="J224" s="4">
        <v>0</v>
      </c>
      <c r="K224" s="16">
        <v>46225</v>
      </c>
      <c r="L224" s="16">
        <v>46371</v>
      </c>
      <c r="M224" s="0" t="inlineStr">
        <is>
          <t xml:space="preserve">jul26</t>
        </is>
      </c>
      <c r="N224" s="0" t="inlineStr">
        <is>
          <t xml:space="preserve">dec26</t>
        </is>
      </c>
      <c r="O224" s="4">
        <v>91</v>
      </c>
      <c r="P224" s="4">
        <v>0</v>
      </c>
      <c r="Q224" s="4">
        <v>0</v>
      </c>
      <c r="R224" s="4">
        <v>1</v>
      </c>
      <c r="S224" s="4">
        <f>(H224*INDEX('Stages'!$D$2:$D$7,MATCH(F224,'Stages'!$A$2:$A$7,0)))</f>
        <v>13050</v>
      </c>
      <c r="T224" s="4">
        <f>(H224*I224)</f>
        <v>52200</v>
      </c>
      <c r="U224" s="4">
        <f>(H224*(I224-1))</f>
        <v>0</v>
      </c>
      <c r="V224" s="0" t="str">
        <f>INDEX('Account executives'!$B$2:$B$25,MATCH(C224,'Account executives'!$A$2:$A$25,0))</f>
        <v>amer_east</v>
      </c>
      <c r="W224" s="0" t="str">
        <f>INDEX('Account executives'!$C$2:$C$25,MATCH(C224,'Account executives'!$A$2:$A$25,0))</f>
        <v>mid_market</v>
      </c>
      <c r="X224" s="0" t="str">
        <f>SUBSTITUTE(LOWER(INDEX('Periods'!$G$2:$G$22,MATCH(N224,'Periods'!$A$2:$A$22,0)))," ","_")</f>
        <v>q4_2026</v>
      </c>
    </row>
    <row r="225">
      <c r="A225" s="0" t="inlineStr">
        <is>
          <t xml:space="preserve">o0224</t>
        </is>
      </c>
      <c r="B225" s="0" t="inlineStr">
        <is>
          <t xml:space="preserve">a0569</t>
        </is>
      </c>
      <c r="C225" s="0" t="inlineStr">
        <is>
          <t xml:space="preserve">r07</t>
        </is>
      </c>
      <c r="D225" s="0" t="inlineStr">
        <is>
          <t xml:space="preserve">s_amer_west_in</t>
        </is>
      </c>
      <c r="E225" s="0" t="inlineStr">
        <is>
          <t xml:space="preserve">paid</t>
        </is>
      </c>
      <c r="F225" s="0" t="inlineStr">
        <is>
          <t xml:space="preserve">closed_lost</t>
        </is>
      </c>
      <c r="G225" s="4">
        <v>1</v>
      </c>
      <c r="H225" s="4">
        <v>106800</v>
      </c>
      <c r="I225" s="4">
        <v>1</v>
      </c>
      <c r="J225" s="4">
        <v>1</v>
      </c>
      <c r="K225" s="16">
        <v>46005</v>
      </c>
      <c r="L225" s="16">
        <v>46112</v>
      </c>
      <c r="M225" s="0" t="inlineStr">
        <is>
          <t xml:space="preserve">dec25</t>
        </is>
      </c>
      <c r="N225" s="0" t="inlineStr">
        <is>
          <t xml:space="preserve">mar26</t>
        </is>
      </c>
      <c r="O225" s="4">
        <v>107</v>
      </c>
      <c r="P225" s="4">
        <v>0</v>
      </c>
      <c r="Q225" s="4">
        <v>1</v>
      </c>
      <c r="R225" s="4">
        <v>0</v>
      </c>
      <c r="S225" s="4">
        <f>(H225*INDEX('Stages'!$D$2:$D$7,MATCH(F225,'Stages'!$A$2:$A$7,0)))</f>
        <v>0</v>
      </c>
      <c r="T225" s="4">
        <f>(H225*I225)</f>
        <v>106800</v>
      </c>
      <c r="U225" s="4">
        <f>(H225*(I225-1))</f>
        <v>0</v>
      </c>
      <c r="V225" s="0" t="str">
        <f>INDEX('Account executives'!$B$2:$B$25,MATCH(C225,'Account executives'!$A$2:$A$25,0))</f>
        <v>amer_west</v>
      </c>
      <c r="W225" s="0" t="str">
        <f>INDEX('Account executives'!$C$2:$C$25,MATCH(C225,'Account executives'!$A$2:$A$25,0))</f>
        <v>enterprise</v>
      </c>
      <c r="X225" s="0" t="str">
        <f>SUBSTITUTE(LOWER(INDEX('Periods'!$G$2:$G$22,MATCH(N225,'Periods'!$A$2:$A$22,0)))," ","_")</f>
        <v>q1_2026</v>
      </c>
    </row>
    <row r="226">
      <c r="A226" s="0" t="inlineStr">
        <is>
          <t xml:space="preserve">o0225</t>
        </is>
      </c>
      <c r="B226" s="0" t="inlineStr">
        <is>
          <t xml:space="preserve">a0912</t>
        </is>
      </c>
      <c r="C226" s="0" t="inlineStr">
        <is>
          <t xml:space="preserve">r10</t>
        </is>
      </c>
      <c r="D226" s="0" t="inlineStr">
        <is>
          <t xml:space="preserve">s_amer_west_in</t>
        </is>
      </c>
      <c r="E226" s="0" t="inlineStr">
        <is>
          <t xml:space="preserve">inbound</t>
        </is>
      </c>
      <c r="F226" s="0" t="inlineStr">
        <is>
          <t xml:space="preserve">closed_lost</t>
        </is>
      </c>
      <c r="G226" s="4">
        <v>1</v>
      </c>
      <c r="H226" s="4">
        <v>70000</v>
      </c>
      <c r="I226" s="4">
        <v>3</v>
      </c>
      <c r="J226" s="4">
        <v>1</v>
      </c>
      <c r="K226" s="16">
        <v>46149</v>
      </c>
      <c r="L226" s="16">
        <v>46176</v>
      </c>
      <c r="M226" s="0" t="inlineStr">
        <is>
          <t xml:space="preserve">may26</t>
        </is>
      </c>
      <c r="N226" s="0" t="inlineStr">
        <is>
          <t xml:space="preserve">jun26</t>
        </is>
      </c>
      <c r="O226" s="4">
        <v>27</v>
      </c>
      <c r="P226" s="4">
        <v>0</v>
      </c>
      <c r="Q226" s="4">
        <v>1</v>
      </c>
      <c r="R226" s="4">
        <v>0</v>
      </c>
      <c r="S226" s="4">
        <f>(H226*INDEX('Stages'!$D$2:$D$7,MATCH(F226,'Stages'!$A$2:$A$7,0)))</f>
        <v>0</v>
      </c>
      <c r="T226" s="4">
        <f>(H226*I226)</f>
        <v>210000</v>
      </c>
      <c r="U226" s="4">
        <f>(H226*(I226-1))</f>
        <v>140000</v>
      </c>
      <c r="V226" s="0" t="str">
        <f>INDEX('Account executives'!$B$2:$B$25,MATCH(C226,'Account executives'!$A$2:$A$25,0))</f>
        <v>amer_west</v>
      </c>
      <c r="W226" s="0" t="str">
        <f>INDEX('Account executives'!$C$2:$C$25,MATCH(C226,'Account executives'!$A$2:$A$25,0))</f>
        <v>mid_market</v>
      </c>
      <c r="X226" s="0" t="str">
        <f>SUBSTITUTE(LOWER(INDEX('Periods'!$G$2:$G$22,MATCH(N226,'Periods'!$A$2:$A$22,0)))," ","_")</f>
        <v>q2_2026</v>
      </c>
    </row>
    <row r="227">
      <c r="A227" s="0" t="inlineStr">
        <is>
          <t xml:space="preserve">o0226</t>
        </is>
      </c>
      <c r="B227" s="0" t="inlineStr">
        <is>
          <t xml:space="preserve">a0939</t>
        </is>
      </c>
      <c r="C227" s="0" t="inlineStr">
        <is>
          <t xml:space="preserve">r15</t>
        </is>
      </c>
      <c r="D227" s="0" t="inlineStr">
        <is>
          <t xml:space="preserve">s_emea_out</t>
        </is>
      </c>
      <c r="E227" s="0" t="inlineStr">
        <is>
          <t xml:space="preserve">outbound</t>
        </is>
      </c>
      <c r="F227" s="0" t="inlineStr">
        <is>
          <t xml:space="preserve">closed_lost</t>
        </is>
      </c>
      <c r="G227" s="4">
        <v>1</v>
      </c>
      <c r="H227" s="4">
        <v>70600</v>
      </c>
      <c r="I227" s="4">
        <v>1</v>
      </c>
      <c r="J227" s="4">
        <v>0</v>
      </c>
      <c r="K227" s="16">
        <v>46153</v>
      </c>
      <c r="L227" s="16">
        <v>46184</v>
      </c>
      <c r="M227" s="0" t="inlineStr">
        <is>
          <t xml:space="preserve">may26</t>
        </is>
      </c>
      <c r="N227" s="0" t="inlineStr">
        <is>
          <t xml:space="preserve">jun26</t>
        </is>
      </c>
      <c r="O227" s="4">
        <v>31</v>
      </c>
      <c r="P227" s="4">
        <v>0</v>
      </c>
      <c r="Q227" s="4">
        <v>1</v>
      </c>
      <c r="R227" s="4">
        <v>0</v>
      </c>
      <c r="S227" s="4">
        <f>(H227*INDEX('Stages'!$D$2:$D$7,MATCH(F227,'Stages'!$A$2:$A$7,0)))</f>
        <v>0</v>
      </c>
      <c r="T227" s="4">
        <f>(H227*I227)</f>
        <v>70600</v>
      </c>
      <c r="U227" s="4">
        <f>(H227*(I227-1))</f>
        <v>0</v>
      </c>
      <c r="V227" s="0" t="str">
        <f>INDEX('Account executives'!$B$2:$B$25,MATCH(C227,'Account executives'!$A$2:$A$25,0))</f>
        <v>emea</v>
      </c>
      <c r="W227" s="0" t="str">
        <f>INDEX('Account executives'!$C$2:$C$25,MATCH(C227,'Account executives'!$A$2:$A$25,0))</f>
        <v>mid_market</v>
      </c>
      <c r="X227" s="0" t="str">
        <f>SUBSTITUTE(LOWER(INDEX('Periods'!$G$2:$G$22,MATCH(N227,'Periods'!$A$2:$A$22,0)))," ","_")</f>
        <v>q2_2026</v>
      </c>
    </row>
    <row r="228">
      <c r="A228" s="0" t="inlineStr">
        <is>
          <t xml:space="preserve">o0227</t>
        </is>
      </c>
      <c r="B228" s="0" t="inlineStr">
        <is>
          <t xml:space="preserve">a0030</t>
        </is>
      </c>
      <c r="C228" s="0" t="inlineStr">
        <is>
          <t xml:space="preserve">r11</t>
        </is>
      </c>
      <c r="D228" s="0" t="inlineStr">
        <is>
          <t xml:space="preserve">s_amer_west_in</t>
        </is>
      </c>
      <c r="E228" s="0" t="inlineStr">
        <is>
          <t xml:space="preserve">paid</t>
        </is>
      </c>
      <c r="F228" s="0" t="inlineStr">
        <is>
          <t xml:space="preserve">closed_won</t>
        </is>
      </c>
      <c r="G228" s="4">
        <v>0</v>
      </c>
      <c r="H228" s="4">
        <v>3500</v>
      </c>
      <c r="I228" s="4">
        <v>1</v>
      </c>
      <c r="J228" s="4">
        <v>0</v>
      </c>
      <c r="K228" s="16">
        <v>45793</v>
      </c>
      <c r="L228" s="16">
        <v>45830</v>
      </c>
      <c r="M228" s="0" t="inlineStr">
        <is>
          <t xml:space="preserve">may25</t>
        </is>
      </c>
      <c r="N228" s="0" t="inlineStr">
        <is>
          <t xml:space="preserve">jun25</t>
        </is>
      </c>
      <c r="O228" s="4">
        <v>37</v>
      </c>
      <c r="P228" s="4">
        <v>1</v>
      </c>
      <c r="Q228" s="4">
        <v>0</v>
      </c>
      <c r="R228" s="4">
        <v>0</v>
      </c>
      <c r="S228" s="4">
        <f>(H228*INDEX('Stages'!$D$2:$D$7,MATCH(F228,'Stages'!$A$2:$A$7,0)))</f>
        <v>3500</v>
      </c>
      <c r="T228" s="4">
        <f>(H228*I228)</f>
        <v>3500</v>
      </c>
      <c r="U228" s="4">
        <f>(H228*(I228-1))</f>
        <v>0</v>
      </c>
      <c r="V228" s="0" t="str">
        <f>INDEX('Account executives'!$B$2:$B$25,MATCH(C228,'Account executives'!$A$2:$A$25,0))</f>
        <v>amer_west</v>
      </c>
      <c r="W228" s="0" t="str">
        <f>INDEX('Account executives'!$C$2:$C$25,MATCH(C228,'Account executives'!$A$2:$A$25,0))</f>
        <v>smb</v>
      </c>
      <c r="X228" s="0" t="str">
        <f>SUBSTITUTE(LOWER(INDEX('Periods'!$G$2:$G$22,MATCH(N228,'Periods'!$A$2:$A$22,0)))," ","_")</f>
        <v>q2_2025</v>
      </c>
    </row>
    <row r="229">
      <c r="A229" s="0" t="inlineStr">
        <is>
          <t xml:space="preserve">o0228</t>
        </is>
      </c>
      <c r="B229" s="0" t="inlineStr">
        <is>
          <t xml:space="preserve">a0784</t>
        </is>
      </c>
      <c r="C229" s="0" t="inlineStr">
        <is>
          <t xml:space="preserve">r15</t>
        </is>
      </c>
      <c r="D229" s="0"/>
      <c r="E229" s="0" t="inlineStr">
        <is>
          <t xml:space="preserve">partner</t>
        </is>
      </c>
      <c r="F229" s="0" t="inlineStr">
        <is>
          <t xml:space="preserve">closed_lost</t>
        </is>
      </c>
      <c r="G229" s="4">
        <v>1</v>
      </c>
      <c r="H229" s="4">
        <v>57900</v>
      </c>
      <c r="I229" s="4">
        <v>1</v>
      </c>
      <c r="J229" s="4">
        <v>0</v>
      </c>
      <c r="K229" s="16">
        <v>46086</v>
      </c>
      <c r="L229" s="16">
        <v>46134</v>
      </c>
      <c r="M229" s="0" t="inlineStr">
        <is>
          <t xml:space="preserve">mar26</t>
        </is>
      </c>
      <c r="N229" s="0" t="inlineStr">
        <is>
          <t xml:space="preserve">apr26</t>
        </is>
      </c>
      <c r="O229" s="4">
        <v>48</v>
      </c>
      <c r="P229" s="4">
        <v>0</v>
      </c>
      <c r="Q229" s="4">
        <v>1</v>
      </c>
      <c r="R229" s="4">
        <v>0</v>
      </c>
      <c r="S229" s="4">
        <f>(H229*INDEX('Stages'!$D$2:$D$7,MATCH(F229,'Stages'!$A$2:$A$7,0)))</f>
        <v>0</v>
      </c>
      <c r="T229" s="4">
        <f>(H229*I229)</f>
        <v>57900</v>
      </c>
      <c r="U229" s="4">
        <f>(H229*(I229-1))</f>
        <v>0</v>
      </c>
      <c r="V229" s="0" t="str">
        <f>INDEX('Account executives'!$B$2:$B$25,MATCH(C229,'Account executives'!$A$2:$A$25,0))</f>
        <v>emea</v>
      </c>
      <c r="W229" s="0" t="str">
        <f>INDEX('Account executives'!$C$2:$C$25,MATCH(C229,'Account executives'!$A$2:$A$25,0))</f>
        <v>mid_market</v>
      </c>
      <c r="X229" s="0" t="str">
        <f>SUBSTITUTE(LOWER(INDEX('Periods'!$G$2:$G$22,MATCH(N229,'Periods'!$A$2:$A$22,0)))," ","_")</f>
        <v>q2_2026</v>
      </c>
    </row>
    <row r="230">
      <c r="A230" s="0" t="inlineStr">
        <is>
          <t xml:space="preserve">o0229</t>
        </is>
      </c>
      <c r="B230" s="0" t="inlineStr">
        <is>
          <t xml:space="preserve">a1161</t>
        </is>
      </c>
      <c r="C230" s="0" t="inlineStr">
        <is>
          <t xml:space="preserve">r03</t>
        </is>
      </c>
      <c r="D230" s="0"/>
      <c r="E230" s="0" t="inlineStr">
        <is>
          <t xml:space="preserve">partner</t>
        </is>
      </c>
      <c r="F230" s="0" t="inlineStr">
        <is>
          <t xml:space="preserve">closed_won</t>
        </is>
      </c>
      <c r="G230" s="4">
        <v>1</v>
      </c>
      <c r="H230" s="4">
        <v>40300</v>
      </c>
      <c r="I230" s="4">
        <v>1</v>
      </c>
      <c r="J230" s="4">
        <v>0</v>
      </c>
      <c r="K230" s="16">
        <v>46259</v>
      </c>
      <c r="L230" s="16">
        <v>46283</v>
      </c>
      <c r="M230" s="0" t="inlineStr">
        <is>
          <t xml:space="preserve">aug26</t>
        </is>
      </c>
      <c r="N230" s="0" t="inlineStr">
        <is>
          <t xml:space="preserve">sep26</t>
        </is>
      </c>
      <c r="O230" s="4">
        <v>24</v>
      </c>
      <c r="P230" s="4">
        <v>1</v>
      </c>
      <c r="Q230" s="4">
        <v>0</v>
      </c>
      <c r="R230" s="4">
        <v>0</v>
      </c>
      <c r="S230" s="4">
        <f>(H230*INDEX('Stages'!$D$2:$D$7,MATCH(F230,'Stages'!$A$2:$A$7,0)))</f>
        <v>40300</v>
      </c>
      <c r="T230" s="4">
        <f>(H230*I230)</f>
        <v>40300</v>
      </c>
      <c r="U230" s="4">
        <f>(H230*(I230-1))</f>
        <v>0</v>
      </c>
      <c r="V230" s="0" t="str">
        <f>INDEX('Account executives'!$B$2:$B$25,MATCH(C230,'Account executives'!$A$2:$A$25,0))</f>
        <v>amer_east</v>
      </c>
      <c r="W230" s="0" t="str">
        <f>INDEX('Account executives'!$C$2:$C$25,MATCH(C230,'Account executives'!$A$2:$A$25,0))</f>
        <v>mid_market</v>
      </c>
      <c r="X230" s="0" t="str">
        <f>SUBSTITUTE(LOWER(INDEX('Periods'!$G$2:$G$22,MATCH(N230,'Periods'!$A$2:$A$22,0)))," ","_")</f>
        <v>q3_2026</v>
      </c>
    </row>
    <row r="231">
      <c r="A231" s="0" t="inlineStr">
        <is>
          <t xml:space="preserve">o0230</t>
        </is>
      </c>
      <c r="B231" s="0" t="inlineStr">
        <is>
          <t xml:space="preserve">a0447</t>
        </is>
      </c>
      <c r="C231" s="0" t="inlineStr">
        <is>
          <t xml:space="preserve">r18</t>
        </is>
      </c>
      <c r="D231" s="0" t="inlineStr">
        <is>
          <t xml:space="preserve">s_emea_in</t>
        </is>
      </c>
      <c r="E231" s="0" t="inlineStr">
        <is>
          <t xml:space="preserve">inbound</t>
        </is>
      </c>
      <c r="F231" s="0" t="inlineStr">
        <is>
          <t xml:space="preserve">closed_lost</t>
        </is>
      </c>
      <c r="G231" s="4">
        <v>1</v>
      </c>
      <c r="H231" s="4">
        <v>22400</v>
      </c>
      <c r="I231" s="4">
        <v>1</v>
      </c>
      <c r="J231" s="4">
        <v>0</v>
      </c>
      <c r="K231" s="16">
        <v>45942</v>
      </c>
      <c r="L231" s="16">
        <v>46019</v>
      </c>
      <c r="M231" s="0" t="inlineStr">
        <is>
          <t xml:space="preserve">oct25</t>
        </is>
      </c>
      <c r="N231" s="0" t="inlineStr">
        <is>
          <t xml:space="preserve">dec25</t>
        </is>
      </c>
      <c r="O231" s="4">
        <v>77</v>
      </c>
      <c r="P231" s="4">
        <v>0</v>
      </c>
      <c r="Q231" s="4">
        <v>1</v>
      </c>
      <c r="R231" s="4">
        <v>0</v>
      </c>
      <c r="S231" s="4">
        <f>(H231*INDEX('Stages'!$D$2:$D$7,MATCH(F231,'Stages'!$A$2:$A$7,0)))</f>
        <v>0</v>
      </c>
      <c r="T231" s="4">
        <f>(H231*I231)</f>
        <v>22400</v>
      </c>
      <c r="U231" s="4">
        <f>(H231*(I231-1))</f>
        <v>0</v>
      </c>
      <c r="V231" s="0" t="str">
        <f>INDEX('Account executives'!$B$2:$B$25,MATCH(C231,'Account executives'!$A$2:$A$25,0))</f>
        <v>emea</v>
      </c>
      <c r="W231" s="0" t="str">
        <f>INDEX('Account executives'!$C$2:$C$25,MATCH(C231,'Account executives'!$A$2:$A$25,0))</f>
        <v>smb</v>
      </c>
      <c r="X231" s="0" t="str">
        <f>SUBSTITUTE(LOWER(INDEX('Periods'!$G$2:$G$22,MATCH(N231,'Periods'!$A$2:$A$22,0)))," ","_")</f>
        <v>q4_2025</v>
      </c>
    </row>
    <row r="232">
      <c r="A232" s="0" t="inlineStr">
        <is>
          <t xml:space="preserve">o0231</t>
        </is>
      </c>
      <c r="B232" s="0" t="inlineStr">
        <is>
          <t xml:space="preserve">a0240</t>
        </is>
      </c>
      <c r="C232" s="0" t="inlineStr">
        <is>
          <t xml:space="preserve">r05</t>
        </is>
      </c>
      <c r="D232" s="0" t="inlineStr">
        <is>
          <t xml:space="preserve">s_amer_east_in</t>
        </is>
      </c>
      <c r="E232" s="0" t="inlineStr">
        <is>
          <t xml:space="preserve">inbound</t>
        </is>
      </c>
      <c r="F232" s="0" t="inlineStr">
        <is>
          <t xml:space="preserve">closed_lost</t>
        </is>
      </c>
      <c r="G232" s="4">
        <v>1</v>
      </c>
      <c r="H232" s="4">
        <v>11200</v>
      </c>
      <c r="I232" s="4">
        <v>1</v>
      </c>
      <c r="J232" s="4">
        <v>0</v>
      </c>
      <c r="K232" s="16">
        <v>45844</v>
      </c>
      <c r="L232" s="16">
        <v>45928</v>
      </c>
      <c r="M232" s="0" t="inlineStr">
        <is>
          <t xml:space="preserve">jul25</t>
        </is>
      </c>
      <c r="N232" s="0" t="inlineStr">
        <is>
          <t xml:space="preserve">sep25</t>
        </is>
      </c>
      <c r="O232" s="4">
        <v>84</v>
      </c>
      <c r="P232" s="4">
        <v>0</v>
      </c>
      <c r="Q232" s="4">
        <v>1</v>
      </c>
      <c r="R232" s="4">
        <v>0</v>
      </c>
      <c r="S232" s="4">
        <f>(H232*INDEX('Stages'!$D$2:$D$7,MATCH(F232,'Stages'!$A$2:$A$7,0)))</f>
        <v>0</v>
      </c>
      <c r="T232" s="4">
        <f>(H232*I232)</f>
        <v>11200</v>
      </c>
      <c r="U232" s="4">
        <f>(H232*(I232-1))</f>
        <v>0</v>
      </c>
      <c r="V232" s="0" t="str">
        <f>INDEX('Account executives'!$B$2:$B$25,MATCH(C232,'Account executives'!$A$2:$A$25,0))</f>
        <v>amer_east</v>
      </c>
      <c r="W232" s="0" t="str">
        <f>INDEX('Account executives'!$C$2:$C$25,MATCH(C232,'Account executives'!$A$2:$A$25,0))</f>
        <v>smb</v>
      </c>
      <c r="X232" s="0" t="str">
        <f>SUBSTITUTE(LOWER(INDEX('Periods'!$G$2:$G$22,MATCH(N232,'Periods'!$A$2:$A$22,0)))," ","_")</f>
        <v>q3_2025</v>
      </c>
    </row>
    <row r="233">
      <c r="A233" s="0" t="inlineStr">
        <is>
          <t xml:space="preserve">o0232</t>
        </is>
      </c>
      <c r="B233" s="0" t="inlineStr">
        <is>
          <t xml:space="preserve">a0487</t>
        </is>
      </c>
      <c r="C233" s="0" t="inlineStr">
        <is>
          <t xml:space="preserve">r01</t>
        </is>
      </c>
      <c r="D233" s="0"/>
      <c r="E233" s="0" t="inlineStr">
        <is>
          <t xml:space="preserve">partner</t>
        </is>
      </c>
      <c r="F233" s="0" t="inlineStr">
        <is>
          <t xml:space="preserve">closed_won</t>
        </is>
      </c>
      <c r="G233" s="4">
        <v>1</v>
      </c>
      <c r="H233" s="4">
        <v>340100</v>
      </c>
      <c r="I233" s="4">
        <v>3</v>
      </c>
      <c r="J233" s="4">
        <v>0</v>
      </c>
      <c r="K233" s="16">
        <v>45967</v>
      </c>
      <c r="L233" s="16">
        <v>46105</v>
      </c>
      <c r="M233" s="0" t="inlineStr">
        <is>
          <t xml:space="preserve">nov25</t>
        </is>
      </c>
      <c r="N233" s="0" t="inlineStr">
        <is>
          <t xml:space="preserve">mar26</t>
        </is>
      </c>
      <c r="O233" s="4">
        <v>138</v>
      </c>
      <c r="P233" s="4">
        <v>1</v>
      </c>
      <c r="Q233" s="4">
        <v>0</v>
      </c>
      <c r="R233" s="4">
        <v>0</v>
      </c>
      <c r="S233" s="4">
        <f>(H233*INDEX('Stages'!$D$2:$D$7,MATCH(F233,'Stages'!$A$2:$A$7,0)))</f>
        <v>340100</v>
      </c>
      <c r="T233" s="4">
        <f>(H233*I233)</f>
        <v>1020300</v>
      </c>
      <c r="U233" s="4">
        <f>(H233*(I233-1))</f>
        <v>680200</v>
      </c>
      <c r="V233" s="0" t="str">
        <f>INDEX('Account executives'!$B$2:$B$25,MATCH(C233,'Account executives'!$A$2:$A$25,0))</f>
        <v>amer_east</v>
      </c>
      <c r="W233" s="0" t="str">
        <f>INDEX('Account executives'!$C$2:$C$25,MATCH(C233,'Account executives'!$A$2:$A$25,0))</f>
        <v>enterprise</v>
      </c>
      <c r="X233" s="0" t="str">
        <f>SUBSTITUTE(LOWER(INDEX('Periods'!$G$2:$G$22,MATCH(N233,'Periods'!$A$2:$A$22,0)))," ","_")</f>
        <v>q1_2026</v>
      </c>
    </row>
    <row r="234">
      <c r="A234" s="0" t="inlineStr">
        <is>
          <t xml:space="preserve">o0233</t>
        </is>
      </c>
      <c r="B234" s="0" t="inlineStr">
        <is>
          <t xml:space="preserve">a0007</t>
        </is>
      </c>
      <c r="C234" s="0" t="inlineStr">
        <is>
          <t xml:space="preserve">r04</t>
        </is>
      </c>
      <c r="D234" s="0"/>
      <c r="E234" s="0" t="inlineStr">
        <is>
          <t xml:space="preserve">referral</t>
        </is>
      </c>
      <c r="F234" s="0" t="inlineStr">
        <is>
          <t xml:space="preserve">closed_won</t>
        </is>
      </c>
      <c r="G234" s="4">
        <v>0</v>
      </c>
      <c r="H234" s="4">
        <v>27600</v>
      </c>
      <c r="I234" s="4">
        <v>1</v>
      </c>
      <c r="J234" s="4">
        <v>1</v>
      </c>
      <c r="K234" s="16">
        <v>45814</v>
      </c>
      <c r="L234" s="16">
        <v>45867</v>
      </c>
      <c r="M234" s="0" t="inlineStr">
        <is>
          <t xml:space="preserve">jun25</t>
        </is>
      </c>
      <c r="N234" s="0" t="inlineStr">
        <is>
          <t xml:space="preserve">jul25</t>
        </is>
      </c>
      <c r="O234" s="4">
        <v>53</v>
      </c>
      <c r="P234" s="4">
        <v>1</v>
      </c>
      <c r="Q234" s="4">
        <v>0</v>
      </c>
      <c r="R234" s="4">
        <v>0</v>
      </c>
      <c r="S234" s="4">
        <f>(H234*INDEX('Stages'!$D$2:$D$7,MATCH(F234,'Stages'!$A$2:$A$7,0)))</f>
        <v>27600</v>
      </c>
      <c r="T234" s="4">
        <f>(H234*I234)</f>
        <v>27600</v>
      </c>
      <c r="U234" s="4">
        <f>(H234*(I234-1))</f>
        <v>0</v>
      </c>
      <c r="V234" s="0" t="str">
        <f>INDEX('Account executives'!$B$2:$B$25,MATCH(C234,'Account executives'!$A$2:$A$25,0))</f>
        <v>amer_east</v>
      </c>
      <c r="W234" s="0" t="str">
        <f>INDEX('Account executives'!$C$2:$C$25,MATCH(C234,'Account executives'!$A$2:$A$25,0))</f>
        <v>mid_market</v>
      </c>
      <c r="X234" s="0" t="str">
        <f>SUBSTITUTE(LOWER(INDEX('Periods'!$G$2:$G$22,MATCH(N234,'Periods'!$A$2:$A$22,0)))," ","_")</f>
        <v>q3_2025</v>
      </c>
    </row>
    <row r="235">
      <c r="A235" s="0" t="inlineStr">
        <is>
          <t xml:space="preserve">o0234</t>
        </is>
      </c>
      <c r="B235" s="0" t="inlineStr">
        <is>
          <t xml:space="preserve">a0366</t>
        </is>
      </c>
      <c r="C235" s="0" t="inlineStr">
        <is>
          <t xml:space="preserve">r04</t>
        </is>
      </c>
      <c r="D235" s="0" t="inlineStr">
        <is>
          <t xml:space="preserve">s_amer_east_in</t>
        </is>
      </c>
      <c r="E235" s="0" t="inlineStr">
        <is>
          <t xml:space="preserve">inbound</t>
        </is>
      </c>
      <c r="F235" s="0" t="inlineStr">
        <is>
          <t xml:space="preserve">discovery</t>
        </is>
      </c>
      <c r="G235" s="4">
        <v>0</v>
      </c>
      <c r="H235" s="4">
        <v>7000</v>
      </c>
      <c r="I235" s="4">
        <v>2</v>
      </c>
      <c r="J235" s="4">
        <v>0</v>
      </c>
      <c r="K235" s="16">
        <v>46254</v>
      </c>
      <c r="L235" s="16">
        <v>46325</v>
      </c>
      <c r="M235" s="0" t="inlineStr">
        <is>
          <t xml:space="preserve">aug26</t>
        </is>
      </c>
      <c r="N235" s="0" t="inlineStr">
        <is>
          <t xml:space="preserve">oct26</t>
        </is>
      </c>
      <c r="O235" s="4">
        <v>130</v>
      </c>
      <c r="P235" s="4">
        <v>0</v>
      </c>
      <c r="Q235" s="4">
        <v>0</v>
      </c>
      <c r="R235" s="4">
        <v>1</v>
      </c>
      <c r="S235" s="4">
        <f>(H235*INDEX('Stages'!$D$2:$D$7,MATCH(F235,'Stages'!$A$2:$A$7,0)))</f>
        <v>700</v>
      </c>
      <c r="T235" s="4">
        <f>(H235*I235)</f>
        <v>14000</v>
      </c>
      <c r="U235" s="4">
        <f>(H235*(I235-1))</f>
        <v>7000</v>
      </c>
      <c r="V235" s="0" t="str">
        <f>INDEX('Account executives'!$B$2:$B$25,MATCH(C235,'Account executives'!$A$2:$A$25,0))</f>
        <v>amer_east</v>
      </c>
      <c r="W235" s="0" t="str">
        <f>INDEX('Account executives'!$C$2:$C$25,MATCH(C235,'Account executives'!$A$2:$A$25,0))</f>
        <v>mid_market</v>
      </c>
      <c r="X235" s="0" t="str">
        <f>SUBSTITUTE(LOWER(INDEX('Periods'!$G$2:$G$22,MATCH(N235,'Periods'!$A$2:$A$22,0)))," ","_")</f>
        <v>q4_2026</v>
      </c>
    </row>
    <row r="236">
      <c r="A236" s="0" t="inlineStr">
        <is>
          <t xml:space="preserve">o0235</t>
        </is>
      </c>
      <c r="B236" s="0" t="inlineStr">
        <is>
          <t xml:space="preserve">a1216</t>
        </is>
      </c>
      <c r="C236" s="0" t="inlineStr">
        <is>
          <t xml:space="preserve">r04</t>
        </is>
      </c>
      <c r="D236" s="0" t="inlineStr">
        <is>
          <t xml:space="preserve">s_amer_east_in</t>
        </is>
      </c>
      <c r="E236" s="0" t="inlineStr">
        <is>
          <t xml:space="preserve">inbound</t>
        </is>
      </c>
      <c r="F236" s="0" t="inlineStr">
        <is>
          <t xml:space="preserve">discovery</t>
        </is>
      </c>
      <c r="G236" s="4">
        <v>1</v>
      </c>
      <c r="H236" s="4">
        <v>78400</v>
      </c>
      <c r="I236" s="4">
        <v>2</v>
      </c>
      <c r="J236" s="4">
        <v>0</v>
      </c>
      <c r="K236" s="16">
        <v>46282</v>
      </c>
      <c r="L236" s="16">
        <v>46371</v>
      </c>
      <c r="M236" s="0" t="inlineStr">
        <is>
          <t xml:space="preserve">sep26</t>
        </is>
      </c>
      <c r="N236" s="0" t="inlineStr">
        <is>
          <t xml:space="preserve">dec26</t>
        </is>
      </c>
      <c r="O236" s="4">
        <v>57</v>
      </c>
      <c r="P236" s="4">
        <v>0</v>
      </c>
      <c r="Q236" s="4">
        <v>0</v>
      </c>
      <c r="R236" s="4">
        <v>1</v>
      </c>
      <c r="S236" s="4">
        <f>(H236*INDEX('Stages'!$D$2:$D$7,MATCH(F236,'Stages'!$A$2:$A$7,0)))</f>
        <v>7840</v>
      </c>
      <c r="T236" s="4">
        <f>(H236*I236)</f>
        <v>156800</v>
      </c>
      <c r="U236" s="4">
        <f>(H236*(I236-1))</f>
        <v>78400</v>
      </c>
      <c r="V236" s="0" t="str">
        <f>INDEX('Account executives'!$B$2:$B$25,MATCH(C236,'Account executives'!$A$2:$A$25,0))</f>
        <v>amer_east</v>
      </c>
      <c r="W236" s="0" t="str">
        <f>INDEX('Account executives'!$C$2:$C$25,MATCH(C236,'Account executives'!$A$2:$A$25,0))</f>
        <v>mid_market</v>
      </c>
      <c r="X236" s="0" t="str">
        <f>SUBSTITUTE(LOWER(INDEX('Periods'!$G$2:$G$22,MATCH(N236,'Periods'!$A$2:$A$22,0)))," ","_")</f>
        <v>q4_2026</v>
      </c>
    </row>
    <row r="237">
      <c r="A237" s="0" t="inlineStr">
        <is>
          <t xml:space="preserve">o0236</t>
        </is>
      </c>
      <c r="B237" s="0" t="inlineStr">
        <is>
          <t xml:space="preserve">a1139</t>
        </is>
      </c>
      <c r="C237" s="0" t="inlineStr">
        <is>
          <t xml:space="preserve">r24</t>
        </is>
      </c>
      <c r="D237" s="0"/>
      <c r="E237" s="0" t="inlineStr">
        <is>
          <t xml:space="preserve">events</t>
        </is>
      </c>
      <c r="F237" s="0" t="inlineStr">
        <is>
          <t xml:space="preserve">closed_lost</t>
        </is>
      </c>
      <c r="G237" s="4">
        <v>1</v>
      </c>
      <c r="H237" s="4">
        <v>12800</v>
      </c>
      <c r="I237" s="4">
        <v>1</v>
      </c>
      <c r="J237" s="4">
        <v>0</v>
      </c>
      <c r="K237" s="16">
        <v>46222</v>
      </c>
      <c r="L237" s="16">
        <v>46266</v>
      </c>
      <c r="M237" s="0" t="inlineStr">
        <is>
          <t xml:space="preserve">jul26</t>
        </is>
      </c>
      <c r="N237" s="0" t="inlineStr">
        <is>
          <t xml:space="preserve">sep26</t>
        </is>
      </c>
      <c r="O237" s="4">
        <v>44</v>
      </c>
      <c r="P237" s="4">
        <v>0</v>
      </c>
      <c r="Q237" s="4">
        <v>1</v>
      </c>
      <c r="R237" s="4">
        <v>0</v>
      </c>
      <c r="S237" s="4">
        <f>(H237*INDEX('Stages'!$D$2:$D$7,MATCH(F237,'Stages'!$A$2:$A$7,0)))</f>
        <v>0</v>
      </c>
      <c r="T237" s="4">
        <f>(H237*I237)</f>
        <v>12800</v>
      </c>
      <c r="U237" s="4">
        <f>(H237*(I237-1))</f>
        <v>0</v>
      </c>
      <c r="V237" s="0" t="str">
        <f>INDEX('Account executives'!$B$2:$B$25,MATCH(C237,'Account executives'!$A$2:$A$25,0))</f>
        <v>apac</v>
      </c>
      <c r="W237" s="0" t="str">
        <f>INDEX('Account executives'!$C$2:$C$25,MATCH(C237,'Account executives'!$A$2:$A$25,0))</f>
        <v>smb</v>
      </c>
      <c r="X237" s="0" t="str">
        <f>SUBSTITUTE(LOWER(INDEX('Periods'!$G$2:$G$22,MATCH(N237,'Periods'!$A$2:$A$22,0)))," ","_")</f>
        <v>q3_2026</v>
      </c>
    </row>
    <row r="238">
      <c r="A238" s="0" t="inlineStr">
        <is>
          <t xml:space="preserve">o0237</t>
        </is>
      </c>
      <c r="B238" s="0" t="inlineStr">
        <is>
          <t xml:space="preserve">a0280</t>
        </is>
      </c>
      <c r="C238" s="0" t="inlineStr">
        <is>
          <t xml:space="preserve">r16</t>
        </is>
      </c>
      <c r="D238" s="0" t="inlineStr">
        <is>
          <t xml:space="preserve">s_emea_in</t>
        </is>
      </c>
      <c r="E238" s="0" t="inlineStr">
        <is>
          <t xml:space="preserve">inbound</t>
        </is>
      </c>
      <c r="F238" s="0" t="inlineStr">
        <is>
          <t xml:space="preserve">closed_lost</t>
        </is>
      </c>
      <c r="G238" s="4">
        <v>1</v>
      </c>
      <c r="H238" s="4">
        <v>33800</v>
      </c>
      <c r="I238" s="4">
        <v>1</v>
      </c>
      <c r="J238" s="4">
        <v>0</v>
      </c>
      <c r="K238" s="16">
        <v>45863</v>
      </c>
      <c r="L238" s="16">
        <v>45928</v>
      </c>
      <c r="M238" s="0" t="inlineStr">
        <is>
          <t xml:space="preserve">jul25</t>
        </is>
      </c>
      <c r="N238" s="0" t="inlineStr">
        <is>
          <t xml:space="preserve">sep25</t>
        </is>
      </c>
      <c r="O238" s="4">
        <v>65</v>
      </c>
      <c r="P238" s="4">
        <v>0</v>
      </c>
      <c r="Q238" s="4">
        <v>1</v>
      </c>
      <c r="R238" s="4">
        <v>0</v>
      </c>
      <c r="S238" s="4">
        <f>(H238*INDEX('Stages'!$D$2:$D$7,MATCH(F238,'Stages'!$A$2:$A$7,0)))</f>
        <v>0</v>
      </c>
      <c r="T238" s="4">
        <f>(H238*I238)</f>
        <v>33800</v>
      </c>
      <c r="U238" s="4">
        <f>(H238*(I238-1))</f>
        <v>0</v>
      </c>
      <c r="V238" s="0" t="str">
        <f>INDEX('Account executives'!$B$2:$B$25,MATCH(C238,'Account executives'!$A$2:$A$25,0))</f>
        <v>emea</v>
      </c>
      <c r="W238" s="0" t="str">
        <f>INDEX('Account executives'!$C$2:$C$25,MATCH(C238,'Account executives'!$A$2:$A$25,0))</f>
        <v>mid_market</v>
      </c>
      <c r="X238" s="0" t="str">
        <f>SUBSTITUTE(LOWER(INDEX('Periods'!$G$2:$G$22,MATCH(N238,'Periods'!$A$2:$A$22,0)))," ","_")</f>
        <v>q3_2025</v>
      </c>
    </row>
    <row r="239">
      <c r="A239" s="0" t="inlineStr">
        <is>
          <t xml:space="preserve">o0238</t>
        </is>
      </c>
      <c r="B239" s="0" t="inlineStr">
        <is>
          <t xml:space="preserve">a0385</t>
        </is>
      </c>
      <c r="C239" s="0" t="inlineStr">
        <is>
          <t xml:space="preserve">r09</t>
        </is>
      </c>
      <c r="D239" s="0" t="inlineStr">
        <is>
          <t xml:space="preserve">s_amer_west_out</t>
        </is>
      </c>
      <c r="E239" s="0" t="inlineStr">
        <is>
          <t xml:space="preserve">outbound</t>
        </is>
      </c>
      <c r="F239" s="0" t="inlineStr">
        <is>
          <t xml:space="preserve">closed_lost</t>
        </is>
      </c>
      <c r="G239" s="4">
        <v>1</v>
      </c>
      <c r="H239" s="4">
        <v>52100</v>
      </c>
      <c r="I239" s="4">
        <v>1</v>
      </c>
      <c r="J239" s="4">
        <v>1</v>
      </c>
      <c r="K239" s="16">
        <v>45914</v>
      </c>
      <c r="L239" s="16">
        <v>46019</v>
      </c>
      <c r="M239" s="0" t="inlineStr">
        <is>
          <t xml:space="preserve">sep25</t>
        </is>
      </c>
      <c r="N239" s="0" t="inlineStr">
        <is>
          <t xml:space="preserve">dec25</t>
        </is>
      </c>
      <c r="O239" s="4">
        <v>105</v>
      </c>
      <c r="P239" s="4">
        <v>0</v>
      </c>
      <c r="Q239" s="4">
        <v>1</v>
      </c>
      <c r="R239" s="4">
        <v>0</v>
      </c>
      <c r="S239" s="4">
        <f>(H239*INDEX('Stages'!$D$2:$D$7,MATCH(F239,'Stages'!$A$2:$A$7,0)))</f>
        <v>0</v>
      </c>
      <c r="T239" s="4">
        <f>(H239*I239)</f>
        <v>52100</v>
      </c>
      <c r="U239" s="4">
        <f>(H239*(I239-1))</f>
        <v>0</v>
      </c>
      <c r="V239" s="0" t="str">
        <f>INDEX('Account executives'!$B$2:$B$25,MATCH(C239,'Account executives'!$A$2:$A$25,0))</f>
        <v>amer_west</v>
      </c>
      <c r="W239" s="0" t="str">
        <f>INDEX('Account executives'!$C$2:$C$25,MATCH(C239,'Account executives'!$A$2:$A$25,0))</f>
        <v>mid_market</v>
      </c>
      <c r="X239" s="0" t="str">
        <f>SUBSTITUTE(LOWER(INDEX('Periods'!$G$2:$G$22,MATCH(N239,'Periods'!$A$2:$A$22,0)))," ","_")</f>
        <v>q4_2025</v>
      </c>
    </row>
    <row r="240">
      <c r="A240" s="0" t="inlineStr">
        <is>
          <t xml:space="preserve">o0239</t>
        </is>
      </c>
      <c r="B240" s="0" t="inlineStr">
        <is>
          <t xml:space="preserve">a0812</t>
        </is>
      </c>
      <c r="C240" s="0" t="inlineStr">
        <is>
          <t xml:space="preserve">r03</t>
        </is>
      </c>
      <c r="D240" s="0" t="inlineStr">
        <is>
          <t xml:space="preserve">s_amer_east_in</t>
        </is>
      </c>
      <c r="E240" s="0" t="inlineStr">
        <is>
          <t xml:space="preserve">inbound</t>
        </is>
      </c>
      <c r="F240" s="0" t="inlineStr">
        <is>
          <t xml:space="preserve">proposal</t>
        </is>
      </c>
      <c r="G240" s="4">
        <v>0</v>
      </c>
      <c r="H240" s="4">
        <v>25300</v>
      </c>
      <c r="I240" s="4">
        <v>1</v>
      </c>
      <c r="J240" s="4">
        <v>0</v>
      </c>
      <c r="K240" s="16">
        <v>46148</v>
      </c>
      <c r="L240" s="16">
        <v>46293</v>
      </c>
      <c r="M240" s="0" t="inlineStr">
        <is>
          <t xml:space="preserve">may26</t>
        </is>
      </c>
      <c r="N240" s="0" t="inlineStr">
        <is>
          <t xml:space="preserve">sep26</t>
        </is>
      </c>
      <c r="O240" s="4">
        <v>145</v>
      </c>
      <c r="P240" s="4">
        <v>0</v>
      </c>
      <c r="Q240" s="4">
        <v>0</v>
      </c>
      <c r="R240" s="4">
        <v>1</v>
      </c>
      <c r="S240" s="4">
        <f>(H240*INDEX('Stages'!$D$2:$D$7,MATCH(F240,'Stages'!$A$2:$A$7,0)))</f>
        <v>12650</v>
      </c>
      <c r="T240" s="4">
        <f>(H240*I240)</f>
        <v>25300</v>
      </c>
      <c r="U240" s="4">
        <f>(H240*(I240-1))</f>
        <v>0</v>
      </c>
      <c r="V240" s="0" t="str">
        <f>INDEX('Account executives'!$B$2:$B$25,MATCH(C240,'Account executives'!$A$2:$A$25,0))</f>
        <v>amer_east</v>
      </c>
      <c r="W240" s="0" t="str">
        <f>INDEX('Account executives'!$C$2:$C$25,MATCH(C240,'Account executives'!$A$2:$A$25,0))</f>
        <v>mid_market</v>
      </c>
      <c r="X240" s="0" t="str">
        <f>SUBSTITUTE(LOWER(INDEX('Periods'!$G$2:$G$22,MATCH(N240,'Periods'!$A$2:$A$22,0)))," ","_")</f>
        <v>q3_2026</v>
      </c>
    </row>
    <row r="241">
      <c r="A241" s="0" t="inlineStr">
        <is>
          <t xml:space="preserve">o0240</t>
        </is>
      </c>
      <c r="B241" s="0" t="inlineStr">
        <is>
          <t xml:space="preserve">a0916</t>
        </is>
      </c>
      <c r="C241" s="0" t="inlineStr">
        <is>
          <t xml:space="preserve">r11</t>
        </is>
      </c>
      <c r="D241" s="0"/>
      <c r="E241" s="0" t="inlineStr">
        <is>
          <t xml:space="preserve">partner</t>
        </is>
      </c>
      <c r="F241" s="0" t="inlineStr">
        <is>
          <t xml:space="preserve">closed_won</t>
        </is>
      </c>
      <c r="G241" s="4">
        <v>0</v>
      </c>
      <c r="H241" s="4">
        <v>6000</v>
      </c>
      <c r="I241" s="4">
        <v>1</v>
      </c>
      <c r="J241" s="4">
        <v>1</v>
      </c>
      <c r="K241" s="16">
        <v>46143</v>
      </c>
      <c r="L241" s="16">
        <v>46171</v>
      </c>
      <c r="M241" s="0" t="inlineStr">
        <is>
          <t xml:space="preserve">may26</t>
        </is>
      </c>
      <c r="N241" s="0" t="inlineStr">
        <is>
          <t xml:space="preserve">may26</t>
        </is>
      </c>
      <c r="O241" s="4">
        <v>28</v>
      </c>
      <c r="P241" s="4">
        <v>1</v>
      </c>
      <c r="Q241" s="4">
        <v>0</v>
      </c>
      <c r="R241" s="4">
        <v>0</v>
      </c>
      <c r="S241" s="4">
        <f>(H241*INDEX('Stages'!$D$2:$D$7,MATCH(F241,'Stages'!$A$2:$A$7,0)))</f>
        <v>6000</v>
      </c>
      <c r="T241" s="4">
        <f>(H241*I241)</f>
        <v>6000</v>
      </c>
      <c r="U241" s="4">
        <f>(H241*(I241-1))</f>
        <v>0</v>
      </c>
      <c r="V241" s="0" t="str">
        <f>INDEX('Account executives'!$B$2:$B$25,MATCH(C241,'Account executives'!$A$2:$A$25,0))</f>
        <v>amer_west</v>
      </c>
      <c r="W241" s="0" t="str">
        <f>INDEX('Account executives'!$C$2:$C$25,MATCH(C241,'Account executives'!$A$2:$A$25,0))</f>
        <v>smb</v>
      </c>
      <c r="X241" s="0" t="str">
        <f>SUBSTITUTE(LOWER(INDEX('Periods'!$G$2:$G$22,MATCH(N241,'Periods'!$A$2:$A$22,0)))," ","_")</f>
        <v>q2_2026</v>
      </c>
    </row>
    <row r="242">
      <c r="A242" s="0" t="inlineStr">
        <is>
          <t xml:space="preserve">o0241</t>
        </is>
      </c>
      <c r="B242" s="0" t="inlineStr">
        <is>
          <t xml:space="preserve">a0235</t>
        </is>
      </c>
      <c r="C242" s="0" t="inlineStr">
        <is>
          <t xml:space="preserve">r03</t>
        </is>
      </c>
      <c r="D242" s="0" t="inlineStr">
        <is>
          <t xml:space="preserve">s_amer_east_out</t>
        </is>
      </c>
      <c r="E242" s="0" t="inlineStr">
        <is>
          <t xml:space="preserve">outbound</t>
        </is>
      </c>
      <c r="F242" s="0" t="inlineStr">
        <is>
          <t xml:space="preserve">proposal</t>
        </is>
      </c>
      <c r="G242" s="4">
        <v>0</v>
      </c>
      <c r="H242" s="4">
        <v>17300</v>
      </c>
      <c r="I242" s="4">
        <v>2</v>
      </c>
      <c r="J242" s="4">
        <v>1</v>
      </c>
      <c r="K242" s="16">
        <v>46231</v>
      </c>
      <c r="L242" s="16">
        <v>46313</v>
      </c>
      <c r="M242" s="0" t="inlineStr">
        <is>
          <t xml:space="preserve">jul26</t>
        </is>
      </c>
      <c r="N242" s="0" t="inlineStr">
        <is>
          <t xml:space="preserve">oct26</t>
        </is>
      </c>
      <c r="O242" s="4">
        <v>55</v>
      </c>
      <c r="P242" s="4">
        <v>0</v>
      </c>
      <c r="Q242" s="4">
        <v>0</v>
      </c>
      <c r="R242" s="4">
        <v>1</v>
      </c>
      <c r="S242" s="4">
        <f>(H242*INDEX('Stages'!$D$2:$D$7,MATCH(F242,'Stages'!$A$2:$A$7,0)))</f>
        <v>8650</v>
      </c>
      <c r="T242" s="4">
        <f>(H242*I242)</f>
        <v>34600</v>
      </c>
      <c r="U242" s="4">
        <f>(H242*(I242-1))</f>
        <v>17300</v>
      </c>
      <c r="V242" s="0" t="str">
        <f>INDEX('Account executives'!$B$2:$B$25,MATCH(C242,'Account executives'!$A$2:$A$25,0))</f>
        <v>amer_east</v>
      </c>
      <c r="W242" s="0" t="str">
        <f>INDEX('Account executives'!$C$2:$C$25,MATCH(C242,'Account executives'!$A$2:$A$25,0))</f>
        <v>mid_market</v>
      </c>
      <c r="X242" s="0" t="str">
        <f>SUBSTITUTE(LOWER(INDEX('Periods'!$G$2:$G$22,MATCH(N242,'Periods'!$A$2:$A$22,0)))," ","_")</f>
        <v>q4_2026</v>
      </c>
    </row>
    <row r="243">
      <c r="A243" s="0" t="inlineStr">
        <is>
          <t xml:space="preserve">o0242</t>
        </is>
      </c>
      <c r="B243" s="0" t="inlineStr">
        <is>
          <t xml:space="preserve">a0505</t>
        </is>
      </c>
      <c r="C243" s="0" t="inlineStr">
        <is>
          <t xml:space="preserve">r12</t>
        </is>
      </c>
      <c r="D243" s="0"/>
      <c r="E243" s="0" t="inlineStr">
        <is>
          <t xml:space="preserve">partner</t>
        </is>
      </c>
      <c r="F243" s="0" t="inlineStr">
        <is>
          <t xml:space="preserve">closed_lost</t>
        </is>
      </c>
      <c r="G243" s="4">
        <v>1</v>
      </c>
      <c r="H243" s="4">
        <v>12800</v>
      </c>
      <c r="I243" s="4">
        <v>1</v>
      </c>
      <c r="J243" s="4">
        <v>0</v>
      </c>
      <c r="K243" s="16">
        <v>45962</v>
      </c>
      <c r="L243" s="16">
        <v>45982</v>
      </c>
      <c r="M243" s="0" t="inlineStr">
        <is>
          <t xml:space="preserve">nov25</t>
        </is>
      </c>
      <c r="N243" s="0" t="inlineStr">
        <is>
          <t xml:space="preserve">nov25</t>
        </is>
      </c>
      <c r="O243" s="4">
        <v>20</v>
      </c>
      <c r="P243" s="4">
        <v>0</v>
      </c>
      <c r="Q243" s="4">
        <v>1</v>
      </c>
      <c r="R243" s="4">
        <v>0</v>
      </c>
      <c r="S243" s="4">
        <f>(H243*INDEX('Stages'!$D$2:$D$7,MATCH(F243,'Stages'!$A$2:$A$7,0)))</f>
        <v>0</v>
      </c>
      <c r="T243" s="4">
        <f>(H243*I243)</f>
        <v>12800</v>
      </c>
      <c r="U243" s="4">
        <f>(H243*(I243-1))</f>
        <v>0</v>
      </c>
      <c r="V243" s="0" t="str">
        <f>INDEX('Account executives'!$B$2:$B$25,MATCH(C243,'Account executives'!$A$2:$A$25,0))</f>
        <v>amer_west</v>
      </c>
      <c r="W243" s="0" t="str">
        <f>INDEX('Account executives'!$C$2:$C$25,MATCH(C243,'Account executives'!$A$2:$A$25,0))</f>
        <v>smb</v>
      </c>
      <c r="X243" s="0" t="str">
        <f>SUBSTITUTE(LOWER(INDEX('Periods'!$G$2:$G$22,MATCH(N243,'Periods'!$A$2:$A$22,0)))," ","_")</f>
        <v>q4_2025</v>
      </c>
    </row>
    <row r="244">
      <c r="A244" s="0" t="inlineStr">
        <is>
          <t xml:space="preserve">o0243</t>
        </is>
      </c>
      <c r="B244" s="0" t="inlineStr">
        <is>
          <t xml:space="preserve">a0780</t>
        </is>
      </c>
      <c r="C244" s="0" t="inlineStr">
        <is>
          <t xml:space="preserve">r17</t>
        </is>
      </c>
      <c r="D244" s="0" t="inlineStr">
        <is>
          <t xml:space="preserve">s_emea_in</t>
        </is>
      </c>
      <c r="E244" s="0" t="inlineStr">
        <is>
          <t xml:space="preserve">paid</t>
        </is>
      </c>
      <c r="F244" s="0" t="inlineStr">
        <is>
          <t xml:space="preserve">closed_won</t>
        </is>
      </c>
      <c r="G244" s="4">
        <v>1</v>
      </c>
      <c r="H244" s="4">
        <v>23200</v>
      </c>
      <c r="I244" s="4">
        <v>1</v>
      </c>
      <c r="J244" s="4">
        <v>0</v>
      </c>
      <c r="K244" s="16">
        <v>46097</v>
      </c>
      <c r="L244" s="16">
        <v>46125</v>
      </c>
      <c r="M244" s="0" t="inlineStr">
        <is>
          <t xml:space="preserve">mar26</t>
        </is>
      </c>
      <c r="N244" s="0" t="inlineStr">
        <is>
          <t xml:space="preserve">apr26</t>
        </is>
      </c>
      <c r="O244" s="4">
        <v>28</v>
      </c>
      <c r="P244" s="4">
        <v>1</v>
      </c>
      <c r="Q244" s="4">
        <v>0</v>
      </c>
      <c r="R244" s="4">
        <v>0</v>
      </c>
      <c r="S244" s="4">
        <f>(H244*INDEX('Stages'!$D$2:$D$7,MATCH(F244,'Stages'!$A$2:$A$7,0)))</f>
        <v>23200</v>
      </c>
      <c r="T244" s="4">
        <f>(H244*I244)</f>
        <v>23200</v>
      </c>
      <c r="U244" s="4">
        <f>(H244*(I244-1))</f>
        <v>0</v>
      </c>
      <c r="V244" s="0" t="str">
        <f>INDEX('Account executives'!$B$2:$B$25,MATCH(C244,'Account executives'!$A$2:$A$25,0))</f>
        <v>emea</v>
      </c>
      <c r="W244" s="0" t="str">
        <f>INDEX('Account executives'!$C$2:$C$25,MATCH(C244,'Account executives'!$A$2:$A$25,0))</f>
        <v>smb</v>
      </c>
      <c r="X244" s="0" t="str">
        <f>SUBSTITUTE(LOWER(INDEX('Periods'!$G$2:$G$22,MATCH(N244,'Periods'!$A$2:$A$22,0)))," ","_")</f>
        <v>q2_2026</v>
      </c>
    </row>
    <row r="245">
      <c r="A245" s="0" t="inlineStr">
        <is>
          <t xml:space="preserve">o0244</t>
        </is>
      </c>
      <c r="B245" s="0" t="inlineStr">
        <is>
          <t xml:space="preserve">a0808</t>
        </is>
      </c>
      <c r="C245" s="0" t="inlineStr">
        <is>
          <t xml:space="preserve">r22</t>
        </is>
      </c>
      <c r="D245" s="0" t="inlineStr">
        <is>
          <t xml:space="preserve">s_apac_out</t>
        </is>
      </c>
      <c r="E245" s="0" t="inlineStr">
        <is>
          <t xml:space="preserve">outbound</t>
        </is>
      </c>
      <c r="F245" s="0" t="inlineStr">
        <is>
          <t xml:space="preserve">closed_lost</t>
        </is>
      </c>
      <c r="G245" s="4">
        <v>1</v>
      </c>
      <c r="H245" s="4">
        <v>19200</v>
      </c>
      <c r="I245" s="4">
        <v>2</v>
      </c>
      <c r="J245" s="4">
        <v>0</v>
      </c>
      <c r="K245" s="16">
        <v>46093</v>
      </c>
      <c r="L245" s="16">
        <v>46152</v>
      </c>
      <c r="M245" s="0" t="inlineStr">
        <is>
          <t xml:space="preserve">mar26</t>
        </is>
      </c>
      <c r="N245" s="0" t="inlineStr">
        <is>
          <t xml:space="preserve">may26</t>
        </is>
      </c>
      <c r="O245" s="4">
        <v>59</v>
      </c>
      <c r="P245" s="4">
        <v>0</v>
      </c>
      <c r="Q245" s="4">
        <v>1</v>
      </c>
      <c r="R245" s="4">
        <v>0</v>
      </c>
      <c r="S245" s="4">
        <f>(H245*INDEX('Stages'!$D$2:$D$7,MATCH(F245,'Stages'!$A$2:$A$7,0)))</f>
        <v>0</v>
      </c>
      <c r="T245" s="4">
        <f>(H245*I245)</f>
        <v>38400</v>
      </c>
      <c r="U245" s="4">
        <f>(H245*(I245-1))</f>
        <v>19200</v>
      </c>
      <c r="V245" s="0" t="str">
        <f>INDEX('Account executives'!$B$2:$B$25,MATCH(C245,'Account executives'!$A$2:$A$25,0))</f>
        <v>apac</v>
      </c>
      <c r="W245" s="0" t="str">
        <f>INDEX('Account executives'!$C$2:$C$25,MATCH(C245,'Account executives'!$A$2:$A$25,0))</f>
        <v>mid_market</v>
      </c>
      <c r="X245" s="0" t="str">
        <f>SUBSTITUTE(LOWER(INDEX('Periods'!$G$2:$G$22,MATCH(N245,'Periods'!$A$2:$A$22,0)))," ","_")</f>
        <v>q2_2026</v>
      </c>
    </row>
    <row r="246">
      <c r="A246" s="0" t="inlineStr">
        <is>
          <t xml:space="preserve">o0245</t>
        </is>
      </c>
      <c r="B246" s="0" t="inlineStr">
        <is>
          <t xml:space="preserve">a1141</t>
        </is>
      </c>
      <c r="C246" s="0" t="inlineStr">
        <is>
          <t xml:space="preserve">r21</t>
        </is>
      </c>
      <c r="D246" s="0" t="inlineStr">
        <is>
          <t xml:space="preserve">s_apac_out</t>
        </is>
      </c>
      <c r="E246" s="0" t="inlineStr">
        <is>
          <t xml:space="preserve">outbound</t>
        </is>
      </c>
      <c r="F246" s="0" t="inlineStr">
        <is>
          <t xml:space="preserve">negotiation</t>
        </is>
      </c>
      <c r="G246" s="4">
        <v>1</v>
      </c>
      <c r="H246" s="4">
        <v>28200</v>
      </c>
      <c r="I246" s="4">
        <v>2</v>
      </c>
      <c r="J246" s="4">
        <v>1</v>
      </c>
      <c r="K246" s="16">
        <v>46219</v>
      </c>
      <c r="L246" s="16">
        <v>46328</v>
      </c>
      <c r="M246" s="0" t="inlineStr">
        <is>
          <t xml:space="preserve">jul26</t>
        </is>
      </c>
      <c r="N246" s="0" t="inlineStr">
        <is>
          <t xml:space="preserve">nov26</t>
        </is>
      </c>
      <c r="O246" s="4">
        <v>76</v>
      </c>
      <c r="P246" s="4">
        <v>0</v>
      </c>
      <c r="Q246" s="4">
        <v>0</v>
      </c>
      <c r="R246" s="4">
        <v>1</v>
      </c>
      <c r="S246" s="4">
        <f>(H246*INDEX('Stages'!$D$2:$D$7,MATCH(F246,'Stages'!$A$2:$A$7,0)))</f>
        <v>21150</v>
      </c>
      <c r="T246" s="4">
        <f>(H246*I246)</f>
        <v>56400</v>
      </c>
      <c r="U246" s="4">
        <f>(H246*(I246-1))</f>
        <v>28200</v>
      </c>
      <c r="V246" s="0" t="str">
        <f>INDEX('Account executives'!$B$2:$B$25,MATCH(C246,'Account executives'!$A$2:$A$25,0))</f>
        <v>apac</v>
      </c>
      <c r="W246" s="0" t="str">
        <f>INDEX('Account executives'!$C$2:$C$25,MATCH(C246,'Account executives'!$A$2:$A$25,0))</f>
        <v>mid_market</v>
      </c>
      <c r="X246" s="0" t="str">
        <f>SUBSTITUTE(LOWER(INDEX('Periods'!$G$2:$G$22,MATCH(N246,'Periods'!$A$2:$A$22,0)))," ","_")</f>
        <v>q4_2026</v>
      </c>
    </row>
    <row r="247">
      <c r="A247" s="0" t="inlineStr">
        <is>
          <t xml:space="preserve">o0246</t>
        </is>
      </c>
      <c r="B247" s="0" t="inlineStr">
        <is>
          <t xml:space="preserve">a0257</t>
        </is>
      </c>
      <c r="C247" s="0" t="inlineStr">
        <is>
          <t xml:space="preserve">r09</t>
        </is>
      </c>
      <c r="D247" s="0" t="inlineStr">
        <is>
          <t xml:space="preserve">s_amer_west_in</t>
        </is>
      </c>
      <c r="E247" s="0" t="inlineStr">
        <is>
          <t xml:space="preserve">inbound</t>
        </is>
      </c>
      <c r="F247" s="0" t="inlineStr">
        <is>
          <t xml:space="preserve">closed_lost</t>
        </is>
      </c>
      <c r="G247" s="4">
        <v>1</v>
      </c>
      <c r="H247" s="4">
        <v>25400</v>
      </c>
      <c r="I247" s="4">
        <v>2</v>
      </c>
      <c r="J247" s="4">
        <v>1</v>
      </c>
      <c r="K247" s="16">
        <v>45844</v>
      </c>
      <c r="L247" s="16">
        <v>45917</v>
      </c>
      <c r="M247" s="0" t="inlineStr">
        <is>
          <t xml:space="preserve">jul25</t>
        </is>
      </c>
      <c r="N247" s="0" t="inlineStr">
        <is>
          <t xml:space="preserve">sep25</t>
        </is>
      </c>
      <c r="O247" s="4">
        <v>73</v>
      </c>
      <c r="P247" s="4">
        <v>0</v>
      </c>
      <c r="Q247" s="4">
        <v>1</v>
      </c>
      <c r="R247" s="4">
        <v>0</v>
      </c>
      <c r="S247" s="4">
        <f>(H247*INDEX('Stages'!$D$2:$D$7,MATCH(F247,'Stages'!$A$2:$A$7,0)))</f>
        <v>0</v>
      </c>
      <c r="T247" s="4">
        <f>(H247*I247)</f>
        <v>50800</v>
      </c>
      <c r="U247" s="4">
        <f>(H247*(I247-1))</f>
        <v>25400</v>
      </c>
      <c r="V247" s="0" t="str">
        <f>INDEX('Account executives'!$B$2:$B$25,MATCH(C247,'Account executives'!$A$2:$A$25,0))</f>
        <v>amer_west</v>
      </c>
      <c r="W247" s="0" t="str">
        <f>INDEX('Account executives'!$C$2:$C$25,MATCH(C247,'Account executives'!$A$2:$A$25,0))</f>
        <v>mid_market</v>
      </c>
      <c r="X247" s="0" t="str">
        <f>SUBSTITUTE(LOWER(INDEX('Periods'!$G$2:$G$22,MATCH(N247,'Periods'!$A$2:$A$22,0)))," ","_")</f>
        <v>q3_2025</v>
      </c>
    </row>
    <row r="248">
      <c r="A248" s="0" t="inlineStr">
        <is>
          <t xml:space="preserve">o0247</t>
        </is>
      </c>
      <c r="B248" s="0" t="inlineStr">
        <is>
          <t xml:space="preserve">a0408</t>
        </is>
      </c>
      <c r="C248" s="0" t="inlineStr">
        <is>
          <t xml:space="preserve">r22</t>
        </is>
      </c>
      <c r="D248" s="0" t="inlineStr">
        <is>
          <t xml:space="preserve">s_apac_in</t>
        </is>
      </c>
      <c r="E248" s="0" t="inlineStr">
        <is>
          <t xml:space="preserve">paid</t>
        </is>
      </c>
      <c r="F248" s="0" t="inlineStr">
        <is>
          <t xml:space="preserve">closed_lost</t>
        </is>
      </c>
      <c r="G248" s="4">
        <v>0</v>
      </c>
      <c r="H248" s="4">
        <v>23800</v>
      </c>
      <c r="I248" s="4">
        <v>1</v>
      </c>
      <c r="J248" s="4">
        <v>1</v>
      </c>
      <c r="K248" s="16">
        <v>45936</v>
      </c>
      <c r="L248" s="16">
        <v>46008</v>
      </c>
      <c r="M248" s="0" t="inlineStr">
        <is>
          <t xml:space="preserve">oct25</t>
        </is>
      </c>
      <c r="N248" s="0" t="inlineStr">
        <is>
          <t xml:space="preserve">dec25</t>
        </is>
      </c>
      <c r="O248" s="4">
        <v>72</v>
      </c>
      <c r="P248" s="4">
        <v>0</v>
      </c>
      <c r="Q248" s="4">
        <v>1</v>
      </c>
      <c r="R248" s="4">
        <v>0</v>
      </c>
      <c r="S248" s="4">
        <f>(H248*INDEX('Stages'!$D$2:$D$7,MATCH(F248,'Stages'!$A$2:$A$7,0)))</f>
        <v>0</v>
      </c>
      <c r="T248" s="4">
        <f>(H248*I248)</f>
        <v>23800</v>
      </c>
      <c r="U248" s="4">
        <f>(H248*(I248-1))</f>
        <v>0</v>
      </c>
      <c r="V248" s="0" t="str">
        <f>INDEX('Account executives'!$B$2:$B$25,MATCH(C248,'Account executives'!$A$2:$A$25,0))</f>
        <v>apac</v>
      </c>
      <c r="W248" s="0" t="str">
        <f>INDEX('Account executives'!$C$2:$C$25,MATCH(C248,'Account executives'!$A$2:$A$25,0))</f>
        <v>mid_market</v>
      </c>
      <c r="X248" s="0" t="str">
        <f>SUBSTITUTE(LOWER(INDEX('Periods'!$G$2:$G$22,MATCH(N248,'Periods'!$A$2:$A$22,0)))," ","_")</f>
        <v>q4_2025</v>
      </c>
    </row>
    <row r="249">
      <c r="A249" s="0" t="inlineStr">
        <is>
          <t xml:space="preserve">o0248</t>
        </is>
      </c>
      <c r="B249" s="0" t="inlineStr">
        <is>
          <t xml:space="preserve">a0979</t>
        </is>
      </c>
      <c r="C249" s="0" t="inlineStr">
        <is>
          <t xml:space="preserve">r12</t>
        </is>
      </c>
      <c r="D249" s="0" t="inlineStr">
        <is>
          <t xml:space="preserve">s_amer_west_in</t>
        </is>
      </c>
      <c r="E249" s="0" t="inlineStr">
        <is>
          <t xml:space="preserve">inbound</t>
        </is>
      </c>
      <c r="F249" s="0" t="inlineStr">
        <is>
          <t xml:space="preserve">closed_lost</t>
        </is>
      </c>
      <c r="G249" s="4">
        <v>1</v>
      </c>
      <c r="H249" s="4">
        <v>13400</v>
      </c>
      <c r="I249" s="4">
        <v>1</v>
      </c>
      <c r="J249" s="4">
        <v>0</v>
      </c>
      <c r="K249" s="16">
        <v>46193</v>
      </c>
      <c r="L249" s="16">
        <v>46230</v>
      </c>
      <c r="M249" s="0" t="inlineStr">
        <is>
          <t xml:space="preserve">jun26</t>
        </is>
      </c>
      <c r="N249" s="0" t="inlineStr">
        <is>
          <t xml:space="preserve">jul26</t>
        </is>
      </c>
      <c r="O249" s="4">
        <v>37</v>
      </c>
      <c r="P249" s="4">
        <v>0</v>
      </c>
      <c r="Q249" s="4">
        <v>1</v>
      </c>
      <c r="R249" s="4">
        <v>0</v>
      </c>
      <c r="S249" s="4">
        <f>(H249*INDEX('Stages'!$D$2:$D$7,MATCH(F249,'Stages'!$A$2:$A$7,0)))</f>
        <v>0</v>
      </c>
      <c r="T249" s="4">
        <f>(H249*I249)</f>
        <v>13400</v>
      </c>
      <c r="U249" s="4">
        <f>(H249*(I249-1))</f>
        <v>0</v>
      </c>
      <c r="V249" s="0" t="str">
        <f>INDEX('Account executives'!$B$2:$B$25,MATCH(C249,'Account executives'!$A$2:$A$25,0))</f>
        <v>amer_west</v>
      </c>
      <c r="W249" s="0" t="str">
        <f>INDEX('Account executives'!$C$2:$C$25,MATCH(C249,'Account executives'!$A$2:$A$25,0))</f>
        <v>smb</v>
      </c>
      <c r="X249" s="0" t="str">
        <f>SUBSTITUTE(LOWER(INDEX('Periods'!$G$2:$G$22,MATCH(N249,'Periods'!$A$2:$A$22,0)))," ","_")</f>
        <v>q3_2026</v>
      </c>
    </row>
    <row r="250">
      <c r="A250" s="0" t="inlineStr">
        <is>
          <t xml:space="preserve">o0249</t>
        </is>
      </c>
      <c r="B250" s="0" t="inlineStr">
        <is>
          <t xml:space="preserve">a0803</t>
        </is>
      </c>
      <c r="C250" s="0" t="inlineStr">
        <is>
          <t xml:space="preserve">r22</t>
        </is>
      </c>
      <c r="D250" s="0"/>
      <c r="E250" s="0" t="inlineStr">
        <is>
          <t xml:space="preserve">events</t>
        </is>
      </c>
      <c r="F250" s="0" t="inlineStr">
        <is>
          <t xml:space="preserve">closed_won</t>
        </is>
      </c>
      <c r="G250" s="4">
        <v>1</v>
      </c>
      <c r="H250" s="4">
        <v>40800</v>
      </c>
      <c r="I250" s="4">
        <v>1</v>
      </c>
      <c r="J250" s="4">
        <v>0</v>
      </c>
      <c r="K250" s="16">
        <v>46106</v>
      </c>
      <c r="L250" s="16">
        <v>46161</v>
      </c>
      <c r="M250" s="0" t="inlineStr">
        <is>
          <t xml:space="preserve">mar26</t>
        </is>
      </c>
      <c r="N250" s="0" t="inlineStr">
        <is>
          <t xml:space="preserve">may26</t>
        </is>
      </c>
      <c r="O250" s="4">
        <v>55</v>
      </c>
      <c r="P250" s="4">
        <v>1</v>
      </c>
      <c r="Q250" s="4">
        <v>0</v>
      </c>
      <c r="R250" s="4">
        <v>0</v>
      </c>
      <c r="S250" s="4">
        <f>(H250*INDEX('Stages'!$D$2:$D$7,MATCH(F250,'Stages'!$A$2:$A$7,0)))</f>
        <v>40800</v>
      </c>
      <c r="T250" s="4">
        <f>(H250*I250)</f>
        <v>40800</v>
      </c>
      <c r="U250" s="4">
        <f>(H250*(I250-1))</f>
        <v>0</v>
      </c>
      <c r="V250" s="0" t="str">
        <f>INDEX('Account executives'!$B$2:$B$25,MATCH(C250,'Account executives'!$A$2:$A$25,0))</f>
        <v>apac</v>
      </c>
      <c r="W250" s="0" t="str">
        <f>INDEX('Account executives'!$C$2:$C$25,MATCH(C250,'Account executives'!$A$2:$A$25,0))</f>
        <v>mid_market</v>
      </c>
      <c r="X250" s="0" t="str">
        <f>SUBSTITUTE(LOWER(INDEX('Periods'!$G$2:$G$22,MATCH(N250,'Periods'!$A$2:$A$22,0)))," ","_")</f>
        <v>q2_2026</v>
      </c>
    </row>
    <row r="251">
      <c r="A251" s="0" t="inlineStr">
        <is>
          <t xml:space="preserve">o0250</t>
        </is>
      </c>
      <c r="B251" s="0" t="inlineStr">
        <is>
          <t xml:space="preserve">a0359</t>
        </is>
      </c>
      <c r="C251" s="0" t="inlineStr">
        <is>
          <t xml:space="preserve">r24</t>
        </is>
      </c>
      <c r="D251" s="0" t="inlineStr">
        <is>
          <t xml:space="preserve">s_apac_out</t>
        </is>
      </c>
      <c r="E251" s="0" t="inlineStr">
        <is>
          <t xml:space="preserve">outbound</t>
        </is>
      </c>
      <c r="F251" s="0" t="inlineStr">
        <is>
          <t xml:space="preserve">closed_lost</t>
        </is>
      </c>
      <c r="G251" s="4">
        <v>1</v>
      </c>
      <c r="H251" s="4">
        <v>10100</v>
      </c>
      <c r="I251" s="4">
        <v>1</v>
      </c>
      <c r="J251" s="4">
        <v>1</v>
      </c>
      <c r="K251" s="16">
        <v>45895</v>
      </c>
      <c r="L251" s="16">
        <v>45917</v>
      </c>
      <c r="M251" s="0" t="inlineStr">
        <is>
          <t xml:space="preserve">aug25</t>
        </is>
      </c>
      <c r="N251" s="0" t="inlineStr">
        <is>
          <t xml:space="preserve">sep25</t>
        </is>
      </c>
      <c r="O251" s="4">
        <v>22</v>
      </c>
      <c r="P251" s="4">
        <v>0</v>
      </c>
      <c r="Q251" s="4">
        <v>1</v>
      </c>
      <c r="R251" s="4">
        <v>0</v>
      </c>
      <c r="S251" s="4">
        <f>(H251*INDEX('Stages'!$D$2:$D$7,MATCH(F251,'Stages'!$A$2:$A$7,0)))</f>
        <v>0</v>
      </c>
      <c r="T251" s="4">
        <f>(H251*I251)</f>
        <v>10100</v>
      </c>
      <c r="U251" s="4">
        <f>(H251*(I251-1))</f>
        <v>0</v>
      </c>
      <c r="V251" s="0" t="str">
        <f>INDEX('Account executives'!$B$2:$B$25,MATCH(C251,'Account executives'!$A$2:$A$25,0))</f>
        <v>apac</v>
      </c>
      <c r="W251" s="0" t="str">
        <f>INDEX('Account executives'!$C$2:$C$25,MATCH(C251,'Account executives'!$A$2:$A$25,0))</f>
        <v>smb</v>
      </c>
      <c r="X251" s="0" t="str">
        <f>SUBSTITUTE(LOWER(INDEX('Periods'!$G$2:$G$22,MATCH(N251,'Periods'!$A$2:$A$22,0)))," ","_")</f>
        <v>q3_2025</v>
      </c>
    </row>
    <row r="252">
      <c r="A252" s="0" t="inlineStr">
        <is>
          <t xml:space="preserve">o0251</t>
        </is>
      </c>
      <c r="B252" s="0" t="inlineStr">
        <is>
          <t xml:space="preserve">a1035</t>
        </is>
      </c>
      <c r="C252" s="0" t="inlineStr">
        <is>
          <t xml:space="preserve">r18</t>
        </is>
      </c>
      <c r="D252" s="0"/>
      <c r="E252" s="0" t="inlineStr">
        <is>
          <t xml:space="preserve">referral</t>
        </is>
      </c>
      <c r="F252" s="0" t="inlineStr">
        <is>
          <t xml:space="preserve">closed_won</t>
        </is>
      </c>
      <c r="G252" s="4">
        <v>1</v>
      </c>
      <c r="H252" s="4">
        <v>11800</v>
      </c>
      <c r="I252" s="4">
        <v>1</v>
      </c>
      <c r="J252" s="4">
        <v>0</v>
      </c>
      <c r="K252" s="16">
        <v>46198</v>
      </c>
      <c r="L252" s="16">
        <v>46218</v>
      </c>
      <c r="M252" s="0" t="inlineStr">
        <is>
          <t xml:space="preserve">jun26</t>
        </is>
      </c>
      <c r="N252" s="0" t="inlineStr">
        <is>
          <t xml:space="preserve">jul26</t>
        </is>
      </c>
      <c r="O252" s="4">
        <v>20</v>
      </c>
      <c r="P252" s="4">
        <v>1</v>
      </c>
      <c r="Q252" s="4">
        <v>0</v>
      </c>
      <c r="R252" s="4">
        <v>0</v>
      </c>
      <c r="S252" s="4">
        <f>(H252*INDEX('Stages'!$D$2:$D$7,MATCH(F252,'Stages'!$A$2:$A$7,0)))</f>
        <v>11800</v>
      </c>
      <c r="T252" s="4">
        <f>(H252*I252)</f>
        <v>11800</v>
      </c>
      <c r="U252" s="4">
        <f>(H252*(I252-1))</f>
        <v>0</v>
      </c>
      <c r="V252" s="0" t="str">
        <f>INDEX('Account executives'!$B$2:$B$25,MATCH(C252,'Account executives'!$A$2:$A$25,0))</f>
        <v>emea</v>
      </c>
      <c r="W252" s="0" t="str">
        <f>INDEX('Account executives'!$C$2:$C$25,MATCH(C252,'Account executives'!$A$2:$A$25,0))</f>
        <v>smb</v>
      </c>
      <c r="X252" s="0" t="str">
        <f>SUBSTITUTE(LOWER(INDEX('Periods'!$G$2:$G$22,MATCH(N252,'Periods'!$A$2:$A$22,0)))," ","_")</f>
        <v>q3_2026</v>
      </c>
    </row>
    <row r="253">
      <c r="A253" s="0" t="inlineStr">
        <is>
          <t xml:space="preserve">o0252</t>
        </is>
      </c>
      <c r="B253" s="0" t="inlineStr">
        <is>
          <t xml:space="preserve">a0735</t>
        </is>
      </c>
      <c r="C253" s="0" t="inlineStr">
        <is>
          <t xml:space="preserve">r04</t>
        </is>
      </c>
      <c r="D253" s="0"/>
      <c r="E253" s="0" t="inlineStr">
        <is>
          <t xml:space="preserve">events</t>
        </is>
      </c>
      <c r="F253" s="0" t="inlineStr">
        <is>
          <t xml:space="preserve">closed_lost</t>
        </is>
      </c>
      <c r="G253" s="4">
        <v>1</v>
      </c>
      <c r="H253" s="4">
        <v>47900</v>
      </c>
      <c r="I253" s="4">
        <v>1</v>
      </c>
      <c r="J253" s="4">
        <v>1</v>
      </c>
      <c r="K253" s="16">
        <v>46105</v>
      </c>
      <c r="L253" s="16">
        <v>46142</v>
      </c>
      <c r="M253" s="0" t="inlineStr">
        <is>
          <t xml:space="preserve">mar26</t>
        </is>
      </c>
      <c r="N253" s="0" t="inlineStr">
        <is>
          <t xml:space="preserve">apr26</t>
        </is>
      </c>
      <c r="O253" s="4">
        <v>37</v>
      </c>
      <c r="P253" s="4">
        <v>0</v>
      </c>
      <c r="Q253" s="4">
        <v>1</v>
      </c>
      <c r="R253" s="4">
        <v>0</v>
      </c>
      <c r="S253" s="4">
        <f>(H253*INDEX('Stages'!$D$2:$D$7,MATCH(F253,'Stages'!$A$2:$A$7,0)))</f>
        <v>0</v>
      </c>
      <c r="T253" s="4">
        <f>(H253*I253)</f>
        <v>47900</v>
      </c>
      <c r="U253" s="4">
        <f>(H253*(I253-1))</f>
        <v>0</v>
      </c>
      <c r="V253" s="0" t="str">
        <f>INDEX('Account executives'!$B$2:$B$25,MATCH(C253,'Account executives'!$A$2:$A$25,0))</f>
        <v>amer_east</v>
      </c>
      <c r="W253" s="0" t="str">
        <f>INDEX('Account executives'!$C$2:$C$25,MATCH(C253,'Account executives'!$A$2:$A$25,0))</f>
        <v>mid_market</v>
      </c>
      <c r="X253" s="0" t="str">
        <f>SUBSTITUTE(LOWER(INDEX('Periods'!$G$2:$G$22,MATCH(N253,'Periods'!$A$2:$A$22,0)))," ","_")</f>
        <v>q2_2026</v>
      </c>
    </row>
    <row r="254">
      <c r="A254" s="0" t="inlineStr">
        <is>
          <t xml:space="preserve">o0253</t>
        </is>
      </c>
      <c r="B254" s="0" t="inlineStr">
        <is>
          <t xml:space="preserve">a0057</t>
        </is>
      </c>
      <c r="C254" s="0" t="inlineStr">
        <is>
          <t xml:space="preserve">r21</t>
        </is>
      </c>
      <c r="D254" s="0" t="inlineStr">
        <is>
          <t xml:space="preserve">s_apac_in</t>
        </is>
      </c>
      <c r="E254" s="0" t="inlineStr">
        <is>
          <t xml:space="preserve">inbound</t>
        </is>
      </c>
      <c r="F254" s="0" t="inlineStr">
        <is>
          <t xml:space="preserve">closed_lost</t>
        </is>
      </c>
      <c r="G254" s="4">
        <v>0</v>
      </c>
      <c r="H254" s="4">
        <v>20500</v>
      </c>
      <c r="I254" s="4">
        <v>1</v>
      </c>
      <c r="J254" s="4">
        <v>1</v>
      </c>
      <c r="K254" s="16">
        <v>45835</v>
      </c>
      <c r="L254" s="16">
        <v>45928</v>
      </c>
      <c r="M254" s="0" t="inlineStr">
        <is>
          <t xml:space="preserve">jun25</t>
        </is>
      </c>
      <c r="N254" s="0" t="inlineStr">
        <is>
          <t xml:space="preserve">sep25</t>
        </is>
      </c>
      <c r="O254" s="4">
        <v>93</v>
      </c>
      <c r="P254" s="4">
        <v>0</v>
      </c>
      <c r="Q254" s="4">
        <v>1</v>
      </c>
      <c r="R254" s="4">
        <v>0</v>
      </c>
      <c r="S254" s="4">
        <f>(H254*INDEX('Stages'!$D$2:$D$7,MATCH(F254,'Stages'!$A$2:$A$7,0)))</f>
        <v>0</v>
      </c>
      <c r="T254" s="4">
        <f>(H254*I254)</f>
        <v>20500</v>
      </c>
      <c r="U254" s="4">
        <f>(H254*(I254-1))</f>
        <v>0</v>
      </c>
      <c r="V254" s="0" t="str">
        <f>INDEX('Account executives'!$B$2:$B$25,MATCH(C254,'Account executives'!$A$2:$A$25,0))</f>
        <v>apac</v>
      </c>
      <c r="W254" s="0" t="str">
        <f>INDEX('Account executives'!$C$2:$C$25,MATCH(C254,'Account executives'!$A$2:$A$25,0))</f>
        <v>mid_market</v>
      </c>
      <c r="X254" s="0" t="str">
        <f>SUBSTITUTE(LOWER(INDEX('Periods'!$G$2:$G$22,MATCH(N254,'Periods'!$A$2:$A$22,0)))," ","_")</f>
        <v>q3_2025</v>
      </c>
    </row>
    <row r="255">
      <c r="A255" s="0" t="inlineStr">
        <is>
          <t xml:space="preserve">o0254</t>
        </is>
      </c>
      <c r="B255" s="0" t="inlineStr">
        <is>
          <t xml:space="preserve">a0064</t>
        </is>
      </c>
      <c r="C255" s="0" t="inlineStr">
        <is>
          <t xml:space="preserve">r05</t>
        </is>
      </c>
      <c r="D255" s="0" t="inlineStr">
        <is>
          <t xml:space="preserve">s_amer_east_in</t>
        </is>
      </c>
      <c r="E255" s="0" t="inlineStr">
        <is>
          <t xml:space="preserve">inbound</t>
        </is>
      </c>
      <c r="F255" s="0" t="inlineStr">
        <is>
          <t xml:space="preserve">closed_lost</t>
        </is>
      </c>
      <c r="G255" s="4">
        <v>1</v>
      </c>
      <c r="H255" s="4">
        <v>11100</v>
      </c>
      <c r="I255" s="4">
        <v>1</v>
      </c>
      <c r="J255" s="4">
        <v>0</v>
      </c>
      <c r="K255" s="16">
        <v>45800</v>
      </c>
      <c r="L255" s="16">
        <v>45811</v>
      </c>
      <c r="M255" s="0" t="inlineStr">
        <is>
          <t xml:space="preserve">may25</t>
        </is>
      </c>
      <c r="N255" s="0" t="inlineStr">
        <is>
          <t xml:space="preserve">jun25</t>
        </is>
      </c>
      <c r="O255" s="4">
        <v>11</v>
      </c>
      <c r="P255" s="4">
        <v>0</v>
      </c>
      <c r="Q255" s="4">
        <v>1</v>
      </c>
      <c r="R255" s="4">
        <v>0</v>
      </c>
      <c r="S255" s="4">
        <f>(H255*INDEX('Stages'!$D$2:$D$7,MATCH(F255,'Stages'!$A$2:$A$7,0)))</f>
        <v>0</v>
      </c>
      <c r="T255" s="4">
        <f>(H255*I255)</f>
        <v>11100</v>
      </c>
      <c r="U255" s="4">
        <f>(H255*(I255-1))</f>
        <v>0</v>
      </c>
      <c r="V255" s="0" t="str">
        <f>INDEX('Account executives'!$B$2:$B$25,MATCH(C255,'Account executives'!$A$2:$A$25,0))</f>
        <v>amer_east</v>
      </c>
      <c r="W255" s="0" t="str">
        <f>INDEX('Account executives'!$C$2:$C$25,MATCH(C255,'Account executives'!$A$2:$A$25,0))</f>
        <v>smb</v>
      </c>
      <c r="X255" s="0" t="str">
        <f>SUBSTITUTE(LOWER(INDEX('Periods'!$G$2:$G$22,MATCH(N255,'Periods'!$A$2:$A$22,0)))," ","_")</f>
        <v>q2_2025</v>
      </c>
    </row>
    <row r="256">
      <c r="A256" s="0" t="inlineStr">
        <is>
          <t xml:space="preserve">o0255</t>
        </is>
      </c>
      <c r="B256" s="0" t="inlineStr">
        <is>
          <t xml:space="preserve">a0106</t>
        </is>
      </c>
      <c r="C256" s="0" t="inlineStr">
        <is>
          <t xml:space="preserve">r11</t>
        </is>
      </c>
      <c r="D256" s="0" t="inlineStr">
        <is>
          <t xml:space="preserve">s_amer_west_out</t>
        </is>
      </c>
      <c r="E256" s="0" t="inlineStr">
        <is>
          <t xml:space="preserve">outbound</t>
        </is>
      </c>
      <c r="F256" s="0" t="inlineStr">
        <is>
          <t xml:space="preserve">closed_lost</t>
        </is>
      </c>
      <c r="G256" s="4">
        <v>1</v>
      </c>
      <c r="H256" s="4">
        <v>13600</v>
      </c>
      <c r="I256" s="4">
        <v>1</v>
      </c>
      <c r="J256" s="4">
        <v>1</v>
      </c>
      <c r="K256" s="16">
        <v>45782</v>
      </c>
      <c r="L256" s="16">
        <v>45797</v>
      </c>
      <c r="M256" s="0" t="inlineStr">
        <is>
          <t xml:space="preserve">may25</t>
        </is>
      </c>
      <c r="N256" s="0" t="inlineStr">
        <is>
          <t xml:space="preserve">may25</t>
        </is>
      </c>
      <c r="O256" s="4">
        <v>15</v>
      </c>
      <c r="P256" s="4">
        <v>0</v>
      </c>
      <c r="Q256" s="4">
        <v>1</v>
      </c>
      <c r="R256" s="4">
        <v>0</v>
      </c>
      <c r="S256" s="4">
        <f>(H256*INDEX('Stages'!$D$2:$D$7,MATCH(F256,'Stages'!$A$2:$A$7,0)))</f>
        <v>0</v>
      </c>
      <c r="T256" s="4">
        <f>(H256*I256)</f>
        <v>13600</v>
      </c>
      <c r="U256" s="4">
        <f>(H256*(I256-1))</f>
        <v>0</v>
      </c>
      <c r="V256" s="0" t="str">
        <f>INDEX('Account executives'!$B$2:$B$25,MATCH(C256,'Account executives'!$A$2:$A$25,0))</f>
        <v>amer_west</v>
      </c>
      <c r="W256" s="0" t="str">
        <f>INDEX('Account executives'!$C$2:$C$25,MATCH(C256,'Account executives'!$A$2:$A$25,0))</f>
        <v>smb</v>
      </c>
      <c r="X256" s="0" t="str">
        <f>SUBSTITUTE(LOWER(INDEX('Periods'!$G$2:$G$22,MATCH(N256,'Periods'!$A$2:$A$22,0)))," ","_")</f>
        <v>q2_2025</v>
      </c>
    </row>
    <row r="257">
      <c r="A257" s="0" t="inlineStr">
        <is>
          <t xml:space="preserve">o0256</t>
        </is>
      </c>
      <c r="B257" s="0" t="inlineStr">
        <is>
          <t xml:space="preserve">a0814</t>
        </is>
      </c>
      <c r="C257" s="0" t="inlineStr">
        <is>
          <t xml:space="preserve">r05</t>
        </is>
      </c>
      <c r="D257" s="0" t="inlineStr">
        <is>
          <t xml:space="preserve">s_amer_east_in</t>
        </is>
      </c>
      <c r="E257" s="0" t="inlineStr">
        <is>
          <t xml:space="preserve">inbound</t>
        </is>
      </c>
      <c r="F257" s="0" t="inlineStr">
        <is>
          <t xml:space="preserve">closed_won</t>
        </is>
      </c>
      <c r="G257" s="4">
        <v>1</v>
      </c>
      <c r="H257" s="4">
        <v>30500</v>
      </c>
      <c r="I257" s="4">
        <v>2</v>
      </c>
      <c r="J257" s="4">
        <v>0</v>
      </c>
      <c r="K257" s="16">
        <v>46138</v>
      </c>
      <c r="L257" s="16">
        <v>46145</v>
      </c>
      <c r="M257" s="0" t="inlineStr">
        <is>
          <t xml:space="preserve">apr26</t>
        </is>
      </c>
      <c r="N257" s="0" t="inlineStr">
        <is>
          <t xml:space="preserve">may26</t>
        </is>
      </c>
      <c r="O257" s="4">
        <v>7</v>
      </c>
      <c r="P257" s="4">
        <v>1</v>
      </c>
      <c r="Q257" s="4">
        <v>0</v>
      </c>
      <c r="R257" s="4">
        <v>0</v>
      </c>
      <c r="S257" s="4">
        <f>(H257*INDEX('Stages'!$D$2:$D$7,MATCH(F257,'Stages'!$A$2:$A$7,0)))</f>
        <v>30500</v>
      </c>
      <c r="T257" s="4">
        <f>(H257*I257)</f>
        <v>61000</v>
      </c>
      <c r="U257" s="4">
        <f>(H257*(I257-1))</f>
        <v>30500</v>
      </c>
      <c r="V257" s="0" t="str">
        <f>INDEX('Account executives'!$B$2:$B$25,MATCH(C257,'Account executives'!$A$2:$A$25,0))</f>
        <v>amer_east</v>
      </c>
      <c r="W257" s="0" t="str">
        <f>INDEX('Account executives'!$C$2:$C$25,MATCH(C257,'Account executives'!$A$2:$A$25,0))</f>
        <v>smb</v>
      </c>
      <c r="X257" s="0" t="str">
        <f>SUBSTITUTE(LOWER(INDEX('Periods'!$G$2:$G$22,MATCH(N257,'Periods'!$A$2:$A$22,0)))," ","_")</f>
        <v>q2_2026</v>
      </c>
    </row>
    <row r="258">
      <c r="A258" s="0" t="inlineStr">
        <is>
          <t xml:space="preserve">o0257</t>
        </is>
      </c>
      <c r="B258" s="0" t="inlineStr">
        <is>
          <t xml:space="preserve">a0885</t>
        </is>
      </c>
      <c r="C258" s="0" t="inlineStr">
        <is>
          <t xml:space="preserve">r24</t>
        </is>
      </c>
      <c r="D258" s="0" t="inlineStr">
        <is>
          <t xml:space="preserve">s_apac_out</t>
        </is>
      </c>
      <c r="E258" s="0" t="inlineStr">
        <is>
          <t xml:space="preserve">outbound</t>
        </is>
      </c>
      <c r="F258" s="0" t="inlineStr">
        <is>
          <t xml:space="preserve">closed_lost</t>
        </is>
      </c>
      <c r="G258" s="4">
        <v>1</v>
      </c>
      <c r="H258" s="4">
        <v>18600</v>
      </c>
      <c r="I258" s="4">
        <v>1</v>
      </c>
      <c r="J258" s="4">
        <v>0</v>
      </c>
      <c r="K258" s="16">
        <v>46120</v>
      </c>
      <c r="L258" s="16">
        <v>46149</v>
      </c>
      <c r="M258" s="0" t="inlineStr">
        <is>
          <t xml:space="preserve">apr26</t>
        </is>
      </c>
      <c r="N258" s="0" t="inlineStr">
        <is>
          <t xml:space="preserve">may26</t>
        </is>
      </c>
      <c r="O258" s="4">
        <v>29</v>
      </c>
      <c r="P258" s="4">
        <v>0</v>
      </c>
      <c r="Q258" s="4">
        <v>1</v>
      </c>
      <c r="R258" s="4">
        <v>0</v>
      </c>
      <c r="S258" s="4">
        <f>(H258*INDEX('Stages'!$D$2:$D$7,MATCH(F258,'Stages'!$A$2:$A$7,0)))</f>
        <v>0</v>
      </c>
      <c r="T258" s="4">
        <f>(H258*I258)</f>
        <v>18600</v>
      </c>
      <c r="U258" s="4">
        <f>(H258*(I258-1))</f>
        <v>0</v>
      </c>
      <c r="V258" s="0" t="str">
        <f>INDEX('Account executives'!$B$2:$B$25,MATCH(C258,'Account executives'!$A$2:$A$25,0))</f>
        <v>apac</v>
      </c>
      <c r="W258" s="0" t="str">
        <f>INDEX('Account executives'!$C$2:$C$25,MATCH(C258,'Account executives'!$A$2:$A$25,0))</f>
        <v>smb</v>
      </c>
      <c r="X258" s="0" t="str">
        <f>SUBSTITUTE(LOWER(INDEX('Periods'!$G$2:$G$22,MATCH(N258,'Periods'!$A$2:$A$22,0)))," ","_")</f>
        <v>q2_2026</v>
      </c>
    </row>
    <row r="259">
      <c r="A259" s="0" t="inlineStr">
        <is>
          <t xml:space="preserve">o0258</t>
        </is>
      </c>
      <c r="B259" s="0" t="inlineStr">
        <is>
          <t xml:space="preserve">a0721</t>
        </is>
      </c>
      <c r="C259" s="0" t="inlineStr">
        <is>
          <t xml:space="preserve">r05</t>
        </is>
      </c>
      <c r="D259" s="0" t="inlineStr">
        <is>
          <t xml:space="preserve">s_amer_east_in</t>
        </is>
      </c>
      <c r="E259" s="0" t="inlineStr">
        <is>
          <t xml:space="preserve">inbound</t>
        </is>
      </c>
      <c r="F259" s="0" t="inlineStr">
        <is>
          <t xml:space="preserve">closed_lost</t>
        </is>
      </c>
      <c r="G259" s="4">
        <v>1</v>
      </c>
      <c r="H259" s="4">
        <v>56700</v>
      </c>
      <c r="I259" s="4">
        <v>1</v>
      </c>
      <c r="J259" s="4">
        <v>1</v>
      </c>
      <c r="K259" s="16">
        <v>46093</v>
      </c>
      <c r="L259" s="16">
        <v>46133</v>
      </c>
      <c r="M259" s="0" t="inlineStr">
        <is>
          <t xml:space="preserve">mar26</t>
        </is>
      </c>
      <c r="N259" s="0" t="inlineStr">
        <is>
          <t xml:space="preserve">apr26</t>
        </is>
      </c>
      <c r="O259" s="4">
        <v>40</v>
      </c>
      <c r="P259" s="4">
        <v>0</v>
      </c>
      <c r="Q259" s="4">
        <v>1</v>
      </c>
      <c r="R259" s="4">
        <v>0</v>
      </c>
      <c r="S259" s="4">
        <f>(H259*INDEX('Stages'!$D$2:$D$7,MATCH(F259,'Stages'!$A$2:$A$7,0)))</f>
        <v>0</v>
      </c>
      <c r="T259" s="4">
        <f>(H259*I259)</f>
        <v>56700</v>
      </c>
      <c r="U259" s="4">
        <f>(H259*(I259-1))</f>
        <v>0</v>
      </c>
      <c r="V259" s="0" t="str">
        <f>INDEX('Account executives'!$B$2:$B$25,MATCH(C259,'Account executives'!$A$2:$A$25,0))</f>
        <v>amer_east</v>
      </c>
      <c r="W259" s="0" t="str">
        <f>INDEX('Account executives'!$C$2:$C$25,MATCH(C259,'Account executives'!$A$2:$A$25,0))</f>
        <v>smb</v>
      </c>
      <c r="X259" s="0" t="str">
        <f>SUBSTITUTE(LOWER(INDEX('Periods'!$G$2:$G$22,MATCH(N259,'Periods'!$A$2:$A$22,0)))," ","_")</f>
        <v>q2_2026</v>
      </c>
    </row>
    <row r="260">
      <c r="A260" s="0" t="inlineStr">
        <is>
          <t xml:space="preserve">o0259</t>
        </is>
      </c>
      <c r="B260" s="0" t="inlineStr">
        <is>
          <t xml:space="preserve">a1188</t>
        </is>
      </c>
      <c r="C260" s="0" t="inlineStr">
        <is>
          <t xml:space="preserve">r15</t>
        </is>
      </c>
      <c r="D260" s="0" t="inlineStr">
        <is>
          <t xml:space="preserve">s_emea_in</t>
        </is>
      </c>
      <c r="E260" s="0" t="inlineStr">
        <is>
          <t xml:space="preserve">paid</t>
        </is>
      </c>
      <c r="F260" s="0" t="inlineStr">
        <is>
          <t xml:space="preserve">proposal</t>
        </is>
      </c>
      <c r="G260" s="4">
        <v>1</v>
      </c>
      <c r="H260" s="4">
        <v>15000</v>
      </c>
      <c r="I260" s="4">
        <v>1</v>
      </c>
      <c r="J260" s="4">
        <v>0</v>
      </c>
      <c r="K260" s="16">
        <v>46237</v>
      </c>
      <c r="L260" s="16">
        <v>46293</v>
      </c>
      <c r="M260" s="0" t="inlineStr">
        <is>
          <t xml:space="preserve">aug26</t>
        </is>
      </c>
      <c r="N260" s="0" t="inlineStr">
        <is>
          <t xml:space="preserve">sep26</t>
        </is>
      </c>
      <c r="O260" s="4">
        <v>50</v>
      </c>
      <c r="P260" s="4">
        <v>0</v>
      </c>
      <c r="Q260" s="4">
        <v>0</v>
      </c>
      <c r="R260" s="4">
        <v>1</v>
      </c>
      <c r="S260" s="4">
        <f>(H260*INDEX('Stages'!$D$2:$D$7,MATCH(F260,'Stages'!$A$2:$A$7,0)))</f>
        <v>7500</v>
      </c>
      <c r="T260" s="4">
        <f>(H260*I260)</f>
        <v>15000</v>
      </c>
      <c r="U260" s="4">
        <f>(H260*(I260-1))</f>
        <v>0</v>
      </c>
      <c r="V260" s="0" t="str">
        <f>INDEX('Account executives'!$B$2:$B$25,MATCH(C260,'Account executives'!$A$2:$A$25,0))</f>
        <v>emea</v>
      </c>
      <c r="W260" s="0" t="str">
        <f>INDEX('Account executives'!$C$2:$C$25,MATCH(C260,'Account executives'!$A$2:$A$25,0))</f>
        <v>mid_market</v>
      </c>
      <c r="X260" s="0" t="str">
        <f>SUBSTITUTE(LOWER(INDEX('Periods'!$G$2:$G$22,MATCH(N260,'Periods'!$A$2:$A$22,0)))," ","_")</f>
        <v>q3_2026</v>
      </c>
    </row>
    <row r="261">
      <c r="A261" s="0" t="inlineStr">
        <is>
          <t xml:space="preserve">o0260</t>
        </is>
      </c>
      <c r="B261" s="0" t="inlineStr">
        <is>
          <t xml:space="preserve">a0848</t>
        </is>
      </c>
      <c r="C261" s="0" t="inlineStr">
        <is>
          <t xml:space="preserve">r07</t>
        </is>
      </c>
      <c r="D261" s="0" t="inlineStr">
        <is>
          <t xml:space="preserve">s_amer_west_in</t>
        </is>
      </c>
      <c r="E261" s="0" t="inlineStr">
        <is>
          <t xml:space="preserve">paid</t>
        </is>
      </c>
      <c r="F261" s="0" t="inlineStr">
        <is>
          <t xml:space="preserve">proposal</t>
        </is>
      </c>
      <c r="G261" s="4">
        <v>1</v>
      </c>
      <c r="H261" s="4">
        <v>166100</v>
      </c>
      <c r="I261" s="4">
        <v>3</v>
      </c>
      <c r="J261" s="4">
        <v>0</v>
      </c>
      <c r="K261" s="16">
        <v>46116</v>
      </c>
      <c r="L261" s="16">
        <v>46371</v>
      </c>
      <c r="M261" s="0" t="inlineStr">
        <is>
          <t xml:space="preserve">apr26</t>
        </is>
      </c>
      <c r="N261" s="0" t="inlineStr">
        <is>
          <t xml:space="preserve">dec26</t>
        </is>
      </c>
      <c r="O261" s="4">
        <v>177</v>
      </c>
      <c r="P261" s="4">
        <v>0</v>
      </c>
      <c r="Q261" s="4">
        <v>0</v>
      </c>
      <c r="R261" s="4">
        <v>1</v>
      </c>
      <c r="S261" s="4">
        <f>(H261*INDEX('Stages'!$D$2:$D$7,MATCH(F261,'Stages'!$A$2:$A$7,0)))</f>
        <v>83050</v>
      </c>
      <c r="T261" s="4">
        <f>(H261*I261)</f>
        <v>498300</v>
      </c>
      <c r="U261" s="4">
        <f>(H261*(I261-1))</f>
        <v>332200</v>
      </c>
      <c r="V261" s="0" t="str">
        <f>INDEX('Account executives'!$B$2:$B$25,MATCH(C261,'Account executives'!$A$2:$A$25,0))</f>
        <v>amer_west</v>
      </c>
      <c r="W261" s="0" t="str">
        <f>INDEX('Account executives'!$C$2:$C$25,MATCH(C261,'Account executives'!$A$2:$A$25,0))</f>
        <v>enterprise</v>
      </c>
      <c r="X261" s="0" t="str">
        <f>SUBSTITUTE(LOWER(INDEX('Periods'!$G$2:$G$22,MATCH(N261,'Periods'!$A$2:$A$22,0)))," ","_")</f>
        <v>q4_2026</v>
      </c>
    </row>
    <row r="262">
      <c r="A262" s="0" t="inlineStr">
        <is>
          <t xml:space="preserve">o0261</t>
        </is>
      </c>
      <c r="B262" s="0" t="inlineStr">
        <is>
          <t xml:space="preserve">a0445</t>
        </is>
      </c>
      <c r="C262" s="0" t="inlineStr">
        <is>
          <t xml:space="preserve">r13</t>
        </is>
      </c>
      <c r="D262" s="0" t="inlineStr">
        <is>
          <t xml:space="preserve">s_emea_in</t>
        </is>
      </c>
      <c r="E262" s="0" t="inlineStr">
        <is>
          <t xml:space="preserve">inbound</t>
        </is>
      </c>
      <c r="F262" s="0" t="inlineStr">
        <is>
          <t xml:space="preserve">closed_won</t>
        </is>
      </c>
      <c r="G262" s="4">
        <v>1</v>
      </c>
      <c r="H262" s="4">
        <v>510600</v>
      </c>
      <c r="I262" s="4">
        <v>2</v>
      </c>
      <c r="J262" s="4">
        <v>0</v>
      </c>
      <c r="K262" s="16">
        <v>45934</v>
      </c>
      <c r="L262" s="16">
        <v>46044</v>
      </c>
      <c r="M262" s="0" t="inlineStr">
        <is>
          <t xml:space="preserve">oct25</t>
        </is>
      </c>
      <c r="N262" s="0" t="inlineStr">
        <is>
          <t xml:space="preserve">jan26</t>
        </is>
      </c>
      <c r="O262" s="4">
        <v>110</v>
      </c>
      <c r="P262" s="4">
        <v>1</v>
      </c>
      <c r="Q262" s="4">
        <v>0</v>
      </c>
      <c r="R262" s="4">
        <v>0</v>
      </c>
      <c r="S262" s="4">
        <f>(H262*INDEX('Stages'!$D$2:$D$7,MATCH(F262,'Stages'!$A$2:$A$7,0)))</f>
        <v>510600</v>
      </c>
      <c r="T262" s="4">
        <f>(H262*I262)</f>
        <v>1021200</v>
      </c>
      <c r="U262" s="4">
        <f>(H262*(I262-1))</f>
        <v>510600</v>
      </c>
      <c r="V262" s="0" t="str">
        <f>INDEX('Account executives'!$B$2:$B$25,MATCH(C262,'Account executives'!$A$2:$A$25,0))</f>
        <v>emea</v>
      </c>
      <c r="W262" s="0" t="str">
        <f>INDEX('Account executives'!$C$2:$C$25,MATCH(C262,'Account executives'!$A$2:$A$25,0))</f>
        <v>enterprise</v>
      </c>
      <c r="X262" s="0" t="str">
        <f>SUBSTITUTE(LOWER(INDEX('Periods'!$G$2:$G$22,MATCH(N262,'Periods'!$A$2:$A$22,0)))," ","_")</f>
        <v>q1_2026</v>
      </c>
    </row>
    <row r="263">
      <c r="A263" s="0" t="inlineStr">
        <is>
          <t xml:space="preserve">o0262</t>
        </is>
      </c>
      <c r="B263" s="0" t="inlineStr">
        <is>
          <t xml:space="preserve">a0389</t>
        </is>
      </c>
      <c r="C263" s="0" t="inlineStr">
        <is>
          <t xml:space="preserve">r09</t>
        </is>
      </c>
      <c r="D263" s="0"/>
      <c r="E263" s="0" t="inlineStr">
        <is>
          <t xml:space="preserve">referral</t>
        </is>
      </c>
      <c r="F263" s="0" t="inlineStr">
        <is>
          <t xml:space="preserve">closed_lost</t>
        </is>
      </c>
      <c r="G263" s="4">
        <v>1</v>
      </c>
      <c r="H263" s="4">
        <v>26700</v>
      </c>
      <c r="I263" s="4">
        <v>1</v>
      </c>
      <c r="J263" s="4">
        <v>0</v>
      </c>
      <c r="K263" s="16">
        <v>45922</v>
      </c>
      <c r="L263" s="16">
        <v>45977</v>
      </c>
      <c r="M263" s="0" t="inlineStr">
        <is>
          <t xml:space="preserve">sep25</t>
        </is>
      </c>
      <c r="N263" s="0" t="inlineStr">
        <is>
          <t xml:space="preserve">nov25</t>
        </is>
      </c>
      <c r="O263" s="4">
        <v>55</v>
      </c>
      <c r="P263" s="4">
        <v>0</v>
      </c>
      <c r="Q263" s="4">
        <v>1</v>
      </c>
      <c r="R263" s="4">
        <v>0</v>
      </c>
      <c r="S263" s="4">
        <f>(H263*INDEX('Stages'!$D$2:$D$7,MATCH(F263,'Stages'!$A$2:$A$7,0)))</f>
        <v>0</v>
      </c>
      <c r="T263" s="4">
        <f>(H263*I263)</f>
        <v>26700</v>
      </c>
      <c r="U263" s="4">
        <f>(H263*(I263-1))</f>
        <v>0</v>
      </c>
      <c r="V263" s="0" t="str">
        <f>INDEX('Account executives'!$B$2:$B$25,MATCH(C263,'Account executives'!$A$2:$A$25,0))</f>
        <v>amer_west</v>
      </c>
      <c r="W263" s="0" t="str">
        <f>INDEX('Account executives'!$C$2:$C$25,MATCH(C263,'Account executives'!$A$2:$A$25,0))</f>
        <v>mid_market</v>
      </c>
      <c r="X263" s="0" t="str">
        <f>SUBSTITUTE(LOWER(INDEX('Periods'!$G$2:$G$22,MATCH(N263,'Periods'!$A$2:$A$22,0)))," ","_")</f>
        <v>q4_2025</v>
      </c>
    </row>
    <row r="264">
      <c r="A264" s="0" t="inlineStr">
        <is>
          <t xml:space="preserve">o0263</t>
        </is>
      </c>
      <c r="B264" s="0" t="inlineStr">
        <is>
          <t xml:space="preserve">a0265</t>
        </is>
      </c>
      <c r="C264" s="0" t="inlineStr">
        <is>
          <t xml:space="preserve">r09</t>
        </is>
      </c>
      <c r="D264" s="0" t="inlineStr">
        <is>
          <t xml:space="preserve">s_amer_west_out</t>
        </is>
      </c>
      <c r="E264" s="0" t="inlineStr">
        <is>
          <t xml:space="preserve">outbound</t>
        </is>
      </c>
      <c r="F264" s="0" t="inlineStr">
        <is>
          <t xml:space="preserve">closed_lost</t>
        </is>
      </c>
      <c r="G264" s="4">
        <v>1</v>
      </c>
      <c r="H264" s="4">
        <v>20900</v>
      </c>
      <c r="I264" s="4">
        <v>2</v>
      </c>
      <c r="J264" s="4">
        <v>0</v>
      </c>
      <c r="K264" s="16">
        <v>45843</v>
      </c>
      <c r="L264" s="16">
        <v>45905</v>
      </c>
      <c r="M264" s="0" t="inlineStr">
        <is>
          <t xml:space="preserve">jul25</t>
        </is>
      </c>
      <c r="N264" s="0" t="inlineStr">
        <is>
          <t xml:space="preserve">sep25</t>
        </is>
      </c>
      <c r="O264" s="4">
        <v>62</v>
      </c>
      <c r="P264" s="4">
        <v>0</v>
      </c>
      <c r="Q264" s="4">
        <v>1</v>
      </c>
      <c r="R264" s="4">
        <v>0</v>
      </c>
      <c r="S264" s="4">
        <f>(H264*INDEX('Stages'!$D$2:$D$7,MATCH(F264,'Stages'!$A$2:$A$7,0)))</f>
        <v>0</v>
      </c>
      <c r="T264" s="4">
        <f>(H264*I264)</f>
        <v>41800</v>
      </c>
      <c r="U264" s="4">
        <f>(H264*(I264-1))</f>
        <v>20900</v>
      </c>
      <c r="V264" s="0" t="str">
        <f>INDEX('Account executives'!$B$2:$B$25,MATCH(C264,'Account executives'!$A$2:$A$25,0))</f>
        <v>amer_west</v>
      </c>
      <c r="W264" s="0" t="str">
        <f>INDEX('Account executives'!$C$2:$C$25,MATCH(C264,'Account executives'!$A$2:$A$25,0))</f>
        <v>mid_market</v>
      </c>
      <c r="X264" s="0" t="str">
        <f>SUBSTITUTE(LOWER(INDEX('Periods'!$G$2:$G$22,MATCH(N264,'Periods'!$A$2:$A$22,0)))," ","_")</f>
        <v>q3_2025</v>
      </c>
    </row>
    <row r="265">
      <c r="A265" s="0" t="inlineStr">
        <is>
          <t xml:space="preserve">o0264</t>
        </is>
      </c>
      <c r="B265" s="0" t="inlineStr">
        <is>
          <t xml:space="preserve">a0615</t>
        </is>
      </c>
      <c r="C265" s="0" t="inlineStr">
        <is>
          <t xml:space="preserve">r03</t>
        </is>
      </c>
      <c r="D265" s="0" t="inlineStr">
        <is>
          <t xml:space="preserve">s_amer_east_out</t>
        </is>
      </c>
      <c r="E265" s="0" t="inlineStr">
        <is>
          <t xml:space="preserve">outbound</t>
        </is>
      </c>
      <c r="F265" s="0" t="inlineStr">
        <is>
          <t xml:space="preserve">closed_won</t>
        </is>
      </c>
      <c r="G265" s="4">
        <v>1</v>
      </c>
      <c r="H265" s="4">
        <v>72600</v>
      </c>
      <c r="I265" s="4">
        <v>1</v>
      </c>
      <c r="J265" s="4">
        <v>0</v>
      </c>
      <c r="K265" s="16">
        <v>46032</v>
      </c>
      <c r="L265" s="16">
        <v>46107</v>
      </c>
      <c r="M265" s="0" t="inlineStr">
        <is>
          <t xml:space="preserve">jan26</t>
        </is>
      </c>
      <c r="N265" s="0" t="inlineStr">
        <is>
          <t xml:space="preserve">mar26</t>
        </is>
      </c>
      <c r="O265" s="4">
        <v>75</v>
      </c>
      <c r="P265" s="4">
        <v>1</v>
      </c>
      <c r="Q265" s="4">
        <v>0</v>
      </c>
      <c r="R265" s="4">
        <v>0</v>
      </c>
      <c r="S265" s="4">
        <f>(H265*INDEX('Stages'!$D$2:$D$7,MATCH(F265,'Stages'!$A$2:$A$7,0)))</f>
        <v>72600</v>
      </c>
      <c r="T265" s="4">
        <f>(H265*I265)</f>
        <v>72600</v>
      </c>
      <c r="U265" s="4">
        <f>(H265*(I265-1))</f>
        <v>0</v>
      </c>
      <c r="V265" s="0" t="str">
        <f>INDEX('Account executives'!$B$2:$B$25,MATCH(C265,'Account executives'!$A$2:$A$25,0))</f>
        <v>amer_east</v>
      </c>
      <c r="W265" s="0" t="str">
        <f>INDEX('Account executives'!$C$2:$C$25,MATCH(C265,'Account executives'!$A$2:$A$25,0))</f>
        <v>mid_market</v>
      </c>
      <c r="X265" s="0" t="str">
        <f>SUBSTITUTE(LOWER(INDEX('Periods'!$G$2:$G$22,MATCH(N265,'Periods'!$A$2:$A$22,0)))," ","_")</f>
        <v>q1_2026</v>
      </c>
    </row>
    <row r="266">
      <c r="A266" s="0" t="inlineStr">
        <is>
          <t xml:space="preserve">o0265</t>
        </is>
      </c>
      <c r="B266" s="0" t="inlineStr">
        <is>
          <t xml:space="preserve">a0446</t>
        </is>
      </c>
      <c r="C266" s="0" t="inlineStr">
        <is>
          <t xml:space="preserve">r16</t>
        </is>
      </c>
      <c r="D266" s="0"/>
      <c r="E266" s="0" t="inlineStr">
        <is>
          <t xml:space="preserve">events</t>
        </is>
      </c>
      <c r="F266" s="0" t="inlineStr">
        <is>
          <t xml:space="preserve">closed_lost</t>
        </is>
      </c>
      <c r="G266" s="4">
        <v>0</v>
      </c>
      <c r="H266" s="4">
        <v>51800</v>
      </c>
      <c r="I266" s="4">
        <v>1</v>
      </c>
      <c r="J266" s="4">
        <v>1</v>
      </c>
      <c r="K266" s="16">
        <v>46124</v>
      </c>
      <c r="L266" s="16">
        <v>46177</v>
      </c>
      <c r="M266" s="0" t="inlineStr">
        <is>
          <t xml:space="preserve">apr26</t>
        </is>
      </c>
      <c r="N266" s="0" t="inlineStr">
        <is>
          <t xml:space="preserve">jun26</t>
        </is>
      </c>
      <c r="O266" s="4">
        <v>53</v>
      </c>
      <c r="P266" s="4">
        <v>0</v>
      </c>
      <c r="Q266" s="4">
        <v>1</v>
      </c>
      <c r="R266" s="4">
        <v>0</v>
      </c>
      <c r="S266" s="4">
        <f>(H266*INDEX('Stages'!$D$2:$D$7,MATCH(F266,'Stages'!$A$2:$A$7,0)))</f>
        <v>0</v>
      </c>
      <c r="T266" s="4">
        <f>(H266*I266)</f>
        <v>51800</v>
      </c>
      <c r="U266" s="4">
        <f>(H266*(I266-1))</f>
        <v>0</v>
      </c>
      <c r="V266" s="0" t="str">
        <f>INDEX('Account executives'!$B$2:$B$25,MATCH(C266,'Account executives'!$A$2:$A$25,0))</f>
        <v>emea</v>
      </c>
      <c r="W266" s="0" t="str">
        <f>INDEX('Account executives'!$C$2:$C$25,MATCH(C266,'Account executives'!$A$2:$A$25,0))</f>
        <v>mid_market</v>
      </c>
      <c r="X266" s="0" t="str">
        <f>SUBSTITUTE(LOWER(INDEX('Periods'!$G$2:$G$22,MATCH(N266,'Periods'!$A$2:$A$22,0)))," ","_")</f>
        <v>q2_2026</v>
      </c>
    </row>
    <row r="267">
      <c r="A267" s="0" t="inlineStr">
        <is>
          <t xml:space="preserve">o0266</t>
        </is>
      </c>
      <c r="B267" s="0" t="inlineStr">
        <is>
          <t xml:space="preserve">a0278</t>
        </is>
      </c>
      <c r="C267" s="0" t="inlineStr">
        <is>
          <t xml:space="preserve">r17</t>
        </is>
      </c>
      <c r="D267" s="0" t="inlineStr">
        <is>
          <t xml:space="preserve">s_emea_in</t>
        </is>
      </c>
      <c r="E267" s="0" t="inlineStr">
        <is>
          <t xml:space="preserve">inbound</t>
        </is>
      </c>
      <c r="F267" s="0" t="inlineStr">
        <is>
          <t xml:space="preserve">closed_won</t>
        </is>
      </c>
      <c r="G267" s="4">
        <v>1</v>
      </c>
      <c r="H267" s="4">
        <v>3800</v>
      </c>
      <c r="I267" s="4">
        <v>1</v>
      </c>
      <c r="J267" s="4">
        <v>1</v>
      </c>
      <c r="K267" s="16">
        <v>45863</v>
      </c>
      <c r="L267" s="16">
        <v>45889</v>
      </c>
      <c r="M267" s="0" t="inlineStr">
        <is>
          <t xml:space="preserve">jul25</t>
        </is>
      </c>
      <c r="N267" s="0" t="inlineStr">
        <is>
          <t xml:space="preserve">aug25</t>
        </is>
      </c>
      <c r="O267" s="4">
        <v>26</v>
      </c>
      <c r="P267" s="4">
        <v>1</v>
      </c>
      <c r="Q267" s="4">
        <v>0</v>
      </c>
      <c r="R267" s="4">
        <v>0</v>
      </c>
      <c r="S267" s="4">
        <f>(H267*INDEX('Stages'!$D$2:$D$7,MATCH(F267,'Stages'!$A$2:$A$7,0)))</f>
        <v>3800</v>
      </c>
      <c r="T267" s="4">
        <f>(H267*I267)</f>
        <v>3800</v>
      </c>
      <c r="U267" s="4">
        <f>(H267*(I267-1))</f>
        <v>0</v>
      </c>
      <c r="V267" s="0" t="str">
        <f>INDEX('Account executives'!$B$2:$B$25,MATCH(C267,'Account executives'!$A$2:$A$25,0))</f>
        <v>emea</v>
      </c>
      <c r="W267" s="0" t="str">
        <f>INDEX('Account executives'!$C$2:$C$25,MATCH(C267,'Account executives'!$A$2:$A$25,0))</f>
        <v>smb</v>
      </c>
      <c r="X267" s="0" t="str">
        <f>SUBSTITUTE(LOWER(INDEX('Periods'!$G$2:$G$22,MATCH(N267,'Periods'!$A$2:$A$22,0)))," ","_")</f>
        <v>q3_2025</v>
      </c>
    </row>
    <row r="268">
      <c r="A268" s="0" t="inlineStr">
        <is>
          <t xml:space="preserve">o0267</t>
        </is>
      </c>
      <c r="B268" s="0" t="inlineStr">
        <is>
          <t xml:space="preserve">a0812</t>
        </is>
      </c>
      <c r="C268" s="0" t="inlineStr">
        <is>
          <t xml:space="preserve">r04</t>
        </is>
      </c>
      <c r="D268" s="0"/>
      <c r="E268" s="0" t="inlineStr">
        <is>
          <t xml:space="preserve">events</t>
        </is>
      </c>
      <c r="F268" s="0" t="inlineStr">
        <is>
          <t xml:space="preserve">evaluation</t>
        </is>
      </c>
      <c r="G268" s="4">
        <v>0</v>
      </c>
      <c r="H268" s="4">
        <v>18500</v>
      </c>
      <c r="I268" s="4">
        <v>1</v>
      </c>
      <c r="J268" s="4">
        <v>0</v>
      </c>
      <c r="K268" s="16">
        <v>46245</v>
      </c>
      <c r="L268" s="16">
        <v>46312</v>
      </c>
      <c r="M268" s="0" t="inlineStr">
        <is>
          <t xml:space="preserve">aug26</t>
        </is>
      </c>
      <c r="N268" s="0" t="inlineStr">
        <is>
          <t xml:space="preserve">oct26</t>
        </is>
      </c>
      <c r="O268" s="4">
        <v>70</v>
      </c>
      <c r="P268" s="4">
        <v>0</v>
      </c>
      <c r="Q268" s="4">
        <v>0</v>
      </c>
      <c r="R268" s="4">
        <v>1</v>
      </c>
      <c r="S268" s="4">
        <f>(H268*INDEX('Stages'!$D$2:$D$7,MATCH(F268,'Stages'!$A$2:$A$7,0)))</f>
        <v>4625</v>
      </c>
      <c r="T268" s="4">
        <f>(H268*I268)</f>
        <v>18500</v>
      </c>
      <c r="U268" s="4">
        <f>(H268*(I268-1))</f>
        <v>0</v>
      </c>
      <c r="V268" s="0" t="str">
        <f>INDEX('Account executives'!$B$2:$B$25,MATCH(C268,'Account executives'!$A$2:$A$25,0))</f>
        <v>amer_east</v>
      </c>
      <c r="W268" s="0" t="str">
        <f>INDEX('Account executives'!$C$2:$C$25,MATCH(C268,'Account executives'!$A$2:$A$25,0))</f>
        <v>mid_market</v>
      </c>
      <c r="X268" s="0" t="str">
        <f>SUBSTITUTE(LOWER(INDEX('Periods'!$G$2:$G$22,MATCH(N268,'Periods'!$A$2:$A$22,0)))," ","_")</f>
        <v>q4_2026</v>
      </c>
    </row>
    <row r="269">
      <c r="A269" s="0" t="inlineStr">
        <is>
          <t xml:space="preserve">o0268</t>
        </is>
      </c>
      <c r="B269" s="0" t="inlineStr">
        <is>
          <t xml:space="preserve">a0098</t>
        </is>
      </c>
      <c r="C269" s="0" t="inlineStr">
        <is>
          <t xml:space="preserve">r11</t>
        </is>
      </c>
      <c r="D269" s="0" t="inlineStr">
        <is>
          <t xml:space="preserve">s_amer_west_in</t>
        </is>
      </c>
      <c r="E269" s="0" t="inlineStr">
        <is>
          <t xml:space="preserve">paid</t>
        </is>
      </c>
      <c r="F269" s="0" t="inlineStr">
        <is>
          <t xml:space="preserve">closed_lost</t>
        </is>
      </c>
      <c r="G269" s="4">
        <v>1</v>
      </c>
      <c r="H269" s="4">
        <v>16500</v>
      </c>
      <c r="I269" s="4">
        <v>1</v>
      </c>
      <c r="J269" s="4">
        <v>1</v>
      </c>
      <c r="K269" s="16">
        <v>45800</v>
      </c>
      <c r="L269" s="16">
        <v>45815</v>
      </c>
      <c r="M269" s="0" t="inlineStr">
        <is>
          <t xml:space="preserve">may25</t>
        </is>
      </c>
      <c r="N269" s="0" t="inlineStr">
        <is>
          <t xml:space="preserve">jun25</t>
        </is>
      </c>
      <c r="O269" s="4">
        <v>15</v>
      </c>
      <c r="P269" s="4">
        <v>0</v>
      </c>
      <c r="Q269" s="4">
        <v>1</v>
      </c>
      <c r="R269" s="4">
        <v>0</v>
      </c>
      <c r="S269" s="4">
        <f>(H269*INDEX('Stages'!$D$2:$D$7,MATCH(F269,'Stages'!$A$2:$A$7,0)))</f>
        <v>0</v>
      </c>
      <c r="T269" s="4">
        <f>(H269*I269)</f>
        <v>16500</v>
      </c>
      <c r="U269" s="4">
        <f>(H269*(I269-1))</f>
        <v>0</v>
      </c>
      <c r="V269" s="0" t="str">
        <f>INDEX('Account executives'!$B$2:$B$25,MATCH(C269,'Account executives'!$A$2:$A$25,0))</f>
        <v>amer_west</v>
      </c>
      <c r="W269" s="0" t="str">
        <f>INDEX('Account executives'!$C$2:$C$25,MATCH(C269,'Account executives'!$A$2:$A$25,0))</f>
        <v>smb</v>
      </c>
      <c r="X269" s="0" t="str">
        <f>SUBSTITUTE(LOWER(INDEX('Periods'!$G$2:$G$22,MATCH(N269,'Periods'!$A$2:$A$22,0)))," ","_")</f>
        <v>q2_2025</v>
      </c>
    </row>
    <row r="270">
      <c r="A270" s="0" t="inlineStr">
        <is>
          <t xml:space="preserve">o0269</t>
        </is>
      </c>
      <c r="B270" s="0" t="inlineStr">
        <is>
          <t xml:space="preserve">a0362</t>
        </is>
      </c>
      <c r="C270" s="0" t="inlineStr">
        <is>
          <t xml:space="preserve">r01</t>
        </is>
      </c>
      <c r="D270" s="0" t="inlineStr">
        <is>
          <t xml:space="preserve">s_amer_east_in</t>
        </is>
      </c>
      <c r="E270" s="0" t="inlineStr">
        <is>
          <t xml:space="preserve">inbound</t>
        </is>
      </c>
      <c r="F270" s="0" t="inlineStr">
        <is>
          <t xml:space="preserve">closed_lost</t>
        </is>
      </c>
      <c r="G270" s="4">
        <v>1</v>
      </c>
      <c r="H270" s="4">
        <v>204200</v>
      </c>
      <c r="I270" s="4">
        <v>3</v>
      </c>
      <c r="J270" s="4">
        <v>0</v>
      </c>
      <c r="K270" s="16">
        <v>45910</v>
      </c>
      <c r="L270" s="16">
        <v>46028</v>
      </c>
      <c r="M270" s="0" t="inlineStr">
        <is>
          <t xml:space="preserve">sep25</t>
        </is>
      </c>
      <c r="N270" s="0" t="inlineStr">
        <is>
          <t xml:space="preserve">jan26</t>
        </is>
      </c>
      <c r="O270" s="4">
        <v>118</v>
      </c>
      <c r="P270" s="4">
        <v>0</v>
      </c>
      <c r="Q270" s="4">
        <v>1</v>
      </c>
      <c r="R270" s="4">
        <v>0</v>
      </c>
      <c r="S270" s="4">
        <f>(H270*INDEX('Stages'!$D$2:$D$7,MATCH(F270,'Stages'!$A$2:$A$7,0)))</f>
        <v>0</v>
      </c>
      <c r="T270" s="4">
        <f>(H270*I270)</f>
        <v>612600</v>
      </c>
      <c r="U270" s="4">
        <f>(H270*(I270-1))</f>
        <v>408400</v>
      </c>
      <c r="V270" s="0" t="str">
        <f>INDEX('Account executives'!$B$2:$B$25,MATCH(C270,'Account executives'!$A$2:$A$25,0))</f>
        <v>amer_east</v>
      </c>
      <c r="W270" s="0" t="str">
        <f>INDEX('Account executives'!$C$2:$C$25,MATCH(C270,'Account executives'!$A$2:$A$25,0))</f>
        <v>enterprise</v>
      </c>
      <c r="X270" s="0" t="str">
        <f>SUBSTITUTE(LOWER(INDEX('Periods'!$G$2:$G$22,MATCH(N270,'Periods'!$A$2:$A$22,0)))," ","_")</f>
        <v>q1_2026</v>
      </c>
    </row>
    <row r="271">
      <c r="A271" s="0" t="inlineStr">
        <is>
          <t xml:space="preserve">o0270</t>
        </is>
      </c>
      <c r="B271" s="0" t="inlineStr">
        <is>
          <t xml:space="preserve">a1266</t>
        </is>
      </c>
      <c r="C271" s="0" t="inlineStr">
        <is>
          <t xml:space="preserve">r22</t>
        </is>
      </c>
      <c r="D271" s="0" t="inlineStr">
        <is>
          <t xml:space="preserve">s_apac_out</t>
        </is>
      </c>
      <c r="E271" s="0" t="inlineStr">
        <is>
          <t xml:space="preserve">outbound</t>
        </is>
      </c>
      <c r="F271" s="0" t="inlineStr">
        <is>
          <t xml:space="preserve">discovery</t>
        </is>
      </c>
      <c r="G271" s="4">
        <v>1</v>
      </c>
      <c r="H271" s="4">
        <v>19200</v>
      </c>
      <c r="I271" s="4">
        <v>1</v>
      </c>
      <c r="J271" s="4">
        <v>1</v>
      </c>
      <c r="K271" s="16">
        <v>46275</v>
      </c>
      <c r="L271" s="16">
        <v>46371</v>
      </c>
      <c r="M271" s="0" t="inlineStr">
        <is>
          <t xml:space="preserve">sep26</t>
        </is>
      </c>
      <c r="N271" s="0" t="inlineStr">
        <is>
          <t xml:space="preserve">dec26</t>
        </is>
      </c>
      <c r="O271" s="4">
        <v>109</v>
      </c>
      <c r="P271" s="4">
        <v>0</v>
      </c>
      <c r="Q271" s="4">
        <v>0</v>
      </c>
      <c r="R271" s="4">
        <v>1</v>
      </c>
      <c r="S271" s="4">
        <f>(H271*INDEX('Stages'!$D$2:$D$7,MATCH(F271,'Stages'!$A$2:$A$7,0)))</f>
        <v>1920</v>
      </c>
      <c r="T271" s="4">
        <f>(H271*I271)</f>
        <v>19200</v>
      </c>
      <c r="U271" s="4">
        <f>(H271*(I271-1))</f>
        <v>0</v>
      </c>
      <c r="V271" s="0" t="str">
        <f>INDEX('Account executives'!$B$2:$B$25,MATCH(C271,'Account executives'!$A$2:$A$25,0))</f>
        <v>apac</v>
      </c>
      <c r="W271" s="0" t="str">
        <f>INDEX('Account executives'!$C$2:$C$25,MATCH(C271,'Account executives'!$A$2:$A$25,0))</f>
        <v>mid_market</v>
      </c>
      <c r="X271" s="0" t="str">
        <f>SUBSTITUTE(LOWER(INDEX('Periods'!$G$2:$G$22,MATCH(N271,'Periods'!$A$2:$A$22,0)))," ","_")</f>
        <v>q4_2026</v>
      </c>
    </row>
    <row r="272">
      <c r="A272" s="0" t="inlineStr">
        <is>
          <t xml:space="preserve">o0271</t>
        </is>
      </c>
      <c r="B272" s="0" t="inlineStr">
        <is>
          <t xml:space="preserve">a0253</t>
        </is>
      </c>
      <c r="C272" s="0" t="inlineStr">
        <is>
          <t xml:space="preserve">r04</t>
        </is>
      </c>
      <c r="D272" s="0"/>
      <c r="E272" s="0" t="inlineStr">
        <is>
          <t xml:space="preserve">referral</t>
        </is>
      </c>
      <c r="F272" s="0" t="inlineStr">
        <is>
          <t xml:space="preserve">closed_lost</t>
        </is>
      </c>
      <c r="G272" s="4">
        <v>1</v>
      </c>
      <c r="H272" s="4">
        <v>49500</v>
      </c>
      <c r="I272" s="4">
        <v>3</v>
      </c>
      <c r="J272" s="4">
        <v>1</v>
      </c>
      <c r="K272" s="16">
        <v>45843</v>
      </c>
      <c r="L272" s="16">
        <v>46019</v>
      </c>
      <c r="M272" s="0" t="inlineStr">
        <is>
          <t xml:space="preserve">jul25</t>
        </is>
      </c>
      <c r="N272" s="0" t="inlineStr">
        <is>
          <t xml:space="preserve">dec25</t>
        </is>
      </c>
      <c r="O272" s="4">
        <v>176</v>
      </c>
      <c r="P272" s="4">
        <v>0</v>
      </c>
      <c r="Q272" s="4">
        <v>1</v>
      </c>
      <c r="R272" s="4">
        <v>0</v>
      </c>
      <c r="S272" s="4">
        <f>(H272*INDEX('Stages'!$D$2:$D$7,MATCH(F272,'Stages'!$A$2:$A$7,0)))</f>
        <v>0</v>
      </c>
      <c r="T272" s="4">
        <f>(H272*I272)</f>
        <v>148500</v>
      </c>
      <c r="U272" s="4">
        <f>(H272*(I272-1))</f>
        <v>99000</v>
      </c>
      <c r="V272" s="0" t="str">
        <f>INDEX('Account executives'!$B$2:$B$25,MATCH(C272,'Account executives'!$A$2:$A$25,0))</f>
        <v>amer_east</v>
      </c>
      <c r="W272" s="0" t="str">
        <f>INDEX('Account executives'!$C$2:$C$25,MATCH(C272,'Account executives'!$A$2:$A$25,0))</f>
        <v>mid_market</v>
      </c>
      <c r="X272" s="0" t="str">
        <f>SUBSTITUTE(LOWER(INDEX('Periods'!$G$2:$G$22,MATCH(N272,'Periods'!$A$2:$A$22,0)))," ","_")</f>
        <v>q4_2025</v>
      </c>
    </row>
    <row r="273">
      <c r="A273" s="0" t="inlineStr">
        <is>
          <t xml:space="preserve">o0272</t>
        </is>
      </c>
      <c r="B273" s="0" t="inlineStr">
        <is>
          <t xml:space="preserve">a0034</t>
        </is>
      </c>
      <c r="C273" s="0" t="inlineStr">
        <is>
          <t xml:space="preserve">r12</t>
        </is>
      </c>
      <c r="D273" s="0" t="inlineStr">
        <is>
          <t xml:space="preserve">s_amer_west_in</t>
        </is>
      </c>
      <c r="E273" s="0" t="inlineStr">
        <is>
          <t xml:space="preserve">paid</t>
        </is>
      </c>
      <c r="F273" s="0" t="inlineStr">
        <is>
          <t xml:space="preserve">closed_lost</t>
        </is>
      </c>
      <c r="G273" s="4">
        <v>0</v>
      </c>
      <c r="H273" s="4">
        <v>5700</v>
      </c>
      <c r="I273" s="4">
        <v>1</v>
      </c>
      <c r="J273" s="4">
        <v>0</v>
      </c>
      <c r="K273" s="16">
        <v>45797</v>
      </c>
      <c r="L273" s="16">
        <v>45820</v>
      </c>
      <c r="M273" s="0" t="inlineStr">
        <is>
          <t xml:space="preserve">may25</t>
        </is>
      </c>
      <c r="N273" s="0" t="inlineStr">
        <is>
          <t xml:space="preserve">jun25</t>
        </is>
      </c>
      <c r="O273" s="4">
        <v>23</v>
      </c>
      <c r="P273" s="4">
        <v>0</v>
      </c>
      <c r="Q273" s="4">
        <v>1</v>
      </c>
      <c r="R273" s="4">
        <v>0</v>
      </c>
      <c r="S273" s="4">
        <f>(H273*INDEX('Stages'!$D$2:$D$7,MATCH(F273,'Stages'!$A$2:$A$7,0)))</f>
        <v>0</v>
      </c>
      <c r="T273" s="4">
        <f>(H273*I273)</f>
        <v>5700</v>
      </c>
      <c r="U273" s="4">
        <f>(H273*(I273-1))</f>
        <v>0</v>
      </c>
      <c r="V273" s="0" t="str">
        <f>INDEX('Account executives'!$B$2:$B$25,MATCH(C273,'Account executives'!$A$2:$A$25,0))</f>
        <v>amer_west</v>
      </c>
      <c r="W273" s="0" t="str">
        <f>INDEX('Account executives'!$C$2:$C$25,MATCH(C273,'Account executives'!$A$2:$A$25,0))</f>
        <v>smb</v>
      </c>
      <c r="X273" s="0" t="str">
        <f>SUBSTITUTE(LOWER(INDEX('Periods'!$G$2:$G$22,MATCH(N273,'Periods'!$A$2:$A$22,0)))," ","_")</f>
        <v>q2_2025</v>
      </c>
    </row>
    <row r="274">
      <c r="A274" s="0" t="inlineStr">
        <is>
          <t xml:space="preserve">o0273</t>
        </is>
      </c>
      <c r="B274" s="0" t="inlineStr">
        <is>
          <t xml:space="preserve">a0861</t>
        </is>
      </c>
      <c r="C274" s="0" t="inlineStr">
        <is>
          <t xml:space="preserve">r13</t>
        </is>
      </c>
      <c r="D274" s="0" t="inlineStr">
        <is>
          <t xml:space="preserve">s_emea_in</t>
        </is>
      </c>
      <c r="E274" s="0" t="inlineStr">
        <is>
          <t xml:space="preserve">inbound</t>
        </is>
      </c>
      <c r="F274" s="0" t="inlineStr">
        <is>
          <t xml:space="preserve">closed_won</t>
        </is>
      </c>
      <c r="G274" s="4">
        <v>1</v>
      </c>
      <c r="H274" s="4">
        <v>219500</v>
      </c>
      <c r="I274" s="4">
        <v>3</v>
      </c>
      <c r="J274" s="4">
        <v>1</v>
      </c>
      <c r="K274" s="16">
        <v>46132</v>
      </c>
      <c r="L274" s="16">
        <v>46277</v>
      </c>
      <c r="M274" s="0" t="inlineStr">
        <is>
          <t xml:space="preserve">apr26</t>
        </is>
      </c>
      <c r="N274" s="0" t="inlineStr">
        <is>
          <t xml:space="preserve">sep26</t>
        </is>
      </c>
      <c r="O274" s="4">
        <v>145</v>
      </c>
      <c r="P274" s="4">
        <v>1</v>
      </c>
      <c r="Q274" s="4">
        <v>0</v>
      </c>
      <c r="R274" s="4">
        <v>0</v>
      </c>
      <c r="S274" s="4">
        <f>(H274*INDEX('Stages'!$D$2:$D$7,MATCH(F274,'Stages'!$A$2:$A$7,0)))</f>
        <v>219500</v>
      </c>
      <c r="T274" s="4">
        <f>(H274*I274)</f>
        <v>658500</v>
      </c>
      <c r="U274" s="4">
        <f>(H274*(I274-1))</f>
        <v>439000</v>
      </c>
      <c r="V274" s="0" t="str">
        <f>INDEX('Account executives'!$B$2:$B$25,MATCH(C274,'Account executives'!$A$2:$A$25,0))</f>
        <v>emea</v>
      </c>
      <c r="W274" s="0" t="str">
        <f>INDEX('Account executives'!$C$2:$C$25,MATCH(C274,'Account executives'!$A$2:$A$25,0))</f>
        <v>enterprise</v>
      </c>
      <c r="X274" s="0" t="str">
        <f>SUBSTITUTE(LOWER(INDEX('Periods'!$G$2:$G$22,MATCH(N274,'Periods'!$A$2:$A$22,0)))," ","_")</f>
        <v>q3_2026</v>
      </c>
    </row>
    <row r="275">
      <c r="A275" s="0" t="inlineStr">
        <is>
          <t xml:space="preserve">o0274</t>
        </is>
      </c>
      <c r="B275" s="0" t="inlineStr">
        <is>
          <t xml:space="preserve">a1075</t>
        </is>
      </c>
      <c r="C275" s="0" t="inlineStr">
        <is>
          <t xml:space="preserve">r01</t>
        </is>
      </c>
      <c r="D275" s="0" t="inlineStr">
        <is>
          <t xml:space="preserve">s_amer_east_in</t>
        </is>
      </c>
      <c r="E275" s="0" t="inlineStr">
        <is>
          <t xml:space="preserve">paid</t>
        </is>
      </c>
      <c r="F275" s="0" t="inlineStr">
        <is>
          <t xml:space="preserve">discovery</t>
        </is>
      </c>
      <c r="G275" s="4">
        <v>1</v>
      </c>
      <c r="H275" s="4">
        <v>245700</v>
      </c>
      <c r="I275" s="4">
        <v>3</v>
      </c>
      <c r="J275" s="4">
        <v>1</v>
      </c>
      <c r="K275" s="16">
        <v>46227</v>
      </c>
      <c r="L275" s="16">
        <v>46371</v>
      </c>
      <c r="M275" s="0" t="inlineStr">
        <is>
          <t xml:space="preserve">jul26</t>
        </is>
      </c>
      <c r="N275" s="0" t="inlineStr">
        <is>
          <t xml:space="preserve">dec26</t>
        </is>
      </c>
      <c r="O275" s="4">
        <v>121</v>
      </c>
      <c r="P275" s="4">
        <v>0</v>
      </c>
      <c r="Q275" s="4">
        <v>0</v>
      </c>
      <c r="R275" s="4">
        <v>1</v>
      </c>
      <c r="S275" s="4">
        <f>(H275*INDEX('Stages'!$D$2:$D$7,MATCH(F275,'Stages'!$A$2:$A$7,0)))</f>
        <v>24570</v>
      </c>
      <c r="T275" s="4">
        <f>(H275*I275)</f>
        <v>737100</v>
      </c>
      <c r="U275" s="4">
        <f>(H275*(I275-1))</f>
        <v>491400</v>
      </c>
      <c r="V275" s="0" t="str">
        <f>INDEX('Account executives'!$B$2:$B$25,MATCH(C275,'Account executives'!$A$2:$A$25,0))</f>
        <v>amer_east</v>
      </c>
      <c r="W275" s="0" t="str">
        <f>INDEX('Account executives'!$C$2:$C$25,MATCH(C275,'Account executives'!$A$2:$A$25,0))</f>
        <v>enterprise</v>
      </c>
      <c r="X275" s="0" t="str">
        <f>SUBSTITUTE(LOWER(INDEX('Periods'!$G$2:$G$22,MATCH(N275,'Periods'!$A$2:$A$22,0)))," ","_")</f>
        <v>q4_2026</v>
      </c>
    </row>
    <row r="276">
      <c r="A276" s="0" t="inlineStr">
        <is>
          <t xml:space="preserve">o0275</t>
        </is>
      </c>
      <c r="B276" s="0" t="inlineStr">
        <is>
          <t xml:space="preserve">a0517</t>
        </is>
      </c>
      <c r="C276" s="0" t="inlineStr">
        <is>
          <t xml:space="preserve">r16</t>
        </is>
      </c>
      <c r="D276" s="0" t="inlineStr">
        <is>
          <t xml:space="preserve">s_emea_in</t>
        </is>
      </c>
      <c r="E276" s="0" t="inlineStr">
        <is>
          <t xml:space="preserve">inbound</t>
        </is>
      </c>
      <c r="F276" s="0" t="inlineStr">
        <is>
          <t xml:space="preserve">closed_won</t>
        </is>
      </c>
      <c r="G276" s="4">
        <v>1</v>
      </c>
      <c r="H276" s="4">
        <v>67300</v>
      </c>
      <c r="I276" s="4">
        <v>2</v>
      </c>
      <c r="J276" s="4">
        <v>0</v>
      </c>
      <c r="K276" s="16">
        <v>45965</v>
      </c>
      <c r="L276" s="16">
        <v>46109</v>
      </c>
      <c r="M276" s="0" t="inlineStr">
        <is>
          <t xml:space="preserve">nov25</t>
        </is>
      </c>
      <c r="N276" s="0" t="inlineStr">
        <is>
          <t xml:space="preserve">mar26</t>
        </is>
      </c>
      <c r="O276" s="4">
        <v>144</v>
      </c>
      <c r="P276" s="4">
        <v>1</v>
      </c>
      <c r="Q276" s="4">
        <v>0</v>
      </c>
      <c r="R276" s="4">
        <v>0</v>
      </c>
      <c r="S276" s="4">
        <f>(H276*INDEX('Stages'!$D$2:$D$7,MATCH(F276,'Stages'!$A$2:$A$7,0)))</f>
        <v>67300</v>
      </c>
      <c r="T276" s="4">
        <f>(H276*I276)</f>
        <v>134600</v>
      </c>
      <c r="U276" s="4">
        <f>(H276*(I276-1))</f>
        <v>67300</v>
      </c>
      <c r="V276" s="0" t="str">
        <f>INDEX('Account executives'!$B$2:$B$25,MATCH(C276,'Account executives'!$A$2:$A$25,0))</f>
        <v>emea</v>
      </c>
      <c r="W276" s="0" t="str">
        <f>INDEX('Account executives'!$C$2:$C$25,MATCH(C276,'Account executives'!$A$2:$A$25,0))</f>
        <v>mid_market</v>
      </c>
      <c r="X276" s="0" t="str">
        <f>SUBSTITUTE(LOWER(INDEX('Periods'!$G$2:$G$22,MATCH(N276,'Periods'!$A$2:$A$22,0)))," ","_")</f>
        <v>q1_2026</v>
      </c>
    </row>
    <row r="277">
      <c r="A277" s="0" t="inlineStr">
        <is>
          <t xml:space="preserve">o0276</t>
        </is>
      </c>
      <c r="B277" s="0" t="inlineStr">
        <is>
          <t xml:space="preserve">a0066</t>
        </is>
      </c>
      <c r="C277" s="0" t="inlineStr">
        <is>
          <t xml:space="preserve">r05</t>
        </is>
      </c>
      <c r="D277" s="0" t="inlineStr">
        <is>
          <t xml:space="preserve">s_amer_east_in</t>
        </is>
      </c>
      <c r="E277" s="0" t="inlineStr">
        <is>
          <t xml:space="preserve">inbound</t>
        </is>
      </c>
      <c r="F277" s="0" t="inlineStr">
        <is>
          <t xml:space="preserve">closed_lost</t>
        </is>
      </c>
      <c r="G277" s="4">
        <v>1</v>
      </c>
      <c r="H277" s="4">
        <v>7300</v>
      </c>
      <c r="I277" s="4">
        <v>1</v>
      </c>
      <c r="J277" s="4">
        <v>1</v>
      </c>
      <c r="K277" s="16">
        <v>45799</v>
      </c>
      <c r="L277" s="16">
        <v>45818</v>
      </c>
      <c r="M277" s="0" t="inlineStr">
        <is>
          <t xml:space="preserve">may25</t>
        </is>
      </c>
      <c r="N277" s="0" t="inlineStr">
        <is>
          <t xml:space="preserve">jun25</t>
        </is>
      </c>
      <c r="O277" s="4">
        <v>19</v>
      </c>
      <c r="P277" s="4">
        <v>0</v>
      </c>
      <c r="Q277" s="4">
        <v>1</v>
      </c>
      <c r="R277" s="4">
        <v>0</v>
      </c>
      <c r="S277" s="4">
        <f>(H277*INDEX('Stages'!$D$2:$D$7,MATCH(F277,'Stages'!$A$2:$A$7,0)))</f>
        <v>0</v>
      </c>
      <c r="T277" s="4">
        <f>(H277*I277)</f>
        <v>7300</v>
      </c>
      <c r="U277" s="4">
        <f>(H277*(I277-1))</f>
        <v>0</v>
      </c>
      <c r="V277" s="0" t="str">
        <f>INDEX('Account executives'!$B$2:$B$25,MATCH(C277,'Account executives'!$A$2:$A$25,0))</f>
        <v>amer_east</v>
      </c>
      <c r="W277" s="0" t="str">
        <f>INDEX('Account executives'!$C$2:$C$25,MATCH(C277,'Account executives'!$A$2:$A$25,0))</f>
        <v>smb</v>
      </c>
      <c r="X277" s="0" t="str">
        <f>SUBSTITUTE(LOWER(INDEX('Periods'!$G$2:$G$22,MATCH(N277,'Periods'!$A$2:$A$22,0)))," ","_")</f>
        <v>q2_2025</v>
      </c>
    </row>
    <row r="278">
      <c r="A278" s="0" t="inlineStr">
        <is>
          <t xml:space="preserve">o0277</t>
        </is>
      </c>
      <c r="B278" s="0" t="inlineStr">
        <is>
          <t xml:space="preserve">a0584</t>
        </is>
      </c>
      <c r="C278" s="0" t="inlineStr">
        <is>
          <t xml:space="preserve">r13</t>
        </is>
      </c>
      <c r="D278" s="0"/>
      <c r="E278" s="0" t="inlineStr">
        <is>
          <t xml:space="preserve">referral</t>
        </is>
      </c>
      <c r="F278" s="0" t="inlineStr">
        <is>
          <t xml:space="preserve">closed_lost</t>
        </is>
      </c>
      <c r="G278" s="4">
        <v>0</v>
      </c>
      <c r="H278" s="4">
        <v>28100</v>
      </c>
      <c r="I278" s="4">
        <v>1</v>
      </c>
      <c r="J278" s="4">
        <v>1</v>
      </c>
      <c r="K278" s="16">
        <v>46023</v>
      </c>
      <c r="L278" s="16">
        <v>46107</v>
      </c>
      <c r="M278" s="0" t="inlineStr">
        <is>
          <t xml:space="preserve">jan26</t>
        </is>
      </c>
      <c r="N278" s="0" t="inlineStr">
        <is>
          <t xml:space="preserve">mar26</t>
        </is>
      </c>
      <c r="O278" s="4">
        <v>84</v>
      </c>
      <c r="P278" s="4">
        <v>0</v>
      </c>
      <c r="Q278" s="4">
        <v>1</v>
      </c>
      <c r="R278" s="4">
        <v>0</v>
      </c>
      <c r="S278" s="4">
        <f>(H278*INDEX('Stages'!$D$2:$D$7,MATCH(F278,'Stages'!$A$2:$A$7,0)))</f>
        <v>0</v>
      </c>
      <c r="T278" s="4">
        <f>(H278*I278)</f>
        <v>28100</v>
      </c>
      <c r="U278" s="4">
        <f>(H278*(I278-1))</f>
        <v>0</v>
      </c>
      <c r="V278" s="0" t="str">
        <f>INDEX('Account executives'!$B$2:$B$25,MATCH(C278,'Account executives'!$A$2:$A$25,0))</f>
        <v>emea</v>
      </c>
      <c r="W278" s="0" t="str">
        <f>INDEX('Account executives'!$C$2:$C$25,MATCH(C278,'Account executives'!$A$2:$A$25,0))</f>
        <v>enterprise</v>
      </c>
      <c r="X278" s="0" t="str">
        <f>SUBSTITUTE(LOWER(INDEX('Periods'!$G$2:$G$22,MATCH(N278,'Periods'!$A$2:$A$22,0)))," ","_")</f>
        <v>q1_2026</v>
      </c>
    </row>
    <row r="279">
      <c r="A279" s="0" t="inlineStr">
        <is>
          <t xml:space="preserve">o0278</t>
        </is>
      </c>
      <c r="B279" s="0" t="inlineStr">
        <is>
          <t xml:space="preserve">a1207</t>
        </is>
      </c>
      <c r="C279" s="0" t="inlineStr">
        <is>
          <t xml:space="preserve">r24</t>
        </is>
      </c>
      <c r="D279" s="0" t="inlineStr">
        <is>
          <t xml:space="preserve">s_apac_out</t>
        </is>
      </c>
      <c r="E279" s="0" t="inlineStr">
        <is>
          <t xml:space="preserve">outbound</t>
        </is>
      </c>
      <c r="F279" s="0" t="inlineStr">
        <is>
          <t xml:space="preserve">closed_won</t>
        </is>
      </c>
      <c r="G279" s="4">
        <v>1</v>
      </c>
      <c r="H279" s="4">
        <v>4600</v>
      </c>
      <c r="I279" s="4">
        <v>1</v>
      </c>
      <c r="J279" s="4">
        <v>0</v>
      </c>
      <c r="K279" s="16">
        <v>46236</v>
      </c>
      <c r="L279" s="16">
        <v>46266</v>
      </c>
      <c r="M279" s="0" t="inlineStr">
        <is>
          <t xml:space="preserve">aug26</t>
        </is>
      </c>
      <c r="N279" s="0" t="inlineStr">
        <is>
          <t xml:space="preserve">sep26</t>
        </is>
      </c>
      <c r="O279" s="4">
        <v>30</v>
      </c>
      <c r="P279" s="4">
        <v>1</v>
      </c>
      <c r="Q279" s="4">
        <v>0</v>
      </c>
      <c r="R279" s="4">
        <v>0</v>
      </c>
      <c r="S279" s="4">
        <f>(H279*INDEX('Stages'!$D$2:$D$7,MATCH(F279,'Stages'!$A$2:$A$7,0)))</f>
        <v>4600</v>
      </c>
      <c r="T279" s="4">
        <f>(H279*I279)</f>
        <v>4600</v>
      </c>
      <c r="U279" s="4">
        <f>(H279*(I279-1))</f>
        <v>0</v>
      </c>
      <c r="V279" s="0" t="str">
        <f>INDEX('Account executives'!$B$2:$B$25,MATCH(C279,'Account executives'!$A$2:$A$25,0))</f>
        <v>apac</v>
      </c>
      <c r="W279" s="0" t="str">
        <f>INDEX('Account executives'!$C$2:$C$25,MATCH(C279,'Account executives'!$A$2:$A$25,0))</f>
        <v>smb</v>
      </c>
      <c r="X279" s="0" t="str">
        <f>SUBSTITUTE(LOWER(INDEX('Periods'!$G$2:$G$22,MATCH(N279,'Periods'!$A$2:$A$22,0)))," ","_")</f>
        <v>q3_2026</v>
      </c>
    </row>
    <row r="280">
      <c r="A280" s="0" t="inlineStr">
        <is>
          <t xml:space="preserve">o0279</t>
        </is>
      </c>
      <c r="B280" s="0" t="inlineStr">
        <is>
          <t xml:space="preserve">a0067</t>
        </is>
      </c>
      <c r="C280" s="0" t="inlineStr">
        <is>
          <t xml:space="preserve">r06</t>
        </is>
      </c>
      <c r="D280" s="0" t="inlineStr">
        <is>
          <t xml:space="preserve">s_amer_east_in</t>
        </is>
      </c>
      <c r="E280" s="0" t="inlineStr">
        <is>
          <t xml:space="preserve">paid</t>
        </is>
      </c>
      <c r="F280" s="0" t="inlineStr">
        <is>
          <t xml:space="preserve">closed_won</t>
        </is>
      </c>
      <c r="G280" s="4">
        <v>0</v>
      </c>
      <c r="H280" s="4">
        <v>3600</v>
      </c>
      <c r="I280" s="4">
        <v>1</v>
      </c>
      <c r="J280" s="4">
        <v>0</v>
      </c>
      <c r="K280" s="16">
        <v>46042</v>
      </c>
      <c r="L280" s="16">
        <v>46068</v>
      </c>
      <c r="M280" s="0" t="inlineStr">
        <is>
          <t xml:space="preserve">jan26</t>
        </is>
      </c>
      <c r="N280" s="0" t="inlineStr">
        <is>
          <t xml:space="preserve">feb26</t>
        </is>
      </c>
      <c r="O280" s="4">
        <v>26</v>
      </c>
      <c r="P280" s="4">
        <v>1</v>
      </c>
      <c r="Q280" s="4">
        <v>0</v>
      </c>
      <c r="R280" s="4">
        <v>0</v>
      </c>
      <c r="S280" s="4">
        <f>(H280*INDEX('Stages'!$D$2:$D$7,MATCH(F280,'Stages'!$A$2:$A$7,0)))</f>
        <v>3600</v>
      </c>
      <c r="T280" s="4">
        <f>(H280*I280)</f>
        <v>3600</v>
      </c>
      <c r="U280" s="4">
        <f>(H280*(I280-1))</f>
        <v>0</v>
      </c>
      <c r="V280" s="0" t="str">
        <f>INDEX('Account executives'!$B$2:$B$25,MATCH(C280,'Account executives'!$A$2:$A$25,0))</f>
        <v>amer_east</v>
      </c>
      <c r="W280" s="0" t="str">
        <f>INDEX('Account executives'!$C$2:$C$25,MATCH(C280,'Account executives'!$A$2:$A$25,0))</f>
        <v>smb</v>
      </c>
      <c r="X280" s="0" t="str">
        <f>SUBSTITUTE(LOWER(INDEX('Periods'!$G$2:$G$22,MATCH(N280,'Periods'!$A$2:$A$22,0)))," ","_")</f>
        <v>q1_2026</v>
      </c>
    </row>
    <row r="281">
      <c r="A281" s="0" t="inlineStr">
        <is>
          <t xml:space="preserve">o0280</t>
        </is>
      </c>
      <c r="B281" s="0" t="inlineStr">
        <is>
          <t xml:space="preserve">a0413</t>
        </is>
      </c>
      <c r="C281" s="0" t="inlineStr">
        <is>
          <t xml:space="preserve">r22</t>
        </is>
      </c>
      <c r="D281" s="0" t="inlineStr">
        <is>
          <t xml:space="preserve">s_apac_out</t>
        </is>
      </c>
      <c r="E281" s="0" t="inlineStr">
        <is>
          <t xml:space="preserve">outbound</t>
        </is>
      </c>
      <c r="F281" s="0" t="inlineStr">
        <is>
          <t xml:space="preserve">closed_lost</t>
        </is>
      </c>
      <c r="G281" s="4">
        <v>1</v>
      </c>
      <c r="H281" s="4">
        <v>118500</v>
      </c>
      <c r="I281" s="4">
        <v>1</v>
      </c>
      <c r="J281" s="4">
        <v>0</v>
      </c>
      <c r="K281" s="16">
        <v>45926</v>
      </c>
      <c r="L281" s="16">
        <v>45946</v>
      </c>
      <c r="M281" s="0" t="inlineStr">
        <is>
          <t xml:space="preserve">sep25</t>
        </is>
      </c>
      <c r="N281" s="0" t="inlineStr">
        <is>
          <t xml:space="preserve">oct25</t>
        </is>
      </c>
      <c r="O281" s="4">
        <v>20</v>
      </c>
      <c r="P281" s="4">
        <v>0</v>
      </c>
      <c r="Q281" s="4">
        <v>1</v>
      </c>
      <c r="R281" s="4">
        <v>0</v>
      </c>
      <c r="S281" s="4">
        <f>(H281*INDEX('Stages'!$D$2:$D$7,MATCH(F281,'Stages'!$A$2:$A$7,0)))</f>
        <v>0</v>
      </c>
      <c r="T281" s="4">
        <f>(H281*I281)</f>
        <v>118500</v>
      </c>
      <c r="U281" s="4">
        <f>(H281*(I281-1))</f>
        <v>0</v>
      </c>
      <c r="V281" s="0" t="str">
        <f>INDEX('Account executives'!$B$2:$B$25,MATCH(C281,'Account executives'!$A$2:$A$25,0))</f>
        <v>apac</v>
      </c>
      <c r="W281" s="0" t="str">
        <f>INDEX('Account executives'!$C$2:$C$25,MATCH(C281,'Account executives'!$A$2:$A$25,0))</f>
        <v>mid_market</v>
      </c>
      <c r="X281" s="0" t="str">
        <f>SUBSTITUTE(LOWER(INDEX('Periods'!$G$2:$G$22,MATCH(N281,'Periods'!$A$2:$A$22,0)))," ","_")</f>
        <v>q4_2025</v>
      </c>
    </row>
    <row r="282">
      <c r="A282" s="0" t="inlineStr">
        <is>
          <t xml:space="preserve">o0281</t>
        </is>
      </c>
      <c r="B282" s="0" t="inlineStr">
        <is>
          <t xml:space="preserve">a0456</t>
        </is>
      </c>
      <c r="C282" s="0" t="inlineStr">
        <is>
          <t xml:space="preserve">r15</t>
        </is>
      </c>
      <c r="D282" s="0" t="inlineStr">
        <is>
          <t xml:space="preserve">s_emea_in</t>
        </is>
      </c>
      <c r="E282" s="0" t="inlineStr">
        <is>
          <t xml:space="preserve">inbound</t>
        </is>
      </c>
      <c r="F282" s="0" t="inlineStr">
        <is>
          <t xml:space="preserve">closed_won</t>
        </is>
      </c>
      <c r="G282" s="4">
        <v>0</v>
      </c>
      <c r="H282" s="4">
        <v>9400</v>
      </c>
      <c r="I282" s="4">
        <v>1</v>
      </c>
      <c r="J282" s="4">
        <v>0</v>
      </c>
      <c r="K282" s="16">
        <v>46041</v>
      </c>
      <c r="L282" s="16">
        <v>46145</v>
      </c>
      <c r="M282" s="0" t="inlineStr">
        <is>
          <t xml:space="preserve">jan26</t>
        </is>
      </c>
      <c r="N282" s="0" t="inlineStr">
        <is>
          <t xml:space="preserve">may26</t>
        </is>
      </c>
      <c r="O282" s="4">
        <v>104</v>
      </c>
      <c r="P282" s="4">
        <v>1</v>
      </c>
      <c r="Q282" s="4">
        <v>0</v>
      </c>
      <c r="R282" s="4">
        <v>0</v>
      </c>
      <c r="S282" s="4">
        <f>(H282*INDEX('Stages'!$D$2:$D$7,MATCH(F282,'Stages'!$A$2:$A$7,0)))</f>
        <v>9400</v>
      </c>
      <c r="T282" s="4">
        <f>(H282*I282)</f>
        <v>9400</v>
      </c>
      <c r="U282" s="4">
        <f>(H282*(I282-1))</f>
        <v>0</v>
      </c>
      <c r="V282" s="0" t="str">
        <f>INDEX('Account executives'!$B$2:$B$25,MATCH(C282,'Account executives'!$A$2:$A$25,0))</f>
        <v>emea</v>
      </c>
      <c r="W282" s="0" t="str">
        <f>INDEX('Account executives'!$C$2:$C$25,MATCH(C282,'Account executives'!$A$2:$A$25,0))</f>
        <v>mid_market</v>
      </c>
      <c r="X282" s="0" t="str">
        <f>SUBSTITUTE(LOWER(INDEX('Periods'!$G$2:$G$22,MATCH(N282,'Periods'!$A$2:$A$22,0)))," ","_")</f>
        <v>q2_2026</v>
      </c>
    </row>
    <row r="283">
      <c r="A283" s="0" t="inlineStr">
        <is>
          <t xml:space="preserve">o0282</t>
        </is>
      </c>
      <c r="B283" s="0" t="inlineStr">
        <is>
          <t xml:space="preserve">a0686</t>
        </is>
      </c>
      <c r="C283" s="0" t="inlineStr">
        <is>
          <t xml:space="preserve">r11</t>
        </is>
      </c>
      <c r="D283" s="0"/>
      <c r="E283" s="0" t="inlineStr">
        <is>
          <t xml:space="preserve">partner</t>
        </is>
      </c>
      <c r="F283" s="0" t="inlineStr">
        <is>
          <t xml:space="preserve">closed_lost</t>
        </is>
      </c>
      <c r="G283" s="4">
        <v>0</v>
      </c>
      <c r="H283" s="4">
        <v>10600</v>
      </c>
      <c r="I283" s="4">
        <v>1</v>
      </c>
      <c r="J283" s="4">
        <v>0</v>
      </c>
      <c r="K283" s="16">
        <v>46059</v>
      </c>
      <c r="L283" s="16">
        <v>46094</v>
      </c>
      <c r="M283" s="0" t="inlineStr">
        <is>
          <t xml:space="preserve">feb26</t>
        </is>
      </c>
      <c r="N283" s="0" t="inlineStr">
        <is>
          <t xml:space="preserve">mar26</t>
        </is>
      </c>
      <c r="O283" s="4">
        <v>35</v>
      </c>
      <c r="P283" s="4">
        <v>0</v>
      </c>
      <c r="Q283" s="4">
        <v>1</v>
      </c>
      <c r="R283" s="4">
        <v>0</v>
      </c>
      <c r="S283" s="4">
        <f>(H283*INDEX('Stages'!$D$2:$D$7,MATCH(F283,'Stages'!$A$2:$A$7,0)))</f>
        <v>0</v>
      </c>
      <c r="T283" s="4">
        <f>(H283*I283)</f>
        <v>10600</v>
      </c>
      <c r="U283" s="4">
        <f>(H283*(I283-1))</f>
        <v>0</v>
      </c>
      <c r="V283" s="0" t="str">
        <f>INDEX('Account executives'!$B$2:$B$25,MATCH(C283,'Account executives'!$A$2:$A$25,0))</f>
        <v>amer_west</v>
      </c>
      <c r="W283" s="0" t="str">
        <f>INDEX('Account executives'!$C$2:$C$25,MATCH(C283,'Account executives'!$A$2:$A$25,0))</f>
        <v>smb</v>
      </c>
      <c r="X283" s="0" t="str">
        <f>SUBSTITUTE(LOWER(INDEX('Periods'!$G$2:$G$22,MATCH(N283,'Periods'!$A$2:$A$22,0)))," ","_")</f>
        <v>q1_2026</v>
      </c>
    </row>
    <row r="284">
      <c r="A284" s="0" t="inlineStr">
        <is>
          <t xml:space="preserve">o0283</t>
        </is>
      </c>
      <c r="B284" s="0" t="inlineStr">
        <is>
          <t xml:space="preserve">a1165</t>
        </is>
      </c>
      <c r="C284" s="0" t="inlineStr">
        <is>
          <t xml:space="preserve">r06</t>
        </is>
      </c>
      <c r="D284" s="0" t="inlineStr">
        <is>
          <t xml:space="preserve">s_amer_east_out</t>
        </is>
      </c>
      <c r="E284" s="0" t="inlineStr">
        <is>
          <t xml:space="preserve">outbound</t>
        </is>
      </c>
      <c r="F284" s="0" t="inlineStr">
        <is>
          <t xml:space="preserve">closed_lost</t>
        </is>
      </c>
      <c r="G284" s="4">
        <v>1</v>
      </c>
      <c r="H284" s="4">
        <v>11900</v>
      </c>
      <c r="I284" s="4">
        <v>1</v>
      </c>
      <c r="J284" s="4">
        <v>0</v>
      </c>
      <c r="K284" s="16">
        <v>46252</v>
      </c>
      <c r="L284" s="16">
        <v>46273</v>
      </c>
      <c r="M284" s="0" t="inlineStr">
        <is>
          <t xml:space="preserve">aug26</t>
        </is>
      </c>
      <c r="N284" s="0" t="inlineStr">
        <is>
          <t xml:space="preserve">sep26</t>
        </is>
      </c>
      <c r="O284" s="4">
        <v>21</v>
      </c>
      <c r="P284" s="4">
        <v>0</v>
      </c>
      <c r="Q284" s="4">
        <v>1</v>
      </c>
      <c r="R284" s="4">
        <v>0</v>
      </c>
      <c r="S284" s="4">
        <f>(H284*INDEX('Stages'!$D$2:$D$7,MATCH(F284,'Stages'!$A$2:$A$7,0)))</f>
        <v>0</v>
      </c>
      <c r="T284" s="4">
        <f>(H284*I284)</f>
        <v>11900</v>
      </c>
      <c r="U284" s="4">
        <f>(H284*(I284-1))</f>
        <v>0</v>
      </c>
      <c r="V284" s="0" t="str">
        <f>INDEX('Account executives'!$B$2:$B$25,MATCH(C284,'Account executives'!$A$2:$A$25,0))</f>
        <v>amer_east</v>
      </c>
      <c r="W284" s="0" t="str">
        <f>INDEX('Account executives'!$C$2:$C$25,MATCH(C284,'Account executives'!$A$2:$A$25,0))</f>
        <v>smb</v>
      </c>
      <c r="X284" s="0" t="str">
        <f>SUBSTITUTE(LOWER(INDEX('Periods'!$G$2:$G$22,MATCH(N284,'Periods'!$A$2:$A$22,0)))," ","_")</f>
        <v>q3_2026</v>
      </c>
    </row>
    <row r="285">
      <c r="A285" s="0" t="inlineStr">
        <is>
          <t xml:space="preserve">o0284</t>
        </is>
      </c>
      <c r="B285" s="0" t="inlineStr">
        <is>
          <t xml:space="preserve">a0783</t>
        </is>
      </c>
      <c r="C285" s="0" t="inlineStr">
        <is>
          <t xml:space="preserve">r15</t>
        </is>
      </c>
      <c r="D285" s="0"/>
      <c r="E285" s="0" t="inlineStr">
        <is>
          <t xml:space="preserve">partner</t>
        </is>
      </c>
      <c r="F285" s="0" t="inlineStr">
        <is>
          <t xml:space="preserve">closed_lost</t>
        </is>
      </c>
      <c r="G285" s="4">
        <v>1</v>
      </c>
      <c r="H285" s="4">
        <v>43700</v>
      </c>
      <c r="I285" s="4">
        <v>3</v>
      </c>
      <c r="J285" s="4">
        <v>1</v>
      </c>
      <c r="K285" s="16">
        <v>46089</v>
      </c>
      <c r="L285" s="16">
        <v>46163</v>
      </c>
      <c r="M285" s="0" t="inlineStr">
        <is>
          <t xml:space="preserve">mar26</t>
        </is>
      </c>
      <c r="N285" s="0" t="inlineStr">
        <is>
          <t xml:space="preserve">may26</t>
        </is>
      </c>
      <c r="O285" s="4">
        <v>74</v>
      </c>
      <c r="P285" s="4">
        <v>0</v>
      </c>
      <c r="Q285" s="4">
        <v>1</v>
      </c>
      <c r="R285" s="4">
        <v>0</v>
      </c>
      <c r="S285" s="4">
        <f>(H285*INDEX('Stages'!$D$2:$D$7,MATCH(F285,'Stages'!$A$2:$A$7,0)))</f>
        <v>0</v>
      </c>
      <c r="T285" s="4">
        <f>(H285*I285)</f>
        <v>131100</v>
      </c>
      <c r="U285" s="4">
        <f>(H285*(I285-1))</f>
        <v>87400</v>
      </c>
      <c r="V285" s="0" t="str">
        <f>INDEX('Account executives'!$B$2:$B$25,MATCH(C285,'Account executives'!$A$2:$A$25,0))</f>
        <v>emea</v>
      </c>
      <c r="W285" s="0" t="str">
        <f>INDEX('Account executives'!$C$2:$C$25,MATCH(C285,'Account executives'!$A$2:$A$25,0))</f>
        <v>mid_market</v>
      </c>
      <c r="X285" s="0" t="str">
        <f>SUBSTITUTE(LOWER(INDEX('Periods'!$G$2:$G$22,MATCH(N285,'Periods'!$A$2:$A$22,0)))," ","_")</f>
        <v>q2_2026</v>
      </c>
    </row>
    <row r="286">
      <c r="A286" s="0" t="inlineStr">
        <is>
          <t xml:space="preserve">o0285</t>
        </is>
      </c>
      <c r="B286" s="0" t="inlineStr">
        <is>
          <t xml:space="preserve">a0810</t>
        </is>
      </c>
      <c r="C286" s="0" t="inlineStr">
        <is>
          <t xml:space="preserve">r01</t>
        </is>
      </c>
      <c r="D286" s="0" t="inlineStr">
        <is>
          <t xml:space="preserve">s_amer_east_in</t>
        </is>
      </c>
      <c r="E286" s="0" t="inlineStr">
        <is>
          <t xml:space="preserve">inbound</t>
        </is>
      </c>
      <c r="F286" s="0" t="inlineStr">
        <is>
          <t xml:space="preserve">closed_lost</t>
        </is>
      </c>
      <c r="G286" s="4">
        <v>1</v>
      </c>
      <c r="H286" s="4">
        <v>90700</v>
      </c>
      <c r="I286" s="4">
        <v>2</v>
      </c>
      <c r="J286" s="4">
        <v>1</v>
      </c>
      <c r="K286" s="16">
        <v>46113</v>
      </c>
      <c r="L286" s="16">
        <v>46209</v>
      </c>
      <c r="M286" s="0" t="inlineStr">
        <is>
          <t xml:space="preserve">apr26</t>
        </is>
      </c>
      <c r="N286" s="0" t="inlineStr">
        <is>
          <t xml:space="preserve">jul26</t>
        </is>
      </c>
      <c r="O286" s="4">
        <v>96</v>
      </c>
      <c r="P286" s="4">
        <v>0</v>
      </c>
      <c r="Q286" s="4">
        <v>1</v>
      </c>
      <c r="R286" s="4">
        <v>0</v>
      </c>
      <c r="S286" s="4">
        <f>(H286*INDEX('Stages'!$D$2:$D$7,MATCH(F286,'Stages'!$A$2:$A$7,0)))</f>
        <v>0</v>
      </c>
      <c r="T286" s="4">
        <f>(H286*I286)</f>
        <v>181400</v>
      </c>
      <c r="U286" s="4">
        <f>(H286*(I286-1))</f>
        <v>90700</v>
      </c>
      <c r="V286" s="0" t="str">
        <f>INDEX('Account executives'!$B$2:$B$25,MATCH(C286,'Account executives'!$A$2:$A$25,0))</f>
        <v>amer_east</v>
      </c>
      <c r="W286" s="0" t="str">
        <f>INDEX('Account executives'!$C$2:$C$25,MATCH(C286,'Account executives'!$A$2:$A$25,0))</f>
        <v>enterprise</v>
      </c>
      <c r="X286" s="0" t="str">
        <f>SUBSTITUTE(LOWER(INDEX('Periods'!$G$2:$G$22,MATCH(N286,'Periods'!$A$2:$A$22,0)))," ","_")</f>
        <v>q3_2026</v>
      </c>
    </row>
    <row r="287">
      <c r="A287" s="0" t="inlineStr">
        <is>
          <t xml:space="preserve">o0286</t>
        </is>
      </c>
      <c r="B287" s="0" t="inlineStr">
        <is>
          <t xml:space="preserve">a0206</t>
        </is>
      </c>
      <c r="C287" s="0" t="inlineStr">
        <is>
          <t xml:space="preserve">r15</t>
        </is>
      </c>
      <c r="D287" s="0" t="inlineStr">
        <is>
          <t xml:space="preserve">s_emea_in</t>
        </is>
      </c>
      <c r="E287" s="0" t="inlineStr">
        <is>
          <t xml:space="preserve">inbound</t>
        </is>
      </c>
      <c r="F287" s="0" t="inlineStr">
        <is>
          <t xml:space="preserve">closed_won</t>
        </is>
      </c>
      <c r="G287" s="4">
        <v>1</v>
      </c>
      <c r="H287" s="4">
        <v>128700</v>
      </c>
      <c r="I287" s="4">
        <v>3</v>
      </c>
      <c r="J287" s="4">
        <v>0</v>
      </c>
      <c r="K287" s="16">
        <v>45810</v>
      </c>
      <c r="L287" s="16">
        <v>45854</v>
      </c>
      <c r="M287" s="0" t="inlineStr">
        <is>
          <t xml:space="preserve">jun25</t>
        </is>
      </c>
      <c r="N287" s="0" t="inlineStr">
        <is>
          <t xml:space="preserve">jul25</t>
        </is>
      </c>
      <c r="O287" s="4">
        <v>44</v>
      </c>
      <c r="P287" s="4">
        <v>1</v>
      </c>
      <c r="Q287" s="4">
        <v>0</v>
      </c>
      <c r="R287" s="4">
        <v>0</v>
      </c>
      <c r="S287" s="4">
        <f>(H287*INDEX('Stages'!$D$2:$D$7,MATCH(F287,'Stages'!$A$2:$A$7,0)))</f>
        <v>128700</v>
      </c>
      <c r="T287" s="4">
        <f>(H287*I287)</f>
        <v>386100</v>
      </c>
      <c r="U287" s="4">
        <f>(H287*(I287-1))</f>
        <v>257400</v>
      </c>
      <c r="V287" s="0" t="str">
        <f>INDEX('Account executives'!$B$2:$B$25,MATCH(C287,'Account executives'!$A$2:$A$25,0))</f>
        <v>emea</v>
      </c>
      <c r="W287" s="0" t="str">
        <f>INDEX('Account executives'!$C$2:$C$25,MATCH(C287,'Account executives'!$A$2:$A$25,0))</f>
        <v>mid_market</v>
      </c>
      <c r="X287" s="0" t="str">
        <f>SUBSTITUTE(LOWER(INDEX('Periods'!$G$2:$G$22,MATCH(N287,'Periods'!$A$2:$A$22,0)))," ","_")</f>
        <v>q3_2025</v>
      </c>
    </row>
    <row r="288">
      <c r="A288" s="0" t="inlineStr">
        <is>
          <t xml:space="preserve">o0287</t>
        </is>
      </c>
      <c r="B288" s="0" t="inlineStr">
        <is>
          <t xml:space="preserve">a0259</t>
        </is>
      </c>
      <c r="C288" s="0" t="inlineStr">
        <is>
          <t xml:space="preserve">r12</t>
        </is>
      </c>
      <c r="D288" s="0" t="inlineStr">
        <is>
          <t xml:space="preserve">s_amer_west_in</t>
        </is>
      </c>
      <c r="E288" s="0" t="inlineStr">
        <is>
          <t xml:space="preserve">paid</t>
        </is>
      </c>
      <c r="F288" s="0" t="inlineStr">
        <is>
          <t xml:space="preserve">closed_lost</t>
        </is>
      </c>
      <c r="G288" s="4">
        <v>1</v>
      </c>
      <c r="H288" s="4">
        <v>19100</v>
      </c>
      <c r="I288" s="4">
        <v>1</v>
      </c>
      <c r="J288" s="4">
        <v>1</v>
      </c>
      <c r="K288" s="16">
        <v>45861</v>
      </c>
      <c r="L288" s="16">
        <v>45891</v>
      </c>
      <c r="M288" s="0" t="inlineStr">
        <is>
          <t xml:space="preserve">jul25</t>
        </is>
      </c>
      <c r="N288" s="0" t="inlineStr">
        <is>
          <t xml:space="preserve">aug25</t>
        </is>
      </c>
      <c r="O288" s="4">
        <v>30</v>
      </c>
      <c r="P288" s="4">
        <v>0</v>
      </c>
      <c r="Q288" s="4">
        <v>1</v>
      </c>
      <c r="R288" s="4">
        <v>0</v>
      </c>
      <c r="S288" s="4">
        <f>(H288*INDEX('Stages'!$D$2:$D$7,MATCH(F288,'Stages'!$A$2:$A$7,0)))</f>
        <v>0</v>
      </c>
      <c r="T288" s="4">
        <f>(H288*I288)</f>
        <v>19100</v>
      </c>
      <c r="U288" s="4">
        <f>(H288*(I288-1))</f>
        <v>0</v>
      </c>
      <c r="V288" s="0" t="str">
        <f>INDEX('Account executives'!$B$2:$B$25,MATCH(C288,'Account executives'!$A$2:$A$25,0))</f>
        <v>amer_west</v>
      </c>
      <c r="W288" s="0" t="str">
        <f>INDEX('Account executives'!$C$2:$C$25,MATCH(C288,'Account executives'!$A$2:$A$25,0))</f>
        <v>smb</v>
      </c>
      <c r="X288" s="0" t="str">
        <f>SUBSTITUTE(LOWER(INDEX('Periods'!$G$2:$G$22,MATCH(N288,'Periods'!$A$2:$A$22,0)))," ","_")</f>
        <v>q3_2025</v>
      </c>
    </row>
    <row r="289">
      <c r="A289" s="0" t="inlineStr">
        <is>
          <t xml:space="preserve">o0288</t>
        </is>
      </c>
      <c r="B289" s="0" t="inlineStr">
        <is>
          <t xml:space="preserve">a0330</t>
        </is>
      </c>
      <c r="C289" s="0" t="inlineStr">
        <is>
          <t xml:space="preserve">r09</t>
        </is>
      </c>
      <c r="D289" s="0"/>
      <c r="E289" s="0" t="inlineStr">
        <is>
          <t xml:space="preserve">partner</t>
        </is>
      </c>
      <c r="F289" s="0" t="inlineStr">
        <is>
          <t xml:space="preserve">closed_lost</t>
        </is>
      </c>
      <c r="G289" s="4">
        <v>0</v>
      </c>
      <c r="H289" s="4">
        <v>20800</v>
      </c>
      <c r="I289" s="4">
        <v>3</v>
      </c>
      <c r="J289" s="4">
        <v>0</v>
      </c>
      <c r="K289" s="16">
        <v>45997</v>
      </c>
      <c r="L289" s="16">
        <v>46109</v>
      </c>
      <c r="M289" s="0" t="inlineStr">
        <is>
          <t xml:space="preserve">dec25</t>
        </is>
      </c>
      <c r="N289" s="0" t="inlineStr">
        <is>
          <t xml:space="preserve">mar26</t>
        </is>
      </c>
      <c r="O289" s="4">
        <v>112</v>
      </c>
      <c r="P289" s="4">
        <v>0</v>
      </c>
      <c r="Q289" s="4">
        <v>1</v>
      </c>
      <c r="R289" s="4">
        <v>0</v>
      </c>
      <c r="S289" s="4">
        <f>(H289*INDEX('Stages'!$D$2:$D$7,MATCH(F289,'Stages'!$A$2:$A$7,0)))</f>
        <v>0</v>
      </c>
      <c r="T289" s="4">
        <f>(H289*I289)</f>
        <v>62400</v>
      </c>
      <c r="U289" s="4">
        <f>(H289*(I289-1))</f>
        <v>41600</v>
      </c>
      <c r="V289" s="0" t="str">
        <f>INDEX('Account executives'!$B$2:$B$25,MATCH(C289,'Account executives'!$A$2:$A$25,0))</f>
        <v>amer_west</v>
      </c>
      <c r="W289" s="0" t="str">
        <f>INDEX('Account executives'!$C$2:$C$25,MATCH(C289,'Account executives'!$A$2:$A$25,0))</f>
        <v>mid_market</v>
      </c>
      <c r="X289" s="0" t="str">
        <f>SUBSTITUTE(LOWER(INDEX('Periods'!$G$2:$G$22,MATCH(N289,'Periods'!$A$2:$A$22,0)))," ","_")</f>
        <v>q1_2026</v>
      </c>
    </row>
    <row r="290">
      <c r="A290" s="0" t="inlineStr">
        <is>
          <t xml:space="preserve">o0289</t>
        </is>
      </c>
      <c r="B290" s="0" t="inlineStr">
        <is>
          <t xml:space="preserve">a0941</t>
        </is>
      </c>
      <c r="C290" s="0" t="inlineStr">
        <is>
          <t xml:space="preserve">r13</t>
        </is>
      </c>
      <c r="D290" s="0" t="inlineStr">
        <is>
          <t xml:space="preserve">s_emea_out</t>
        </is>
      </c>
      <c r="E290" s="0" t="inlineStr">
        <is>
          <t xml:space="preserve">outbound</t>
        </is>
      </c>
      <c r="F290" s="0" t="inlineStr">
        <is>
          <t xml:space="preserve">closed_lost</t>
        </is>
      </c>
      <c r="G290" s="4">
        <v>1</v>
      </c>
      <c r="H290" s="4">
        <v>111200</v>
      </c>
      <c r="I290" s="4">
        <v>2</v>
      </c>
      <c r="J290" s="4">
        <v>0</v>
      </c>
      <c r="K290" s="16">
        <v>46162</v>
      </c>
      <c r="L290" s="16">
        <v>46199</v>
      </c>
      <c r="M290" s="0" t="inlineStr">
        <is>
          <t xml:space="preserve">may26</t>
        </is>
      </c>
      <c r="N290" s="0" t="inlineStr">
        <is>
          <t xml:space="preserve">jun26</t>
        </is>
      </c>
      <c r="O290" s="4">
        <v>37</v>
      </c>
      <c r="P290" s="4">
        <v>0</v>
      </c>
      <c r="Q290" s="4">
        <v>1</v>
      </c>
      <c r="R290" s="4">
        <v>0</v>
      </c>
      <c r="S290" s="4">
        <f>(H290*INDEX('Stages'!$D$2:$D$7,MATCH(F290,'Stages'!$A$2:$A$7,0)))</f>
        <v>0</v>
      </c>
      <c r="T290" s="4">
        <f>(H290*I290)</f>
        <v>222400</v>
      </c>
      <c r="U290" s="4">
        <f>(H290*(I290-1))</f>
        <v>111200</v>
      </c>
      <c r="V290" s="0" t="str">
        <f>INDEX('Account executives'!$B$2:$B$25,MATCH(C290,'Account executives'!$A$2:$A$25,0))</f>
        <v>emea</v>
      </c>
      <c r="W290" s="0" t="str">
        <f>INDEX('Account executives'!$C$2:$C$25,MATCH(C290,'Account executives'!$A$2:$A$25,0))</f>
        <v>enterprise</v>
      </c>
      <c r="X290" s="0" t="str">
        <f>SUBSTITUTE(LOWER(INDEX('Periods'!$G$2:$G$22,MATCH(N290,'Periods'!$A$2:$A$22,0)))," ","_")</f>
        <v>q2_2026</v>
      </c>
    </row>
    <row r="291">
      <c r="A291" s="0" t="inlineStr">
        <is>
          <t xml:space="preserve">o0290</t>
        </is>
      </c>
      <c r="B291" s="0" t="inlineStr">
        <is>
          <t xml:space="preserve">a1022</t>
        </is>
      </c>
      <c r="C291" s="0" t="inlineStr">
        <is>
          <t xml:space="preserve">r16</t>
        </is>
      </c>
      <c r="D291" s="0"/>
      <c r="E291" s="0" t="inlineStr">
        <is>
          <t xml:space="preserve">events</t>
        </is>
      </c>
      <c r="F291" s="0" t="inlineStr">
        <is>
          <t xml:space="preserve">closed_lost</t>
        </is>
      </c>
      <c r="G291" s="4">
        <v>1</v>
      </c>
      <c r="H291" s="4">
        <v>81400</v>
      </c>
      <c r="I291" s="4">
        <v>2</v>
      </c>
      <c r="J291" s="4">
        <v>1</v>
      </c>
      <c r="K291" s="16">
        <v>46193</v>
      </c>
      <c r="L291" s="16">
        <v>46244</v>
      </c>
      <c r="M291" s="0" t="inlineStr">
        <is>
          <t xml:space="preserve">jun26</t>
        </is>
      </c>
      <c r="N291" s="0" t="inlineStr">
        <is>
          <t xml:space="preserve">aug26</t>
        </is>
      </c>
      <c r="O291" s="4">
        <v>51</v>
      </c>
      <c r="P291" s="4">
        <v>0</v>
      </c>
      <c r="Q291" s="4">
        <v>1</v>
      </c>
      <c r="R291" s="4">
        <v>0</v>
      </c>
      <c r="S291" s="4">
        <f>(H291*INDEX('Stages'!$D$2:$D$7,MATCH(F291,'Stages'!$A$2:$A$7,0)))</f>
        <v>0</v>
      </c>
      <c r="T291" s="4">
        <f>(H291*I291)</f>
        <v>162800</v>
      </c>
      <c r="U291" s="4">
        <f>(H291*(I291-1))</f>
        <v>81400</v>
      </c>
      <c r="V291" s="0" t="str">
        <f>INDEX('Account executives'!$B$2:$B$25,MATCH(C291,'Account executives'!$A$2:$A$25,0))</f>
        <v>emea</v>
      </c>
      <c r="W291" s="0" t="str">
        <f>INDEX('Account executives'!$C$2:$C$25,MATCH(C291,'Account executives'!$A$2:$A$25,0))</f>
        <v>mid_market</v>
      </c>
      <c r="X291" s="0" t="str">
        <f>SUBSTITUTE(LOWER(INDEX('Periods'!$G$2:$G$22,MATCH(N291,'Periods'!$A$2:$A$22,0)))," ","_")</f>
        <v>q3_2026</v>
      </c>
    </row>
    <row r="292">
      <c r="A292" s="0" t="inlineStr">
        <is>
          <t xml:space="preserve">o0291</t>
        </is>
      </c>
      <c r="B292" s="0" t="inlineStr">
        <is>
          <t xml:space="preserve">a0583</t>
        </is>
      </c>
      <c r="C292" s="0" t="inlineStr">
        <is>
          <t xml:space="preserve">r16</t>
        </is>
      </c>
      <c r="D292" s="0" t="inlineStr">
        <is>
          <t xml:space="preserve">s_emea_in</t>
        </is>
      </c>
      <c r="E292" s="0" t="inlineStr">
        <is>
          <t xml:space="preserve">inbound</t>
        </is>
      </c>
      <c r="F292" s="0" t="inlineStr">
        <is>
          <t xml:space="preserve">closed_lost</t>
        </is>
      </c>
      <c r="G292" s="4">
        <v>0</v>
      </c>
      <c r="H292" s="4">
        <v>17500</v>
      </c>
      <c r="I292" s="4">
        <v>1</v>
      </c>
      <c r="J292" s="4">
        <v>1</v>
      </c>
      <c r="K292" s="16">
        <v>46102</v>
      </c>
      <c r="L292" s="16">
        <v>46143</v>
      </c>
      <c r="M292" s="0" t="inlineStr">
        <is>
          <t xml:space="preserve">mar26</t>
        </is>
      </c>
      <c r="N292" s="0" t="inlineStr">
        <is>
          <t xml:space="preserve">may26</t>
        </is>
      </c>
      <c r="O292" s="4">
        <v>41</v>
      </c>
      <c r="P292" s="4">
        <v>0</v>
      </c>
      <c r="Q292" s="4">
        <v>1</v>
      </c>
      <c r="R292" s="4">
        <v>0</v>
      </c>
      <c r="S292" s="4">
        <f>(H292*INDEX('Stages'!$D$2:$D$7,MATCH(F292,'Stages'!$A$2:$A$7,0)))</f>
        <v>0</v>
      </c>
      <c r="T292" s="4">
        <f>(H292*I292)</f>
        <v>17500</v>
      </c>
      <c r="U292" s="4">
        <f>(H292*(I292-1))</f>
        <v>0</v>
      </c>
      <c r="V292" s="0" t="str">
        <f>INDEX('Account executives'!$B$2:$B$25,MATCH(C292,'Account executives'!$A$2:$A$25,0))</f>
        <v>emea</v>
      </c>
      <c r="W292" s="0" t="str">
        <f>INDEX('Account executives'!$C$2:$C$25,MATCH(C292,'Account executives'!$A$2:$A$25,0))</f>
        <v>mid_market</v>
      </c>
      <c r="X292" s="0" t="str">
        <f>SUBSTITUTE(LOWER(INDEX('Periods'!$G$2:$G$22,MATCH(N292,'Periods'!$A$2:$A$22,0)))," ","_")</f>
        <v>q2_2026</v>
      </c>
    </row>
    <row r="293">
      <c r="A293" s="0" t="inlineStr">
        <is>
          <t xml:space="preserve">o0292</t>
        </is>
      </c>
      <c r="B293" s="0" t="inlineStr">
        <is>
          <t xml:space="preserve">a0031</t>
        </is>
      </c>
      <c r="C293" s="0" t="inlineStr">
        <is>
          <t xml:space="preserve">r11</t>
        </is>
      </c>
      <c r="D293" s="0"/>
      <c r="E293" s="0" t="inlineStr">
        <is>
          <t xml:space="preserve">events</t>
        </is>
      </c>
      <c r="F293" s="0" t="inlineStr">
        <is>
          <t xml:space="preserve">closed_lost</t>
        </is>
      </c>
      <c r="G293" s="4">
        <v>0</v>
      </c>
      <c r="H293" s="4">
        <v>4300</v>
      </c>
      <c r="I293" s="4">
        <v>1</v>
      </c>
      <c r="J293" s="4">
        <v>0</v>
      </c>
      <c r="K293" s="16">
        <v>45828</v>
      </c>
      <c r="L293" s="16">
        <v>45928</v>
      </c>
      <c r="M293" s="0" t="inlineStr">
        <is>
          <t xml:space="preserve">jun25</t>
        </is>
      </c>
      <c r="N293" s="0" t="inlineStr">
        <is>
          <t xml:space="preserve">sep25</t>
        </is>
      </c>
      <c r="O293" s="4">
        <v>100</v>
      </c>
      <c r="P293" s="4">
        <v>0</v>
      </c>
      <c r="Q293" s="4">
        <v>1</v>
      </c>
      <c r="R293" s="4">
        <v>0</v>
      </c>
      <c r="S293" s="4">
        <f>(H293*INDEX('Stages'!$D$2:$D$7,MATCH(F293,'Stages'!$A$2:$A$7,0)))</f>
        <v>0</v>
      </c>
      <c r="T293" s="4">
        <f>(H293*I293)</f>
        <v>4300</v>
      </c>
      <c r="U293" s="4">
        <f>(H293*(I293-1))</f>
        <v>0</v>
      </c>
      <c r="V293" s="0" t="str">
        <f>INDEX('Account executives'!$B$2:$B$25,MATCH(C293,'Account executives'!$A$2:$A$25,0))</f>
        <v>amer_west</v>
      </c>
      <c r="W293" s="0" t="str">
        <f>INDEX('Account executives'!$C$2:$C$25,MATCH(C293,'Account executives'!$A$2:$A$25,0))</f>
        <v>smb</v>
      </c>
      <c r="X293" s="0" t="str">
        <f>SUBSTITUTE(LOWER(INDEX('Periods'!$G$2:$G$22,MATCH(N293,'Periods'!$A$2:$A$22,0)))," ","_")</f>
        <v>q3_2025</v>
      </c>
    </row>
    <row r="294">
      <c r="A294" s="0" t="inlineStr">
        <is>
          <t xml:space="preserve">o0293</t>
        </is>
      </c>
      <c r="B294" s="0" t="inlineStr">
        <is>
          <t xml:space="preserve">a0306</t>
        </is>
      </c>
      <c r="C294" s="0" t="inlineStr">
        <is>
          <t xml:space="preserve">r21</t>
        </is>
      </c>
      <c r="D294" s="0" t="inlineStr">
        <is>
          <t xml:space="preserve">s_apac_out</t>
        </is>
      </c>
      <c r="E294" s="0" t="inlineStr">
        <is>
          <t xml:space="preserve">outbound</t>
        </is>
      </c>
      <c r="F294" s="0" t="inlineStr">
        <is>
          <t xml:space="preserve">closed_lost</t>
        </is>
      </c>
      <c r="G294" s="4">
        <v>0</v>
      </c>
      <c r="H294" s="4">
        <v>13000</v>
      </c>
      <c r="I294" s="4">
        <v>1</v>
      </c>
      <c r="J294" s="4">
        <v>0</v>
      </c>
      <c r="K294" s="16">
        <v>46091</v>
      </c>
      <c r="L294" s="16">
        <v>46136</v>
      </c>
      <c r="M294" s="0" t="inlineStr">
        <is>
          <t xml:space="preserve">mar26</t>
        </is>
      </c>
      <c r="N294" s="0" t="inlineStr">
        <is>
          <t xml:space="preserve">apr26</t>
        </is>
      </c>
      <c r="O294" s="4">
        <v>45</v>
      </c>
      <c r="P294" s="4">
        <v>0</v>
      </c>
      <c r="Q294" s="4">
        <v>1</v>
      </c>
      <c r="R294" s="4">
        <v>0</v>
      </c>
      <c r="S294" s="4">
        <f>(H294*INDEX('Stages'!$D$2:$D$7,MATCH(F294,'Stages'!$A$2:$A$7,0)))</f>
        <v>0</v>
      </c>
      <c r="T294" s="4">
        <f>(H294*I294)</f>
        <v>13000</v>
      </c>
      <c r="U294" s="4">
        <f>(H294*(I294-1))</f>
        <v>0</v>
      </c>
      <c r="V294" s="0" t="str">
        <f>INDEX('Account executives'!$B$2:$B$25,MATCH(C294,'Account executives'!$A$2:$A$25,0))</f>
        <v>apac</v>
      </c>
      <c r="W294" s="0" t="str">
        <f>INDEX('Account executives'!$C$2:$C$25,MATCH(C294,'Account executives'!$A$2:$A$25,0))</f>
        <v>mid_market</v>
      </c>
      <c r="X294" s="0" t="str">
        <f>SUBSTITUTE(LOWER(INDEX('Periods'!$G$2:$G$22,MATCH(N294,'Periods'!$A$2:$A$22,0)))," ","_")</f>
        <v>q2_2026</v>
      </c>
    </row>
    <row r="295">
      <c r="A295" s="0" t="inlineStr">
        <is>
          <t xml:space="preserve">o0294</t>
        </is>
      </c>
      <c r="B295" s="0" t="inlineStr">
        <is>
          <t xml:space="preserve">a0037</t>
        </is>
      </c>
      <c r="C295" s="0" t="inlineStr">
        <is>
          <t xml:space="preserve">r12</t>
        </is>
      </c>
      <c r="D295" s="0" t="inlineStr">
        <is>
          <t xml:space="preserve">s_amer_west_out</t>
        </is>
      </c>
      <c r="E295" s="0" t="inlineStr">
        <is>
          <t xml:space="preserve">outbound</t>
        </is>
      </c>
      <c r="F295" s="0" t="inlineStr">
        <is>
          <t xml:space="preserve">closed_lost</t>
        </is>
      </c>
      <c r="G295" s="4">
        <v>1</v>
      </c>
      <c r="H295" s="4">
        <v>8000</v>
      </c>
      <c r="I295" s="4">
        <v>1</v>
      </c>
      <c r="J295" s="4">
        <v>1</v>
      </c>
      <c r="K295" s="16">
        <v>45766</v>
      </c>
      <c r="L295" s="16">
        <v>45795</v>
      </c>
      <c r="M295" s="0" t="inlineStr">
        <is>
          <t xml:space="preserve">apr25</t>
        </is>
      </c>
      <c r="N295" s="0" t="inlineStr">
        <is>
          <t xml:space="preserve">may25</t>
        </is>
      </c>
      <c r="O295" s="4">
        <v>29</v>
      </c>
      <c r="P295" s="4">
        <v>0</v>
      </c>
      <c r="Q295" s="4">
        <v>1</v>
      </c>
      <c r="R295" s="4">
        <v>0</v>
      </c>
      <c r="S295" s="4">
        <f>(H295*INDEX('Stages'!$D$2:$D$7,MATCH(F295,'Stages'!$A$2:$A$7,0)))</f>
        <v>0</v>
      </c>
      <c r="T295" s="4">
        <f>(H295*I295)</f>
        <v>8000</v>
      </c>
      <c r="U295" s="4">
        <f>(H295*(I295-1))</f>
        <v>0</v>
      </c>
      <c r="V295" s="0" t="str">
        <f>INDEX('Account executives'!$B$2:$B$25,MATCH(C295,'Account executives'!$A$2:$A$25,0))</f>
        <v>amer_west</v>
      </c>
      <c r="W295" s="0" t="str">
        <f>INDEX('Account executives'!$C$2:$C$25,MATCH(C295,'Account executives'!$A$2:$A$25,0))</f>
        <v>smb</v>
      </c>
      <c r="X295" s="0" t="str">
        <f>SUBSTITUTE(LOWER(INDEX('Periods'!$G$2:$G$22,MATCH(N295,'Periods'!$A$2:$A$22,0)))," ","_")</f>
        <v>q2_2025</v>
      </c>
    </row>
    <row r="296">
      <c r="A296" s="0" t="inlineStr">
        <is>
          <t xml:space="preserve">o0295</t>
        </is>
      </c>
      <c r="B296" s="0" t="inlineStr">
        <is>
          <t xml:space="preserve">a0516</t>
        </is>
      </c>
      <c r="C296" s="0" t="inlineStr">
        <is>
          <t xml:space="preserve">r18</t>
        </is>
      </c>
      <c r="D296" s="0" t="inlineStr">
        <is>
          <t xml:space="preserve">s_emea_in</t>
        </is>
      </c>
      <c r="E296" s="0" t="inlineStr">
        <is>
          <t xml:space="preserve">inbound</t>
        </is>
      </c>
      <c r="F296" s="0" t="inlineStr">
        <is>
          <t xml:space="preserve">closed_won</t>
        </is>
      </c>
      <c r="G296" s="4">
        <v>1</v>
      </c>
      <c r="H296" s="4">
        <v>23900</v>
      </c>
      <c r="I296" s="4">
        <v>1</v>
      </c>
      <c r="J296" s="4">
        <v>0</v>
      </c>
      <c r="K296" s="16">
        <v>45975</v>
      </c>
      <c r="L296" s="16">
        <v>45990</v>
      </c>
      <c r="M296" s="0" t="inlineStr">
        <is>
          <t xml:space="preserve">nov25</t>
        </is>
      </c>
      <c r="N296" s="0" t="inlineStr">
        <is>
          <t xml:space="preserve">nov25</t>
        </is>
      </c>
      <c r="O296" s="4">
        <v>15</v>
      </c>
      <c r="P296" s="4">
        <v>1</v>
      </c>
      <c r="Q296" s="4">
        <v>0</v>
      </c>
      <c r="R296" s="4">
        <v>0</v>
      </c>
      <c r="S296" s="4">
        <f>(H296*INDEX('Stages'!$D$2:$D$7,MATCH(F296,'Stages'!$A$2:$A$7,0)))</f>
        <v>23900</v>
      </c>
      <c r="T296" s="4">
        <f>(H296*I296)</f>
        <v>23900</v>
      </c>
      <c r="U296" s="4">
        <f>(H296*(I296-1))</f>
        <v>0</v>
      </c>
      <c r="V296" s="0" t="str">
        <f>INDEX('Account executives'!$B$2:$B$25,MATCH(C296,'Account executives'!$A$2:$A$25,0))</f>
        <v>emea</v>
      </c>
      <c r="W296" s="0" t="str">
        <f>INDEX('Account executives'!$C$2:$C$25,MATCH(C296,'Account executives'!$A$2:$A$25,0))</f>
        <v>smb</v>
      </c>
      <c r="X296" s="0" t="str">
        <f>SUBSTITUTE(LOWER(INDEX('Periods'!$G$2:$G$22,MATCH(N296,'Periods'!$A$2:$A$22,0)))," ","_")</f>
        <v>q4_2025</v>
      </c>
    </row>
    <row r="297">
      <c r="A297" s="0" t="inlineStr">
        <is>
          <t xml:space="preserve">o0296</t>
        </is>
      </c>
      <c r="B297" s="0" t="inlineStr">
        <is>
          <t xml:space="preserve">a0261</t>
        </is>
      </c>
      <c r="C297" s="0" t="inlineStr">
        <is>
          <t xml:space="preserve">r11</t>
        </is>
      </c>
      <c r="D297" s="0"/>
      <c r="E297" s="0" t="inlineStr">
        <is>
          <t xml:space="preserve">partner</t>
        </is>
      </c>
      <c r="F297" s="0" t="inlineStr">
        <is>
          <t xml:space="preserve">closed_won</t>
        </is>
      </c>
      <c r="G297" s="4">
        <v>0</v>
      </c>
      <c r="H297" s="4">
        <v>11100</v>
      </c>
      <c r="I297" s="4">
        <v>1</v>
      </c>
      <c r="J297" s="4">
        <v>1</v>
      </c>
      <c r="K297" s="16">
        <v>46188</v>
      </c>
      <c r="L297" s="16">
        <v>46207</v>
      </c>
      <c r="M297" s="0" t="inlineStr">
        <is>
          <t xml:space="preserve">jun26</t>
        </is>
      </c>
      <c r="N297" s="0" t="inlineStr">
        <is>
          <t xml:space="preserve">jul26</t>
        </is>
      </c>
      <c r="O297" s="4">
        <v>19</v>
      </c>
      <c r="P297" s="4">
        <v>1</v>
      </c>
      <c r="Q297" s="4">
        <v>0</v>
      </c>
      <c r="R297" s="4">
        <v>0</v>
      </c>
      <c r="S297" s="4">
        <f>(H297*INDEX('Stages'!$D$2:$D$7,MATCH(F297,'Stages'!$A$2:$A$7,0)))</f>
        <v>11100</v>
      </c>
      <c r="T297" s="4">
        <f>(H297*I297)</f>
        <v>11100</v>
      </c>
      <c r="U297" s="4">
        <f>(H297*(I297-1))</f>
        <v>0</v>
      </c>
      <c r="V297" s="0" t="str">
        <f>INDEX('Account executives'!$B$2:$B$25,MATCH(C297,'Account executives'!$A$2:$A$25,0))</f>
        <v>amer_west</v>
      </c>
      <c r="W297" s="0" t="str">
        <f>INDEX('Account executives'!$C$2:$C$25,MATCH(C297,'Account executives'!$A$2:$A$25,0))</f>
        <v>smb</v>
      </c>
      <c r="X297" s="0" t="str">
        <f>SUBSTITUTE(LOWER(INDEX('Periods'!$G$2:$G$22,MATCH(N297,'Periods'!$A$2:$A$22,0)))," ","_")</f>
        <v>q3_2026</v>
      </c>
    </row>
    <row r="298">
      <c r="A298" s="0" t="inlineStr">
        <is>
          <t xml:space="preserve">o0297</t>
        </is>
      </c>
      <c r="B298" s="0" t="inlineStr">
        <is>
          <t xml:space="preserve">a0864</t>
        </is>
      </c>
      <c r="C298" s="0" t="inlineStr">
        <is>
          <t xml:space="preserve">r17</t>
        </is>
      </c>
      <c r="D298" s="0" t="inlineStr">
        <is>
          <t xml:space="preserve">s_emea_in</t>
        </is>
      </c>
      <c r="E298" s="0" t="inlineStr">
        <is>
          <t xml:space="preserve">paid</t>
        </is>
      </c>
      <c r="F298" s="0" t="inlineStr">
        <is>
          <t xml:space="preserve">discovery</t>
        </is>
      </c>
      <c r="G298" s="4">
        <v>0</v>
      </c>
      <c r="H298" s="4">
        <v>12500</v>
      </c>
      <c r="I298" s="4">
        <v>1</v>
      </c>
      <c r="J298" s="4">
        <v>0</v>
      </c>
      <c r="K298" s="16">
        <v>46276</v>
      </c>
      <c r="L298" s="16">
        <v>46348</v>
      </c>
      <c r="M298" s="0" t="inlineStr">
        <is>
          <t xml:space="preserve">sep26</t>
        </is>
      </c>
      <c r="N298" s="0" t="inlineStr">
        <is>
          <t xml:space="preserve">nov26</t>
        </is>
      </c>
      <c r="O298" s="4">
        <v>108</v>
      </c>
      <c r="P298" s="4">
        <v>0</v>
      </c>
      <c r="Q298" s="4">
        <v>0</v>
      </c>
      <c r="R298" s="4">
        <v>1</v>
      </c>
      <c r="S298" s="4">
        <f>(H298*INDEX('Stages'!$D$2:$D$7,MATCH(F298,'Stages'!$A$2:$A$7,0)))</f>
        <v>1250</v>
      </c>
      <c r="T298" s="4">
        <f>(H298*I298)</f>
        <v>12500</v>
      </c>
      <c r="U298" s="4">
        <f>(H298*(I298-1))</f>
        <v>0</v>
      </c>
      <c r="V298" s="0" t="str">
        <f>INDEX('Account executives'!$B$2:$B$25,MATCH(C298,'Account executives'!$A$2:$A$25,0))</f>
        <v>emea</v>
      </c>
      <c r="W298" s="0" t="str">
        <f>INDEX('Account executives'!$C$2:$C$25,MATCH(C298,'Account executives'!$A$2:$A$25,0))</f>
        <v>smb</v>
      </c>
      <c r="X298" s="0" t="str">
        <f>SUBSTITUTE(LOWER(INDEX('Periods'!$G$2:$G$22,MATCH(N298,'Periods'!$A$2:$A$22,0)))," ","_")</f>
        <v>q4_2026</v>
      </c>
    </row>
    <row r="299">
      <c r="A299" s="0" t="inlineStr">
        <is>
          <t xml:space="preserve">o0298</t>
        </is>
      </c>
      <c r="B299" s="0" t="inlineStr">
        <is>
          <t xml:space="preserve">a0402</t>
        </is>
      </c>
      <c r="C299" s="0" t="inlineStr">
        <is>
          <t xml:space="preserve">r13</t>
        </is>
      </c>
      <c r="D299" s="0" t="inlineStr">
        <is>
          <t xml:space="preserve">s_emea_out</t>
        </is>
      </c>
      <c r="E299" s="0" t="inlineStr">
        <is>
          <t xml:space="preserve">outbound</t>
        </is>
      </c>
      <c r="F299" s="0" t="inlineStr">
        <is>
          <t xml:space="preserve">closed_lost</t>
        </is>
      </c>
      <c r="G299" s="4">
        <v>1</v>
      </c>
      <c r="H299" s="4">
        <v>119900</v>
      </c>
      <c r="I299" s="4">
        <v>3</v>
      </c>
      <c r="J299" s="4">
        <v>1</v>
      </c>
      <c r="K299" s="16">
        <v>45926</v>
      </c>
      <c r="L299" s="16">
        <v>46093</v>
      </c>
      <c r="M299" s="0" t="inlineStr">
        <is>
          <t xml:space="preserve">sep25</t>
        </is>
      </c>
      <c r="N299" s="0" t="inlineStr">
        <is>
          <t xml:space="preserve">mar26</t>
        </is>
      </c>
      <c r="O299" s="4">
        <v>167</v>
      </c>
      <c r="P299" s="4">
        <v>0</v>
      </c>
      <c r="Q299" s="4">
        <v>1</v>
      </c>
      <c r="R299" s="4">
        <v>0</v>
      </c>
      <c r="S299" s="4">
        <f>(H299*INDEX('Stages'!$D$2:$D$7,MATCH(F299,'Stages'!$A$2:$A$7,0)))</f>
        <v>0</v>
      </c>
      <c r="T299" s="4">
        <f>(H299*I299)</f>
        <v>359700</v>
      </c>
      <c r="U299" s="4">
        <f>(H299*(I299-1))</f>
        <v>239800</v>
      </c>
      <c r="V299" s="0" t="str">
        <f>INDEX('Account executives'!$B$2:$B$25,MATCH(C299,'Account executives'!$A$2:$A$25,0))</f>
        <v>emea</v>
      </c>
      <c r="W299" s="0" t="str">
        <f>INDEX('Account executives'!$C$2:$C$25,MATCH(C299,'Account executives'!$A$2:$A$25,0))</f>
        <v>enterprise</v>
      </c>
      <c r="X299" s="0" t="str">
        <f>SUBSTITUTE(LOWER(INDEX('Periods'!$G$2:$G$22,MATCH(N299,'Periods'!$A$2:$A$22,0)))," ","_")</f>
        <v>q1_2026</v>
      </c>
    </row>
    <row r="300">
      <c r="A300" s="0" t="inlineStr">
        <is>
          <t xml:space="preserve">o0299</t>
        </is>
      </c>
      <c r="B300" s="0" t="inlineStr">
        <is>
          <t xml:space="preserve">a0976</t>
        </is>
      </c>
      <c r="C300" s="0" t="inlineStr">
        <is>
          <t xml:space="preserve">r04</t>
        </is>
      </c>
      <c r="D300" s="0"/>
      <c r="E300" s="0" t="inlineStr">
        <is>
          <t xml:space="preserve">partner</t>
        </is>
      </c>
      <c r="F300" s="0" t="inlineStr">
        <is>
          <t xml:space="preserve">closed_won</t>
        </is>
      </c>
      <c r="G300" s="4">
        <v>1</v>
      </c>
      <c r="H300" s="4">
        <v>55300</v>
      </c>
      <c r="I300" s="4">
        <v>1</v>
      </c>
      <c r="J300" s="4">
        <v>0</v>
      </c>
      <c r="K300" s="16">
        <v>46181</v>
      </c>
      <c r="L300" s="16">
        <v>46264</v>
      </c>
      <c r="M300" s="0" t="inlineStr">
        <is>
          <t xml:space="preserve">jun26</t>
        </is>
      </c>
      <c r="N300" s="0" t="inlineStr">
        <is>
          <t xml:space="preserve">aug26</t>
        </is>
      </c>
      <c r="O300" s="4">
        <v>83</v>
      </c>
      <c r="P300" s="4">
        <v>1</v>
      </c>
      <c r="Q300" s="4">
        <v>0</v>
      </c>
      <c r="R300" s="4">
        <v>0</v>
      </c>
      <c r="S300" s="4">
        <f>(H300*INDEX('Stages'!$D$2:$D$7,MATCH(F300,'Stages'!$A$2:$A$7,0)))</f>
        <v>55300</v>
      </c>
      <c r="T300" s="4">
        <f>(H300*I300)</f>
        <v>55300</v>
      </c>
      <c r="U300" s="4">
        <f>(H300*(I300-1))</f>
        <v>0</v>
      </c>
      <c r="V300" s="0" t="str">
        <f>INDEX('Account executives'!$B$2:$B$25,MATCH(C300,'Account executives'!$A$2:$A$25,0))</f>
        <v>amer_east</v>
      </c>
      <c r="W300" s="0" t="str">
        <f>INDEX('Account executives'!$C$2:$C$25,MATCH(C300,'Account executives'!$A$2:$A$25,0))</f>
        <v>mid_market</v>
      </c>
      <c r="X300" s="0" t="str">
        <f>SUBSTITUTE(LOWER(INDEX('Periods'!$G$2:$G$22,MATCH(N300,'Periods'!$A$2:$A$22,0)))," ","_")</f>
        <v>q3_2026</v>
      </c>
    </row>
    <row r="301">
      <c r="A301" s="0" t="inlineStr">
        <is>
          <t xml:space="preserve">o0300</t>
        </is>
      </c>
      <c r="B301" s="0" t="inlineStr">
        <is>
          <t xml:space="preserve">a0435</t>
        </is>
      </c>
      <c r="C301" s="0" t="inlineStr">
        <is>
          <t xml:space="preserve">r12</t>
        </is>
      </c>
      <c r="D301" s="0"/>
      <c r="E301" s="0" t="inlineStr">
        <is>
          <t xml:space="preserve">events</t>
        </is>
      </c>
      <c r="F301" s="0" t="inlineStr">
        <is>
          <t xml:space="preserve">closed_won</t>
        </is>
      </c>
      <c r="G301" s="4">
        <v>1</v>
      </c>
      <c r="H301" s="4">
        <v>10000</v>
      </c>
      <c r="I301" s="4">
        <v>1</v>
      </c>
      <c r="J301" s="4">
        <v>0</v>
      </c>
      <c r="K301" s="16">
        <v>45934</v>
      </c>
      <c r="L301" s="16">
        <v>46019</v>
      </c>
      <c r="M301" s="0" t="inlineStr">
        <is>
          <t xml:space="preserve">oct25</t>
        </is>
      </c>
      <c r="N301" s="0" t="inlineStr">
        <is>
          <t xml:space="preserve">dec25</t>
        </is>
      </c>
      <c r="O301" s="4">
        <v>85</v>
      </c>
      <c r="P301" s="4">
        <v>1</v>
      </c>
      <c r="Q301" s="4">
        <v>0</v>
      </c>
      <c r="R301" s="4">
        <v>0</v>
      </c>
      <c r="S301" s="4">
        <f>(H301*INDEX('Stages'!$D$2:$D$7,MATCH(F301,'Stages'!$A$2:$A$7,0)))</f>
        <v>10000</v>
      </c>
      <c r="T301" s="4">
        <f>(H301*I301)</f>
        <v>10000</v>
      </c>
      <c r="U301" s="4">
        <f>(H301*(I301-1))</f>
        <v>0</v>
      </c>
      <c r="V301" s="0" t="str">
        <f>INDEX('Account executives'!$B$2:$B$25,MATCH(C301,'Account executives'!$A$2:$A$25,0))</f>
        <v>amer_west</v>
      </c>
      <c r="W301" s="0" t="str">
        <f>INDEX('Account executives'!$C$2:$C$25,MATCH(C301,'Account executives'!$A$2:$A$25,0))</f>
        <v>smb</v>
      </c>
      <c r="X301" s="0" t="str">
        <f>SUBSTITUTE(LOWER(INDEX('Periods'!$G$2:$G$22,MATCH(N301,'Periods'!$A$2:$A$22,0)))," ","_")</f>
        <v>q4_2025</v>
      </c>
    </row>
    <row r="302">
      <c r="A302" s="0" t="inlineStr">
        <is>
          <t xml:space="preserve">o0301</t>
        </is>
      </c>
      <c r="B302" s="0" t="inlineStr">
        <is>
          <t xml:space="preserve">a0479</t>
        </is>
      </c>
      <c r="C302" s="0" t="inlineStr">
        <is>
          <t xml:space="preserve">r06</t>
        </is>
      </c>
      <c r="D302" s="0" t="inlineStr">
        <is>
          <t xml:space="preserve">s_amer_east_in</t>
        </is>
      </c>
      <c r="E302" s="0" t="inlineStr">
        <is>
          <t xml:space="preserve">inbound</t>
        </is>
      </c>
      <c r="F302" s="0" t="inlineStr">
        <is>
          <t xml:space="preserve">closed_won</t>
        </is>
      </c>
      <c r="G302" s="4">
        <v>1</v>
      </c>
      <c r="H302" s="4">
        <v>13300</v>
      </c>
      <c r="I302" s="4">
        <v>1</v>
      </c>
      <c r="J302" s="4">
        <v>1</v>
      </c>
      <c r="K302" s="16">
        <v>45962</v>
      </c>
      <c r="L302" s="16">
        <v>45996</v>
      </c>
      <c r="M302" s="0" t="inlineStr">
        <is>
          <t xml:space="preserve">nov25</t>
        </is>
      </c>
      <c r="N302" s="0" t="inlineStr">
        <is>
          <t xml:space="preserve">dec25</t>
        </is>
      </c>
      <c r="O302" s="4">
        <v>34</v>
      </c>
      <c r="P302" s="4">
        <v>1</v>
      </c>
      <c r="Q302" s="4">
        <v>0</v>
      </c>
      <c r="R302" s="4">
        <v>0</v>
      </c>
      <c r="S302" s="4">
        <f>(H302*INDEX('Stages'!$D$2:$D$7,MATCH(F302,'Stages'!$A$2:$A$7,0)))</f>
        <v>13300</v>
      </c>
      <c r="T302" s="4">
        <f>(H302*I302)</f>
        <v>13300</v>
      </c>
      <c r="U302" s="4">
        <f>(H302*(I302-1))</f>
        <v>0</v>
      </c>
      <c r="V302" s="0" t="str">
        <f>INDEX('Account executives'!$B$2:$B$25,MATCH(C302,'Account executives'!$A$2:$A$25,0))</f>
        <v>amer_east</v>
      </c>
      <c r="W302" s="0" t="str">
        <f>INDEX('Account executives'!$C$2:$C$25,MATCH(C302,'Account executives'!$A$2:$A$25,0))</f>
        <v>smb</v>
      </c>
      <c r="X302" s="0" t="str">
        <f>SUBSTITUTE(LOWER(INDEX('Periods'!$G$2:$G$22,MATCH(N302,'Periods'!$A$2:$A$22,0)))," ","_")</f>
        <v>q4_2025</v>
      </c>
    </row>
    <row r="303">
      <c r="A303" s="0" t="inlineStr">
        <is>
          <t xml:space="preserve">o0302</t>
        </is>
      </c>
      <c r="B303" s="0" t="inlineStr">
        <is>
          <t xml:space="preserve">a0697</t>
        </is>
      </c>
      <c r="C303" s="0" t="inlineStr">
        <is>
          <t xml:space="preserve">r18</t>
        </is>
      </c>
      <c r="D303" s="0" t="inlineStr">
        <is>
          <t xml:space="preserve">s_emea_in</t>
        </is>
      </c>
      <c r="E303" s="0" t="inlineStr">
        <is>
          <t xml:space="preserve">paid</t>
        </is>
      </c>
      <c r="F303" s="0" t="inlineStr">
        <is>
          <t xml:space="preserve">closed_lost</t>
        </is>
      </c>
      <c r="G303" s="4">
        <v>0</v>
      </c>
      <c r="H303" s="4">
        <v>7800</v>
      </c>
      <c r="I303" s="4">
        <v>1</v>
      </c>
      <c r="J303" s="4">
        <v>0</v>
      </c>
      <c r="K303" s="16">
        <v>46209</v>
      </c>
      <c r="L303" s="16">
        <v>46240</v>
      </c>
      <c r="M303" s="0" t="inlineStr">
        <is>
          <t xml:space="preserve">jul26</t>
        </is>
      </c>
      <c r="N303" s="0" t="inlineStr">
        <is>
          <t xml:space="preserve">aug26</t>
        </is>
      </c>
      <c r="O303" s="4">
        <v>31</v>
      </c>
      <c r="P303" s="4">
        <v>0</v>
      </c>
      <c r="Q303" s="4">
        <v>1</v>
      </c>
      <c r="R303" s="4">
        <v>0</v>
      </c>
      <c r="S303" s="4">
        <f>(H303*INDEX('Stages'!$D$2:$D$7,MATCH(F303,'Stages'!$A$2:$A$7,0)))</f>
        <v>0</v>
      </c>
      <c r="T303" s="4">
        <f>(H303*I303)</f>
        <v>7800</v>
      </c>
      <c r="U303" s="4">
        <f>(H303*(I303-1))</f>
        <v>0</v>
      </c>
      <c r="V303" s="0" t="str">
        <f>INDEX('Account executives'!$B$2:$B$25,MATCH(C303,'Account executives'!$A$2:$A$25,0))</f>
        <v>emea</v>
      </c>
      <c r="W303" s="0" t="str">
        <f>INDEX('Account executives'!$C$2:$C$25,MATCH(C303,'Account executives'!$A$2:$A$25,0))</f>
        <v>smb</v>
      </c>
      <c r="X303" s="0" t="str">
        <f>SUBSTITUTE(LOWER(INDEX('Periods'!$G$2:$G$22,MATCH(N303,'Periods'!$A$2:$A$22,0)))," ","_")</f>
        <v>q3_2026</v>
      </c>
    </row>
    <row r="304">
      <c r="A304" s="0" t="inlineStr">
        <is>
          <t xml:space="preserve">o0303</t>
        </is>
      </c>
      <c r="B304" s="0" t="inlineStr">
        <is>
          <t xml:space="preserve">a0119</t>
        </is>
      </c>
      <c r="C304" s="0" t="inlineStr">
        <is>
          <t xml:space="preserve">r16</t>
        </is>
      </c>
      <c r="D304" s="0" t="inlineStr">
        <is>
          <t xml:space="preserve">s_emea_in</t>
        </is>
      </c>
      <c r="E304" s="0" t="inlineStr">
        <is>
          <t xml:space="preserve">inbound</t>
        </is>
      </c>
      <c r="F304" s="0" t="inlineStr">
        <is>
          <t xml:space="preserve">closed_won</t>
        </is>
      </c>
      <c r="G304" s="4">
        <v>0</v>
      </c>
      <c r="H304" s="4">
        <v>28100</v>
      </c>
      <c r="I304" s="4">
        <v>1</v>
      </c>
      <c r="J304" s="4">
        <v>1</v>
      </c>
      <c r="K304" s="16">
        <v>45802</v>
      </c>
      <c r="L304" s="16">
        <v>45875</v>
      </c>
      <c r="M304" s="0" t="inlineStr">
        <is>
          <t xml:space="preserve">may25</t>
        </is>
      </c>
      <c r="N304" s="0" t="inlineStr">
        <is>
          <t xml:space="preserve">aug25</t>
        </is>
      </c>
      <c r="O304" s="4">
        <v>73</v>
      </c>
      <c r="P304" s="4">
        <v>1</v>
      </c>
      <c r="Q304" s="4">
        <v>0</v>
      </c>
      <c r="R304" s="4">
        <v>0</v>
      </c>
      <c r="S304" s="4">
        <f>(H304*INDEX('Stages'!$D$2:$D$7,MATCH(F304,'Stages'!$A$2:$A$7,0)))</f>
        <v>28100</v>
      </c>
      <c r="T304" s="4">
        <f>(H304*I304)</f>
        <v>28100</v>
      </c>
      <c r="U304" s="4">
        <f>(H304*(I304-1))</f>
        <v>0</v>
      </c>
      <c r="V304" s="0" t="str">
        <f>INDEX('Account executives'!$B$2:$B$25,MATCH(C304,'Account executives'!$A$2:$A$25,0))</f>
        <v>emea</v>
      </c>
      <c r="W304" s="0" t="str">
        <f>INDEX('Account executives'!$C$2:$C$25,MATCH(C304,'Account executives'!$A$2:$A$25,0))</f>
        <v>mid_market</v>
      </c>
      <c r="X304" s="0" t="str">
        <f>SUBSTITUTE(LOWER(INDEX('Periods'!$G$2:$G$22,MATCH(N304,'Periods'!$A$2:$A$22,0)))," ","_")</f>
        <v>q3_2025</v>
      </c>
    </row>
    <row r="305">
      <c r="A305" s="0" t="inlineStr">
        <is>
          <t xml:space="preserve">o0304</t>
        </is>
      </c>
      <c r="B305" s="0" t="inlineStr">
        <is>
          <t xml:space="preserve">a0431</t>
        </is>
      </c>
      <c r="C305" s="0" t="inlineStr">
        <is>
          <t xml:space="preserve">r11</t>
        </is>
      </c>
      <c r="D305" s="0"/>
      <c r="E305" s="0" t="inlineStr">
        <is>
          <t xml:space="preserve">events</t>
        </is>
      </c>
      <c r="F305" s="0" t="inlineStr">
        <is>
          <t xml:space="preserve">closed_won</t>
        </is>
      </c>
      <c r="G305" s="4">
        <v>0</v>
      </c>
      <c r="H305" s="4">
        <v>2500</v>
      </c>
      <c r="I305" s="4">
        <v>1</v>
      </c>
      <c r="J305" s="4">
        <v>1</v>
      </c>
      <c r="K305" s="16">
        <v>45933</v>
      </c>
      <c r="L305" s="16">
        <v>45943</v>
      </c>
      <c r="M305" s="0" t="inlineStr">
        <is>
          <t xml:space="preserve">oct25</t>
        </is>
      </c>
      <c r="N305" s="0" t="inlineStr">
        <is>
          <t xml:space="preserve">oct25</t>
        </is>
      </c>
      <c r="O305" s="4">
        <v>10</v>
      </c>
      <c r="P305" s="4">
        <v>1</v>
      </c>
      <c r="Q305" s="4">
        <v>0</v>
      </c>
      <c r="R305" s="4">
        <v>0</v>
      </c>
      <c r="S305" s="4">
        <f>(H305*INDEX('Stages'!$D$2:$D$7,MATCH(F305,'Stages'!$A$2:$A$7,0)))</f>
        <v>2500</v>
      </c>
      <c r="T305" s="4">
        <f>(H305*I305)</f>
        <v>2500</v>
      </c>
      <c r="U305" s="4">
        <f>(H305*(I305-1))</f>
        <v>0</v>
      </c>
      <c r="V305" s="0" t="str">
        <f>INDEX('Account executives'!$B$2:$B$25,MATCH(C305,'Account executives'!$A$2:$A$25,0))</f>
        <v>amer_west</v>
      </c>
      <c r="W305" s="0" t="str">
        <f>INDEX('Account executives'!$C$2:$C$25,MATCH(C305,'Account executives'!$A$2:$A$25,0))</f>
        <v>smb</v>
      </c>
      <c r="X305" s="0" t="str">
        <f>SUBSTITUTE(LOWER(INDEX('Periods'!$G$2:$G$22,MATCH(N305,'Periods'!$A$2:$A$22,0)))," ","_")</f>
        <v>q4_2025</v>
      </c>
    </row>
    <row r="306">
      <c r="A306" s="0" t="inlineStr">
        <is>
          <t xml:space="preserve">o0305</t>
        </is>
      </c>
      <c r="B306" s="0" t="inlineStr">
        <is>
          <t xml:space="preserve">a0180</t>
        </is>
      </c>
      <c r="C306" s="0" t="inlineStr">
        <is>
          <t xml:space="preserve">r04</t>
        </is>
      </c>
      <c r="D306" s="0"/>
      <c r="E306" s="0" t="inlineStr">
        <is>
          <t xml:space="preserve">events</t>
        </is>
      </c>
      <c r="F306" s="0" t="inlineStr">
        <is>
          <t xml:space="preserve">closed_won</t>
        </is>
      </c>
      <c r="G306" s="4">
        <v>1</v>
      </c>
      <c r="H306" s="4">
        <v>86200</v>
      </c>
      <c r="I306" s="4">
        <v>1</v>
      </c>
      <c r="J306" s="4">
        <v>1</v>
      </c>
      <c r="K306" s="16">
        <v>45829</v>
      </c>
      <c r="L306" s="16">
        <v>45872</v>
      </c>
      <c r="M306" s="0" t="inlineStr">
        <is>
          <t xml:space="preserve">jun25</t>
        </is>
      </c>
      <c r="N306" s="0" t="inlineStr">
        <is>
          <t xml:space="preserve">aug25</t>
        </is>
      </c>
      <c r="O306" s="4">
        <v>43</v>
      </c>
      <c r="P306" s="4">
        <v>1</v>
      </c>
      <c r="Q306" s="4">
        <v>0</v>
      </c>
      <c r="R306" s="4">
        <v>0</v>
      </c>
      <c r="S306" s="4">
        <f>(H306*INDEX('Stages'!$D$2:$D$7,MATCH(F306,'Stages'!$A$2:$A$7,0)))</f>
        <v>86200</v>
      </c>
      <c r="T306" s="4">
        <f>(H306*I306)</f>
        <v>86200</v>
      </c>
      <c r="U306" s="4">
        <f>(H306*(I306-1))</f>
        <v>0</v>
      </c>
      <c r="V306" s="0" t="str">
        <f>INDEX('Account executives'!$B$2:$B$25,MATCH(C306,'Account executives'!$A$2:$A$25,0))</f>
        <v>amer_east</v>
      </c>
      <c r="W306" s="0" t="str">
        <f>INDEX('Account executives'!$C$2:$C$25,MATCH(C306,'Account executives'!$A$2:$A$25,0))</f>
        <v>mid_market</v>
      </c>
      <c r="X306" s="0" t="str">
        <f>SUBSTITUTE(LOWER(INDEX('Periods'!$G$2:$G$22,MATCH(N306,'Periods'!$A$2:$A$22,0)))," ","_")</f>
        <v>q3_2025</v>
      </c>
    </row>
    <row r="307">
      <c r="A307" s="0" t="inlineStr">
        <is>
          <t xml:space="preserve">o0306</t>
        </is>
      </c>
      <c r="B307" s="0" t="inlineStr">
        <is>
          <t xml:space="preserve">a0965</t>
        </is>
      </c>
      <c r="C307" s="0" t="inlineStr">
        <is>
          <t xml:space="preserve">r01</t>
        </is>
      </c>
      <c r="D307" s="0" t="inlineStr">
        <is>
          <t xml:space="preserve">s_amer_east_in</t>
        </is>
      </c>
      <c r="E307" s="0" t="inlineStr">
        <is>
          <t xml:space="preserve">paid</t>
        </is>
      </c>
      <c r="F307" s="0" t="inlineStr">
        <is>
          <t xml:space="preserve">discovery</t>
        </is>
      </c>
      <c r="G307" s="4">
        <v>1</v>
      </c>
      <c r="H307" s="4">
        <v>66100</v>
      </c>
      <c r="I307" s="4">
        <v>1</v>
      </c>
      <c r="J307" s="4">
        <v>1</v>
      </c>
      <c r="K307" s="16">
        <v>46196</v>
      </c>
      <c r="L307" s="16">
        <v>46371</v>
      </c>
      <c r="M307" s="0" t="inlineStr">
        <is>
          <t xml:space="preserve">jun26</t>
        </is>
      </c>
      <c r="N307" s="0" t="inlineStr">
        <is>
          <t xml:space="preserve">dec26</t>
        </is>
      </c>
      <c r="O307" s="4">
        <v>188</v>
      </c>
      <c r="P307" s="4">
        <v>0</v>
      </c>
      <c r="Q307" s="4">
        <v>0</v>
      </c>
      <c r="R307" s="4">
        <v>1</v>
      </c>
      <c r="S307" s="4">
        <f>(H307*INDEX('Stages'!$D$2:$D$7,MATCH(F307,'Stages'!$A$2:$A$7,0)))</f>
        <v>6610</v>
      </c>
      <c r="T307" s="4">
        <f>(H307*I307)</f>
        <v>66100</v>
      </c>
      <c r="U307" s="4">
        <f>(H307*(I307-1))</f>
        <v>0</v>
      </c>
      <c r="V307" s="0" t="str">
        <f>INDEX('Account executives'!$B$2:$B$25,MATCH(C307,'Account executives'!$A$2:$A$25,0))</f>
        <v>amer_east</v>
      </c>
      <c r="W307" s="0" t="str">
        <f>INDEX('Account executives'!$C$2:$C$25,MATCH(C307,'Account executives'!$A$2:$A$25,0))</f>
        <v>enterprise</v>
      </c>
      <c r="X307" s="0" t="str">
        <f>SUBSTITUTE(LOWER(INDEX('Periods'!$G$2:$G$22,MATCH(N307,'Periods'!$A$2:$A$22,0)))," ","_")</f>
        <v>q4_2026</v>
      </c>
    </row>
    <row r="308">
      <c r="A308" s="0" t="inlineStr">
        <is>
          <t xml:space="preserve">o0307</t>
        </is>
      </c>
      <c r="B308" s="0" t="inlineStr">
        <is>
          <t xml:space="preserve">a0471</t>
        </is>
      </c>
      <c r="C308" s="0" t="inlineStr">
        <is>
          <t xml:space="preserve">r24</t>
        </is>
      </c>
      <c r="D308" s="0" t="inlineStr">
        <is>
          <t xml:space="preserve">s_apac_out</t>
        </is>
      </c>
      <c r="E308" s="0" t="inlineStr">
        <is>
          <t xml:space="preserve">outbound</t>
        </is>
      </c>
      <c r="F308" s="0" t="inlineStr">
        <is>
          <t xml:space="preserve">closed_won</t>
        </is>
      </c>
      <c r="G308" s="4">
        <v>1</v>
      </c>
      <c r="H308" s="4">
        <v>11900</v>
      </c>
      <c r="I308" s="4">
        <v>1</v>
      </c>
      <c r="J308" s="4">
        <v>1</v>
      </c>
      <c r="K308" s="16">
        <v>45936</v>
      </c>
      <c r="L308" s="16">
        <v>46019</v>
      </c>
      <c r="M308" s="0" t="inlineStr">
        <is>
          <t xml:space="preserve">oct25</t>
        </is>
      </c>
      <c r="N308" s="0" t="inlineStr">
        <is>
          <t xml:space="preserve">dec25</t>
        </is>
      </c>
      <c r="O308" s="4">
        <v>83</v>
      </c>
      <c r="P308" s="4">
        <v>1</v>
      </c>
      <c r="Q308" s="4">
        <v>0</v>
      </c>
      <c r="R308" s="4">
        <v>0</v>
      </c>
      <c r="S308" s="4">
        <f>(H308*INDEX('Stages'!$D$2:$D$7,MATCH(F308,'Stages'!$A$2:$A$7,0)))</f>
        <v>11900</v>
      </c>
      <c r="T308" s="4">
        <f>(H308*I308)</f>
        <v>11900</v>
      </c>
      <c r="U308" s="4">
        <f>(H308*(I308-1))</f>
        <v>0</v>
      </c>
      <c r="V308" s="0" t="str">
        <f>INDEX('Account executives'!$B$2:$B$25,MATCH(C308,'Account executives'!$A$2:$A$25,0))</f>
        <v>apac</v>
      </c>
      <c r="W308" s="0" t="str">
        <f>INDEX('Account executives'!$C$2:$C$25,MATCH(C308,'Account executives'!$A$2:$A$25,0))</f>
        <v>smb</v>
      </c>
      <c r="X308" s="0" t="str">
        <f>SUBSTITUTE(LOWER(INDEX('Periods'!$G$2:$G$22,MATCH(N308,'Periods'!$A$2:$A$22,0)))," ","_")</f>
        <v>q4_2025</v>
      </c>
    </row>
    <row r="309">
      <c r="A309" s="0" t="inlineStr">
        <is>
          <t xml:space="preserve">o0308</t>
        </is>
      </c>
      <c r="B309" s="0" t="inlineStr">
        <is>
          <t xml:space="preserve">a0948</t>
        </is>
      </c>
      <c r="C309" s="0" t="inlineStr">
        <is>
          <t xml:space="preserve">r23</t>
        </is>
      </c>
      <c r="D309" s="0" t="inlineStr">
        <is>
          <t xml:space="preserve">s_apac_in</t>
        </is>
      </c>
      <c r="E309" s="0" t="inlineStr">
        <is>
          <t xml:space="preserve">paid</t>
        </is>
      </c>
      <c r="F309" s="0" t="inlineStr">
        <is>
          <t xml:space="preserve">closed_lost</t>
        </is>
      </c>
      <c r="G309" s="4">
        <v>1</v>
      </c>
      <c r="H309" s="4">
        <v>17400</v>
      </c>
      <c r="I309" s="4">
        <v>1</v>
      </c>
      <c r="J309" s="4">
        <v>0</v>
      </c>
      <c r="K309" s="16">
        <v>46155</v>
      </c>
      <c r="L309" s="16">
        <v>46162</v>
      </c>
      <c r="M309" s="0" t="inlineStr">
        <is>
          <t xml:space="preserve">may26</t>
        </is>
      </c>
      <c r="N309" s="0" t="inlineStr">
        <is>
          <t xml:space="preserve">may26</t>
        </is>
      </c>
      <c r="O309" s="4">
        <v>7</v>
      </c>
      <c r="P309" s="4">
        <v>0</v>
      </c>
      <c r="Q309" s="4">
        <v>1</v>
      </c>
      <c r="R309" s="4">
        <v>0</v>
      </c>
      <c r="S309" s="4">
        <f>(H309*INDEX('Stages'!$D$2:$D$7,MATCH(F309,'Stages'!$A$2:$A$7,0)))</f>
        <v>0</v>
      </c>
      <c r="T309" s="4">
        <f>(H309*I309)</f>
        <v>17400</v>
      </c>
      <c r="U309" s="4">
        <f>(H309*(I309-1))</f>
        <v>0</v>
      </c>
      <c r="V309" s="0" t="str">
        <f>INDEX('Account executives'!$B$2:$B$25,MATCH(C309,'Account executives'!$A$2:$A$25,0))</f>
        <v>apac</v>
      </c>
      <c r="W309" s="0" t="str">
        <f>INDEX('Account executives'!$C$2:$C$25,MATCH(C309,'Account executives'!$A$2:$A$25,0))</f>
        <v>smb</v>
      </c>
      <c r="X309" s="0" t="str">
        <f>SUBSTITUTE(LOWER(INDEX('Periods'!$G$2:$G$22,MATCH(N309,'Periods'!$A$2:$A$22,0)))," ","_")</f>
        <v>q2_2026</v>
      </c>
    </row>
    <row r="310">
      <c r="A310" s="0" t="inlineStr">
        <is>
          <t xml:space="preserve">o0309</t>
        </is>
      </c>
      <c r="B310" s="0" t="inlineStr">
        <is>
          <t xml:space="preserve">a0826</t>
        </is>
      </c>
      <c r="C310" s="0" t="inlineStr">
        <is>
          <t xml:space="preserve">r05</t>
        </is>
      </c>
      <c r="D310" s="0" t="inlineStr">
        <is>
          <t xml:space="preserve">s_amer_east_in</t>
        </is>
      </c>
      <c r="E310" s="0" t="inlineStr">
        <is>
          <t xml:space="preserve">paid</t>
        </is>
      </c>
      <c r="F310" s="0" t="inlineStr">
        <is>
          <t xml:space="preserve">closed_lost</t>
        </is>
      </c>
      <c r="G310" s="4">
        <v>1</v>
      </c>
      <c r="H310" s="4">
        <v>48600</v>
      </c>
      <c r="I310" s="4">
        <v>1</v>
      </c>
      <c r="J310" s="4">
        <v>0</v>
      </c>
      <c r="K310" s="16">
        <v>46132</v>
      </c>
      <c r="L310" s="16">
        <v>46158</v>
      </c>
      <c r="M310" s="0" t="inlineStr">
        <is>
          <t xml:space="preserve">apr26</t>
        </is>
      </c>
      <c r="N310" s="0" t="inlineStr">
        <is>
          <t xml:space="preserve">may26</t>
        </is>
      </c>
      <c r="O310" s="4">
        <v>26</v>
      </c>
      <c r="P310" s="4">
        <v>0</v>
      </c>
      <c r="Q310" s="4">
        <v>1</v>
      </c>
      <c r="R310" s="4">
        <v>0</v>
      </c>
      <c r="S310" s="4">
        <f>(H310*INDEX('Stages'!$D$2:$D$7,MATCH(F310,'Stages'!$A$2:$A$7,0)))</f>
        <v>0</v>
      </c>
      <c r="T310" s="4">
        <f>(H310*I310)</f>
        <v>48600</v>
      </c>
      <c r="U310" s="4">
        <f>(H310*(I310-1))</f>
        <v>0</v>
      </c>
      <c r="V310" s="0" t="str">
        <f>INDEX('Account executives'!$B$2:$B$25,MATCH(C310,'Account executives'!$A$2:$A$25,0))</f>
        <v>amer_east</v>
      </c>
      <c r="W310" s="0" t="str">
        <f>INDEX('Account executives'!$C$2:$C$25,MATCH(C310,'Account executives'!$A$2:$A$25,0))</f>
        <v>smb</v>
      </c>
      <c r="X310" s="0" t="str">
        <f>SUBSTITUTE(LOWER(INDEX('Periods'!$G$2:$G$22,MATCH(N310,'Periods'!$A$2:$A$22,0)))," ","_")</f>
        <v>q2_2026</v>
      </c>
    </row>
    <row r="311">
      <c r="A311" s="0" t="inlineStr">
        <is>
          <t xml:space="preserve">o0310</t>
        </is>
      </c>
      <c r="B311" s="0" t="inlineStr">
        <is>
          <t xml:space="preserve">a0443</t>
        </is>
      </c>
      <c r="C311" s="0" t="inlineStr">
        <is>
          <t xml:space="preserve">r16</t>
        </is>
      </c>
      <c r="D311" s="0" t="inlineStr">
        <is>
          <t xml:space="preserve">s_emea_in</t>
        </is>
      </c>
      <c r="E311" s="0" t="inlineStr">
        <is>
          <t xml:space="preserve">inbound</t>
        </is>
      </c>
      <c r="F311" s="0" t="inlineStr">
        <is>
          <t xml:space="preserve">closed_lost</t>
        </is>
      </c>
      <c r="G311" s="4">
        <v>1</v>
      </c>
      <c r="H311" s="4">
        <v>44600</v>
      </c>
      <c r="I311" s="4">
        <v>1</v>
      </c>
      <c r="J311" s="4">
        <v>1</v>
      </c>
      <c r="K311" s="16">
        <v>45949</v>
      </c>
      <c r="L311" s="16">
        <v>46109</v>
      </c>
      <c r="M311" s="0" t="inlineStr">
        <is>
          <t xml:space="preserve">oct25</t>
        </is>
      </c>
      <c r="N311" s="0" t="inlineStr">
        <is>
          <t xml:space="preserve">mar26</t>
        </is>
      </c>
      <c r="O311" s="4">
        <v>160</v>
      </c>
      <c r="P311" s="4">
        <v>0</v>
      </c>
      <c r="Q311" s="4">
        <v>1</v>
      </c>
      <c r="R311" s="4">
        <v>0</v>
      </c>
      <c r="S311" s="4">
        <f>(H311*INDEX('Stages'!$D$2:$D$7,MATCH(F311,'Stages'!$A$2:$A$7,0)))</f>
        <v>0</v>
      </c>
      <c r="T311" s="4">
        <f>(H311*I311)</f>
        <v>44600</v>
      </c>
      <c r="U311" s="4">
        <f>(H311*(I311-1))</f>
        <v>0</v>
      </c>
      <c r="V311" s="0" t="str">
        <f>INDEX('Account executives'!$B$2:$B$25,MATCH(C311,'Account executives'!$A$2:$A$25,0))</f>
        <v>emea</v>
      </c>
      <c r="W311" s="0" t="str">
        <f>INDEX('Account executives'!$C$2:$C$25,MATCH(C311,'Account executives'!$A$2:$A$25,0))</f>
        <v>mid_market</v>
      </c>
      <c r="X311" s="0" t="str">
        <f>SUBSTITUTE(LOWER(INDEX('Periods'!$G$2:$G$22,MATCH(N311,'Periods'!$A$2:$A$22,0)))," ","_")</f>
        <v>q1_2026</v>
      </c>
    </row>
    <row r="312">
      <c r="A312" s="0" t="inlineStr">
        <is>
          <t xml:space="preserve">o0311</t>
        </is>
      </c>
      <c r="B312" s="0" t="inlineStr">
        <is>
          <t xml:space="preserve">a1160</t>
        </is>
      </c>
      <c r="C312" s="0" t="inlineStr">
        <is>
          <t xml:space="preserve">r05</t>
        </is>
      </c>
      <c r="D312" s="0"/>
      <c r="E312" s="0" t="inlineStr">
        <is>
          <t xml:space="preserve">partner</t>
        </is>
      </c>
      <c r="F312" s="0" t="inlineStr">
        <is>
          <t xml:space="preserve">closed_won</t>
        </is>
      </c>
      <c r="G312" s="4">
        <v>1</v>
      </c>
      <c r="H312" s="4">
        <v>6400</v>
      </c>
      <c r="I312" s="4">
        <v>1</v>
      </c>
      <c r="J312" s="4">
        <v>1</v>
      </c>
      <c r="K312" s="16">
        <v>46249</v>
      </c>
      <c r="L312" s="16">
        <v>46278</v>
      </c>
      <c r="M312" s="0" t="inlineStr">
        <is>
          <t xml:space="preserve">aug26</t>
        </is>
      </c>
      <c r="N312" s="0" t="inlineStr">
        <is>
          <t xml:space="preserve">sep26</t>
        </is>
      </c>
      <c r="O312" s="4">
        <v>29</v>
      </c>
      <c r="P312" s="4">
        <v>1</v>
      </c>
      <c r="Q312" s="4">
        <v>0</v>
      </c>
      <c r="R312" s="4">
        <v>0</v>
      </c>
      <c r="S312" s="4">
        <f>(H312*INDEX('Stages'!$D$2:$D$7,MATCH(F312,'Stages'!$A$2:$A$7,0)))</f>
        <v>6400</v>
      </c>
      <c r="T312" s="4">
        <f>(H312*I312)</f>
        <v>6400</v>
      </c>
      <c r="U312" s="4">
        <f>(H312*(I312-1))</f>
        <v>0</v>
      </c>
      <c r="V312" s="0" t="str">
        <f>INDEX('Account executives'!$B$2:$B$25,MATCH(C312,'Account executives'!$A$2:$A$25,0))</f>
        <v>amer_east</v>
      </c>
      <c r="W312" s="0" t="str">
        <f>INDEX('Account executives'!$C$2:$C$25,MATCH(C312,'Account executives'!$A$2:$A$25,0))</f>
        <v>smb</v>
      </c>
      <c r="X312" s="0" t="str">
        <f>SUBSTITUTE(LOWER(INDEX('Periods'!$G$2:$G$22,MATCH(N312,'Periods'!$A$2:$A$22,0)))," ","_")</f>
        <v>q3_2026</v>
      </c>
    </row>
    <row r="313">
      <c r="A313" s="0" t="inlineStr">
        <is>
          <t xml:space="preserve">o0312</t>
        </is>
      </c>
      <c r="B313" s="0" t="inlineStr">
        <is>
          <t xml:space="preserve">a0702</t>
        </is>
      </c>
      <c r="C313" s="0" t="inlineStr">
        <is>
          <t xml:space="preserve">r18</t>
        </is>
      </c>
      <c r="D313" s="0"/>
      <c r="E313" s="0" t="inlineStr">
        <is>
          <t xml:space="preserve">partner</t>
        </is>
      </c>
      <c r="F313" s="0" t="inlineStr">
        <is>
          <t xml:space="preserve">closed_won</t>
        </is>
      </c>
      <c r="G313" s="4">
        <v>1</v>
      </c>
      <c r="H313" s="4">
        <v>9300</v>
      </c>
      <c r="I313" s="4">
        <v>1</v>
      </c>
      <c r="J313" s="4">
        <v>0</v>
      </c>
      <c r="K313" s="16">
        <v>46071</v>
      </c>
      <c r="L313" s="16">
        <v>46101</v>
      </c>
      <c r="M313" s="0" t="inlineStr">
        <is>
          <t xml:space="preserve">feb26</t>
        </is>
      </c>
      <c r="N313" s="0" t="inlineStr">
        <is>
          <t xml:space="preserve">mar26</t>
        </is>
      </c>
      <c r="O313" s="4">
        <v>30</v>
      </c>
      <c r="P313" s="4">
        <v>1</v>
      </c>
      <c r="Q313" s="4">
        <v>0</v>
      </c>
      <c r="R313" s="4">
        <v>0</v>
      </c>
      <c r="S313" s="4">
        <f>(H313*INDEX('Stages'!$D$2:$D$7,MATCH(F313,'Stages'!$A$2:$A$7,0)))</f>
        <v>9300</v>
      </c>
      <c r="T313" s="4">
        <f>(H313*I313)</f>
        <v>9300</v>
      </c>
      <c r="U313" s="4">
        <f>(H313*(I313-1))</f>
        <v>0</v>
      </c>
      <c r="V313" s="0" t="str">
        <f>INDEX('Account executives'!$B$2:$B$25,MATCH(C313,'Account executives'!$A$2:$A$25,0))</f>
        <v>emea</v>
      </c>
      <c r="W313" s="0" t="str">
        <f>INDEX('Account executives'!$C$2:$C$25,MATCH(C313,'Account executives'!$A$2:$A$25,0))</f>
        <v>smb</v>
      </c>
      <c r="X313" s="0" t="str">
        <f>SUBSTITUTE(LOWER(INDEX('Periods'!$G$2:$G$22,MATCH(N313,'Periods'!$A$2:$A$22,0)))," ","_")</f>
        <v>q1_2026</v>
      </c>
    </row>
    <row r="314">
      <c r="A314" s="0" t="inlineStr">
        <is>
          <t xml:space="preserve">o0313</t>
        </is>
      </c>
      <c r="B314" s="0" t="inlineStr">
        <is>
          <t xml:space="preserve">a0919</t>
        </is>
      </c>
      <c r="C314" s="0" t="inlineStr">
        <is>
          <t xml:space="preserve">r07</t>
        </is>
      </c>
      <c r="D314" s="0" t="inlineStr">
        <is>
          <t xml:space="preserve">s_amer_west_in</t>
        </is>
      </c>
      <c r="E314" s="0" t="inlineStr">
        <is>
          <t xml:space="preserve">paid</t>
        </is>
      </c>
      <c r="F314" s="0" t="inlineStr">
        <is>
          <t xml:space="preserve">closed_lost</t>
        </is>
      </c>
      <c r="G314" s="4">
        <v>1</v>
      </c>
      <c r="H314" s="4">
        <v>184800</v>
      </c>
      <c r="I314" s="4">
        <v>3</v>
      </c>
      <c r="J314" s="4">
        <v>0</v>
      </c>
      <c r="K314" s="16">
        <v>46167</v>
      </c>
      <c r="L314" s="16">
        <v>46228</v>
      </c>
      <c r="M314" s="0" t="inlineStr">
        <is>
          <t xml:space="preserve">may26</t>
        </is>
      </c>
      <c r="N314" s="0" t="inlineStr">
        <is>
          <t xml:space="preserve">jul26</t>
        </is>
      </c>
      <c r="O314" s="4">
        <v>61</v>
      </c>
      <c r="P314" s="4">
        <v>0</v>
      </c>
      <c r="Q314" s="4">
        <v>1</v>
      </c>
      <c r="R314" s="4">
        <v>0</v>
      </c>
      <c r="S314" s="4">
        <f>(H314*INDEX('Stages'!$D$2:$D$7,MATCH(F314,'Stages'!$A$2:$A$7,0)))</f>
        <v>0</v>
      </c>
      <c r="T314" s="4">
        <f>(H314*I314)</f>
        <v>554400</v>
      </c>
      <c r="U314" s="4">
        <f>(H314*(I314-1))</f>
        <v>369600</v>
      </c>
      <c r="V314" s="0" t="str">
        <f>INDEX('Account executives'!$B$2:$B$25,MATCH(C314,'Account executives'!$A$2:$A$25,0))</f>
        <v>amer_west</v>
      </c>
      <c r="W314" s="0" t="str">
        <f>INDEX('Account executives'!$C$2:$C$25,MATCH(C314,'Account executives'!$A$2:$A$25,0))</f>
        <v>enterprise</v>
      </c>
      <c r="X314" s="0" t="str">
        <f>SUBSTITUTE(LOWER(INDEX('Periods'!$G$2:$G$22,MATCH(N314,'Periods'!$A$2:$A$22,0)))," ","_")</f>
        <v>q3_2026</v>
      </c>
    </row>
    <row r="315">
      <c r="A315" s="0" t="inlineStr">
        <is>
          <t xml:space="preserve">o0314</t>
        </is>
      </c>
      <c r="B315" s="0" t="inlineStr">
        <is>
          <t xml:space="preserve">a0572</t>
        </is>
      </c>
      <c r="C315" s="0" t="inlineStr">
        <is>
          <t xml:space="preserve">r12</t>
        </is>
      </c>
      <c r="D315" s="0" t="inlineStr">
        <is>
          <t xml:space="preserve">s_amer_west_in</t>
        </is>
      </c>
      <c r="E315" s="0" t="inlineStr">
        <is>
          <t xml:space="preserve">paid</t>
        </is>
      </c>
      <c r="F315" s="0" t="inlineStr">
        <is>
          <t xml:space="preserve">discovery</t>
        </is>
      </c>
      <c r="G315" s="4">
        <v>0</v>
      </c>
      <c r="H315" s="4">
        <v>6500</v>
      </c>
      <c r="I315" s="4">
        <v>1</v>
      </c>
      <c r="J315" s="4">
        <v>0</v>
      </c>
      <c r="K315" s="16">
        <v>46279</v>
      </c>
      <c r="L315" s="16">
        <v>46293</v>
      </c>
      <c r="M315" s="0" t="inlineStr">
        <is>
          <t xml:space="preserve">sep26</t>
        </is>
      </c>
      <c r="N315" s="0" t="inlineStr">
        <is>
          <t xml:space="preserve">sep26</t>
        </is>
      </c>
      <c r="O315" s="4">
        <v>20</v>
      </c>
      <c r="P315" s="4">
        <v>0</v>
      </c>
      <c r="Q315" s="4">
        <v>0</v>
      </c>
      <c r="R315" s="4">
        <v>1</v>
      </c>
      <c r="S315" s="4">
        <f>(H315*INDEX('Stages'!$D$2:$D$7,MATCH(F315,'Stages'!$A$2:$A$7,0)))</f>
        <v>650</v>
      </c>
      <c r="T315" s="4">
        <f>(H315*I315)</f>
        <v>6500</v>
      </c>
      <c r="U315" s="4">
        <f>(H315*(I315-1))</f>
        <v>0</v>
      </c>
      <c r="V315" s="0" t="str">
        <f>INDEX('Account executives'!$B$2:$B$25,MATCH(C315,'Account executives'!$A$2:$A$25,0))</f>
        <v>amer_west</v>
      </c>
      <c r="W315" s="0" t="str">
        <f>INDEX('Account executives'!$C$2:$C$25,MATCH(C315,'Account executives'!$A$2:$A$25,0))</f>
        <v>smb</v>
      </c>
      <c r="X315" s="0" t="str">
        <f>SUBSTITUTE(LOWER(INDEX('Periods'!$G$2:$G$22,MATCH(N315,'Periods'!$A$2:$A$22,0)))," ","_")</f>
        <v>q3_2026</v>
      </c>
    </row>
    <row r="316">
      <c r="A316" s="0" t="inlineStr">
        <is>
          <t xml:space="preserve">o0315</t>
        </is>
      </c>
      <c r="B316" s="0" t="inlineStr">
        <is>
          <t xml:space="preserve">a0485</t>
        </is>
      </c>
      <c r="C316" s="0" t="inlineStr">
        <is>
          <t xml:space="preserve">r04</t>
        </is>
      </c>
      <c r="D316" s="0" t="inlineStr">
        <is>
          <t xml:space="preserve">s_amer_east_out</t>
        </is>
      </c>
      <c r="E316" s="0" t="inlineStr">
        <is>
          <t xml:space="preserve">outbound</t>
        </is>
      </c>
      <c r="F316" s="0" t="inlineStr">
        <is>
          <t xml:space="preserve">closed_lost</t>
        </is>
      </c>
      <c r="G316" s="4">
        <v>0</v>
      </c>
      <c r="H316" s="4">
        <v>38600</v>
      </c>
      <c r="I316" s="4">
        <v>1</v>
      </c>
      <c r="J316" s="4">
        <v>0</v>
      </c>
      <c r="K316" s="16">
        <v>46037</v>
      </c>
      <c r="L316" s="16">
        <v>46105</v>
      </c>
      <c r="M316" s="0" t="inlineStr">
        <is>
          <t xml:space="preserve">jan26</t>
        </is>
      </c>
      <c r="N316" s="0" t="inlineStr">
        <is>
          <t xml:space="preserve">mar26</t>
        </is>
      </c>
      <c r="O316" s="4">
        <v>68</v>
      </c>
      <c r="P316" s="4">
        <v>0</v>
      </c>
      <c r="Q316" s="4">
        <v>1</v>
      </c>
      <c r="R316" s="4">
        <v>0</v>
      </c>
      <c r="S316" s="4">
        <f>(H316*INDEX('Stages'!$D$2:$D$7,MATCH(F316,'Stages'!$A$2:$A$7,0)))</f>
        <v>0</v>
      </c>
      <c r="T316" s="4">
        <f>(H316*I316)</f>
        <v>38600</v>
      </c>
      <c r="U316" s="4">
        <f>(H316*(I316-1))</f>
        <v>0</v>
      </c>
      <c r="V316" s="0" t="str">
        <f>INDEX('Account executives'!$B$2:$B$25,MATCH(C316,'Account executives'!$A$2:$A$25,0))</f>
        <v>amer_east</v>
      </c>
      <c r="W316" s="0" t="str">
        <f>INDEX('Account executives'!$C$2:$C$25,MATCH(C316,'Account executives'!$A$2:$A$25,0))</f>
        <v>mid_market</v>
      </c>
      <c r="X316" s="0" t="str">
        <f>SUBSTITUTE(LOWER(INDEX('Periods'!$G$2:$G$22,MATCH(N316,'Periods'!$A$2:$A$22,0)))," ","_")</f>
        <v>q1_2026</v>
      </c>
    </row>
    <row r="317">
      <c r="A317" s="0" t="inlineStr">
        <is>
          <t xml:space="preserve">o0316</t>
        </is>
      </c>
      <c r="B317" s="0" t="inlineStr">
        <is>
          <t xml:space="preserve">a0223</t>
        </is>
      </c>
      <c r="C317" s="0" t="inlineStr">
        <is>
          <t xml:space="preserve">r21</t>
        </is>
      </c>
      <c r="D317" s="0" t="inlineStr">
        <is>
          <t xml:space="preserve">s_apac_in</t>
        </is>
      </c>
      <c r="E317" s="0" t="inlineStr">
        <is>
          <t xml:space="preserve">paid</t>
        </is>
      </c>
      <c r="F317" s="0" t="inlineStr">
        <is>
          <t xml:space="preserve">closed_won</t>
        </is>
      </c>
      <c r="G317" s="4">
        <v>0</v>
      </c>
      <c r="H317" s="4">
        <v>18100</v>
      </c>
      <c r="I317" s="4">
        <v>1</v>
      </c>
      <c r="J317" s="4">
        <v>1</v>
      </c>
      <c r="K317" s="16">
        <v>46184</v>
      </c>
      <c r="L317" s="16">
        <v>46252</v>
      </c>
      <c r="M317" s="0" t="inlineStr">
        <is>
          <t xml:space="preserve">jun26</t>
        </is>
      </c>
      <c r="N317" s="0" t="inlineStr">
        <is>
          <t xml:space="preserve">aug26</t>
        </is>
      </c>
      <c r="O317" s="4">
        <v>68</v>
      </c>
      <c r="P317" s="4">
        <v>1</v>
      </c>
      <c r="Q317" s="4">
        <v>0</v>
      </c>
      <c r="R317" s="4">
        <v>0</v>
      </c>
      <c r="S317" s="4">
        <f>(H317*INDEX('Stages'!$D$2:$D$7,MATCH(F317,'Stages'!$A$2:$A$7,0)))</f>
        <v>18100</v>
      </c>
      <c r="T317" s="4">
        <f>(H317*I317)</f>
        <v>18100</v>
      </c>
      <c r="U317" s="4">
        <f>(H317*(I317-1))</f>
        <v>0</v>
      </c>
      <c r="V317" s="0" t="str">
        <f>INDEX('Account executives'!$B$2:$B$25,MATCH(C317,'Account executives'!$A$2:$A$25,0))</f>
        <v>apac</v>
      </c>
      <c r="W317" s="0" t="str">
        <f>INDEX('Account executives'!$C$2:$C$25,MATCH(C317,'Account executives'!$A$2:$A$25,0))</f>
        <v>mid_market</v>
      </c>
      <c r="X317" s="0" t="str">
        <f>SUBSTITUTE(LOWER(INDEX('Periods'!$G$2:$G$22,MATCH(N317,'Periods'!$A$2:$A$22,0)))," ","_")</f>
        <v>q3_2026</v>
      </c>
    </row>
    <row r="318">
      <c r="A318" s="0" t="inlineStr">
        <is>
          <t xml:space="preserve">o0317</t>
        </is>
      </c>
      <c r="B318" s="0" t="inlineStr">
        <is>
          <t xml:space="preserve">a0067</t>
        </is>
      </c>
      <c r="C318" s="0" t="inlineStr">
        <is>
          <t xml:space="preserve">r05</t>
        </is>
      </c>
      <c r="D318" s="0" t="inlineStr">
        <is>
          <t xml:space="preserve">s_amer_east_in</t>
        </is>
      </c>
      <c r="E318" s="0" t="inlineStr">
        <is>
          <t xml:space="preserve">inbound</t>
        </is>
      </c>
      <c r="F318" s="0" t="inlineStr">
        <is>
          <t xml:space="preserve">proposal</t>
        </is>
      </c>
      <c r="G318" s="4">
        <v>0</v>
      </c>
      <c r="H318" s="4">
        <v>7500</v>
      </c>
      <c r="I318" s="4">
        <v>1</v>
      </c>
      <c r="J318" s="4">
        <v>0</v>
      </c>
      <c r="K318" s="16">
        <v>46267</v>
      </c>
      <c r="L318" s="16">
        <v>46326</v>
      </c>
      <c r="M318" s="0" t="inlineStr">
        <is>
          <t xml:space="preserve">sep26</t>
        </is>
      </c>
      <c r="N318" s="0" t="inlineStr">
        <is>
          <t xml:space="preserve">oct26</t>
        </is>
      </c>
      <c r="O318" s="4">
        <v>18</v>
      </c>
      <c r="P318" s="4">
        <v>0</v>
      </c>
      <c r="Q318" s="4">
        <v>0</v>
      </c>
      <c r="R318" s="4">
        <v>1</v>
      </c>
      <c r="S318" s="4">
        <f>(H318*INDEX('Stages'!$D$2:$D$7,MATCH(F318,'Stages'!$A$2:$A$7,0)))</f>
        <v>3750</v>
      </c>
      <c r="T318" s="4">
        <f>(H318*I318)</f>
        <v>7500</v>
      </c>
      <c r="U318" s="4">
        <f>(H318*(I318-1))</f>
        <v>0</v>
      </c>
      <c r="V318" s="0" t="str">
        <f>INDEX('Account executives'!$B$2:$B$25,MATCH(C318,'Account executives'!$A$2:$A$25,0))</f>
        <v>amer_east</v>
      </c>
      <c r="W318" s="0" t="str">
        <f>INDEX('Account executives'!$C$2:$C$25,MATCH(C318,'Account executives'!$A$2:$A$25,0))</f>
        <v>smb</v>
      </c>
      <c r="X318" s="0" t="str">
        <f>SUBSTITUTE(LOWER(INDEX('Periods'!$G$2:$G$22,MATCH(N318,'Periods'!$A$2:$A$22,0)))," ","_")</f>
        <v>q4_2026</v>
      </c>
    </row>
    <row r="319">
      <c r="A319" s="0" t="inlineStr">
        <is>
          <t xml:space="preserve">o0318</t>
        </is>
      </c>
      <c r="B319" s="0" t="inlineStr">
        <is>
          <t xml:space="preserve">a0412</t>
        </is>
      </c>
      <c r="C319" s="0" t="inlineStr">
        <is>
          <t xml:space="preserve">r21</t>
        </is>
      </c>
      <c r="D319" s="0"/>
      <c r="E319" s="0" t="inlineStr">
        <is>
          <t xml:space="preserve">referral</t>
        </is>
      </c>
      <c r="F319" s="0" t="inlineStr">
        <is>
          <t xml:space="preserve">closed_lost</t>
        </is>
      </c>
      <c r="G319" s="4">
        <v>0</v>
      </c>
      <c r="H319" s="4">
        <v>26600</v>
      </c>
      <c r="I319" s="4">
        <v>2</v>
      </c>
      <c r="J319" s="4">
        <v>0</v>
      </c>
      <c r="K319" s="16">
        <v>45950</v>
      </c>
      <c r="L319" s="16">
        <v>46017</v>
      </c>
      <c r="M319" s="0" t="inlineStr">
        <is>
          <t xml:space="preserve">oct25</t>
        </is>
      </c>
      <c r="N319" s="0" t="inlineStr">
        <is>
          <t xml:space="preserve">dec25</t>
        </is>
      </c>
      <c r="O319" s="4">
        <v>67</v>
      </c>
      <c r="P319" s="4">
        <v>0</v>
      </c>
      <c r="Q319" s="4">
        <v>1</v>
      </c>
      <c r="R319" s="4">
        <v>0</v>
      </c>
      <c r="S319" s="4">
        <f>(H319*INDEX('Stages'!$D$2:$D$7,MATCH(F319,'Stages'!$A$2:$A$7,0)))</f>
        <v>0</v>
      </c>
      <c r="T319" s="4">
        <f>(H319*I319)</f>
        <v>53200</v>
      </c>
      <c r="U319" s="4">
        <f>(H319*(I319-1))</f>
        <v>26600</v>
      </c>
      <c r="V319" s="0" t="str">
        <f>INDEX('Account executives'!$B$2:$B$25,MATCH(C319,'Account executives'!$A$2:$A$25,0))</f>
        <v>apac</v>
      </c>
      <c r="W319" s="0" t="str">
        <f>INDEX('Account executives'!$C$2:$C$25,MATCH(C319,'Account executives'!$A$2:$A$25,0))</f>
        <v>mid_market</v>
      </c>
      <c r="X319" s="0" t="str">
        <f>SUBSTITUTE(LOWER(INDEX('Periods'!$G$2:$G$22,MATCH(N319,'Periods'!$A$2:$A$22,0)))," ","_")</f>
        <v>q4_2025</v>
      </c>
    </row>
    <row r="320">
      <c r="A320" s="0" t="inlineStr">
        <is>
          <t xml:space="preserve">o0319</t>
        </is>
      </c>
      <c r="B320" s="0" t="inlineStr">
        <is>
          <t xml:space="preserve">a0030</t>
        </is>
      </c>
      <c r="C320" s="0" t="inlineStr">
        <is>
          <t xml:space="preserve">r12</t>
        </is>
      </c>
      <c r="D320" s="0"/>
      <c r="E320" s="0" t="inlineStr">
        <is>
          <t xml:space="preserve">events</t>
        </is>
      </c>
      <c r="F320" s="0" t="inlineStr">
        <is>
          <t xml:space="preserve">closed_won</t>
        </is>
      </c>
      <c r="G320" s="4">
        <v>0</v>
      </c>
      <c r="H320" s="4">
        <v>3000</v>
      </c>
      <c r="I320" s="4">
        <v>1</v>
      </c>
      <c r="J320" s="4">
        <v>1</v>
      </c>
      <c r="K320" s="16">
        <v>45800</v>
      </c>
      <c r="L320" s="16">
        <v>45835</v>
      </c>
      <c r="M320" s="0" t="inlineStr">
        <is>
          <t xml:space="preserve">may25</t>
        </is>
      </c>
      <c r="N320" s="0" t="inlineStr">
        <is>
          <t xml:space="preserve">jun25</t>
        </is>
      </c>
      <c r="O320" s="4">
        <v>35</v>
      </c>
      <c r="P320" s="4">
        <v>1</v>
      </c>
      <c r="Q320" s="4">
        <v>0</v>
      </c>
      <c r="R320" s="4">
        <v>0</v>
      </c>
      <c r="S320" s="4">
        <f>(H320*INDEX('Stages'!$D$2:$D$7,MATCH(F320,'Stages'!$A$2:$A$7,0)))</f>
        <v>3000</v>
      </c>
      <c r="T320" s="4">
        <f>(H320*I320)</f>
        <v>3000</v>
      </c>
      <c r="U320" s="4">
        <f>(H320*(I320-1))</f>
        <v>0</v>
      </c>
      <c r="V320" s="0" t="str">
        <f>INDEX('Account executives'!$B$2:$B$25,MATCH(C320,'Account executives'!$A$2:$A$25,0))</f>
        <v>amer_west</v>
      </c>
      <c r="W320" s="0" t="str">
        <f>INDEX('Account executives'!$C$2:$C$25,MATCH(C320,'Account executives'!$A$2:$A$25,0))</f>
        <v>smb</v>
      </c>
      <c r="X320" s="0" t="str">
        <f>SUBSTITUTE(LOWER(INDEX('Periods'!$G$2:$G$22,MATCH(N320,'Periods'!$A$2:$A$22,0)))," ","_")</f>
        <v>q2_2025</v>
      </c>
    </row>
    <row r="321">
      <c r="A321" s="0" t="inlineStr">
        <is>
          <t xml:space="preserve">o0320</t>
        </is>
      </c>
      <c r="B321" s="0" t="inlineStr">
        <is>
          <t xml:space="preserve">a0395</t>
        </is>
      </c>
      <c r="C321" s="0" t="inlineStr">
        <is>
          <t xml:space="preserve">r17</t>
        </is>
      </c>
      <c r="D321" s="0" t="inlineStr">
        <is>
          <t xml:space="preserve">s_emea_in</t>
        </is>
      </c>
      <c r="E321" s="0" t="inlineStr">
        <is>
          <t xml:space="preserve">inbound</t>
        </is>
      </c>
      <c r="F321" s="0" t="inlineStr">
        <is>
          <t xml:space="preserve">closed_lost</t>
        </is>
      </c>
      <c r="G321" s="4">
        <v>1</v>
      </c>
      <c r="H321" s="4">
        <v>27500</v>
      </c>
      <c r="I321" s="4">
        <v>1</v>
      </c>
      <c r="J321" s="4">
        <v>1</v>
      </c>
      <c r="K321" s="16">
        <v>45921</v>
      </c>
      <c r="L321" s="16">
        <v>45948</v>
      </c>
      <c r="M321" s="0" t="inlineStr">
        <is>
          <t xml:space="preserve">sep25</t>
        </is>
      </c>
      <c r="N321" s="0" t="inlineStr">
        <is>
          <t xml:space="preserve">oct25</t>
        </is>
      </c>
      <c r="O321" s="4">
        <v>27</v>
      </c>
      <c r="P321" s="4">
        <v>0</v>
      </c>
      <c r="Q321" s="4">
        <v>1</v>
      </c>
      <c r="R321" s="4">
        <v>0</v>
      </c>
      <c r="S321" s="4">
        <f>(H321*INDEX('Stages'!$D$2:$D$7,MATCH(F321,'Stages'!$A$2:$A$7,0)))</f>
        <v>0</v>
      </c>
      <c r="T321" s="4">
        <f>(H321*I321)</f>
        <v>27500</v>
      </c>
      <c r="U321" s="4">
        <f>(H321*(I321-1))</f>
        <v>0</v>
      </c>
      <c r="V321" s="0" t="str">
        <f>INDEX('Account executives'!$B$2:$B$25,MATCH(C321,'Account executives'!$A$2:$A$25,0))</f>
        <v>emea</v>
      </c>
      <c r="W321" s="0" t="str">
        <f>INDEX('Account executives'!$C$2:$C$25,MATCH(C321,'Account executives'!$A$2:$A$25,0))</f>
        <v>smb</v>
      </c>
      <c r="X321" s="0" t="str">
        <f>SUBSTITUTE(LOWER(INDEX('Periods'!$G$2:$G$22,MATCH(N321,'Periods'!$A$2:$A$22,0)))," ","_")</f>
        <v>q4_2025</v>
      </c>
    </row>
    <row r="322">
      <c r="A322" s="0" t="inlineStr">
        <is>
          <t xml:space="preserve">o0321</t>
        </is>
      </c>
      <c r="B322" s="0" t="inlineStr">
        <is>
          <t xml:space="preserve">a0124</t>
        </is>
      </c>
      <c r="C322" s="0" t="inlineStr">
        <is>
          <t xml:space="preserve">r13</t>
        </is>
      </c>
      <c r="D322" s="0" t="inlineStr">
        <is>
          <t xml:space="preserve">s_emea_in</t>
        </is>
      </c>
      <c r="E322" s="0" t="inlineStr">
        <is>
          <t xml:space="preserve">inbound</t>
        </is>
      </c>
      <c r="F322" s="0" t="inlineStr">
        <is>
          <t xml:space="preserve">closed_lost</t>
        </is>
      </c>
      <c r="G322" s="4">
        <v>0</v>
      </c>
      <c r="H322" s="4">
        <v>40300</v>
      </c>
      <c r="I322" s="4">
        <v>2</v>
      </c>
      <c r="J322" s="4">
        <v>1</v>
      </c>
      <c r="K322" s="16">
        <v>46018</v>
      </c>
      <c r="L322" s="16">
        <v>46146</v>
      </c>
      <c r="M322" s="0" t="inlineStr">
        <is>
          <t xml:space="preserve">dec25</t>
        </is>
      </c>
      <c r="N322" s="0" t="inlineStr">
        <is>
          <t xml:space="preserve">may26</t>
        </is>
      </c>
      <c r="O322" s="4">
        <v>128</v>
      </c>
      <c r="P322" s="4">
        <v>0</v>
      </c>
      <c r="Q322" s="4">
        <v>1</v>
      </c>
      <c r="R322" s="4">
        <v>0</v>
      </c>
      <c r="S322" s="4">
        <f>(H322*INDEX('Stages'!$D$2:$D$7,MATCH(F322,'Stages'!$A$2:$A$7,0)))</f>
        <v>0</v>
      </c>
      <c r="T322" s="4">
        <f>(H322*I322)</f>
        <v>80600</v>
      </c>
      <c r="U322" s="4">
        <f>(H322*(I322-1))</f>
        <v>40300</v>
      </c>
      <c r="V322" s="0" t="str">
        <f>INDEX('Account executives'!$B$2:$B$25,MATCH(C322,'Account executives'!$A$2:$A$25,0))</f>
        <v>emea</v>
      </c>
      <c r="W322" s="0" t="str">
        <f>INDEX('Account executives'!$C$2:$C$25,MATCH(C322,'Account executives'!$A$2:$A$25,0))</f>
        <v>enterprise</v>
      </c>
      <c r="X322" s="0" t="str">
        <f>SUBSTITUTE(LOWER(INDEX('Periods'!$G$2:$G$22,MATCH(N322,'Periods'!$A$2:$A$22,0)))," ","_")</f>
        <v>q2_2026</v>
      </c>
    </row>
    <row r="323">
      <c r="A323" s="0" t="inlineStr">
        <is>
          <t xml:space="preserve">o0322</t>
        </is>
      </c>
      <c r="B323" s="0" t="inlineStr">
        <is>
          <t xml:space="preserve">a0320</t>
        </is>
      </c>
      <c r="C323" s="0" t="inlineStr">
        <is>
          <t xml:space="preserve">r06</t>
        </is>
      </c>
      <c r="D323" s="0" t="inlineStr">
        <is>
          <t xml:space="preserve">s_amer_east_in</t>
        </is>
      </c>
      <c r="E323" s="0" t="inlineStr">
        <is>
          <t xml:space="preserve">inbound</t>
        </is>
      </c>
      <c r="F323" s="0" t="inlineStr">
        <is>
          <t xml:space="preserve">closed_lost</t>
        </is>
      </c>
      <c r="G323" s="4">
        <v>0</v>
      </c>
      <c r="H323" s="4">
        <v>3900</v>
      </c>
      <c r="I323" s="4">
        <v>1</v>
      </c>
      <c r="J323" s="4">
        <v>0</v>
      </c>
      <c r="K323" s="16">
        <v>46113</v>
      </c>
      <c r="L323" s="16">
        <v>46201</v>
      </c>
      <c r="M323" s="0" t="inlineStr">
        <is>
          <t xml:space="preserve">apr26</t>
        </is>
      </c>
      <c r="N323" s="0" t="inlineStr">
        <is>
          <t xml:space="preserve">jun26</t>
        </is>
      </c>
      <c r="O323" s="4">
        <v>88</v>
      </c>
      <c r="P323" s="4">
        <v>0</v>
      </c>
      <c r="Q323" s="4">
        <v>1</v>
      </c>
      <c r="R323" s="4">
        <v>0</v>
      </c>
      <c r="S323" s="4">
        <f>(H323*INDEX('Stages'!$D$2:$D$7,MATCH(F323,'Stages'!$A$2:$A$7,0)))</f>
        <v>0</v>
      </c>
      <c r="T323" s="4">
        <f>(H323*I323)</f>
        <v>3900</v>
      </c>
      <c r="U323" s="4">
        <f>(H323*(I323-1))</f>
        <v>0</v>
      </c>
      <c r="V323" s="0" t="str">
        <f>INDEX('Account executives'!$B$2:$B$25,MATCH(C323,'Account executives'!$A$2:$A$25,0))</f>
        <v>amer_east</v>
      </c>
      <c r="W323" s="0" t="str">
        <f>INDEX('Account executives'!$C$2:$C$25,MATCH(C323,'Account executives'!$A$2:$A$25,0))</f>
        <v>smb</v>
      </c>
      <c r="X323" s="0" t="str">
        <f>SUBSTITUTE(LOWER(INDEX('Periods'!$G$2:$G$22,MATCH(N323,'Periods'!$A$2:$A$22,0)))," ","_")</f>
        <v>q2_2026</v>
      </c>
    </row>
    <row r="324">
      <c r="A324" s="0" t="inlineStr">
        <is>
          <t xml:space="preserve">o0323</t>
        </is>
      </c>
      <c r="B324" s="0" t="inlineStr">
        <is>
          <t xml:space="preserve">a0070</t>
        </is>
      </c>
      <c r="C324" s="0" t="inlineStr">
        <is>
          <t xml:space="preserve">r04</t>
        </is>
      </c>
      <c r="D324" s="0" t="inlineStr">
        <is>
          <t xml:space="preserve">s_amer_east_in</t>
        </is>
      </c>
      <c r="E324" s="0" t="inlineStr">
        <is>
          <t xml:space="preserve">paid</t>
        </is>
      </c>
      <c r="F324" s="0" t="inlineStr">
        <is>
          <t xml:space="preserve">closed_lost</t>
        </is>
      </c>
      <c r="G324" s="4">
        <v>1</v>
      </c>
      <c r="H324" s="4">
        <v>118100</v>
      </c>
      <c r="I324" s="4">
        <v>2</v>
      </c>
      <c r="J324" s="4">
        <v>0</v>
      </c>
      <c r="K324" s="16">
        <v>45804</v>
      </c>
      <c r="L324" s="16">
        <v>45928</v>
      </c>
      <c r="M324" s="0" t="inlineStr">
        <is>
          <t xml:space="preserve">may25</t>
        </is>
      </c>
      <c r="N324" s="0" t="inlineStr">
        <is>
          <t xml:space="preserve">sep25</t>
        </is>
      </c>
      <c r="O324" s="4">
        <v>124</v>
      </c>
      <c r="P324" s="4">
        <v>0</v>
      </c>
      <c r="Q324" s="4">
        <v>1</v>
      </c>
      <c r="R324" s="4">
        <v>0</v>
      </c>
      <c r="S324" s="4">
        <f>(H324*INDEX('Stages'!$D$2:$D$7,MATCH(F324,'Stages'!$A$2:$A$7,0)))</f>
        <v>0</v>
      </c>
      <c r="T324" s="4">
        <f>(H324*I324)</f>
        <v>236200</v>
      </c>
      <c r="U324" s="4">
        <f>(H324*(I324-1))</f>
        <v>118100</v>
      </c>
      <c r="V324" s="0" t="str">
        <f>INDEX('Account executives'!$B$2:$B$25,MATCH(C324,'Account executives'!$A$2:$A$25,0))</f>
        <v>amer_east</v>
      </c>
      <c r="W324" s="0" t="str">
        <f>INDEX('Account executives'!$C$2:$C$25,MATCH(C324,'Account executives'!$A$2:$A$25,0))</f>
        <v>mid_market</v>
      </c>
      <c r="X324" s="0" t="str">
        <f>SUBSTITUTE(LOWER(INDEX('Periods'!$G$2:$G$22,MATCH(N324,'Periods'!$A$2:$A$22,0)))," ","_")</f>
        <v>q3_2025</v>
      </c>
    </row>
    <row r="325">
      <c r="A325" s="0" t="inlineStr">
        <is>
          <t xml:space="preserve">o0324</t>
        </is>
      </c>
      <c r="B325" s="0" t="inlineStr">
        <is>
          <t xml:space="preserve">a0246</t>
        </is>
      </c>
      <c r="C325" s="0" t="inlineStr">
        <is>
          <t xml:space="preserve">r05</t>
        </is>
      </c>
      <c r="D325" s="0"/>
      <c r="E325" s="0" t="inlineStr">
        <is>
          <t xml:space="preserve">partner</t>
        </is>
      </c>
      <c r="F325" s="0" t="inlineStr">
        <is>
          <t xml:space="preserve">closed_lost</t>
        </is>
      </c>
      <c r="G325" s="4">
        <v>1</v>
      </c>
      <c r="H325" s="4">
        <v>15300</v>
      </c>
      <c r="I325" s="4">
        <v>1</v>
      </c>
      <c r="J325" s="4">
        <v>0</v>
      </c>
      <c r="K325" s="16">
        <v>45848</v>
      </c>
      <c r="L325" s="16">
        <v>45928</v>
      </c>
      <c r="M325" s="0" t="inlineStr">
        <is>
          <t xml:space="preserve">jul25</t>
        </is>
      </c>
      <c r="N325" s="0" t="inlineStr">
        <is>
          <t xml:space="preserve">sep25</t>
        </is>
      </c>
      <c r="O325" s="4">
        <v>80</v>
      </c>
      <c r="P325" s="4">
        <v>0</v>
      </c>
      <c r="Q325" s="4">
        <v>1</v>
      </c>
      <c r="R325" s="4">
        <v>0</v>
      </c>
      <c r="S325" s="4">
        <f>(H325*INDEX('Stages'!$D$2:$D$7,MATCH(F325,'Stages'!$A$2:$A$7,0)))</f>
        <v>0</v>
      </c>
      <c r="T325" s="4">
        <f>(H325*I325)</f>
        <v>15300</v>
      </c>
      <c r="U325" s="4">
        <f>(H325*(I325-1))</f>
        <v>0</v>
      </c>
      <c r="V325" s="0" t="str">
        <f>INDEX('Account executives'!$B$2:$B$25,MATCH(C325,'Account executives'!$A$2:$A$25,0))</f>
        <v>amer_east</v>
      </c>
      <c r="W325" s="0" t="str">
        <f>INDEX('Account executives'!$C$2:$C$25,MATCH(C325,'Account executives'!$A$2:$A$25,0))</f>
        <v>smb</v>
      </c>
      <c r="X325" s="0" t="str">
        <f>SUBSTITUTE(LOWER(INDEX('Periods'!$G$2:$G$22,MATCH(N325,'Periods'!$A$2:$A$22,0)))," ","_")</f>
        <v>q3_2025</v>
      </c>
    </row>
    <row r="326">
      <c r="A326" s="0" t="inlineStr">
        <is>
          <t xml:space="preserve">o0325</t>
        </is>
      </c>
      <c r="B326" s="0" t="inlineStr">
        <is>
          <t xml:space="preserve">a1149</t>
        </is>
      </c>
      <c r="C326" s="0" t="inlineStr">
        <is>
          <t xml:space="preserve">r06</t>
        </is>
      </c>
      <c r="D326" s="0" t="inlineStr">
        <is>
          <t xml:space="preserve">s_amer_east_in</t>
        </is>
      </c>
      <c r="E326" s="0" t="inlineStr">
        <is>
          <t xml:space="preserve">paid</t>
        </is>
      </c>
      <c r="F326" s="0" t="inlineStr">
        <is>
          <t xml:space="preserve">closed_lost</t>
        </is>
      </c>
      <c r="G326" s="4">
        <v>1</v>
      </c>
      <c r="H326" s="4">
        <v>14000</v>
      </c>
      <c r="I326" s="4">
        <v>1</v>
      </c>
      <c r="J326" s="4">
        <v>0</v>
      </c>
      <c r="K326" s="16">
        <v>46260</v>
      </c>
      <c r="L326" s="16">
        <v>46272</v>
      </c>
      <c r="M326" s="0" t="inlineStr">
        <is>
          <t xml:space="preserve">aug26</t>
        </is>
      </c>
      <c r="N326" s="0" t="inlineStr">
        <is>
          <t xml:space="preserve">sep26</t>
        </is>
      </c>
      <c r="O326" s="4">
        <v>12</v>
      </c>
      <c r="P326" s="4">
        <v>0</v>
      </c>
      <c r="Q326" s="4">
        <v>1</v>
      </c>
      <c r="R326" s="4">
        <v>0</v>
      </c>
      <c r="S326" s="4">
        <f>(H326*INDEX('Stages'!$D$2:$D$7,MATCH(F326,'Stages'!$A$2:$A$7,0)))</f>
        <v>0</v>
      </c>
      <c r="T326" s="4">
        <f>(H326*I326)</f>
        <v>14000</v>
      </c>
      <c r="U326" s="4">
        <f>(H326*(I326-1))</f>
        <v>0</v>
      </c>
      <c r="V326" s="0" t="str">
        <f>INDEX('Account executives'!$B$2:$B$25,MATCH(C326,'Account executives'!$A$2:$A$25,0))</f>
        <v>amer_east</v>
      </c>
      <c r="W326" s="0" t="str">
        <f>INDEX('Account executives'!$C$2:$C$25,MATCH(C326,'Account executives'!$A$2:$A$25,0))</f>
        <v>smb</v>
      </c>
      <c r="X326" s="0" t="str">
        <f>SUBSTITUTE(LOWER(INDEX('Periods'!$G$2:$G$22,MATCH(N326,'Periods'!$A$2:$A$22,0)))," ","_")</f>
        <v>q3_2026</v>
      </c>
    </row>
    <row r="327">
      <c r="A327" s="0" t="inlineStr">
        <is>
          <t xml:space="preserve">o0326</t>
        </is>
      </c>
      <c r="B327" s="0" t="inlineStr">
        <is>
          <t xml:space="preserve">a0586</t>
        </is>
      </c>
      <c r="C327" s="0" t="inlineStr">
        <is>
          <t xml:space="preserve">r18</t>
        </is>
      </c>
      <c r="D327" s="0"/>
      <c r="E327" s="0" t="inlineStr">
        <is>
          <t xml:space="preserve">referral</t>
        </is>
      </c>
      <c r="F327" s="0" t="inlineStr">
        <is>
          <t xml:space="preserve">closed_won</t>
        </is>
      </c>
      <c r="G327" s="4">
        <v>0</v>
      </c>
      <c r="H327" s="4">
        <v>6400</v>
      </c>
      <c r="I327" s="4">
        <v>1</v>
      </c>
      <c r="J327" s="4">
        <v>0</v>
      </c>
      <c r="K327" s="16">
        <v>46025</v>
      </c>
      <c r="L327" s="16">
        <v>46039</v>
      </c>
      <c r="M327" s="0" t="inlineStr">
        <is>
          <t xml:space="preserve">jan26</t>
        </is>
      </c>
      <c r="N327" s="0" t="inlineStr">
        <is>
          <t xml:space="preserve">jan26</t>
        </is>
      </c>
      <c r="O327" s="4">
        <v>14</v>
      </c>
      <c r="P327" s="4">
        <v>1</v>
      </c>
      <c r="Q327" s="4">
        <v>0</v>
      </c>
      <c r="R327" s="4">
        <v>0</v>
      </c>
      <c r="S327" s="4">
        <f>(H327*INDEX('Stages'!$D$2:$D$7,MATCH(F327,'Stages'!$A$2:$A$7,0)))</f>
        <v>6400</v>
      </c>
      <c r="T327" s="4">
        <f>(H327*I327)</f>
        <v>6400</v>
      </c>
      <c r="U327" s="4">
        <f>(H327*(I327-1))</f>
        <v>0</v>
      </c>
      <c r="V327" s="0" t="str">
        <f>INDEX('Account executives'!$B$2:$B$25,MATCH(C327,'Account executives'!$A$2:$A$25,0))</f>
        <v>emea</v>
      </c>
      <c r="W327" s="0" t="str">
        <f>INDEX('Account executives'!$C$2:$C$25,MATCH(C327,'Account executives'!$A$2:$A$25,0))</f>
        <v>smb</v>
      </c>
      <c r="X327" s="0" t="str">
        <f>SUBSTITUTE(LOWER(INDEX('Periods'!$G$2:$G$22,MATCH(N327,'Periods'!$A$2:$A$22,0)))," ","_")</f>
        <v>q1_2026</v>
      </c>
    </row>
    <row r="328">
      <c r="A328" s="0" t="inlineStr">
        <is>
          <t xml:space="preserve">o0327</t>
        </is>
      </c>
      <c r="B328" s="0" t="inlineStr">
        <is>
          <t xml:space="preserve">a0627</t>
        </is>
      </c>
      <c r="C328" s="0" t="inlineStr">
        <is>
          <t xml:space="preserve">r09</t>
        </is>
      </c>
      <c r="D328" s="0"/>
      <c r="E328" s="0" t="inlineStr">
        <is>
          <t xml:space="preserve">events</t>
        </is>
      </c>
      <c r="F328" s="0" t="inlineStr">
        <is>
          <t xml:space="preserve">closed_won</t>
        </is>
      </c>
      <c r="G328" s="4">
        <v>1</v>
      </c>
      <c r="H328" s="4">
        <v>45400</v>
      </c>
      <c r="I328" s="4">
        <v>2</v>
      </c>
      <c r="J328" s="4">
        <v>1</v>
      </c>
      <c r="K328" s="16">
        <v>46037</v>
      </c>
      <c r="L328" s="16">
        <v>46079</v>
      </c>
      <c r="M328" s="0" t="inlineStr">
        <is>
          <t xml:space="preserve">jan26</t>
        </is>
      </c>
      <c r="N328" s="0" t="inlineStr">
        <is>
          <t xml:space="preserve">feb26</t>
        </is>
      </c>
      <c r="O328" s="4">
        <v>42</v>
      </c>
      <c r="P328" s="4">
        <v>1</v>
      </c>
      <c r="Q328" s="4">
        <v>0</v>
      </c>
      <c r="R328" s="4">
        <v>0</v>
      </c>
      <c r="S328" s="4">
        <f>(H328*INDEX('Stages'!$D$2:$D$7,MATCH(F328,'Stages'!$A$2:$A$7,0)))</f>
        <v>45400</v>
      </c>
      <c r="T328" s="4">
        <f>(H328*I328)</f>
        <v>90800</v>
      </c>
      <c r="U328" s="4">
        <f>(H328*(I328-1))</f>
        <v>45400</v>
      </c>
      <c r="V328" s="0" t="str">
        <f>INDEX('Account executives'!$B$2:$B$25,MATCH(C328,'Account executives'!$A$2:$A$25,0))</f>
        <v>amer_west</v>
      </c>
      <c r="W328" s="0" t="str">
        <f>INDEX('Account executives'!$C$2:$C$25,MATCH(C328,'Account executives'!$A$2:$A$25,0))</f>
        <v>mid_market</v>
      </c>
      <c r="X328" s="0" t="str">
        <f>SUBSTITUTE(LOWER(INDEX('Periods'!$G$2:$G$22,MATCH(N328,'Periods'!$A$2:$A$22,0)))," ","_")</f>
        <v>q1_2026</v>
      </c>
    </row>
    <row r="329">
      <c r="A329" s="0" t="inlineStr">
        <is>
          <t xml:space="preserve">o0328</t>
        </is>
      </c>
      <c r="B329" s="0" t="inlineStr">
        <is>
          <t xml:space="preserve">a0046</t>
        </is>
      </c>
      <c r="C329" s="0" t="inlineStr">
        <is>
          <t xml:space="preserve">r18</t>
        </is>
      </c>
      <c r="D329" s="0" t="inlineStr">
        <is>
          <t xml:space="preserve">s_emea_in</t>
        </is>
      </c>
      <c r="E329" s="0" t="inlineStr">
        <is>
          <t xml:space="preserve">paid</t>
        </is>
      </c>
      <c r="F329" s="0" t="inlineStr">
        <is>
          <t xml:space="preserve">closed_lost</t>
        </is>
      </c>
      <c r="G329" s="4">
        <v>0</v>
      </c>
      <c r="H329" s="4">
        <v>4500</v>
      </c>
      <c r="I329" s="4">
        <v>1</v>
      </c>
      <c r="J329" s="4">
        <v>1</v>
      </c>
      <c r="K329" s="16">
        <v>45762</v>
      </c>
      <c r="L329" s="16">
        <v>45787</v>
      </c>
      <c r="M329" s="0" t="inlineStr">
        <is>
          <t xml:space="preserve">apr25</t>
        </is>
      </c>
      <c r="N329" s="0" t="inlineStr">
        <is>
          <t xml:space="preserve">may25</t>
        </is>
      </c>
      <c r="O329" s="4">
        <v>25</v>
      </c>
      <c r="P329" s="4">
        <v>0</v>
      </c>
      <c r="Q329" s="4">
        <v>1</v>
      </c>
      <c r="R329" s="4">
        <v>0</v>
      </c>
      <c r="S329" s="4">
        <f>(H329*INDEX('Stages'!$D$2:$D$7,MATCH(F329,'Stages'!$A$2:$A$7,0)))</f>
        <v>0</v>
      </c>
      <c r="T329" s="4">
        <f>(H329*I329)</f>
        <v>4500</v>
      </c>
      <c r="U329" s="4">
        <f>(H329*(I329-1))</f>
        <v>0</v>
      </c>
      <c r="V329" s="0" t="str">
        <f>INDEX('Account executives'!$B$2:$B$25,MATCH(C329,'Account executives'!$A$2:$A$25,0))</f>
        <v>emea</v>
      </c>
      <c r="W329" s="0" t="str">
        <f>INDEX('Account executives'!$C$2:$C$25,MATCH(C329,'Account executives'!$A$2:$A$25,0))</f>
        <v>smb</v>
      </c>
      <c r="X329" s="0" t="str">
        <f>SUBSTITUTE(LOWER(INDEX('Periods'!$G$2:$G$22,MATCH(N329,'Periods'!$A$2:$A$22,0)))," ","_")</f>
        <v>q2_2025</v>
      </c>
    </row>
    <row r="330">
      <c r="A330" s="0" t="inlineStr">
        <is>
          <t xml:space="preserve">o0329</t>
        </is>
      </c>
      <c r="B330" s="0" t="inlineStr">
        <is>
          <t xml:space="preserve">a0755</t>
        </is>
      </c>
      <c r="C330" s="0" t="inlineStr">
        <is>
          <t xml:space="preserve">r11</t>
        </is>
      </c>
      <c r="D330" s="0" t="inlineStr">
        <is>
          <t xml:space="preserve">s_amer_west_in</t>
        </is>
      </c>
      <c r="E330" s="0" t="inlineStr">
        <is>
          <t xml:space="preserve">inbound</t>
        </is>
      </c>
      <c r="F330" s="0" t="inlineStr">
        <is>
          <t xml:space="preserve">closed_lost</t>
        </is>
      </c>
      <c r="G330" s="4">
        <v>1</v>
      </c>
      <c r="H330" s="4">
        <v>3800</v>
      </c>
      <c r="I330" s="4">
        <v>1</v>
      </c>
      <c r="J330" s="4">
        <v>0</v>
      </c>
      <c r="K330" s="16">
        <v>46083</v>
      </c>
      <c r="L330" s="16">
        <v>46108</v>
      </c>
      <c r="M330" s="0" t="inlineStr">
        <is>
          <t xml:space="preserve">mar26</t>
        </is>
      </c>
      <c r="N330" s="0" t="inlineStr">
        <is>
          <t xml:space="preserve">mar26</t>
        </is>
      </c>
      <c r="O330" s="4">
        <v>25</v>
      </c>
      <c r="P330" s="4">
        <v>0</v>
      </c>
      <c r="Q330" s="4">
        <v>1</v>
      </c>
      <c r="R330" s="4">
        <v>0</v>
      </c>
      <c r="S330" s="4">
        <f>(H330*INDEX('Stages'!$D$2:$D$7,MATCH(F330,'Stages'!$A$2:$A$7,0)))</f>
        <v>0</v>
      </c>
      <c r="T330" s="4">
        <f>(H330*I330)</f>
        <v>3800</v>
      </c>
      <c r="U330" s="4">
        <f>(H330*(I330-1))</f>
        <v>0</v>
      </c>
      <c r="V330" s="0" t="str">
        <f>INDEX('Account executives'!$B$2:$B$25,MATCH(C330,'Account executives'!$A$2:$A$25,0))</f>
        <v>amer_west</v>
      </c>
      <c r="W330" s="0" t="str">
        <f>INDEX('Account executives'!$C$2:$C$25,MATCH(C330,'Account executives'!$A$2:$A$25,0))</f>
        <v>smb</v>
      </c>
      <c r="X330" s="0" t="str">
        <f>SUBSTITUTE(LOWER(INDEX('Periods'!$G$2:$G$22,MATCH(N330,'Periods'!$A$2:$A$22,0)))," ","_")</f>
        <v>q1_2026</v>
      </c>
    </row>
    <row r="331">
      <c r="A331" s="0" t="inlineStr">
        <is>
          <t xml:space="preserve">o0330</t>
        </is>
      </c>
      <c r="B331" s="0" t="inlineStr">
        <is>
          <t xml:space="preserve">a1051</t>
        </is>
      </c>
      <c r="C331" s="0" t="inlineStr">
        <is>
          <t xml:space="preserve">r24</t>
        </is>
      </c>
      <c r="D331" s="0"/>
      <c r="E331" s="0" t="inlineStr">
        <is>
          <t xml:space="preserve">events</t>
        </is>
      </c>
      <c r="F331" s="0" t="inlineStr">
        <is>
          <t xml:space="preserve">closed_won</t>
        </is>
      </c>
      <c r="G331" s="4">
        <v>1</v>
      </c>
      <c r="H331" s="4">
        <v>15700</v>
      </c>
      <c r="I331" s="4">
        <v>1</v>
      </c>
      <c r="J331" s="4">
        <v>0</v>
      </c>
      <c r="K331" s="16">
        <v>46199</v>
      </c>
      <c r="L331" s="16">
        <v>46237</v>
      </c>
      <c r="M331" s="0" t="inlineStr">
        <is>
          <t xml:space="preserve">jun26</t>
        </is>
      </c>
      <c r="N331" s="0" t="inlineStr">
        <is>
          <t xml:space="preserve">aug26</t>
        </is>
      </c>
      <c r="O331" s="4">
        <v>38</v>
      </c>
      <c r="P331" s="4">
        <v>1</v>
      </c>
      <c r="Q331" s="4">
        <v>0</v>
      </c>
      <c r="R331" s="4">
        <v>0</v>
      </c>
      <c r="S331" s="4">
        <f>(H331*INDEX('Stages'!$D$2:$D$7,MATCH(F331,'Stages'!$A$2:$A$7,0)))</f>
        <v>15700</v>
      </c>
      <c r="T331" s="4">
        <f>(H331*I331)</f>
        <v>15700</v>
      </c>
      <c r="U331" s="4">
        <f>(H331*(I331-1))</f>
        <v>0</v>
      </c>
      <c r="V331" s="0" t="str">
        <f>INDEX('Account executives'!$B$2:$B$25,MATCH(C331,'Account executives'!$A$2:$A$25,0))</f>
        <v>apac</v>
      </c>
      <c r="W331" s="0" t="str">
        <f>INDEX('Account executives'!$C$2:$C$25,MATCH(C331,'Account executives'!$A$2:$A$25,0))</f>
        <v>smb</v>
      </c>
      <c r="X331" s="0" t="str">
        <f>SUBSTITUTE(LOWER(INDEX('Periods'!$G$2:$G$22,MATCH(N331,'Periods'!$A$2:$A$22,0)))," ","_")</f>
        <v>q3_2026</v>
      </c>
    </row>
    <row r="332">
      <c r="A332" s="0" t="inlineStr">
        <is>
          <t xml:space="preserve">o0331</t>
        </is>
      </c>
      <c r="B332" s="0" t="inlineStr">
        <is>
          <t xml:space="preserve">a0149</t>
        </is>
      </c>
      <c r="C332" s="0" t="inlineStr">
        <is>
          <t xml:space="preserve">r21</t>
        </is>
      </c>
      <c r="D332" s="0"/>
      <c r="E332" s="0" t="inlineStr">
        <is>
          <t xml:space="preserve">events</t>
        </is>
      </c>
      <c r="F332" s="0" t="inlineStr">
        <is>
          <t xml:space="preserve">closed_won</t>
        </is>
      </c>
      <c r="G332" s="4">
        <v>1</v>
      </c>
      <c r="H332" s="4">
        <v>28300</v>
      </c>
      <c r="I332" s="4">
        <v>1</v>
      </c>
      <c r="J332" s="4">
        <v>0</v>
      </c>
      <c r="K332" s="16">
        <v>45799</v>
      </c>
      <c r="L332" s="16">
        <v>45840</v>
      </c>
      <c r="M332" s="0" t="inlineStr">
        <is>
          <t xml:space="preserve">may25</t>
        </is>
      </c>
      <c r="N332" s="0" t="inlineStr">
        <is>
          <t xml:space="preserve">jul25</t>
        </is>
      </c>
      <c r="O332" s="4">
        <v>41</v>
      </c>
      <c r="P332" s="4">
        <v>1</v>
      </c>
      <c r="Q332" s="4">
        <v>0</v>
      </c>
      <c r="R332" s="4">
        <v>0</v>
      </c>
      <c r="S332" s="4">
        <f>(H332*INDEX('Stages'!$D$2:$D$7,MATCH(F332,'Stages'!$A$2:$A$7,0)))</f>
        <v>28300</v>
      </c>
      <c r="T332" s="4">
        <f>(H332*I332)</f>
        <v>28300</v>
      </c>
      <c r="U332" s="4">
        <f>(H332*(I332-1))</f>
        <v>0</v>
      </c>
      <c r="V332" s="0" t="str">
        <f>INDEX('Account executives'!$B$2:$B$25,MATCH(C332,'Account executives'!$A$2:$A$25,0))</f>
        <v>apac</v>
      </c>
      <c r="W332" s="0" t="str">
        <f>INDEX('Account executives'!$C$2:$C$25,MATCH(C332,'Account executives'!$A$2:$A$25,0))</f>
        <v>mid_market</v>
      </c>
      <c r="X332" s="0" t="str">
        <f>SUBSTITUTE(LOWER(INDEX('Periods'!$G$2:$G$22,MATCH(N332,'Periods'!$A$2:$A$22,0)))," ","_")</f>
        <v>q3_2025</v>
      </c>
    </row>
    <row r="333">
      <c r="A333" s="0" t="inlineStr">
        <is>
          <t xml:space="preserve">o0332</t>
        </is>
      </c>
      <c r="B333" s="0" t="inlineStr">
        <is>
          <t xml:space="preserve">a0867</t>
        </is>
      </c>
      <c r="C333" s="0" t="inlineStr">
        <is>
          <t xml:space="preserve">r18</t>
        </is>
      </c>
      <c r="D333" s="0"/>
      <c r="E333" s="0" t="inlineStr">
        <is>
          <t xml:space="preserve">partner</t>
        </is>
      </c>
      <c r="F333" s="0" t="inlineStr">
        <is>
          <t xml:space="preserve">closed_lost</t>
        </is>
      </c>
      <c r="G333" s="4">
        <v>1</v>
      </c>
      <c r="H333" s="4">
        <v>5400</v>
      </c>
      <c r="I333" s="4">
        <v>1</v>
      </c>
      <c r="J333" s="4">
        <v>0</v>
      </c>
      <c r="K333" s="16">
        <v>46126</v>
      </c>
      <c r="L333" s="16">
        <v>46156</v>
      </c>
      <c r="M333" s="0" t="inlineStr">
        <is>
          <t xml:space="preserve">apr26</t>
        </is>
      </c>
      <c r="N333" s="0" t="inlineStr">
        <is>
          <t xml:space="preserve">may26</t>
        </is>
      </c>
      <c r="O333" s="4">
        <v>30</v>
      </c>
      <c r="P333" s="4">
        <v>0</v>
      </c>
      <c r="Q333" s="4">
        <v>1</v>
      </c>
      <c r="R333" s="4">
        <v>0</v>
      </c>
      <c r="S333" s="4">
        <f>(H333*INDEX('Stages'!$D$2:$D$7,MATCH(F333,'Stages'!$A$2:$A$7,0)))</f>
        <v>0</v>
      </c>
      <c r="T333" s="4">
        <f>(H333*I333)</f>
        <v>5400</v>
      </c>
      <c r="U333" s="4">
        <f>(H333*(I333-1))</f>
        <v>0</v>
      </c>
      <c r="V333" s="0" t="str">
        <f>INDEX('Account executives'!$B$2:$B$25,MATCH(C333,'Account executives'!$A$2:$A$25,0))</f>
        <v>emea</v>
      </c>
      <c r="W333" s="0" t="str">
        <f>INDEX('Account executives'!$C$2:$C$25,MATCH(C333,'Account executives'!$A$2:$A$25,0))</f>
        <v>smb</v>
      </c>
      <c r="X333" s="0" t="str">
        <f>SUBSTITUTE(LOWER(INDEX('Periods'!$G$2:$G$22,MATCH(N333,'Periods'!$A$2:$A$22,0)))," ","_")</f>
        <v>q2_2026</v>
      </c>
    </row>
    <row r="334">
      <c r="A334" s="0" t="inlineStr">
        <is>
          <t xml:space="preserve">o0333</t>
        </is>
      </c>
      <c r="B334" s="0" t="inlineStr">
        <is>
          <t xml:space="preserve">a1028</t>
        </is>
      </c>
      <c r="C334" s="0" t="inlineStr">
        <is>
          <t xml:space="preserve">r18</t>
        </is>
      </c>
      <c r="D334" s="0"/>
      <c r="E334" s="0" t="inlineStr">
        <is>
          <t xml:space="preserve">events</t>
        </is>
      </c>
      <c r="F334" s="0" t="inlineStr">
        <is>
          <t xml:space="preserve">closed_lost</t>
        </is>
      </c>
      <c r="G334" s="4">
        <v>1</v>
      </c>
      <c r="H334" s="4">
        <v>30100</v>
      </c>
      <c r="I334" s="4">
        <v>1</v>
      </c>
      <c r="J334" s="4">
        <v>0</v>
      </c>
      <c r="K334" s="16">
        <v>46198</v>
      </c>
      <c r="L334" s="16">
        <v>46222</v>
      </c>
      <c r="M334" s="0" t="inlineStr">
        <is>
          <t xml:space="preserve">jun26</t>
        </is>
      </c>
      <c r="N334" s="0" t="inlineStr">
        <is>
          <t xml:space="preserve">jul26</t>
        </is>
      </c>
      <c r="O334" s="4">
        <v>24</v>
      </c>
      <c r="P334" s="4">
        <v>0</v>
      </c>
      <c r="Q334" s="4">
        <v>1</v>
      </c>
      <c r="R334" s="4">
        <v>0</v>
      </c>
      <c r="S334" s="4">
        <f>(H334*INDEX('Stages'!$D$2:$D$7,MATCH(F334,'Stages'!$A$2:$A$7,0)))</f>
        <v>0</v>
      </c>
      <c r="T334" s="4">
        <f>(H334*I334)</f>
        <v>30100</v>
      </c>
      <c r="U334" s="4">
        <f>(H334*(I334-1))</f>
        <v>0</v>
      </c>
      <c r="V334" s="0" t="str">
        <f>INDEX('Account executives'!$B$2:$B$25,MATCH(C334,'Account executives'!$A$2:$A$25,0))</f>
        <v>emea</v>
      </c>
      <c r="W334" s="0" t="str">
        <f>INDEX('Account executives'!$C$2:$C$25,MATCH(C334,'Account executives'!$A$2:$A$25,0))</f>
        <v>smb</v>
      </c>
      <c r="X334" s="0" t="str">
        <f>SUBSTITUTE(LOWER(INDEX('Periods'!$G$2:$G$22,MATCH(N334,'Periods'!$A$2:$A$22,0)))," ","_")</f>
        <v>q3_2026</v>
      </c>
    </row>
    <row r="335">
      <c r="A335" s="0" t="inlineStr">
        <is>
          <t xml:space="preserve">o0334</t>
        </is>
      </c>
      <c r="B335" s="0" t="inlineStr">
        <is>
          <t xml:space="preserve">a1088</t>
        </is>
      </c>
      <c r="C335" s="0" t="inlineStr">
        <is>
          <t xml:space="preserve">r10</t>
        </is>
      </c>
      <c r="D335" s="0" t="inlineStr">
        <is>
          <t xml:space="preserve">s_amer_west_in</t>
        </is>
      </c>
      <c r="E335" s="0" t="inlineStr">
        <is>
          <t xml:space="preserve">inbound</t>
        </is>
      </c>
      <c r="F335" s="0" t="inlineStr">
        <is>
          <t xml:space="preserve">negotiation</t>
        </is>
      </c>
      <c r="G335" s="4">
        <v>1</v>
      </c>
      <c r="H335" s="4">
        <v>108300</v>
      </c>
      <c r="I335" s="4">
        <v>1</v>
      </c>
      <c r="J335" s="4">
        <v>0</v>
      </c>
      <c r="K335" s="16">
        <v>46231</v>
      </c>
      <c r="L335" s="16">
        <v>46371</v>
      </c>
      <c r="M335" s="0" t="inlineStr">
        <is>
          <t xml:space="preserve">jul26</t>
        </is>
      </c>
      <c r="N335" s="0" t="inlineStr">
        <is>
          <t xml:space="preserve">dec26</t>
        </is>
      </c>
      <c r="O335" s="4">
        <v>57</v>
      </c>
      <c r="P335" s="4">
        <v>0</v>
      </c>
      <c r="Q335" s="4">
        <v>0</v>
      </c>
      <c r="R335" s="4">
        <v>1</v>
      </c>
      <c r="S335" s="4">
        <f>(H335*INDEX('Stages'!$D$2:$D$7,MATCH(F335,'Stages'!$A$2:$A$7,0)))</f>
        <v>81225</v>
      </c>
      <c r="T335" s="4">
        <f>(H335*I335)</f>
        <v>108300</v>
      </c>
      <c r="U335" s="4">
        <f>(H335*(I335-1))</f>
        <v>0</v>
      </c>
      <c r="V335" s="0" t="str">
        <f>INDEX('Account executives'!$B$2:$B$25,MATCH(C335,'Account executives'!$A$2:$A$25,0))</f>
        <v>amer_west</v>
      </c>
      <c r="W335" s="0" t="str">
        <f>INDEX('Account executives'!$C$2:$C$25,MATCH(C335,'Account executives'!$A$2:$A$25,0))</f>
        <v>mid_market</v>
      </c>
      <c r="X335" s="0" t="str">
        <f>SUBSTITUTE(LOWER(INDEX('Periods'!$G$2:$G$22,MATCH(N335,'Periods'!$A$2:$A$22,0)))," ","_")</f>
        <v>q4_2026</v>
      </c>
    </row>
    <row r="336">
      <c r="A336" s="0" t="inlineStr">
        <is>
          <t xml:space="preserve">o0335</t>
        </is>
      </c>
      <c r="B336" s="0" t="inlineStr">
        <is>
          <t xml:space="preserve">a0081</t>
        </is>
      </c>
      <c r="C336" s="0" t="inlineStr">
        <is>
          <t xml:space="preserve">r05</t>
        </is>
      </c>
      <c r="D336" s="0"/>
      <c r="E336" s="0" t="inlineStr">
        <is>
          <t xml:space="preserve">events</t>
        </is>
      </c>
      <c r="F336" s="0" t="inlineStr">
        <is>
          <t xml:space="preserve">closed_won</t>
        </is>
      </c>
      <c r="G336" s="4">
        <v>1</v>
      </c>
      <c r="H336" s="4">
        <v>15400</v>
      </c>
      <c r="I336" s="4">
        <v>1</v>
      </c>
      <c r="J336" s="4">
        <v>0</v>
      </c>
      <c r="K336" s="16">
        <v>45787</v>
      </c>
      <c r="L336" s="16">
        <v>45803</v>
      </c>
      <c r="M336" s="0" t="inlineStr">
        <is>
          <t xml:space="preserve">may25</t>
        </is>
      </c>
      <c r="N336" s="0" t="inlineStr">
        <is>
          <t xml:space="preserve">may25</t>
        </is>
      </c>
      <c r="O336" s="4">
        <v>16</v>
      </c>
      <c r="P336" s="4">
        <v>1</v>
      </c>
      <c r="Q336" s="4">
        <v>0</v>
      </c>
      <c r="R336" s="4">
        <v>0</v>
      </c>
      <c r="S336" s="4">
        <f>(H336*INDEX('Stages'!$D$2:$D$7,MATCH(F336,'Stages'!$A$2:$A$7,0)))</f>
        <v>15400</v>
      </c>
      <c r="T336" s="4">
        <f>(H336*I336)</f>
        <v>15400</v>
      </c>
      <c r="U336" s="4">
        <f>(H336*(I336-1))</f>
        <v>0</v>
      </c>
      <c r="V336" s="0" t="str">
        <f>INDEX('Account executives'!$B$2:$B$25,MATCH(C336,'Account executives'!$A$2:$A$25,0))</f>
        <v>amer_east</v>
      </c>
      <c r="W336" s="0" t="str">
        <f>INDEX('Account executives'!$C$2:$C$25,MATCH(C336,'Account executives'!$A$2:$A$25,0))</f>
        <v>smb</v>
      </c>
      <c r="X336" s="0" t="str">
        <f>SUBSTITUTE(LOWER(INDEX('Periods'!$G$2:$G$22,MATCH(N336,'Periods'!$A$2:$A$22,0)))," ","_")</f>
        <v>q2_2025</v>
      </c>
    </row>
    <row r="337">
      <c r="A337" s="0" t="inlineStr">
        <is>
          <t xml:space="preserve">o0336</t>
        </is>
      </c>
      <c r="B337" s="0" t="inlineStr">
        <is>
          <t xml:space="preserve">a0876</t>
        </is>
      </c>
      <c r="C337" s="0" t="inlineStr">
        <is>
          <t xml:space="preserve">r21</t>
        </is>
      </c>
      <c r="D337" s="0" t="inlineStr">
        <is>
          <t xml:space="preserve">s_apac_in</t>
        </is>
      </c>
      <c r="E337" s="0" t="inlineStr">
        <is>
          <t xml:space="preserve">inbound</t>
        </is>
      </c>
      <c r="F337" s="0" t="inlineStr">
        <is>
          <t xml:space="preserve">closed_lost</t>
        </is>
      </c>
      <c r="G337" s="4">
        <v>1</v>
      </c>
      <c r="H337" s="4">
        <v>52100</v>
      </c>
      <c r="I337" s="4">
        <v>2</v>
      </c>
      <c r="J337" s="4">
        <v>0</v>
      </c>
      <c r="K337" s="16">
        <v>46115</v>
      </c>
      <c r="L337" s="16">
        <v>46163</v>
      </c>
      <c r="M337" s="0" t="inlineStr">
        <is>
          <t xml:space="preserve">apr26</t>
        </is>
      </c>
      <c r="N337" s="0" t="inlineStr">
        <is>
          <t xml:space="preserve">may26</t>
        </is>
      </c>
      <c r="O337" s="4">
        <v>48</v>
      </c>
      <c r="P337" s="4">
        <v>0</v>
      </c>
      <c r="Q337" s="4">
        <v>1</v>
      </c>
      <c r="R337" s="4">
        <v>0</v>
      </c>
      <c r="S337" s="4">
        <f>(H337*INDEX('Stages'!$D$2:$D$7,MATCH(F337,'Stages'!$A$2:$A$7,0)))</f>
        <v>0</v>
      </c>
      <c r="T337" s="4">
        <f>(H337*I337)</f>
        <v>104200</v>
      </c>
      <c r="U337" s="4">
        <f>(H337*(I337-1))</f>
        <v>52100</v>
      </c>
      <c r="V337" s="0" t="str">
        <f>INDEX('Account executives'!$B$2:$B$25,MATCH(C337,'Account executives'!$A$2:$A$25,0))</f>
        <v>apac</v>
      </c>
      <c r="W337" s="0" t="str">
        <f>INDEX('Account executives'!$C$2:$C$25,MATCH(C337,'Account executives'!$A$2:$A$25,0))</f>
        <v>mid_market</v>
      </c>
      <c r="X337" s="0" t="str">
        <f>SUBSTITUTE(LOWER(INDEX('Periods'!$G$2:$G$22,MATCH(N337,'Periods'!$A$2:$A$22,0)))," ","_")</f>
        <v>q2_2026</v>
      </c>
    </row>
    <row r="338">
      <c r="A338" s="0" t="inlineStr">
        <is>
          <t xml:space="preserve">o0337</t>
        </is>
      </c>
      <c r="B338" s="0" t="inlineStr">
        <is>
          <t xml:space="preserve">a0357</t>
        </is>
      </c>
      <c r="C338" s="0" t="inlineStr">
        <is>
          <t xml:space="preserve">r24</t>
        </is>
      </c>
      <c r="D338" s="0"/>
      <c r="E338" s="0" t="inlineStr">
        <is>
          <t xml:space="preserve">partner</t>
        </is>
      </c>
      <c r="F338" s="0" t="inlineStr">
        <is>
          <t xml:space="preserve">closed_won</t>
        </is>
      </c>
      <c r="G338" s="4">
        <v>1</v>
      </c>
      <c r="H338" s="4">
        <v>17300</v>
      </c>
      <c r="I338" s="4">
        <v>1</v>
      </c>
      <c r="J338" s="4">
        <v>0</v>
      </c>
      <c r="K338" s="16">
        <v>45886</v>
      </c>
      <c r="L338" s="16">
        <v>45913</v>
      </c>
      <c r="M338" s="0" t="inlineStr">
        <is>
          <t xml:space="preserve">aug25</t>
        </is>
      </c>
      <c r="N338" s="0" t="inlineStr">
        <is>
          <t xml:space="preserve">sep25</t>
        </is>
      </c>
      <c r="O338" s="4">
        <v>27</v>
      </c>
      <c r="P338" s="4">
        <v>1</v>
      </c>
      <c r="Q338" s="4">
        <v>0</v>
      </c>
      <c r="R338" s="4">
        <v>0</v>
      </c>
      <c r="S338" s="4">
        <f>(H338*INDEX('Stages'!$D$2:$D$7,MATCH(F338,'Stages'!$A$2:$A$7,0)))</f>
        <v>17300</v>
      </c>
      <c r="T338" s="4">
        <f>(H338*I338)</f>
        <v>17300</v>
      </c>
      <c r="U338" s="4">
        <f>(H338*(I338-1))</f>
        <v>0</v>
      </c>
      <c r="V338" s="0" t="str">
        <f>INDEX('Account executives'!$B$2:$B$25,MATCH(C338,'Account executives'!$A$2:$A$25,0))</f>
        <v>apac</v>
      </c>
      <c r="W338" s="0" t="str">
        <f>INDEX('Account executives'!$C$2:$C$25,MATCH(C338,'Account executives'!$A$2:$A$25,0))</f>
        <v>smb</v>
      </c>
      <c r="X338" s="0" t="str">
        <f>SUBSTITUTE(LOWER(INDEX('Periods'!$G$2:$G$22,MATCH(N338,'Periods'!$A$2:$A$22,0)))," ","_")</f>
        <v>q3_2025</v>
      </c>
    </row>
    <row r="339">
      <c r="A339" s="0" t="inlineStr">
        <is>
          <t xml:space="preserve">o0338</t>
        </is>
      </c>
      <c r="B339" s="0" t="inlineStr">
        <is>
          <t xml:space="preserve">a0921</t>
        </is>
      </c>
      <c r="C339" s="0" t="inlineStr">
        <is>
          <t xml:space="preserve">r12</t>
        </is>
      </c>
      <c r="D339" s="0"/>
      <c r="E339" s="0" t="inlineStr">
        <is>
          <t xml:space="preserve">events</t>
        </is>
      </c>
      <c r="F339" s="0" t="inlineStr">
        <is>
          <t xml:space="preserve">closed_lost</t>
        </is>
      </c>
      <c r="G339" s="4">
        <v>1</v>
      </c>
      <c r="H339" s="4">
        <v>9200</v>
      </c>
      <c r="I339" s="4">
        <v>1</v>
      </c>
      <c r="J339" s="4">
        <v>1</v>
      </c>
      <c r="K339" s="16">
        <v>46155</v>
      </c>
      <c r="L339" s="16">
        <v>46180</v>
      </c>
      <c r="M339" s="0" t="inlineStr">
        <is>
          <t xml:space="preserve">may26</t>
        </is>
      </c>
      <c r="N339" s="0" t="inlineStr">
        <is>
          <t xml:space="preserve">jun26</t>
        </is>
      </c>
      <c r="O339" s="4">
        <v>25</v>
      </c>
      <c r="P339" s="4">
        <v>0</v>
      </c>
      <c r="Q339" s="4">
        <v>1</v>
      </c>
      <c r="R339" s="4">
        <v>0</v>
      </c>
      <c r="S339" s="4">
        <f>(H339*INDEX('Stages'!$D$2:$D$7,MATCH(F339,'Stages'!$A$2:$A$7,0)))</f>
        <v>0</v>
      </c>
      <c r="T339" s="4">
        <f>(H339*I339)</f>
        <v>9200</v>
      </c>
      <c r="U339" s="4">
        <f>(H339*(I339-1))</f>
        <v>0</v>
      </c>
      <c r="V339" s="0" t="str">
        <f>INDEX('Account executives'!$B$2:$B$25,MATCH(C339,'Account executives'!$A$2:$A$25,0))</f>
        <v>amer_west</v>
      </c>
      <c r="W339" s="0" t="str">
        <f>INDEX('Account executives'!$C$2:$C$25,MATCH(C339,'Account executives'!$A$2:$A$25,0))</f>
        <v>smb</v>
      </c>
      <c r="X339" s="0" t="str">
        <f>SUBSTITUTE(LOWER(INDEX('Periods'!$G$2:$G$22,MATCH(N339,'Periods'!$A$2:$A$22,0)))," ","_")</f>
        <v>q2_2026</v>
      </c>
    </row>
    <row r="340">
      <c r="A340" s="0" t="inlineStr">
        <is>
          <t xml:space="preserve">o0339</t>
        </is>
      </c>
      <c r="B340" s="0" t="inlineStr">
        <is>
          <t xml:space="preserve">a0409</t>
        </is>
      </c>
      <c r="C340" s="0" t="inlineStr">
        <is>
          <t xml:space="preserve">r22</t>
        </is>
      </c>
      <c r="D340" s="0" t="inlineStr">
        <is>
          <t xml:space="preserve">s_apac_in</t>
        </is>
      </c>
      <c r="E340" s="0" t="inlineStr">
        <is>
          <t xml:space="preserve">inbound</t>
        </is>
      </c>
      <c r="F340" s="0" t="inlineStr">
        <is>
          <t xml:space="preserve">closed_lost</t>
        </is>
      </c>
      <c r="G340" s="4">
        <v>1</v>
      </c>
      <c r="H340" s="4">
        <v>104100</v>
      </c>
      <c r="I340" s="4">
        <v>1</v>
      </c>
      <c r="J340" s="4">
        <v>0</v>
      </c>
      <c r="K340" s="16">
        <v>45908</v>
      </c>
      <c r="L340" s="16">
        <v>45956</v>
      </c>
      <c r="M340" s="0" t="inlineStr">
        <is>
          <t xml:space="preserve">sep25</t>
        </is>
      </c>
      <c r="N340" s="0" t="inlineStr">
        <is>
          <t xml:space="preserve">oct25</t>
        </is>
      </c>
      <c r="O340" s="4">
        <v>48</v>
      </c>
      <c r="P340" s="4">
        <v>0</v>
      </c>
      <c r="Q340" s="4">
        <v>1</v>
      </c>
      <c r="R340" s="4">
        <v>0</v>
      </c>
      <c r="S340" s="4">
        <f>(H340*INDEX('Stages'!$D$2:$D$7,MATCH(F340,'Stages'!$A$2:$A$7,0)))</f>
        <v>0</v>
      </c>
      <c r="T340" s="4">
        <f>(H340*I340)</f>
        <v>104100</v>
      </c>
      <c r="U340" s="4">
        <f>(H340*(I340-1))</f>
        <v>0</v>
      </c>
      <c r="V340" s="0" t="str">
        <f>INDEX('Account executives'!$B$2:$B$25,MATCH(C340,'Account executives'!$A$2:$A$25,0))</f>
        <v>apac</v>
      </c>
      <c r="W340" s="0" t="str">
        <f>INDEX('Account executives'!$C$2:$C$25,MATCH(C340,'Account executives'!$A$2:$A$25,0))</f>
        <v>mid_market</v>
      </c>
      <c r="X340" s="0" t="str">
        <f>SUBSTITUTE(LOWER(INDEX('Periods'!$G$2:$G$22,MATCH(N340,'Periods'!$A$2:$A$22,0)))," ","_")</f>
        <v>q4_2025</v>
      </c>
    </row>
    <row r="341">
      <c r="A341" s="0" t="inlineStr">
        <is>
          <t xml:space="preserve">o0340</t>
        </is>
      </c>
      <c r="B341" s="0" t="inlineStr">
        <is>
          <t xml:space="preserve">a0642</t>
        </is>
      </c>
      <c r="C341" s="0" t="inlineStr">
        <is>
          <t xml:space="preserve">r18</t>
        </is>
      </c>
      <c r="D341" s="0" t="inlineStr">
        <is>
          <t xml:space="preserve">s_emea_in</t>
        </is>
      </c>
      <c r="E341" s="0" t="inlineStr">
        <is>
          <t xml:space="preserve">inbound</t>
        </is>
      </c>
      <c r="F341" s="0" t="inlineStr">
        <is>
          <t xml:space="preserve">closed_won</t>
        </is>
      </c>
      <c r="G341" s="4">
        <v>1</v>
      </c>
      <c r="H341" s="4">
        <v>43000</v>
      </c>
      <c r="I341" s="4">
        <v>1</v>
      </c>
      <c r="J341" s="4">
        <v>0</v>
      </c>
      <c r="K341" s="16">
        <v>46041</v>
      </c>
      <c r="L341" s="16">
        <v>46079</v>
      </c>
      <c r="M341" s="0" t="inlineStr">
        <is>
          <t xml:space="preserve">jan26</t>
        </is>
      </c>
      <c r="N341" s="0" t="inlineStr">
        <is>
          <t xml:space="preserve">feb26</t>
        </is>
      </c>
      <c r="O341" s="4">
        <v>38</v>
      </c>
      <c r="P341" s="4">
        <v>1</v>
      </c>
      <c r="Q341" s="4">
        <v>0</v>
      </c>
      <c r="R341" s="4">
        <v>0</v>
      </c>
      <c r="S341" s="4">
        <f>(H341*INDEX('Stages'!$D$2:$D$7,MATCH(F341,'Stages'!$A$2:$A$7,0)))</f>
        <v>43000</v>
      </c>
      <c r="T341" s="4">
        <f>(H341*I341)</f>
        <v>43000</v>
      </c>
      <c r="U341" s="4">
        <f>(H341*(I341-1))</f>
        <v>0</v>
      </c>
      <c r="V341" s="0" t="str">
        <f>INDEX('Account executives'!$B$2:$B$25,MATCH(C341,'Account executives'!$A$2:$A$25,0))</f>
        <v>emea</v>
      </c>
      <c r="W341" s="0" t="str">
        <f>INDEX('Account executives'!$C$2:$C$25,MATCH(C341,'Account executives'!$A$2:$A$25,0))</f>
        <v>smb</v>
      </c>
      <c r="X341" s="0" t="str">
        <f>SUBSTITUTE(LOWER(INDEX('Periods'!$G$2:$G$22,MATCH(N341,'Periods'!$A$2:$A$22,0)))," ","_")</f>
        <v>q1_2026</v>
      </c>
    </row>
    <row r="342">
      <c r="A342" s="0" t="inlineStr">
        <is>
          <t xml:space="preserve">o0341</t>
        </is>
      </c>
      <c r="B342" s="0" t="inlineStr">
        <is>
          <t xml:space="preserve">a0600</t>
        </is>
      </c>
      <c r="C342" s="0" t="inlineStr">
        <is>
          <t xml:space="preserve">r24</t>
        </is>
      </c>
      <c r="D342" s="0" t="inlineStr">
        <is>
          <t xml:space="preserve">s_apac_in</t>
        </is>
      </c>
      <c r="E342" s="0" t="inlineStr">
        <is>
          <t xml:space="preserve">paid</t>
        </is>
      </c>
      <c r="F342" s="0" t="inlineStr">
        <is>
          <t xml:space="preserve">closed_lost</t>
        </is>
      </c>
      <c r="G342" s="4">
        <v>1</v>
      </c>
      <c r="H342" s="4">
        <v>15900</v>
      </c>
      <c r="I342" s="4">
        <v>1</v>
      </c>
      <c r="J342" s="4">
        <v>0</v>
      </c>
      <c r="K342" s="16">
        <v>46005</v>
      </c>
      <c r="L342" s="16">
        <v>46039</v>
      </c>
      <c r="M342" s="0" t="inlineStr">
        <is>
          <t xml:space="preserve">dec25</t>
        </is>
      </c>
      <c r="N342" s="0" t="inlineStr">
        <is>
          <t xml:space="preserve">jan26</t>
        </is>
      </c>
      <c r="O342" s="4">
        <v>34</v>
      </c>
      <c r="P342" s="4">
        <v>0</v>
      </c>
      <c r="Q342" s="4">
        <v>1</v>
      </c>
      <c r="R342" s="4">
        <v>0</v>
      </c>
      <c r="S342" s="4">
        <f>(H342*INDEX('Stages'!$D$2:$D$7,MATCH(F342,'Stages'!$A$2:$A$7,0)))</f>
        <v>0</v>
      </c>
      <c r="T342" s="4">
        <f>(H342*I342)</f>
        <v>15900</v>
      </c>
      <c r="U342" s="4">
        <f>(H342*(I342-1))</f>
        <v>0</v>
      </c>
      <c r="V342" s="0" t="str">
        <f>INDEX('Account executives'!$B$2:$B$25,MATCH(C342,'Account executives'!$A$2:$A$25,0))</f>
        <v>apac</v>
      </c>
      <c r="W342" s="0" t="str">
        <f>INDEX('Account executives'!$C$2:$C$25,MATCH(C342,'Account executives'!$A$2:$A$25,0))</f>
        <v>smb</v>
      </c>
      <c r="X342" s="0" t="str">
        <f>SUBSTITUTE(LOWER(INDEX('Periods'!$G$2:$G$22,MATCH(N342,'Periods'!$A$2:$A$22,0)))," ","_")</f>
        <v>q1_2026</v>
      </c>
    </row>
    <row r="343">
      <c r="A343" s="0" t="inlineStr">
        <is>
          <t xml:space="preserve">o0342</t>
        </is>
      </c>
      <c r="B343" s="0" t="inlineStr">
        <is>
          <t xml:space="preserve">a0985</t>
        </is>
      </c>
      <c r="C343" s="0" t="inlineStr">
        <is>
          <t xml:space="preserve">r07</t>
        </is>
      </c>
      <c r="D343" s="0" t="inlineStr">
        <is>
          <t xml:space="preserve">s_amer_west_in</t>
        </is>
      </c>
      <c r="E343" s="0" t="inlineStr">
        <is>
          <t xml:space="preserve">inbound</t>
        </is>
      </c>
      <c r="F343" s="0" t="inlineStr">
        <is>
          <t xml:space="preserve">evaluation</t>
        </is>
      </c>
      <c r="G343" s="4">
        <v>1</v>
      </c>
      <c r="H343" s="4">
        <v>100200</v>
      </c>
      <c r="I343" s="4">
        <v>1</v>
      </c>
      <c r="J343" s="4">
        <v>0</v>
      </c>
      <c r="K343" s="16">
        <v>46194</v>
      </c>
      <c r="L343" s="16">
        <v>46343</v>
      </c>
      <c r="M343" s="0" t="inlineStr">
        <is>
          <t xml:space="preserve">jun26</t>
        </is>
      </c>
      <c r="N343" s="0" t="inlineStr">
        <is>
          <t xml:space="preserve">nov26</t>
        </is>
      </c>
      <c r="O343" s="4">
        <v>165</v>
      </c>
      <c r="P343" s="4">
        <v>0</v>
      </c>
      <c r="Q343" s="4">
        <v>0</v>
      </c>
      <c r="R343" s="4">
        <v>1</v>
      </c>
      <c r="S343" s="4">
        <f>(H343*INDEX('Stages'!$D$2:$D$7,MATCH(F343,'Stages'!$A$2:$A$7,0)))</f>
        <v>25050</v>
      </c>
      <c r="T343" s="4">
        <f>(H343*I343)</f>
        <v>100200</v>
      </c>
      <c r="U343" s="4">
        <f>(H343*(I343-1))</f>
        <v>0</v>
      </c>
      <c r="V343" s="0" t="str">
        <f>INDEX('Account executives'!$B$2:$B$25,MATCH(C343,'Account executives'!$A$2:$A$25,0))</f>
        <v>amer_west</v>
      </c>
      <c r="W343" s="0" t="str">
        <f>INDEX('Account executives'!$C$2:$C$25,MATCH(C343,'Account executives'!$A$2:$A$25,0))</f>
        <v>enterprise</v>
      </c>
      <c r="X343" s="0" t="str">
        <f>SUBSTITUTE(LOWER(INDEX('Periods'!$G$2:$G$22,MATCH(N343,'Periods'!$A$2:$A$22,0)))," ","_")</f>
        <v>q4_2026</v>
      </c>
    </row>
    <row r="344">
      <c r="A344" s="0" t="inlineStr">
        <is>
          <t xml:space="preserve">o0343</t>
        </is>
      </c>
      <c r="B344" s="0" t="inlineStr">
        <is>
          <t xml:space="preserve">a0494</t>
        </is>
      </c>
      <c r="C344" s="0" t="inlineStr">
        <is>
          <t xml:space="preserve">r09</t>
        </is>
      </c>
      <c r="D344" s="0" t="inlineStr">
        <is>
          <t xml:space="preserve">s_amer_west_in</t>
        </is>
      </c>
      <c r="E344" s="0" t="inlineStr">
        <is>
          <t xml:space="preserve">inbound</t>
        </is>
      </c>
      <c r="F344" s="0" t="inlineStr">
        <is>
          <t xml:space="preserve">negotiation</t>
        </is>
      </c>
      <c r="G344" s="4">
        <v>0</v>
      </c>
      <c r="H344" s="4">
        <v>13300</v>
      </c>
      <c r="I344" s="4">
        <v>2</v>
      </c>
      <c r="J344" s="4">
        <v>0</v>
      </c>
      <c r="K344" s="16">
        <v>46177</v>
      </c>
      <c r="L344" s="16">
        <v>46293</v>
      </c>
      <c r="M344" s="0" t="inlineStr">
        <is>
          <t xml:space="preserve">jun26</t>
        </is>
      </c>
      <c r="N344" s="0" t="inlineStr">
        <is>
          <t xml:space="preserve">sep26</t>
        </is>
      </c>
      <c r="O344" s="4">
        <v>116</v>
      </c>
      <c r="P344" s="4">
        <v>0</v>
      </c>
      <c r="Q344" s="4">
        <v>0</v>
      </c>
      <c r="R344" s="4">
        <v>1</v>
      </c>
      <c r="S344" s="4">
        <f>(H344*INDEX('Stages'!$D$2:$D$7,MATCH(F344,'Stages'!$A$2:$A$7,0)))</f>
        <v>9975</v>
      </c>
      <c r="T344" s="4">
        <f>(H344*I344)</f>
        <v>26600</v>
      </c>
      <c r="U344" s="4">
        <f>(H344*(I344-1))</f>
        <v>13300</v>
      </c>
      <c r="V344" s="0" t="str">
        <f>INDEX('Account executives'!$B$2:$B$25,MATCH(C344,'Account executives'!$A$2:$A$25,0))</f>
        <v>amer_west</v>
      </c>
      <c r="W344" s="0" t="str">
        <f>INDEX('Account executives'!$C$2:$C$25,MATCH(C344,'Account executives'!$A$2:$A$25,0))</f>
        <v>mid_market</v>
      </c>
      <c r="X344" s="0" t="str">
        <f>SUBSTITUTE(LOWER(INDEX('Periods'!$G$2:$G$22,MATCH(N344,'Periods'!$A$2:$A$22,0)))," ","_")</f>
        <v>q3_2026</v>
      </c>
    </row>
    <row r="345">
      <c r="A345" s="0" t="inlineStr">
        <is>
          <t xml:space="preserve">o0344</t>
        </is>
      </c>
      <c r="B345" s="0" t="inlineStr">
        <is>
          <t xml:space="preserve">a0244</t>
        </is>
      </c>
      <c r="C345" s="0" t="inlineStr">
        <is>
          <t xml:space="preserve">r05</t>
        </is>
      </c>
      <c r="D345" s="0"/>
      <c r="E345" s="0" t="inlineStr">
        <is>
          <t xml:space="preserve">referral</t>
        </is>
      </c>
      <c r="F345" s="0" t="inlineStr">
        <is>
          <t xml:space="preserve">closed_won</t>
        </is>
      </c>
      <c r="G345" s="4">
        <v>0</v>
      </c>
      <c r="H345" s="4">
        <v>15400</v>
      </c>
      <c r="I345" s="4">
        <v>1</v>
      </c>
      <c r="J345" s="4">
        <v>0</v>
      </c>
      <c r="K345" s="16">
        <v>46157</v>
      </c>
      <c r="L345" s="16">
        <v>46182</v>
      </c>
      <c r="M345" s="0" t="inlineStr">
        <is>
          <t xml:space="preserve">may26</t>
        </is>
      </c>
      <c r="N345" s="0" t="inlineStr">
        <is>
          <t xml:space="preserve">jun26</t>
        </is>
      </c>
      <c r="O345" s="4">
        <v>25</v>
      </c>
      <c r="P345" s="4">
        <v>1</v>
      </c>
      <c r="Q345" s="4">
        <v>0</v>
      </c>
      <c r="R345" s="4">
        <v>0</v>
      </c>
      <c r="S345" s="4">
        <f>(H345*INDEX('Stages'!$D$2:$D$7,MATCH(F345,'Stages'!$A$2:$A$7,0)))</f>
        <v>15400</v>
      </c>
      <c r="T345" s="4">
        <f>(H345*I345)</f>
        <v>15400</v>
      </c>
      <c r="U345" s="4">
        <f>(H345*(I345-1))</f>
        <v>0</v>
      </c>
      <c r="V345" s="0" t="str">
        <f>INDEX('Account executives'!$B$2:$B$25,MATCH(C345,'Account executives'!$A$2:$A$25,0))</f>
        <v>amer_east</v>
      </c>
      <c r="W345" s="0" t="str">
        <f>INDEX('Account executives'!$C$2:$C$25,MATCH(C345,'Account executives'!$A$2:$A$25,0))</f>
        <v>smb</v>
      </c>
      <c r="X345" s="0" t="str">
        <f>SUBSTITUTE(LOWER(INDEX('Periods'!$G$2:$G$22,MATCH(N345,'Periods'!$A$2:$A$22,0)))," ","_")</f>
        <v>q2_2026</v>
      </c>
    </row>
    <row r="346">
      <c r="A346" s="0" t="inlineStr">
        <is>
          <t xml:space="preserve">o0345</t>
        </is>
      </c>
      <c r="B346" s="0" t="inlineStr">
        <is>
          <t xml:space="preserve">a0519</t>
        </is>
      </c>
      <c r="C346" s="0" t="inlineStr">
        <is>
          <t xml:space="preserve">r18</t>
        </is>
      </c>
      <c r="D346" s="0" t="inlineStr">
        <is>
          <t xml:space="preserve">s_emea_in</t>
        </is>
      </c>
      <c r="E346" s="0" t="inlineStr">
        <is>
          <t xml:space="preserve">paid</t>
        </is>
      </c>
      <c r="F346" s="0" t="inlineStr">
        <is>
          <t xml:space="preserve">closed_lost</t>
        </is>
      </c>
      <c r="G346" s="4">
        <v>1</v>
      </c>
      <c r="H346" s="4">
        <v>6900</v>
      </c>
      <c r="I346" s="4">
        <v>1</v>
      </c>
      <c r="J346" s="4">
        <v>0</v>
      </c>
      <c r="K346" s="16">
        <v>45989</v>
      </c>
      <c r="L346" s="16">
        <v>46020</v>
      </c>
      <c r="M346" s="0" t="inlineStr">
        <is>
          <t xml:space="preserve">nov25</t>
        </is>
      </c>
      <c r="N346" s="0" t="inlineStr">
        <is>
          <t xml:space="preserve">dec25</t>
        </is>
      </c>
      <c r="O346" s="4">
        <v>31</v>
      </c>
      <c r="P346" s="4">
        <v>0</v>
      </c>
      <c r="Q346" s="4">
        <v>1</v>
      </c>
      <c r="R346" s="4">
        <v>0</v>
      </c>
      <c r="S346" s="4">
        <f>(H346*INDEX('Stages'!$D$2:$D$7,MATCH(F346,'Stages'!$A$2:$A$7,0)))</f>
        <v>0</v>
      </c>
      <c r="T346" s="4">
        <f>(H346*I346)</f>
        <v>6900</v>
      </c>
      <c r="U346" s="4">
        <f>(H346*(I346-1))</f>
        <v>0</v>
      </c>
      <c r="V346" s="0" t="str">
        <f>INDEX('Account executives'!$B$2:$B$25,MATCH(C346,'Account executives'!$A$2:$A$25,0))</f>
        <v>emea</v>
      </c>
      <c r="W346" s="0" t="str">
        <f>INDEX('Account executives'!$C$2:$C$25,MATCH(C346,'Account executives'!$A$2:$A$25,0))</f>
        <v>smb</v>
      </c>
      <c r="X346" s="0" t="str">
        <f>SUBSTITUTE(LOWER(INDEX('Periods'!$G$2:$G$22,MATCH(N346,'Periods'!$A$2:$A$22,0)))," ","_")</f>
        <v>q4_2025</v>
      </c>
    </row>
    <row r="347">
      <c r="A347" s="0" t="inlineStr">
        <is>
          <t xml:space="preserve">o0346</t>
        </is>
      </c>
      <c r="B347" s="0" t="inlineStr">
        <is>
          <t xml:space="preserve">a0364</t>
        </is>
      </c>
      <c r="C347" s="0" t="inlineStr">
        <is>
          <t xml:space="preserve">r01</t>
        </is>
      </c>
      <c r="D347" s="0" t="inlineStr">
        <is>
          <t xml:space="preserve">s_amer_east_in</t>
        </is>
      </c>
      <c r="E347" s="0" t="inlineStr">
        <is>
          <t xml:space="preserve">paid</t>
        </is>
      </c>
      <c r="F347" s="0" t="inlineStr">
        <is>
          <t xml:space="preserve">closed_lost</t>
        </is>
      </c>
      <c r="G347" s="4">
        <v>1</v>
      </c>
      <c r="H347" s="4">
        <v>163900</v>
      </c>
      <c r="I347" s="4">
        <v>1</v>
      </c>
      <c r="J347" s="4">
        <v>1</v>
      </c>
      <c r="K347" s="16">
        <v>45921</v>
      </c>
      <c r="L347" s="16">
        <v>46024</v>
      </c>
      <c r="M347" s="0" t="inlineStr">
        <is>
          <t xml:space="preserve">sep25</t>
        </is>
      </c>
      <c r="N347" s="0" t="inlineStr">
        <is>
          <t xml:space="preserve">jan26</t>
        </is>
      </c>
      <c r="O347" s="4">
        <v>103</v>
      </c>
      <c r="P347" s="4">
        <v>0</v>
      </c>
      <c r="Q347" s="4">
        <v>1</v>
      </c>
      <c r="R347" s="4">
        <v>0</v>
      </c>
      <c r="S347" s="4">
        <f>(H347*INDEX('Stages'!$D$2:$D$7,MATCH(F347,'Stages'!$A$2:$A$7,0)))</f>
        <v>0</v>
      </c>
      <c r="T347" s="4">
        <f>(H347*I347)</f>
        <v>163900</v>
      </c>
      <c r="U347" s="4">
        <f>(H347*(I347-1))</f>
        <v>0</v>
      </c>
      <c r="V347" s="0" t="str">
        <f>INDEX('Account executives'!$B$2:$B$25,MATCH(C347,'Account executives'!$A$2:$A$25,0))</f>
        <v>amer_east</v>
      </c>
      <c r="W347" s="0" t="str">
        <f>INDEX('Account executives'!$C$2:$C$25,MATCH(C347,'Account executives'!$A$2:$A$25,0))</f>
        <v>enterprise</v>
      </c>
      <c r="X347" s="0" t="str">
        <f>SUBSTITUTE(LOWER(INDEX('Periods'!$G$2:$G$22,MATCH(N347,'Periods'!$A$2:$A$22,0)))," ","_")</f>
        <v>q1_2026</v>
      </c>
    </row>
    <row r="348">
      <c r="A348" s="0" t="inlineStr">
        <is>
          <t xml:space="preserve">o0347</t>
        </is>
      </c>
      <c r="B348" s="0" t="inlineStr">
        <is>
          <t xml:space="preserve">a0711</t>
        </is>
      </c>
      <c r="C348" s="0" t="inlineStr">
        <is>
          <t xml:space="preserve">r21</t>
        </is>
      </c>
      <c r="D348" s="0"/>
      <c r="E348" s="0" t="inlineStr">
        <is>
          <t xml:space="preserve">events</t>
        </is>
      </c>
      <c r="F348" s="0" t="inlineStr">
        <is>
          <t xml:space="preserve">closed_lost</t>
        </is>
      </c>
      <c r="G348" s="4">
        <v>0</v>
      </c>
      <c r="H348" s="4">
        <v>12400</v>
      </c>
      <c r="I348" s="4">
        <v>1</v>
      </c>
      <c r="J348" s="4">
        <v>1</v>
      </c>
      <c r="K348" s="16">
        <v>46096</v>
      </c>
      <c r="L348" s="16">
        <v>46154</v>
      </c>
      <c r="M348" s="0" t="inlineStr">
        <is>
          <t xml:space="preserve">mar26</t>
        </is>
      </c>
      <c r="N348" s="0" t="inlineStr">
        <is>
          <t xml:space="preserve">may26</t>
        </is>
      </c>
      <c r="O348" s="4">
        <v>58</v>
      </c>
      <c r="P348" s="4">
        <v>0</v>
      </c>
      <c r="Q348" s="4">
        <v>1</v>
      </c>
      <c r="R348" s="4">
        <v>0</v>
      </c>
      <c r="S348" s="4">
        <f>(H348*INDEX('Stages'!$D$2:$D$7,MATCH(F348,'Stages'!$A$2:$A$7,0)))</f>
        <v>0</v>
      </c>
      <c r="T348" s="4">
        <f>(H348*I348)</f>
        <v>12400</v>
      </c>
      <c r="U348" s="4">
        <f>(H348*(I348-1))</f>
        <v>0</v>
      </c>
      <c r="V348" s="0" t="str">
        <f>INDEX('Account executives'!$B$2:$B$25,MATCH(C348,'Account executives'!$A$2:$A$25,0))</f>
        <v>apac</v>
      </c>
      <c r="W348" s="0" t="str">
        <f>INDEX('Account executives'!$C$2:$C$25,MATCH(C348,'Account executives'!$A$2:$A$25,0))</f>
        <v>mid_market</v>
      </c>
      <c r="X348" s="0" t="str">
        <f>SUBSTITUTE(LOWER(INDEX('Periods'!$G$2:$G$22,MATCH(N348,'Periods'!$A$2:$A$22,0)))," ","_")</f>
        <v>q2_2026</v>
      </c>
    </row>
    <row r="349">
      <c r="A349" s="0" t="inlineStr">
        <is>
          <t xml:space="preserve">o0348</t>
        </is>
      </c>
      <c r="B349" s="0" t="inlineStr">
        <is>
          <t xml:space="preserve">a0236</t>
        </is>
      </c>
      <c r="C349" s="0" t="inlineStr">
        <is>
          <t xml:space="preserve">r04</t>
        </is>
      </c>
      <c r="D349" s="0" t="inlineStr">
        <is>
          <t xml:space="preserve">s_amer_east_in</t>
        </is>
      </c>
      <c r="E349" s="0" t="inlineStr">
        <is>
          <t xml:space="preserve">inbound</t>
        </is>
      </c>
      <c r="F349" s="0" t="inlineStr">
        <is>
          <t xml:space="preserve">closed_lost</t>
        </is>
      </c>
      <c r="G349" s="4">
        <v>1</v>
      </c>
      <c r="H349" s="4">
        <v>17300</v>
      </c>
      <c r="I349" s="4">
        <v>3</v>
      </c>
      <c r="J349" s="4">
        <v>0</v>
      </c>
      <c r="K349" s="16">
        <v>45859</v>
      </c>
      <c r="L349" s="16">
        <v>45915</v>
      </c>
      <c r="M349" s="0" t="inlineStr">
        <is>
          <t xml:space="preserve">jul25</t>
        </is>
      </c>
      <c r="N349" s="0" t="inlineStr">
        <is>
          <t xml:space="preserve">sep25</t>
        </is>
      </c>
      <c r="O349" s="4">
        <v>56</v>
      </c>
      <c r="P349" s="4">
        <v>0</v>
      </c>
      <c r="Q349" s="4">
        <v>1</v>
      </c>
      <c r="R349" s="4">
        <v>0</v>
      </c>
      <c r="S349" s="4">
        <f>(H349*INDEX('Stages'!$D$2:$D$7,MATCH(F349,'Stages'!$A$2:$A$7,0)))</f>
        <v>0</v>
      </c>
      <c r="T349" s="4">
        <f>(H349*I349)</f>
        <v>51900</v>
      </c>
      <c r="U349" s="4">
        <f>(H349*(I349-1))</f>
        <v>34600</v>
      </c>
      <c r="V349" s="0" t="str">
        <f>INDEX('Account executives'!$B$2:$B$25,MATCH(C349,'Account executives'!$A$2:$A$25,0))</f>
        <v>amer_east</v>
      </c>
      <c r="W349" s="0" t="str">
        <f>INDEX('Account executives'!$C$2:$C$25,MATCH(C349,'Account executives'!$A$2:$A$25,0))</f>
        <v>mid_market</v>
      </c>
      <c r="X349" s="0" t="str">
        <f>SUBSTITUTE(LOWER(INDEX('Periods'!$G$2:$G$22,MATCH(N349,'Periods'!$A$2:$A$22,0)))," ","_")</f>
        <v>q3_2025</v>
      </c>
    </row>
    <row r="350">
      <c r="A350" s="0" t="inlineStr">
        <is>
          <t xml:space="preserve">o0349</t>
        </is>
      </c>
      <c r="B350" s="0" t="inlineStr">
        <is>
          <t xml:space="preserve">a0834</t>
        </is>
      </c>
      <c r="C350" s="0" t="inlineStr">
        <is>
          <t xml:space="preserve">r03</t>
        </is>
      </c>
      <c r="D350" s="0"/>
      <c r="E350" s="0" t="inlineStr">
        <is>
          <t xml:space="preserve">partner</t>
        </is>
      </c>
      <c r="F350" s="0" t="inlineStr">
        <is>
          <t xml:space="preserve">closed_lost</t>
        </is>
      </c>
      <c r="G350" s="4">
        <v>1</v>
      </c>
      <c r="H350" s="4">
        <v>90300</v>
      </c>
      <c r="I350" s="4">
        <v>1</v>
      </c>
      <c r="J350" s="4">
        <v>1</v>
      </c>
      <c r="K350" s="16">
        <v>46139</v>
      </c>
      <c r="L350" s="16">
        <v>46190</v>
      </c>
      <c r="M350" s="0" t="inlineStr">
        <is>
          <t xml:space="preserve">apr26</t>
        </is>
      </c>
      <c r="N350" s="0" t="inlineStr">
        <is>
          <t xml:space="preserve">jun26</t>
        </is>
      </c>
      <c r="O350" s="4">
        <v>51</v>
      </c>
      <c r="P350" s="4">
        <v>0</v>
      </c>
      <c r="Q350" s="4">
        <v>1</v>
      </c>
      <c r="R350" s="4">
        <v>0</v>
      </c>
      <c r="S350" s="4">
        <f>(H350*INDEX('Stages'!$D$2:$D$7,MATCH(F350,'Stages'!$A$2:$A$7,0)))</f>
        <v>0</v>
      </c>
      <c r="T350" s="4">
        <f>(H350*I350)</f>
        <v>90300</v>
      </c>
      <c r="U350" s="4">
        <f>(H350*(I350-1))</f>
        <v>0</v>
      </c>
      <c r="V350" s="0" t="str">
        <f>INDEX('Account executives'!$B$2:$B$25,MATCH(C350,'Account executives'!$A$2:$A$25,0))</f>
        <v>amer_east</v>
      </c>
      <c r="W350" s="0" t="str">
        <f>INDEX('Account executives'!$C$2:$C$25,MATCH(C350,'Account executives'!$A$2:$A$25,0))</f>
        <v>mid_market</v>
      </c>
      <c r="X350" s="0" t="str">
        <f>SUBSTITUTE(LOWER(INDEX('Periods'!$G$2:$G$22,MATCH(N350,'Periods'!$A$2:$A$22,0)))," ","_")</f>
        <v>q2_2026</v>
      </c>
    </row>
    <row r="351">
      <c r="A351" s="0" t="inlineStr">
        <is>
          <t xml:space="preserve">o0350</t>
        </is>
      </c>
      <c r="B351" s="0" t="inlineStr">
        <is>
          <t xml:space="preserve">a0022</t>
        </is>
      </c>
      <c r="C351" s="0" t="inlineStr">
        <is>
          <t xml:space="preserve">r04</t>
        </is>
      </c>
      <c r="D351" s="0"/>
      <c r="E351" s="0" t="inlineStr">
        <is>
          <t xml:space="preserve">referral</t>
        </is>
      </c>
      <c r="F351" s="0" t="inlineStr">
        <is>
          <t xml:space="preserve">closed_won</t>
        </is>
      </c>
      <c r="G351" s="4">
        <v>1</v>
      </c>
      <c r="H351" s="4">
        <v>108800</v>
      </c>
      <c r="I351" s="4">
        <v>1</v>
      </c>
      <c r="J351" s="4">
        <v>0</v>
      </c>
      <c r="K351" s="16">
        <v>45748</v>
      </c>
      <c r="L351" s="16">
        <v>45809</v>
      </c>
      <c r="M351" s="0" t="inlineStr">
        <is>
          <t xml:space="preserve">apr25</t>
        </is>
      </c>
      <c r="N351" s="0" t="inlineStr">
        <is>
          <t xml:space="preserve">jun25</t>
        </is>
      </c>
      <c r="O351" s="4">
        <v>61</v>
      </c>
      <c r="P351" s="4">
        <v>1</v>
      </c>
      <c r="Q351" s="4">
        <v>0</v>
      </c>
      <c r="R351" s="4">
        <v>0</v>
      </c>
      <c r="S351" s="4">
        <f>(H351*INDEX('Stages'!$D$2:$D$7,MATCH(F351,'Stages'!$A$2:$A$7,0)))</f>
        <v>108800</v>
      </c>
      <c r="T351" s="4">
        <f>(H351*I351)</f>
        <v>108800</v>
      </c>
      <c r="U351" s="4">
        <f>(H351*(I351-1))</f>
        <v>0</v>
      </c>
      <c r="V351" s="0" t="str">
        <f>INDEX('Account executives'!$B$2:$B$25,MATCH(C351,'Account executives'!$A$2:$A$25,0))</f>
        <v>amer_east</v>
      </c>
      <c r="W351" s="0" t="str">
        <f>INDEX('Account executives'!$C$2:$C$25,MATCH(C351,'Account executives'!$A$2:$A$25,0))</f>
        <v>mid_market</v>
      </c>
      <c r="X351" s="0" t="str">
        <f>SUBSTITUTE(LOWER(INDEX('Periods'!$G$2:$G$22,MATCH(N351,'Periods'!$A$2:$A$22,0)))," ","_")</f>
        <v>q2_2025</v>
      </c>
    </row>
    <row r="352">
      <c r="A352" s="0" t="inlineStr">
        <is>
          <t xml:space="preserve">o0351</t>
        </is>
      </c>
      <c r="B352" s="0" t="inlineStr">
        <is>
          <t xml:space="preserve">a0162</t>
        </is>
      </c>
      <c r="C352" s="0" t="inlineStr">
        <is>
          <t xml:space="preserve">r05</t>
        </is>
      </c>
      <c r="D352" s="0" t="inlineStr">
        <is>
          <t xml:space="preserve">s_amer_east_in</t>
        </is>
      </c>
      <c r="E352" s="0" t="inlineStr">
        <is>
          <t xml:space="preserve">inbound</t>
        </is>
      </c>
      <c r="F352" s="0" t="inlineStr">
        <is>
          <t xml:space="preserve">closed_lost</t>
        </is>
      </c>
      <c r="G352" s="4">
        <v>1</v>
      </c>
      <c r="H352" s="4">
        <v>13900</v>
      </c>
      <c r="I352" s="4">
        <v>1</v>
      </c>
      <c r="J352" s="4">
        <v>0</v>
      </c>
      <c r="K352" s="16">
        <v>45828</v>
      </c>
      <c r="L352" s="16">
        <v>45858</v>
      </c>
      <c r="M352" s="0" t="inlineStr">
        <is>
          <t xml:space="preserve">jun25</t>
        </is>
      </c>
      <c r="N352" s="0" t="inlineStr">
        <is>
          <t xml:space="preserve">jul25</t>
        </is>
      </c>
      <c r="O352" s="4">
        <v>30</v>
      </c>
      <c r="P352" s="4">
        <v>0</v>
      </c>
      <c r="Q352" s="4">
        <v>1</v>
      </c>
      <c r="R352" s="4">
        <v>0</v>
      </c>
      <c r="S352" s="4">
        <f>(H352*INDEX('Stages'!$D$2:$D$7,MATCH(F352,'Stages'!$A$2:$A$7,0)))</f>
        <v>0</v>
      </c>
      <c r="T352" s="4">
        <f>(H352*I352)</f>
        <v>13900</v>
      </c>
      <c r="U352" s="4">
        <f>(H352*(I352-1))</f>
        <v>0</v>
      </c>
      <c r="V352" s="0" t="str">
        <f>INDEX('Account executives'!$B$2:$B$25,MATCH(C352,'Account executives'!$A$2:$A$25,0))</f>
        <v>amer_east</v>
      </c>
      <c r="W352" s="0" t="str">
        <f>INDEX('Account executives'!$C$2:$C$25,MATCH(C352,'Account executives'!$A$2:$A$25,0))</f>
        <v>smb</v>
      </c>
      <c r="X352" s="0" t="str">
        <f>SUBSTITUTE(LOWER(INDEX('Periods'!$G$2:$G$22,MATCH(N352,'Periods'!$A$2:$A$22,0)))," ","_")</f>
        <v>q3_2025</v>
      </c>
    </row>
    <row r="353">
      <c r="A353" s="0" t="inlineStr">
        <is>
          <t xml:space="preserve">o0352</t>
        </is>
      </c>
      <c r="B353" s="0" t="inlineStr">
        <is>
          <t xml:space="preserve">a0956</t>
        </is>
      </c>
      <c r="C353" s="0" t="inlineStr">
        <is>
          <t xml:space="preserve">r06</t>
        </is>
      </c>
      <c r="D353" s="0" t="inlineStr">
        <is>
          <t xml:space="preserve">s_amer_east_in</t>
        </is>
      </c>
      <c r="E353" s="0" t="inlineStr">
        <is>
          <t xml:space="preserve">paid</t>
        </is>
      </c>
      <c r="F353" s="0" t="inlineStr">
        <is>
          <t xml:space="preserve">closed_lost</t>
        </is>
      </c>
      <c r="G353" s="4">
        <v>0</v>
      </c>
      <c r="H353" s="4">
        <v>9000</v>
      </c>
      <c r="I353" s="4">
        <v>1</v>
      </c>
      <c r="J353" s="4">
        <v>0</v>
      </c>
      <c r="K353" s="16">
        <v>46185</v>
      </c>
      <c r="L353" s="16">
        <v>46212</v>
      </c>
      <c r="M353" s="0" t="inlineStr">
        <is>
          <t xml:space="preserve">jun26</t>
        </is>
      </c>
      <c r="N353" s="0" t="inlineStr">
        <is>
          <t xml:space="preserve">jul26</t>
        </is>
      </c>
      <c r="O353" s="4">
        <v>27</v>
      </c>
      <c r="P353" s="4">
        <v>0</v>
      </c>
      <c r="Q353" s="4">
        <v>1</v>
      </c>
      <c r="R353" s="4">
        <v>0</v>
      </c>
      <c r="S353" s="4">
        <f>(H353*INDEX('Stages'!$D$2:$D$7,MATCH(F353,'Stages'!$A$2:$A$7,0)))</f>
        <v>0</v>
      </c>
      <c r="T353" s="4">
        <f>(H353*I353)</f>
        <v>9000</v>
      </c>
      <c r="U353" s="4">
        <f>(H353*(I353-1))</f>
        <v>0</v>
      </c>
      <c r="V353" s="0" t="str">
        <f>INDEX('Account executives'!$B$2:$B$25,MATCH(C353,'Account executives'!$A$2:$A$25,0))</f>
        <v>amer_east</v>
      </c>
      <c r="W353" s="0" t="str">
        <f>INDEX('Account executives'!$C$2:$C$25,MATCH(C353,'Account executives'!$A$2:$A$25,0))</f>
        <v>smb</v>
      </c>
      <c r="X353" s="0" t="str">
        <f>SUBSTITUTE(LOWER(INDEX('Periods'!$G$2:$G$22,MATCH(N353,'Periods'!$A$2:$A$22,0)))," ","_")</f>
        <v>q3_2026</v>
      </c>
    </row>
    <row r="354">
      <c r="A354" s="0" t="inlineStr">
        <is>
          <t xml:space="preserve">o0353</t>
        </is>
      </c>
      <c r="B354" s="0" t="inlineStr">
        <is>
          <t xml:space="preserve">a0595</t>
        </is>
      </c>
      <c r="C354" s="0" t="inlineStr">
        <is>
          <t xml:space="preserve">r16</t>
        </is>
      </c>
      <c r="D354" s="0" t="inlineStr">
        <is>
          <t xml:space="preserve">s_emea_out</t>
        </is>
      </c>
      <c r="E354" s="0" t="inlineStr">
        <is>
          <t xml:space="preserve">outbound</t>
        </is>
      </c>
      <c r="F354" s="0" t="inlineStr">
        <is>
          <t xml:space="preserve">closed_lost</t>
        </is>
      </c>
      <c r="G354" s="4">
        <v>1</v>
      </c>
      <c r="H354" s="4">
        <v>39600</v>
      </c>
      <c r="I354" s="4">
        <v>2</v>
      </c>
      <c r="J354" s="4">
        <v>0</v>
      </c>
      <c r="K354" s="16">
        <v>46008</v>
      </c>
      <c r="L354" s="16">
        <v>46059</v>
      </c>
      <c r="M354" s="0" t="inlineStr">
        <is>
          <t xml:space="preserve">dec25</t>
        </is>
      </c>
      <c r="N354" s="0" t="inlineStr">
        <is>
          <t xml:space="preserve">feb26</t>
        </is>
      </c>
      <c r="O354" s="4">
        <v>51</v>
      </c>
      <c r="P354" s="4">
        <v>0</v>
      </c>
      <c r="Q354" s="4">
        <v>1</v>
      </c>
      <c r="R354" s="4">
        <v>0</v>
      </c>
      <c r="S354" s="4">
        <f>(H354*INDEX('Stages'!$D$2:$D$7,MATCH(F354,'Stages'!$A$2:$A$7,0)))</f>
        <v>0</v>
      </c>
      <c r="T354" s="4">
        <f>(H354*I354)</f>
        <v>79200</v>
      </c>
      <c r="U354" s="4">
        <f>(H354*(I354-1))</f>
        <v>39600</v>
      </c>
      <c r="V354" s="0" t="str">
        <f>INDEX('Account executives'!$B$2:$B$25,MATCH(C354,'Account executives'!$A$2:$A$25,0))</f>
        <v>emea</v>
      </c>
      <c r="W354" s="0" t="str">
        <f>INDEX('Account executives'!$C$2:$C$25,MATCH(C354,'Account executives'!$A$2:$A$25,0))</f>
        <v>mid_market</v>
      </c>
      <c r="X354" s="0" t="str">
        <f>SUBSTITUTE(LOWER(INDEX('Periods'!$G$2:$G$22,MATCH(N354,'Periods'!$A$2:$A$22,0)))," ","_")</f>
        <v>q1_2026</v>
      </c>
    </row>
    <row r="355">
      <c r="A355" s="0" t="inlineStr">
        <is>
          <t xml:space="preserve">o0354</t>
        </is>
      </c>
      <c r="B355" s="0" t="inlineStr">
        <is>
          <t xml:space="preserve">a0875</t>
        </is>
      </c>
      <c r="C355" s="0" t="inlineStr">
        <is>
          <t xml:space="preserve">r19</t>
        </is>
      </c>
      <c r="D355" s="0" t="inlineStr">
        <is>
          <t xml:space="preserve">s_apac_in</t>
        </is>
      </c>
      <c r="E355" s="0" t="inlineStr">
        <is>
          <t xml:space="preserve">inbound</t>
        </is>
      </c>
      <c r="F355" s="0" t="inlineStr">
        <is>
          <t xml:space="preserve">closed_lost</t>
        </is>
      </c>
      <c r="G355" s="4">
        <v>1</v>
      </c>
      <c r="H355" s="4">
        <v>150000</v>
      </c>
      <c r="I355" s="4">
        <v>1</v>
      </c>
      <c r="J355" s="4">
        <v>0</v>
      </c>
      <c r="K355" s="16">
        <v>46113</v>
      </c>
      <c r="L355" s="16">
        <v>46236</v>
      </c>
      <c r="M355" s="0" t="inlineStr">
        <is>
          <t xml:space="preserve">apr26</t>
        </is>
      </c>
      <c r="N355" s="0" t="inlineStr">
        <is>
          <t xml:space="preserve">aug26</t>
        </is>
      </c>
      <c r="O355" s="4">
        <v>123</v>
      </c>
      <c r="P355" s="4">
        <v>0</v>
      </c>
      <c r="Q355" s="4">
        <v>1</v>
      </c>
      <c r="R355" s="4">
        <v>0</v>
      </c>
      <c r="S355" s="4">
        <f>(H355*INDEX('Stages'!$D$2:$D$7,MATCH(F355,'Stages'!$A$2:$A$7,0)))</f>
        <v>0</v>
      </c>
      <c r="T355" s="4">
        <f>(H355*I355)</f>
        <v>150000</v>
      </c>
      <c r="U355" s="4">
        <f>(H355*(I355-1))</f>
        <v>0</v>
      </c>
      <c r="V355" s="0" t="str">
        <f>INDEX('Account executives'!$B$2:$B$25,MATCH(C355,'Account executives'!$A$2:$A$25,0))</f>
        <v>apac</v>
      </c>
      <c r="W355" s="0" t="str">
        <f>INDEX('Account executives'!$C$2:$C$25,MATCH(C355,'Account executives'!$A$2:$A$25,0))</f>
        <v>enterprise</v>
      </c>
      <c r="X355" s="0" t="str">
        <f>SUBSTITUTE(LOWER(INDEX('Periods'!$G$2:$G$22,MATCH(N355,'Periods'!$A$2:$A$22,0)))," ","_")</f>
        <v>q3_2026</v>
      </c>
    </row>
    <row r="356">
      <c r="A356" s="0" t="inlineStr">
        <is>
          <t xml:space="preserve">o0355</t>
        </is>
      </c>
      <c r="B356" s="0" t="inlineStr">
        <is>
          <t xml:space="preserve">a0583</t>
        </is>
      </c>
      <c r="C356" s="0" t="inlineStr">
        <is>
          <t xml:space="preserve">r15</t>
        </is>
      </c>
      <c r="D356" s="0" t="inlineStr">
        <is>
          <t xml:space="preserve">s_emea_in</t>
        </is>
      </c>
      <c r="E356" s="0" t="inlineStr">
        <is>
          <t xml:space="preserve">inbound</t>
        </is>
      </c>
      <c r="F356" s="0" t="inlineStr">
        <is>
          <t xml:space="preserve">closed_won</t>
        </is>
      </c>
      <c r="G356" s="4">
        <v>1</v>
      </c>
      <c r="H356" s="4">
        <v>56400</v>
      </c>
      <c r="I356" s="4">
        <v>1</v>
      </c>
      <c r="J356" s="4">
        <v>0</v>
      </c>
      <c r="K356" s="16">
        <v>46013</v>
      </c>
      <c r="L356" s="16">
        <v>46095</v>
      </c>
      <c r="M356" s="0" t="inlineStr">
        <is>
          <t xml:space="preserve">dec25</t>
        </is>
      </c>
      <c r="N356" s="0" t="inlineStr">
        <is>
          <t xml:space="preserve">mar26</t>
        </is>
      </c>
      <c r="O356" s="4">
        <v>82</v>
      </c>
      <c r="P356" s="4">
        <v>1</v>
      </c>
      <c r="Q356" s="4">
        <v>0</v>
      </c>
      <c r="R356" s="4">
        <v>0</v>
      </c>
      <c r="S356" s="4">
        <f>(H356*INDEX('Stages'!$D$2:$D$7,MATCH(F356,'Stages'!$A$2:$A$7,0)))</f>
        <v>56400</v>
      </c>
      <c r="T356" s="4">
        <f>(H356*I356)</f>
        <v>56400</v>
      </c>
      <c r="U356" s="4">
        <f>(H356*(I356-1))</f>
        <v>0</v>
      </c>
      <c r="V356" s="0" t="str">
        <f>INDEX('Account executives'!$B$2:$B$25,MATCH(C356,'Account executives'!$A$2:$A$25,0))</f>
        <v>emea</v>
      </c>
      <c r="W356" s="0" t="str">
        <f>INDEX('Account executives'!$C$2:$C$25,MATCH(C356,'Account executives'!$A$2:$A$25,0))</f>
        <v>mid_market</v>
      </c>
      <c r="X356" s="0" t="str">
        <f>SUBSTITUTE(LOWER(INDEX('Periods'!$G$2:$G$22,MATCH(N356,'Periods'!$A$2:$A$22,0)))," ","_")</f>
        <v>q1_2026</v>
      </c>
    </row>
    <row r="357">
      <c r="A357" s="0" t="inlineStr">
        <is>
          <t xml:space="preserve">o0356</t>
        </is>
      </c>
      <c r="B357" s="0" t="inlineStr">
        <is>
          <t xml:space="preserve">a1241</t>
        </is>
      </c>
      <c r="C357" s="0" t="inlineStr">
        <is>
          <t xml:space="preserve">r11</t>
        </is>
      </c>
      <c r="D357" s="0" t="inlineStr">
        <is>
          <t xml:space="preserve">s_amer_west_out</t>
        </is>
      </c>
      <c r="E357" s="0" t="inlineStr">
        <is>
          <t xml:space="preserve">outbound</t>
        </is>
      </c>
      <c r="F357" s="0" t="inlineStr">
        <is>
          <t xml:space="preserve">discovery</t>
        </is>
      </c>
      <c r="G357" s="4">
        <v>1</v>
      </c>
      <c r="H357" s="4">
        <v>15100</v>
      </c>
      <c r="I357" s="4">
        <v>1</v>
      </c>
      <c r="J357" s="4">
        <v>0</v>
      </c>
      <c r="K357" s="16">
        <v>46282</v>
      </c>
      <c r="L357" s="16">
        <v>46308</v>
      </c>
      <c r="M357" s="0" t="inlineStr">
        <is>
          <t xml:space="preserve">sep26</t>
        </is>
      </c>
      <c r="N357" s="0" t="inlineStr">
        <is>
          <t xml:space="preserve">oct26</t>
        </is>
      </c>
      <c r="O357" s="4">
        <v>27</v>
      </c>
      <c r="P357" s="4">
        <v>0</v>
      </c>
      <c r="Q357" s="4">
        <v>0</v>
      </c>
      <c r="R357" s="4">
        <v>1</v>
      </c>
      <c r="S357" s="4">
        <f>(H357*INDEX('Stages'!$D$2:$D$7,MATCH(F357,'Stages'!$A$2:$A$7,0)))</f>
        <v>1510</v>
      </c>
      <c r="T357" s="4">
        <f>(H357*I357)</f>
        <v>15100</v>
      </c>
      <c r="U357" s="4">
        <f>(H357*(I357-1))</f>
        <v>0</v>
      </c>
      <c r="V357" s="0" t="str">
        <f>INDEX('Account executives'!$B$2:$B$25,MATCH(C357,'Account executives'!$A$2:$A$25,0))</f>
        <v>amer_west</v>
      </c>
      <c r="W357" s="0" t="str">
        <f>INDEX('Account executives'!$C$2:$C$25,MATCH(C357,'Account executives'!$A$2:$A$25,0))</f>
        <v>smb</v>
      </c>
      <c r="X357" s="0" t="str">
        <f>SUBSTITUTE(LOWER(INDEX('Periods'!$G$2:$G$22,MATCH(N357,'Periods'!$A$2:$A$22,0)))," ","_")</f>
        <v>q4_2026</v>
      </c>
    </row>
    <row r="358">
      <c r="A358" s="0" t="inlineStr">
        <is>
          <t xml:space="preserve">o0357</t>
        </is>
      </c>
      <c r="B358" s="0" t="inlineStr">
        <is>
          <t xml:space="preserve">a0223</t>
        </is>
      </c>
      <c r="C358" s="0" t="inlineStr">
        <is>
          <t xml:space="preserve">r21</t>
        </is>
      </c>
      <c r="D358" s="0" t="inlineStr">
        <is>
          <t xml:space="preserve">s_apac_in</t>
        </is>
      </c>
      <c r="E358" s="0" t="inlineStr">
        <is>
          <t xml:space="preserve">paid</t>
        </is>
      </c>
      <c r="F358" s="0" t="inlineStr">
        <is>
          <t xml:space="preserve">negotiation</t>
        </is>
      </c>
      <c r="G358" s="4">
        <v>0</v>
      </c>
      <c r="H358" s="4">
        <v>29900</v>
      </c>
      <c r="I358" s="4">
        <v>1</v>
      </c>
      <c r="J358" s="4">
        <v>0</v>
      </c>
      <c r="K358" s="16">
        <v>46170</v>
      </c>
      <c r="L358" s="16">
        <v>46293</v>
      </c>
      <c r="M358" s="0" t="inlineStr">
        <is>
          <t xml:space="preserve">may26</t>
        </is>
      </c>
      <c r="N358" s="0" t="inlineStr">
        <is>
          <t xml:space="preserve">sep26</t>
        </is>
      </c>
      <c r="O358" s="4">
        <v>123</v>
      </c>
      <c r="P358" s="4">
        <v>0</v>
      </c>
      <c r="Q358" s="4">
        <v>0</v>
      </c>
      <c r="R358" s="4">
        <v>1</v>
      </c>
      <c r="S358" s="4">
        <f>(H358*INDEX('Stages'!$D$2:$D$7,MATCH(F358,'Stages'!$A$2:$A$7,0)))</f>
        <v>22425</v>
      </c>
      <c r="T358" s="4">
        <f>(H358*I358)</f>
        <v>29900</v>
      </c>
      <c r="U358" s="4">
        <f>(H358*(I358-1))</f>
        <v>0</v>
      </c>
      <c r="V358" s="0" t="str">
        <f>INDEX('Account executives'!$B$2:$B$25,MATCH(C358,'Account executives'!$A$2:$A$25,0))</f>
        <v>apac</v>
      </c>
      <c r="W358" s="0" t="str">
        <f>INDEX('Account executives'!$C$2:$C$25,MATCH(C358,'Account executives'!$A$2:$A$25,0))</f>
        <v>mid_market</v>
      </c>
      <c r="X358" s="0" t="str">
        <f>SUBSTITUTE(LOWER(INDEX('Periods'!$G$2:$G$22,MATCH(N358,'Periods'!$A$2:$A$22,0)))," ","_")</f>
        <v>q3_2026</v>
      </c>
    </row>
    <row r="359">
      <c r="A359" s="0" t="inlineStr">
        <is>
          <t xml:space="preserve">o0358</t>
        </is>
      </c>
      <c r="B359" s="0" t="inlineStr">
        <is>
          <t xml:space="preserve">a0982</t>
        </is>
      </c>
      <c r="C359" s="0" t="inlineStr">
        <is>
          <t xml:space="preserve">r09</t>
        </is>
      </c>
      <c r="D359" s="0" t="inlineStr">
        <is>
          <t xml:space="preserve">s_amer_west_in</t>
        </is>
      </c>
      <c r="E359" s="0" t="inlineStr">
        <is>
          <t xml:space="preserve">inbound</t>
        </is>
      </c>
      <c r="F359" s="0" t="inlineStr">
        <is>
          <t xml:space="preserve">proposal</t>
        </is>
      </c>
      <c r="G359" s="4">
        <v>1</v>
      </c>
      <c r="H359" s="4">
        <v>41000</v>
      </c>
      <c r="I359" s="4">
        <v>2</v>
      </c>
      <c r="J359" s="4">
        <v>0</v>
      </c>
      <c r="K359" s="16">
        <v>46174</v>
      </c>
      <c r="L359" s="16">
        <v>46325</v>
      </c>
      <c r="M359" s="0" t="inlineStr">
        <is>
          <t xml:space="preserve">jun26</t>
        </is>
      </c>
      <c r="N359" s="0" t="inlineStr">
        <is>
          <t xml:space="preserve">oct26</t>
        </is>
      </c>
      <c r="O359" s="4">
        <v>119</v>
      </c>
      <c r="P359" s="4">
        <v>0</v>
      </c>
      <c r="Q359" s="4">
        <v>0</v>
      </c>
      <c r="R359" s="4">
        <v>1</v>
      </c>
      <c r="S359" s="4">
        <f>(H359*INDEX('Stages'!$D$2:$D$7,MATCH(F359,'Stages'!$A$2:$A$7,0)))</f>
        <v>20500</v>
      </c>
      <c r="T359" s="4">
        <f>(H359*I359)</f>
        <v>82000</v>
      </c>
      <c r="U359" s="4">
        <f>(H359*(I359-1))</f>
        <v>41000</v>
      </c>
      <c r="V359" s="0" t="str">
        <f>INDEX('Account executives'!$B$2:$B$25,MATCH(C359,'Account executives'!$A$2:$A$25,0))</f>
        <v>amer_west</v>
      </c>
      <c r="W359" s="0" t="str">
        <f>INDEX('Account executives'!$C$2:$C$25,MATCH(C359,'Account executives'!$A$2:$A$25,0))</f>
        <v>mid_market</v>
      </c>
      <c r="X359" s="0" t="str">
        <f>SUBSTITUTE(LOWER(INDEX('Periods'!$G$2:$G$22,MATCH(N359,'Periods'!$A$2:$A$22,0)))," ","_")</f>
        <v>q4_2026</v>
      </c>
    </row>
    <row r="360">
      <c r="A360" s="0" t="inlineStr">
        <is>
          <t xml:space="preserve">o0359</t>
        </is>
      </c>
      <c r="B360" s="0" t="inlineStr">
        <is>
          <t xml:space="preserve">a0143</t>
        </is>
      </c>
      <c r="C360" s="0" t="inlineStr">
        <is>
          <t xml:space="preserve">r20</t>
        </is>
      </c>
      <c r="D360" s="0" t="inlineStr">
        <is>
          <t xml:space="preserve">s_apac_in</t>
        </is>
      </c>
      <c r="E360" s="0" t="inlineStr">
        <is>
          <t xml:space="preserve">inbound</t>
        </is>
      </c>
      <c r="F360" s="0" t="inlineStr">
        <is>
          <t xml:space="preserve">closed_won</t>
        </is>
      </c>
      <c r="G360" s="4">
        <v>0</v>
      </c>
      <c r="H360" s="4">
        <v>89800</v>
      </c>
      <c r="I360" s="4">
        <v>2</v>
      </c>
      <c r="J360" s="4">
        <v>0</v>
      </c>
      <c r="K360" s="16">
        <v>45903</v>
      </c>
      <c r="L360" s="16">
        <v>46056</v>
      </c>
      <c r="M360" s="0" t="inlineStr">
        <is>
          <t xml:space="preserve">sep25</t>
        </is>
      </c>
      <c r="N360" s="0" t="inlineStr">
        <is>
          <t xml:space="preserve">feb26</t>
        </is>
      </c>
      <c r="O360" s="4">
        <v>153</v>
      </c>
      <c r="P360" s="4">
        <v>1</v>
      </c>
      <c r="Q360" s="4">
        <v>0</v>
      </c>
      <c r="R360" s="4">
        <v>0</v>
      </c>
      <c r="S360" s="4">
        <f>(H360*INDEX('Stages'!$D$2:$D$7,MATCH(F360,'Stages'!$A$2:$A$7,0)))</f>
        <v>89800</v>
      </c>
      <c r="T360" s="4">
        <f>(H360*I360)</f>
        <v>179600</v>
      </c>
      <c r="U360" s="4">
        <f>(H360*(I360-1))</f>
        <v>89800</v>
      </c>
      <c r="V360" s="0" t="str">
        <f>INDEX('Account executives'!$B$2:$B$25,MATCH(C360,'Account executives'!$A$2:$A$25,0))</f>
        <v>apac</v>
      </c>
      <c r="W360" s="0" t="str">
        <f>INDEX('Account executives'!$C$2:$C$25,MATCH(C360,'Account executives'!$A$2:$A$25,0))</f>
        <v>enterprise</v>
      </c>
      <c r="X360" s="0" t="str">
        <f>SUBSTITUTE(LOWER(INDEX('Periods'!$G$2:$G$22,MATCH(N360,'Periods'!$A$2:$A$22,0)))," ","_")</f>
        <v>q1_2026</v>
      </c>
    </row>
    <row r="361">
      <c r="A361" s="0" t="inlineStr">
        <is>
          <t xml:space="preserve">o0360</t>
        </is>
      </c>
      <c r="B361" s="0" t="inlineStr">
        <is>
          <t xml:space="preserve">a0081</t>
        </is>
      </c>
      <c r="C361" s="0" t="inlineStr">
        <is>
          <t xml:space="preserve">r05</t>
        </is>
      </c>
      <c r="D361" s="0" t="inlineStr">
        <is>
          <t xml:space="preserve">s_amer_east_out</t>
        </is>
      </c>
      <c r="E361" s="0" t="inlineStr">
        <is>
          <t xml:space="preserve">outbound</t>
        </is>
      </c>
      <c r="F361" s="0" t="inlineStr">
        <is>
          <t xml:space="preserve">closed_won</t>
        </is>
      </c>
      <c r="G361" s="4">
        <v>0</v>
      </c>
      <c r="H361" s="4">
        <v>13700</v>
      </c>
      <c r="I361" s="4">
        <v>1</v>
      </c>
      <c r="J361" s="4">
        <v>0</v>
      </c>
      <c r="K361" s="16">
        <v>46185</v>
      </c>
      <c r="L361" s="16">
        <v>46203</v>
      </c>
      <c r="M361" s="0" t="inlineStr">
        <is>
          <t xml:space="preserve">jun26</t>
        </is>
      </c>
      <c r="N361" s="0" t="inlineStr">
        <is>
          <t xml:space="preserve">jun26</t>
        </is>
      </c>
      <c r="O361" s="4">
        <v>18</v>
      </c>
      <c r="P361" s="4">
        <v>1</v>
      </c>
      <c r="Q361" s="4">
        <v>0</v>
      </c>
      <c r="R361" s="4">
        <v>0</v>
      </c>
      <c r="S361" s="4">
        <f>(H361*INDEX('Stages'!$D$2:$D$7,MATCH(F361,'Stages'!$A$2:$A$7,0)))</f>
        <v>13700</v>
      </c>
      <c r="T361" s="4">
        <f>(H361*I361)</f>
        <v>13700</v>
      </c>
      <c r="U361" s="4">
        <f>(H361*(I361-1))</f>
        <v>0</v>
      </c>
      <c r="V361" s="0" t="str">
        <f>INDEX('Account executives'!$B$2:$B$25,MATCH(C361,'Account executives'!$A$2:$A$25,0))</f>
        <v>amer_east</v>
      </c>
      <c r="W361" s="0" t="str">
        <f>INDEX('Account executives'!$C$2:$C$25,MATCH(C361,'Account executives'!$A$2:$A$25,0))</f>
        <v>smb</v>
      </c>
      <c r="X361" s="0" t="str">
        <f>SUBSTITUTE(LOWER(INDEX('Periods'!$G$2:$G$22,MATCH(N361,'Periods'!$A$2:$A$22,0)))," ","_")</f>
        <v>q2_2026</v>
      </c>
    </row>
    <row r="362">
      <c r="A362" s="0" t="inlineStr">
        <is>
          <t xml:space="preserve">o0361</t>
        </is>
      </c>
      <c r="B362" s="0" t="inlineStr">
        <is>
          <t xml:space="preserve">a0241</t>
        </is>
      </c>
      <c r="C362" s="0" t="inlineStr">
        <is>
          <t xml:space="preserve">r01</t>
        </is>
      </c>
      <c r="D362" s="0" t="inlineStr">
        <is>
          <t xml:space="preserve">s_amer_east_in</t>
        </is>
      </c>
      <c r="E362" s="0" t="inlineStr">
        <is>
          <t xml:space="preserve">inbound</t>
        </is>
      </c>
      <c r="F362" s="0" t="inlineStr">
        <is>
          <t xml:space="preserve">closed_won</t>
        </is>
      </c>
      <c r="G362" s="4">
        <v>0</v>
      </c>
      <c r="H362" s="4">
        <v>76800</v>
      </c>
      <c r="I362" s="4">
        <v>2</v>
      </c>
      <c r="J362" s="4">
        <v>0</v>
      </c>
      <c r="K362" s="16">
        <v>46118</v>
      </c>
      <c r="L362" s="16">
        <v>46205</v>
      </c>
      <c r="M362" s="0" t="inlineStr">
        <is>
          <t xml:space="preserve">apr26</t>
        </is>
      </c>
      <c r="N362" s="0" t="inlineStr">
        <is>
          <t xml:space="preserve">jul26</t>
        </is>
      </c>
      <c r="O362" s="4">
        <v>87</v>
      </c>
      <c r="P362" s="4">
        <v>1</v>
      </c>
      <c r="Q362" s="4">
        <v>0</v>
      </c>
      <c r="R362" s="4">
        <v>0</v>
      </c>
      <c r="S362" s="4">
        <f>(H362*INDEX('Stages'!$D$2:$D$7,MATCH(F362,'Stages'!$A$2:$A$7,0)))</f>
        <v>76800</v>
      </c>
      <c r="T362" s="4">
        <f>(H362*I362)</f>
        <v>153600</v>
      </c>
      <c r="U362" s="4">
        <f>(H362*(I362-1))</f>
        <v>76800</v>
      </c>
      <c r="V362" s="0" t="str">
        <f>INDEX('Account executives'!$B$2:$B$25,MATCH(C362,'Account executives'!$A$2:$A$25,0))</f>
        <v>amer_east</v>
      </c>
      <c r="W362" s="0" t="str">
        <f>INDEX('Account executives'!$C$2:$C$25,MATCH(C362,'Account executives'!$A$2:$A$25,0))</f>
        <v>enterprise</v>
      </c>
      <c r="X362" s="0" t="str">
        <f>SUBSTITUTE(LOWER(INDEX('Periods'!$G$2:$G$22,MATCH(N362,'Periods'!$A$2:$A$22,0)))," ","_")</f>
        <v>q3_2026</v>
      </c>
    </row>
    <row r="363">
      <c r="A363" s="0" t="inlineStr">
        <is>
          <t xml:space="preserve">o0362</t>
        </is>
      </c>
      <c r="B363" s="0" t="inlineStr">
        <is>
          <t xml:space="preserve">a0083</t>
        </is>
      </c>
      <c r="C363" s="0" t="inlineStr">
        <is>
          <t xml:space="preserve">r04</t>
        </is>
      </c>
      <c r="D363" s="0"/>
      <c r="E363" s="0" t="inlineStr">
        <is>
          <t xml:space="preserve">events</t>
        </is>
      </c>
      <c r="F363" s="0" t="inlineStr">
        <is>
          <t xml:space="preserve">closed_lost</t>
        </is>
      </c>
      <c r="G363" s="4">
        <v>1</v>
      </c>
      <c r="H363" s="4">
        <v>79000</v>
      </c>
      <c r="I363" s="4">
        <v>2</v>
      </c>
      <c r="J363" s="4">
        <v>1</v>
      </c>
      <c r="K363" s="16">
        <v>45796</v>
      </c>
      <c r="L363" s="16">
        <v>45853</v>
      </c>
      <c r="M363" s="0" t="inlineStr">
        <is>
          <t xml:space="preserve">may25</t>
        </is>
      </c>
      <c r="N363" s="0" t="inlineStr">
        <is>
          <t xml:space="preserve">jul25</t>
        </is>
      </c>
      <c r="O363" s="4">
        <v>57</v>
      </c>
      <c r="P363" s="4">
        <v>0</v>
      </c>
      <c r="Q363" s="4">
        <v>1</v>
      </c>
      <c r="R363" s="4">
        <v>0</v>
      </c>
      <c r="S363" s="4">
        <f>(H363*INDEX('Stages'!$D$2:$D$7,MATCH(F363,'Stages'!$A$2:$A$7,0)))</f>
        <v>0</v>
      </c>
      <c r="T363" s="4">
        <f>(H363*I363)</f>
        <v>158000</v>
      </c>
      <c r="U363" s="4">
        <f>(H363*(I363-1))</f>
        <v>79000</v>
      </c>
      <c r="V363" s="0" t="str">
        <f>INDEX('Account executives'!$B$2:$B$25,MATCH(C363,'Account executives'!$A$2:$A$25,0))</f>
        <v>amer_east</v>
      </c>
      <c r="W363" s="0" t="str">
        <f>INDEX('Account executives'!$C$2:$C$25,MATCH(C363,'Account executives'!$A$2:$A$25,0))</f>
        <v>mid_market</v>
      </c>
      <c r="X363" s="0" t="str">
        <f>SUBSTITUTE(LOWER(INDEX('Periods'!$G$2:$G$22,MATCH(N363,'Periods'!$A$2:$A$22,0)))," ","_")</f>
        <v>q3_2025</v>
      </c>
    </row>
    <row r="364">
      <c r="A364" s="0" t="inlineStr">
        <is>
          <t xml:space="preserve">o0363</t>
        </is>
      </c>
      <c r="B364" s="0" t="inlineStr">
        <is>
          <t xml:space="preserve">a0849</t>
        </is>
      </c>
      <c r="C364" s="0" t="inlineStr">
        <is>
          <t xml:space="preserve">r09</t>
        </is>
      </c>
      <c r="D364" s="0" t="inlineStr">
        <is>
          <t xml:space="preserve">s_amer_west_in</t>
        </is>
      </c>
      <c r="E364" s="0" t="inlineStr">
        <is>
          <t xml:space="preserve">paid</t>
        </is>
      </c>
      <c r="F364" s="0" t="inlineStr">
        <is>
          <t xml:space="preserve">closed_lost</t>
        </is>
      </c>
      <c r="G364" s="4">
        <v>1</v>
      </c>
      <c r="H364" s="4">
        <v>45600</v>
      </c>
      <c r="I364" s="4">
        <v>1</v>
      </c>
      <c r="J364" s="4">
        <v>0</v>
      </c>
      <c r="K364" s="16">
        <v>46131</v>
      </c>
      <c r="L364" s="16">
        <v>46212</v>
      </c>
      <c r="M364" s="0" t="inlineStr">
        <is>
          <t xml:space="preserve">apr26</t>
        </is>
      </c>
      <c r="N364" s="0" t="inlineStr">
        <is>
          <t xml:space="preserve">jul26</t>
        </is>
      </c>
      <c r="O364" s="4">
        <v>81</v>
      </c>
      <c r="P364" s="4">
        <v>0</v>
      </c>
      <c r="Q364" s="4">
        <v>1</v>
      </c>
      <c r="R364" s="4">
        <v>0</v>
      </c>
      <c r="S364" s="4">
        <f>(H364*INDEX('Stages'!$D$2:$D$7,MATCH(F364,'Stages'!$A$2:$A$7,0)))</f>
        <v>0</v>
      </c>
      <c r="T364" s="4">
        <f>(H364*I364)</f>
        <v>45600</v>
      </c>
      <c r="U364" s="4">
        <f>(H364*(I364-1))</f>
        <v>0</v>
      </c>
      <c r="V364" s="0" t="str">
        <f>INDEX('Account executives'!$B$2:$B$25,MATCH(C364,'Account executives'!$A$2:$A$25,0))</f>
        <v>amer_west</v>
      </c>
      <c r="W364" s="0" t="str">
        <f>INDEX('Account executives'!$C$2:$C$25,MATCH(C364,'Account executives'!$A$2:$A$25,0))</f>
        <v>mid_market</v>
      </c>
      <c r="X364" s="0" t="str">
        <f>SUBSTITUTE(LOWER(INDEX('Periods'!$G$2:$G$22,MATCH(N364,'Periods'!$A$2:$A$22,0)))," ","_")</f>
        <v>q3_2026</v>
      </c>
    </row>
    <row r="365">
      <c r="A365" s="0" t="inlineStr">
        <is>
          <t xml:space="preserve">o0364</t>
        </is>
      </c>
      <c r="B365" s="0" t="inlineStr">
        <is>
          <t xml:space="preserve">a0766</t>
        </is>
      </c>
      <c r="C365" s="0" t="inlineStr">
        <is>
          <t xml:space="preserve">r12</t>
        </is>
      </c>
      <c r="D365" s="0"/>
      <c r="E365" s="0" t="inlineStr">
        <is>
          <t xml:space="preserve">events</t>
        </is>
      </c>
      <c r="F365" s="0" t="inlineStr">
        <is>
          <t xml:space="preserve">closed_won</t>
        </is>
      </c>
      <c r="G365" s="4">
        <v>1</v>
      </c>
      <c r="H365" s="4">
        <v>8700</v>
      </c>
      <c r="I365" s="4">
        <v>1</v>
      </c>
      <c r="J365" s="4">
        <v>0</v>
      </c>
      <c r="K365" s="16">
        <v>46099</v>
      </c>
      <c r="L365" s="16">
        <v>46131</v>
      </c>
      <c r="M365" s="0" t="inlineStr">
        <is>
          <t xml:space="preserve">mar26</t>
        </is>
      </c>
      <c r="N365" s="0" t="inlineStr">
        <is>
          <t xml:space="preserve">apr26</t>
        </is>
      </c>
      <c r="O365" s="4">
        <v>32</v>
      </c>
      <c r="P365" s="4">
        <v>1</v>
      </c>
      <c r="Q365" s="4">
        <v>0</v>
      </c>
      <c r="R365" s="4">
        <v>0</v>
      </c>
      <c r="S365" s="4">
        <f>(H365*INDEX('Stages'!$D$2:$D$7,MATCH(F365,'Stages'!$A$2:$A$7,0)))</f>
        <v>8700</v>
      </c>
      <c r="T365" s="4">
        <f>(H365*I365)</f>
        <v>8700</v>
      </c>
      <c r="U365" s="4">
        <f>(H365*(I365-1))</f>
        <v>0</v>
      </c>
      <c r="V365" s="0" t="str">
        <f>INDEX('Account executives'!$B$2:$B$25,MATCH(C365,'Account executives'!$A$2:$A$25,0))</f>
        <v>amer_west</v>
      </c>
      <c r="W365" s="0" t="str">
        <f>INDEX('Account executives'!$C$2:$C$25,MATCH(C365,'Account executives'!$A$2:$A$25,0))</f>
        <v>smb</v>
      </c>
      <c r="X365" s="0" t="str">
        <f>SUBSTITUTE(LOWER(INDEX('Periods'!$G$2:$G$22,MATCH(N365,'Periods'!$A$2:$A$22,0)))," ","_")</f>
        <v>q2_2026</v>
      </c>
    </row>
    <row r="366">
      <c r="A366" s="0" t="inlineStr">
        <is>
          <t xml:space="preserve">o0365</t>
        </is>
      </c>
      <c r="B366" s="0" t="inlineStr">
        <is>
          <t xml:space="preserve">a0457</t>
        </is>
      </c>
      <c r="C366" s="0" t="inlineStr">
        <is>
          <t xml:space="preserve">r17</t>
        </is>
      </c>
      <c r="D366" s="0" t="inlineStr">
        <is>
          <t xml:space="preserve">s_emea_in</t>
        </is>
      </c>
      <c r="E366" s="0" t="inlineStr">
        <is>
          <t xml:space="preserve">inbound</t>
        </is>
      </c>
      <c r="F366" s="0" t="inlineStr">
        <is>
          <t xml:space="preserve">closed_lost</t>
        </is>
      </c>
      <c r="G366" s="4">
        <v>0</v>
      </c>
      <c r="H366" s="4">
        <v>11900</v>
      </c>
      <c r="I366" s="4">
        <v>1</v>
      </c>
      <c r="J366" s="4">
        <v>0</v>
      </c>
      <c r="K366" s="16">
        <v>46067</v>
      </c>
      <c r="L366" s="16">
        <v>46101</v>
      </c>
      <c r="M366" s="0" t="inlineStr">
        <is>
          <t xml:space="preserve">feb26</t>
        </is>
      </c>
      <c r="N366" s="0" t="inlineStr">
        <is>
          <t xml:space="preserve">mar26</t>
        </is>
      </c>
      <c r="O366" s="4">
        <v>34</v>
      </c>
      <c r="P366" s="4">
        <v>0</v>
      </c>
      <c r="Q366" s="4">
        <v>1</v>
      </c>
      <c r="R366" s="4">
        <v>0</v>
      </c>
      <c r="S366" s="4">
        <f>(H366*INDEX('Stages'!$D$2:$D$7,MATCH(F366,'Stages'!$A$2:$A$7,0)))</f>
        <v>0</v>
      </c>
      <c r="T366" s="4">
        <f>(H366*I366)</f>
        <v>11900</v>
      </c>
      <c r="U366" s="4">
        <f>(H366*(I366-1))</f>
        <v>0</v>
      </c>
      <c r="V366" s="0" t="str">
        <f>INDEX('Account executives'!$B$2:$B$25,MATCH(C366,'Account executives'!$A$2:$A$25,0))</f>
        <v>emea</v>
      </c>
      <c r="W366" s="0" t="str">
        <f>INDEX('Account executives'!$C$2:$C$25,MATCH(C366,'Account executives'!$A$2:$A$25,0))</f>
        <v>smb</v>
      </c>
      <c r="X366" s="0" t="str">
        <f>SUBSTITUTE(LOWER(INDEX('Periods'!$G$2:$G$22,MATCH(N366,'Periods'!$A$2:$A$22,0)))," ","_")</f>
        <v>q1_2026</v>
      </c>
    </row>
    <row r="367">
      <c r="A367" s="0" t="inlineStr">
        <is>
          <t xml:space="preserve">o0366</t>
        </is>
      </c>
      <c r="B367" s="0" t="inlineStr">
        <is>
          <t xml:space="preserve">a0927</t>
        </is>
      </c>
      <c r="C367" s="0" t="inlineStr">
        <is>
          <t xml:space="preserve">r09</t>
        </is>
      </c>
      <c r="D367" s="0" t="inlineStr">
        <is>
          <t xml:space="preserve">s_amer_west_out</t>
        </is>
      </c>
      <c r="E367" s="0" t="inlineStr">
        <is>
          <t xml:space="preserve">outbound</t>
        </is>
      </c>
      <c r="F367" s="0" t="inlineStr">
        <is>
          <t xml:space="preserve">closed_lost</t>
        </is>
      </c>
      <c r="G367" s="4">
        <v>1</v>
      </c>
      <c r="H367" s="4">
        <v>19200</v>
      </c>
      <c r="I367" s="4">
        <v>1</v>
      </c>
      <c r="J367" s="4">
        <v>0</v>
      </c>
      <c r="K367" s="16">
        <v>46157</v>
      </c>
      <c r="L367" s="16">
        <v>46215</v>
      </c>
      <c r="M367" s="0" t="inlineStr">
        <is>
          <t xml:space="preserve">may26</t>
        </is>
      </c>
      <c r="N367" s="0" t="inlineStr">
        <is>
          <t xml:space="preserve">jul26</t>
        </is>
      </c>
      <c r="O367" s="4">
        <v>58</v>
      </c>
      <c r="P367" s="4">
        <v>0</v>
      </c>
      <c r="Q367" s="4">
        <v>1</v>
      </c>
      <c r="R367" s="4">
        <v>0</v>
      </c>
      <c r="S367" s="4">
        <f>(H367*INDEX('Stages'!$D$2:$D$7,MATCH(F367,'Stages'!$A$2:$A$7,0)))</f>
        <v>0</v>
      </c>
      <c r="T367" s="4">
        <f>(H367*I367)</f>
        <v>19200</v>
      </c>
      <c r="U367" s="4">
        <f>(H367*(I367-1))</f>
        <v>0</v>
      </c>
      <c r="V367" s="0" t="str">
        <f>INDEX('Account executives'!$B$2:$B$25,MATCH(C367,'Account executives'!$A$2:$A$25,0))</f>
        <v>amer_west</v>
      </c>
      <c r="W367" s="0" t="str">
        <f>INDEX('Account executives'!$C$2:$C$25,MATCH(C367,'Account executives'!$A$2:$A$25,0))</f>
        <v>mid_market</v>
      </c>
      <c r="X367" s="0" t="str">
        <f>SUBSTITUTE(LOWER(INDEX('Periods'!$G$2:$G$22,MATCH(N367,'Periods'!$A$2:$A$22,0)))," ","_")</f>
        <v>q3_2026</v>
      </c>
    </row>
    <row r="368">
      <c r="A368" s="0" t="inlineStr">
        <is>
          <t xml:space="preserve">o0367</t>
        </is>
      </c>
      <c r="B368" s="0" t="inlineStr">
        <is>
          <t xml:space="preserve">a0545</t>
        </is>
      </c>
      <c r="C368" s="0" t="inlineStr">
        <is>
          <t xml:space="preserve">r06</t>
        </is>
      </c>
      <c r="D368" s="0" t="inlineStr">
        <is>
          <t xml:space="preserve">s_amer_east_in</t>
        </is>
      </c>
      <c r="E368" s="0" t="inlineStr">
        <is>
          <t xml:space="preserve">inbound</t>
        </is>
      </c>
      <c r="F368" s="0" t="inlineStr">
        <is>
          <t xml:space="preserve">closed_lost</t>
        </is>
      </c>
      <c r="G368" s="4">
        <v>1</v>
      </c>
      <c r="H368" s="4">
        <v>20000</v>
      </c>
      <c r="I368" s="4">
        <v>1</v>
      </c>
      <c r="J368" s="4">
        <v>1</v>
      </c>
      <c r="K368" s="16">
        <v>46004</v>
      </c>
      <c r="L368" s="16">
        <v>46020</v>
      </c>
      <c r="M368" s="0" t="inlineStr">
        <is>
          <t xml:space="preserve">dec25</t>
        </is>
      </c>
      <c r="N368" s="0" t="inlineStr">
        <is>
          <t xml:space="preserve">dec25</t>
        </is>
      </c>
      <c r="O368" s="4">
        <v>16</v>
      </c>
      <c r="P368" s="4">
        <v>0</v>
      </c>
      <c r="Q368" s="4">
        <v>1</v>
      </c>
      <c r="R368" s="4">
        <v>0</v>
      </c>
      <c r="S368" s="4">
        <f>(H368*INDEX('Stages'!$D$2:$D$7,MATCH(F368,'Stages'!$A$2:$A$7,0)))</f>
        <v>0</v>
      </c>
      <c r="T368" s="4">
        <f>(H368*I368)</f>
        <v>20000</v>
      </c>
      <c r="U368" s="4">
        <f>(H368*(I368-1))</f>
        <v>0</v>
      </c>
      <c r="V368" s="0" t="str">
        <f>INDEX('Account executives'!$B$2:$B$25,MATCH(C368,'Account executives'!$A$2:$A$25,0))</f>
        <v>amer_east</v>
      </c>
      <c r="W368" s="0" t="str">
        <f>INDEX('Account executives'!$C$2:$C$25,MATCH(C368,'Account executives'!$A$2:$A$25,0))</f>
        <v>smb</v>
      </c>
      <c r="X368" s="0" t="str">
        <f>SUBSTITUTE(LOWER(INDEX('Periods'!$G$2:$G$22,MATCH(N368,'Periods'!$A$2:$A$22,0)))," ","_")</f>
        <v>q4_2025</v>
      </c>
    </row>
    <row r="369">
      <c r="A369" s="0" t="inlineStr">
        <is>
          <t xml:space="preserve">o0368</t>
        </is>
      </c>
      <c r="B369" s="0" t="inlineStr">
        <is>
          <t xml:space="preserve">a1144</t>
        </is>
      </c>
      <c r="C369" s="0" t="inlineStr">
        <is>
          <t xml:space="preserve">r05</t>
        </is>
      </c>
      <c r="D369" s="0" t="inlineStr">
        <is>
          <t xml:space="preserve">s_amer_east_in</t>
        </is>
      </c>
      <c r="E369" s="0" t="inlineStr">
        <is>
          <t xml:space="preserve">inbound</t>
        </is>
      </c>
      <c r="F369" s="0" t="inlineStr">
        <is>
          <t xml:space="preserve">proposal</t>
        </is>
      </c>
      <c r="G369" s="4">
        <v>1</v>
      </c>
      <c r="H369" s="4">
        <v>11600</v>
      </c>
      <c r="I369" s="4">
        <v>1</v>
      </c>
      <c r="J369" s="4">
        <v>1</v>
      </c>
      <c r="K369" s="16">
        <v>46261</v>
      </c>
      <c r="L369" s="16">
        <v>46293</v>
      </c>
      <c r="M369" s="0" t="inlineStr">
        <is>
          <t xml:space="preserve">aug26</t>
        </is>
      </c>
      <c r="N369" s="0" t="inlineStr">
        <is>
          <t xml:space="preserve">sep26</t>
        </is>
      </c>
      <c r="O369" s="4">
        <v>36</v>
      </c>
      <c r="P369" s="4">
        <v>0</v>
      </c>
      <c r="Q369" s="4">
        <v>0</v>
      </c>
      <c r="R369" s="4">
        <v>1</v>
      </c>
      <c r="S369" s="4">
        <f>(H369*INDEX('Stages'!$D$2:$D$7,MATCH(F369,'Stages'!$A$2:$A$7,0)))</f>
        <v>5800</v>
      </c>
      <c r="T369" s="4">
        <f>(H369*I369)</f>
        <v>11600</v>
      </c>
      <c r="U369" s="4">
        <f>(H369*(I369-1))</f>
        <v>0</v>
      </c>
      <c r="V369" s="0" t="str">
        <f>INDEX('Account executives'!$B$2:$B$25,MATCH(C369,'Account executives'!$A$2:$A$25,0))</f>
        <v>amer_east</v>
      </c>
      <c r="W369" s="0" t="str">
        <f>INDEX('Account executives'!$C$2:$C$25,MATCH(C369,'Account executives'!$A$2:$A$25,0))</f>
        <v>smb</v>
      </c>
      <c r="X369" s="0" t="str">
        <f>SUBSTITUTE(LOWER(INDEX('Periods'!$G$2:$G$22,MATCH(N369,'Periods'!$A$2:$A$22,0)))," ","_")</f>
        <v>q3_2026</v>
      </c>
    </row>
    <row r="370">
      <c r="A370" s="0" t="inlineStr">
        <is>
          <t xml:space="preserve">o0369</t>
        </is>
      </c>
      <c r="B370" s="0" t="inlineStr">
        <is>
          <t xml:space="preserve">a0637</t>
        </is>
      </c>
      <c r="C370" s="0" t="inlineStr">
        <is>
          <t xml:space="preserve">r13</t>
        </is>
      </c>
      <c r="D370" s="0" t="inlineStr">
        <is>
          <t xml:space="preserve">s_emea_in</t>
        </is>
      </c>
      <c r="E370" s="0" t="inlineStr">
        <is>
          <t xml:space="preserve">inbound</t>
        </is>
      </c>
      <c r="F370" s="0" t="inlineStr">
        <is>
          <t xml:space="preserve">closed_won</t>
        </is>
      </c>
      <c r="G370" s="4">
        <v>1</v>
      </c>
      <c r="H370" s="4">
        <v>72100</v>
      </c>
      <c r="I370" s="4">
        <v>1</v>
      </c>
      <c r="J370" s="4">
        <v>1</v>
      </c>
      <c r="K370" s="16">
        <v>46025</v>
      </c>
      <c r="L370" s="16">
        <v>46135</v>
      </c>
      <c r="M370" s="0" t="inlineStr">
        <is>
          <t xml:space="preserve">jan26</t>
        </is>
      </c>
      <c r="N370" s="0" t="inlineStr">
        <is>
          <t xml:space="preserve">apr26</t>
        </is>
      </c>
      <c r="O370" s="4">
        <v>110</v>
      </c>
      <c r="P370" s="4">
        <v>1</v>
      </c>
      <c r="Q370" s="4">
        <v>0</v>
      </c>
      <c r="R370" s="4">
        <v>0</v>
      </c>
      <c r="S370" s="4">
        <f>(H370*INDEX('Stages'!$D$2:$D$7,MATCH(F370,'Stages'!$A$2:$A$7,0)))</f>
        <v>72100</v>
      </c>
      <c r="T370" s="4">
        <f>(H370*I370)</f>
        <v>72100</v>
      </c>
      <c r="U370" s="4">
        <f>(H370*(I370-1))</f>
        <v>0</v>
      </c>
      <c r="V370" s="0" t="str">
        <f>INDEX('Account executives'!$B$2:$B$25,MATCH(C370,'Account executives'!$A$2:$A$25,0))</f>
        <v>emea</v>
      </c>
      <c r="W370" s="0" t="str">
        <f>INDEX('Account executives'!$C$2:$C$25,MATCH(C370,'Account executives'!$A$2:$A$25,0))</f>
        <v>enterprise</v>
      </c>
      <c r="X370" s="0" t="str">
        <f>SUBSTITUTE(LOWER(INDEX('Periods'!$G$2:$G$22,MATCH(N370,'Periods'!$A$2:$A$22,0)))," ","_")</f>
        <v>q2_2026</v>
      </c>
    </row>
    <row r="371">
      <c r="A371" s="0" t="inlineStr">
        <is>
          <t xml:space="preserve">o0370</t>
        </is>
      </c>
      <c r="B371" s="0" t="inlineStr">
        <is>
          <t xml:space="preserve">a0088</t>
        </is>
      </c>
      <c r="C371" s="0" t="inlineStr">
        <is>
          <t xml:space="preserve">r04</t>
        </is>
      </c>
      <c r="D371" s="0" t="inlineStr">
        <is>
          <t xml:space="preserve">s_amer_east_out</t>
        </is>
      </c>
      <c r="E371" s="0" t="inlineStr">
        <is>
          <t xml:space="preserve">outbound</t>
        </is>
      </c>
      <c r="F371" s="0" t="inlineStr">
        <is>
          <t xml:space="preserve">closed_lost</t>
        </is>
      </c>
      <c r="G371" s="4">
        <v>1</v>
      </c>
      <c r="H371" s="4">
        <v>63500</v>
      </c>
      <c r="I371" s="4">
        <v>2</v>
      </c>
      <c r="J371" s="4">
        <v>0</v>
      </c>
      <c r="K371" s="16">
        <v>45789</v>
      </c>
      <c r="L371" s="16">
        <v>45840</v>
      </c>
      <c r="M371" s="0" t="inlineStr">
        <is>
          <t xml:space="preserve">may25</t>
        </is>
      </c>
      <c r="N371" s="0" t="inlineStr">
        <is>
          <t xml:space="preserve">jul25</t>
        </is>
      </c>
      <c r="O371" s="4">
        <v>51</v>
      </c>
      <c r="P371" s="4">
        <v>0</v>
      </c>
      <c r="Q371" s="4">
        <v>1</v>
      </c>
      <c r="R371" s="4">
        <v>0</v>
      </c>
      <c r="S371" s="4">
        <f>(H371*INDEX('Stages'!$D$2:$D$7,MATCH(F371,'Stages'!$A$2:$A$7,0)))</f>
        <v>0</v>
      </c>
      <c r="T371" s="4">
        <f>(H371*I371)</f>
        <v>127000</v>
      </c>
      <c r="U371" s="4">
        <f>(H371*(I371-1))</f>
        <v>63500</v>
      </c>
      <c r="V371" s="0" t="str">
        <f>INDEX('Account executives'!$B$2:$B$25,MATCH(C371,'Account executives'!$A$2:$A$25,0))</f>
        <v>amer_east</v>
      </c>
      <c r="W371" s="0" t="str">
        <f>INDEX('Account executives'!$C$2:$C$25,MATCH(C371,'Account executives'!$A$2:$A$25,0))</f>
        <v>mid_market</v>
      </c>
      <c r="X371" s="0" t="str">
        <f>SUBSTITUTE(LOWER(INDEX('Periods'!$G$2:$G$22,MATCH(N371,'Periods'!$A$2:$A$22,0)))," ","_")</f>
        <v>q3_2025</v>
      </c>
    </row>
    <row r="372">
      <c r="A372" s="0" t="inlineStr">
        <is>
          <t xml:space="preserve">o0371</t>
        </is>
      </c>
      <c r="B372" s="0" t="inlineStr">
        <is>
          <t xml:space="preserve">a1176</t>
        </is>
      </c>
      <c r="C372" s="0" t="inlineStr">
        <is>
          <t xml:space="preserve">r10</t>
        </is>
      </c>
      <c r="D372" s="0" t="inlineStr">
        <is>
          <t xml:space="preserve">s_amer_west_out</t>
        </is>
      </c>
      <c r="E372" s="0" t="inlineStr">
        <is>
          <t xml:space="preserve">outbound</t>
        </is>
      </c>
      <c r="F372" s="0" t="inlineStr">
        <is>
          <t xml:space="preserve">discovery</t>
        </is>
      </c>
      <c r="G372" s="4">
        <v>1</v>
      </c>
      <c r="H372" s="4">
        <v>19400</v>
      </c>
      <c r="I372" s="4">
        <v>1</v>
      </c>
      <c r="J372" s="4">
        <v>0</v>
      </c>
      <c r="K372" s="16">
        <v>46259</v>
      </c>
      <c r="L372" s="16">
        <v>46303</v>
      </c>
      <c r="M372" s="0" t="inlineStr">
        <is>
          <t xml:space="preserve">aug26</t>
        </is>
      </c>
      <c r="N372" s="0" t="inlineStr">
        <is>
          <t xml:space="preserve">oct26</t>
        </is>
      </c>
      <c r="O372" s="4">
        <v>74</v>
      </c>
      <c r="P372" s="4">
        <v>0</v>
      </c>
      <c r="Q372" s="4">
        <v>0</v>
      </c>
      <c r="R372" s="4">
        <v>1</v>
      </c>
      <c r="S372" s="4">
        <f>(H372*INDEX('Stages'!$D$2:$D$7,MATCH(F372,'Stages'!$A$2:$A$7,0)))</f>
        <v>1940</v>
      </c>
      <c r="T372" s="4">
        <f>(H372*I372)</f>
        <v>19400</v>
      </c>
      <c r="U372" s="4">
        <f>(H372*(I372-1))</f>
        <v>0</v>
      </c>
      <c r="V372" s="0" t="str">
        <f>INDEX('Account executives'!$B$2:$B$25,MATCH(C372,'Account executives'!$A$2:$A$25,0))</f>
        <v>amer_west</v>
      </c>
      <c r="W372" s="0" t="str">
        <f>INDEX('Account executives'!$C$2:$C$25,MATCH(C372,'Account executives'!$A$2:$A$25,0))</f>
        <v>mid_market</v>
      </c>
      <c r="X372" s="0" t="str">
        <f>SUBSTITUTE(LOWER(INDEX('Periods'!$G$2:$G$22,MATCH(N372,'Periods'!$A$2:$A$22,0)))," ","_")</f>
        <v>q4_2026</v>
      </c>
    </row>
    <row r="373">
      <c r="A373" s="0" t="inlineStr">
        <is>
          <t xml:space="preserve">o0372</t>
        </is>
      </c>
      <c r="B373" s="0" t="inlineStr">
        <is>
          <t xml:space="preserve">a1130</t>
        </is>
      </c>
      <c r="C373" s="0" t="inlineStr">
        <is>
          <t xml:space="preserve">r17</t>
        </is>
      </c>
      <c r="D373" s="0" t="inlineStr">
        <is>
          <t xml:space="preserve">s_emea_out</t>
        </is>
      </c>
      <c r="E373" s="0" t="inlineStr">
        <is>
          <t xml:space="preserve">outbound</t>
        </is>
      </c>
      <c r="F373" s="0" t="inlineStr">
        <is>
          <t xml:space="preserve">closed_lost</t>
        </is>
      </c>
      <c r="G373" s="4">
        <v>1</v>
      </c>
      <c r="H373" s="4">
        <v>11600</v>
      </c>
      <c r="I373" s="4">
        <v>1</v>
      </c>
      <c r="J373" s="4">
        <v>1</v>
      </c>
      <c r="K373" s="16">
        <v>46218</v>
      </c>
      <c r="L373" s="16">
        <v>46245</v>
      </c>
      <c r="M373" s="0" t="inlineStr">
        <is>
          <t xml:space="preserve">jul26</t>
        </is>
      </c>
      <c r="N373" s="0" t="inlineStr">
        <is>
          <t xml:space="preserve">aug26</t>
        </is>
      </c>
      <c r="O373" s="4">
        <v>27</v>
      </c>
      <c r="P373" s="4">
        <v>0</v>
      </c>
      <c r="Q373" s="4">
        <v>1</v>
      </c>
      <c r="R373" s="4">
        <v>0</v>
      </c>
      <c r="S373" s="4">
        <f>(H373*INDEX('Stages'!$D$2:$D$7,MATCH(F373,'Stages'!$A$2:$A$7,0)))</f>
        <v>0</v>
      </c>
      <c r="T373" s="4">
        <f>(H373*I373)</f>
        <v>11600</v>
      </c>
      <c r="U373" s="4">
        <f>(H373*(I373-1))</f>
        <v>0</v>
      </c>
      <c r="V373" s="0" t="str">
        <f>INDEX('Account executives'!$B$2:$B$25,MATCH(C373,'Account executives'!$A$2:$A$25,0))</f>
        <v>emea</v>
      </c>
      <c r="W373" s="0" t="str">
        <f>INDEX('Account executives'!$C$2:$C$25,MATCH(C373,'Account executives'!$A$2:$A$25,0))</f>
        <v>smb</v>
      </c>
      <c r="X373" s="0" t="str">
        <f>SUBSTITUTE(LOWER(INDEX('Periods'!$G$2:$G$22,MATCH(N373,'Periods'!$A$2:$A$22,0)))," ","_")</f>
        <v>q3_2026</v>
      </c>
    </row>
    <row r="374">
      <c r="A374" s="0" t="inlineStr">
        <is>
          <t xml:space="preserve">o0373</t>
        </is>
      </c>
      <c r="B374" s="0" t="inlineStr">
        <is>
          <t xml:space="preserve">a0408</t>
        </is>
      </c>
      <c r="C374" s="0" t="inlineStr">
        <is>
          <t xml:space="preserve">r22</t>
        </is>
      </c>
      <c r="D374" s="0" t="inlineStr">
        <is>
          <t xml:space="preserve">s_apac_in</t>
        </is>
      </c>
      <c r="E374" s="0" t="inlineStr">
        <is>
          <t xml:space="preserve">paid</t>
        </is>
      </c>
      <c r="F374" s="0" t="inlineStr">
        <is>
          <t xml:space="preserve">closed_won</t>
        </is>
      </c>
      <c r="G374" s="4">
        <v>0</v>
      </c>
      <c r="H374" s="4">
        <v>11600</v>
      </c>
      <c r="I374" s="4">
        <v>1</v>
      </c>
      <c r="J374" s="4">
        <v>0</v>
      </c>
      <c r="K374" s="16">
        <v>46121</v>
      </c>
      <c r="L374" s="16">
        <v>46199</v>
      </c>
      <c r="M374" s="0" t="inlineStr">
        <is>
          <t xml:space="preserve">apr26</t>
        </is>
      </c>
      <c r="N374" s="0" t="inlineStr">
        <is>
          <t xml:space="preserve">jun26</t>
        </is>
      </c>
      <c r="O374" s="4">
        <v>78</v>
      </c>
      <c r="P374" s="4">
        <v>1</v>
      </c>
      <c r="Q374" s="4">
        <v>0</v>
      </c>
      <c r="R374" s="4">
        <v>0</v>
      </c>
      <c r="S374" s="4">
        <f>(H374*INDEX('Stages'!$D$2:$D$7,MATCH(F374,'Stages'!$A$2:$A$7,0)))</f>
        <v>11600</v>
      </c>
      <c r="T374" s="4">
        <f>(H374*I374)</f>
        <v>11600</v>
      </c>
      <c r="U374" s="4">
        <f>(H374*(I374-1))</f>
        <v>0</v>
      </c>
      <c r="V374" s="0" t="str">
        <f>INDEX('Account executives'!$B$2:$B$25,MATCH(C374,'Account executives'!$A$2:$A$25,0))</f>
        <v>apac</v>
      </c>
      <c r="W374" s="0" t="str">
        <f>INDEX('Account executives'!$C$2:$C$25,MATCH(C374,'Account executives'!$A$2:$A$25,0))</f>
        <v>mid_market</v>
      </c>
      <c r="X374" s="0" t="str">
        <f>SUBSTITUTE(LOWER(INDEX('Periods'!$G$2:$G$22,MATCH(N374,'Periods'!$A$2:$A$22,0)))," ","_")</f>
        <v>q2_2026</v>
      </c>
    </row>
    <row r="375">
      <c r="A375" s="0" t="inlineStr">
        <is>
          <t xml:space="preserve">o0374</t>
        </is>
      </c>
      <c r="B375" s="0" t="inlineStr">
        <is>
          <t xml:space="preserve">a0279</t>
        </is>
      </c>
      <c r="C375" s="0" t="inlineStr">
        <is>
          <t xml:space="preserve">r17</t>
        </is>
      </c>
      <c r="D375" s="0"/>
      <c r="E375" s="0" t="inlineStr">
        <is>
          <t xml:space="preserve">partner</t>
        </is>
      </c>
      <c r="F375" s="0" t="inlineStr">
        <is>
          <t xml:space="preserve">closed_lost</t>
        </is>
      </c>
      <c r="G375" s="4">
        <v>0</v>
      </c>
      <c r="H375" s="4">
        <v>6400</v>
      </c>
      <c r="I375" s="4">
        <v>1</v>
      </c>
      <c r="J375" s="4">
        <v>0</v>
      </c>
      <c r="K375" s="16">
        <v>46108</v>
      </c>
      <c r="L375" s="16">
        <v>46128</v>
      </c>
      <c r="M375" s="0" t="inlineStr">
        <is>
          <t xml:space="preserve">mar26</t>
        </is>
      </c>
      <c r="N375" s="0" t="inlineStr">
        <is>
          <t xml:space="preserve">apr26</t>
        </is>
      </c>
      <c r="O375" s="4">
        <v>20</v>
      </c>
      <c r="P375" s="4">
        <v>0</v>
      </c>
      <c r="Q375" s="4">
        <v>1</v>
      </c>
      <c r="R375" s="4">
        <v>0</v>
      </c>
      <c r="S375" s="4">
        <f>(H375*INDEX('Stages'!$D$2:$D$7,MATCH(F375,'Stages'!$A$2:$A$7,0)))</f>
        <v>0</v>
      </c>
      <c r="T375" s="4">
        <f>(H375*I375)</f>
        <v>6400</v>
      </c>
      <c r="U375" s="4">
        <f>(H375*(I375-1))</f>
        <v>0</v>
      </c>
      <c r="V375" s="0" t="str">
        <f>INDEX('Account executives'!$B$2:$B$25,MATCH(C375,'Account executives'!$A$2:$A$25,0))</f>
        <v>emea</v>
      </c>
      <c r="W375" s="0" t="str">
        <f>INDEX('Account executives'!$C$2:$C$25,MATCH(C375,'Account executives'!$A$2:$A$25,0))</f>
        <v>smb</v>
      </c>
      <c r="X375" s="0" t="str">
        <f>SUBSTITUTE(LOWER(INDEX('Periods'!$G$2:$G$22,MATCH(N375,'Periods'!$A$2:$A$22,0)))," ","_")</f>
        <v>q2_2026</v>
      </c>
    </row>
    <row r="376">
      <c r="A376" s="0" t="inlineStr">
        <is>
          <t xml:space="preserve">o0375</t>
        </is>
      </c>
      <c r="B376" s="0" t="inlineStr">
        <is>
          <t xml:space="preserve">a0549</t>
        </is>
      </c>
      <c r="C376" s="0" t="inlineStr">
        <is>
          <t xml:space="preserve">r05</t>
        </is>
      </c>
      <c r="D376" s="0"/>
      <c r="E376" s="0" t="inlineStr">
        <is>
          <t xml:space="preserve">partner</t>
        </is>
      </c>
      <c r="F376" s="0" t="inlineStr">
        <is>
          <t xml:space="preserve">closed_lost</t>
        </is>
      </c>
      <c r="G376" s="4">
        <v>1</v>
      </c>
      <c r="H376" s="4">
        <v>9700</v>
      </c>
      <c r="I376" s="4">
        <v>1</v>
      </c>
      <c r="J376" s="4">
        <v>0</v>
      </c>
      <c r="K376" s="16">
        <v>45992</v>
      </c>
      <c r="L376" s="16">
        <v>46013</v>
      </c>
      <c r="M376" s="0" t="inlineStr">
        <is>
          <t xml:space="preserve">dec25</t>
        </is>
      </c>
      <c r="N376" s="0" t="inlineStr">
        <is>
          <t xml:space="preserve">dec25</t>
        </is>
      </c>
      <c r="O376" s="4">
        <v>21</v>
      </c>
      <c r="P376" s="4">
        <v>0</v>
      </c>
      <c r="Q376" s="4">
        <v>1</v>
      </c>
      <c r="R376" s="4">
        <v>0</v>
      </c>
      <c r="S376" s="4">
        <f>(H376*INDEX('Stages'!$D$2:$D$7,MATCH(F376,'Stages'!$A$2:$A$7,0)))</f>
        <v>0</v>
      </c>
      <c r="T376" s="4">
        <f>(H376*I376)</f>
        <v>9700</v>
      </c>
      <c r="U376" s="4">
        <f>(H376*(I376-1))</f>
        <v>0</v>
      </c>
      <c r="V376" s="0" t="str">
        <f>INDEX('Account executives'!$B$2:$B$25,MATCH(C376,'Account executives'!$A$2:$A$25,0))</f>
        <v>amer_east</v>
      </c>
      <c r="W376" s="0" t="str">
        <f>INDEX('Account executives'!$C$2:$C$25,MATCH(C376,'Account executives'!$A$2:$A$25,0))</f>
        <v>smb</v>
      </c>
      <c r="X376" s="0" t="str">
        <f>SUBSTITUTE(LOWER(INDEX('Periods'!$G$2:$G$22,MATCH(N376,'Periods'!$A$2:$A$22,0)))," ","_")</f>
        <v>q4_2025</v>
      </c>
    </row>
    <row r="377">
      <c r="A377" s="0" t="inlineStr">
        <is>
          <t xml:space="preserve">o0376</t>
        </is>
      </c>
      <c r="B377" s="0" t="inlineStr">
        <is>
          <t xml:space="preserve">a0887</t>
        </is>
      </c>
      <c r="C377" s="0" t="inlineStr">
        <is>
          <t xml:space="preserve">r04</t>
        </is>
      </c>
      <c r="D377" s="0" t="inlineStr">
        <is>
          <t xml:space="preserve">s_amer_east_out</t>
        </is>
      </c>
      <c r="E377" s="0" t="inlineStr">
        <is>
          <t xml:space="preserve">outbound</t>
        </is>
      </c>
      <c r="F377" s="0" t="inlineStr">
        <is>
          <t xml:space="preserve">evaluation</t>
        </is>
      </c>
      <c r="G377" s="4">
        <v>0</v>
      </c>
      <c r="H377" s="4">
        <v>29500</v>
      </c>
      <c r="I377" s="4">
        <v>1</v>
      </c>
      <c r="J377" s="4">
        <v>0</v>
      </c>
      <c r="K377" s="16">
        <v>46246</v>
      </c>
      <c r="L377" s="16">
        <v>46302</v>
      </c>
      <c r="M377" s="0" t="inlineStr">
        <is>
          <t xml:space="preserve">aug26</t>
        </is>
      </c>
      <c r="N377" s="0" t="inlineStr">
        <is>
          <t xml:space="preserve">oct26</t>
        </is>
      </c>
      <c r="O377" s="4">
        <v>61</v>
      </c>
      <c r="P377" s="4">
        <v>0</v>
      </c>
      <c r="Q377" s="4">
        <v>0</v>
      </c>
      <c r="R377" s="4">
        <v>1</v>
      </c>
      <c r="S377" s="4">
        <f>(H377*INDEX('Stages'!$D$2:$D$7,MATCH(F377,'Stages'!$A$2:$A$7,0)))</f>
        <v>7375</v>
      </c>
      <c r="T377" s="4">
        <f>(H377*I377)</f>
        <v>29500</v>
      </c>
      <c r="U377" s="4">
        <f>(H377*(I377-1))</f>
        <v>0</v>
      </c>
      <c r="V377" s="0" t="str">
        <f>INDEX('Account executives'!$B$2:$B$25,MATCH(C377,'Account executives'!$A$2:$A$25,0))</f>
        <v>amer_east</v>
      </c>
      <c r="W377" s="0" t="str">
        <f>INDEX('Account executives'!$C$2:$C$25,MATCH(C377,'Account executives'!$A$2:$A$25,0))</f>
        <v>mid_market</v>
      </c>
      <c r="X377" s="0" t="str">
        <f>SUBSTITUTE(LOWER(INDEX('Periods'!$G$2:$G$22,MATCH(N377,'Periods'!$A$2:$A$22,0)))," ","_")</f>
        <v>q4_2026</v>
      </c>
    </row>
    <row r="378">
      <c r="A378" s="0" t="inlineStr">
        <is>
          <t xml:space="preserve">o0377</t>
        </is>
      </c>
      <c r="B378" s="0" t="inlineStr">
        <is>
          <t xml:space="preserve">a0048</t>
        </is>
      </c>
      <c r="C378" s="0" t="inlineStr">
        <is>
          <t xml:space="preserve">r13</t>
        </is>
      </c>
      <c r="D378" s="0" t="inlineStr">
        <is>
          <t xml:space="preserve">s_emea_out</t>
        </is>
      </c>
      <c r="E378" s="0" t="inlineStr">
        <is>
          <t xml:space="preserve">outbound</t>
        </is>
      </c>
      <c r="F378" s="0" t="inlineStr">
        <is>
          <t xml:space="preserve">closed_lost</t>
        </is>
      </c>
      <c r="G378" s="4">
        <v>0</v>
      </c>
      <c r="H378" s="4">
        <v>49800</v>
      </c>
      <c r="I378" s="4">
        <v>2</v>
      </c>
      <c r="J378" s="4">
        <v>0</v>
      </c>
      <c r="K378" s="16">
        <v>46054</v>
      </c>
      <c r="L378" s="16">
        <v>46117</v>
      </c>
      <c r="M378" s="0" t="inlineStr">
        <is>
          <t xml:space="preserve">feb26</t>
        </is>
      </c>
      <c r="N378" s="0" t="inlineStr">
        <is>
          <t xml:space="preserve">apr26</t>
        </is>
      </c>
      <c r="O378" s="4">
        <v>63</v>
      </c>
      <c r="P378" s="4">
        <v>0</v>
      </c>
      <c r="Q378" s="4">
        <v>1</v>
      </c>
      <c r="R378" s="4">
        <v>0</v>
      </c>
      <c r="S378" s="4">
        <f>(H378*INDEX('Stages'!$D$2:$D$7,MATCH(F378,'Stages'!$A$2:$A$7,0)))</f>
        <v>0</v>
      </c>
      <c r="T378" s="4">
        <f>(H378*I378)</f>
        <v>99600</v>
      </c>
      <c r="U378" s="4">
        <f>(H378*(I378-1))</f>
        <v>49800</v>
      </c>
      <c r="V378" s="0" t="str">
        <f>INDEX('Account executives'!$B$2:$B$25,MATCH(C378,'Account executives'!$A$2:$A$25,0))</f>
        <v>emea</v>
      </c>
      <c r="W378" s="0" t="str">
        <f>INDEX('Account executives'!$C$2:$C$25,MATCH(C378,'Account executives'!$A$2:$A$25,0))</f>
        <v>enterprise</v>
      </c>
      <c r="X378" s="0" t="str">
        <f>SUBSTITUTE(LOWER(INDEX('Periods'!$G$2:$G$22,MATCH(N378,'Periods'!$A$2:$A$22,0)))," ","_")</f>
        <v>q2_2026</v>
      </c>
    </row>
    <row r="379">
      <c r="A379" s="0" t="inlineStr">
        <is>
          <t xml:space="preserve">o0378</t>
        </is>
      </c>
      <c r="B379" s="0" t="inlineStr">
        <is>
          <t xml:space="preserve">a0124</t>
        </is>
      </c>
      <c r="C379" s="0" t="inlineStr">
        <is>
          <t xml:space="preserve">r13</t>
        </is>
      </c>
      <c r="D379" s="0" t="inlineStr">
        <is>
          <t xml:space="preserve">s_emea_in</t>
        </is>
      </c>
      <c r="E379" s="0" t="inlineStr">
        <is>
          <t xml:space="preserve">paid</t>
        </is>
      </c>
      <c r="F379" s="0" t="inlineStr">
        <is>
          <t xml:space="preserve">closed_lost</t>
        </is>
      </c>
      <c r="G379" s="4">
        <v>0</v>
      </c>
      <c r="H379" s="4">
        <v>104400</v>
      </c>
      <c r="I379" s="4">
        <v>2</v>
      </c>
      <c r="J379" s="4">
        <v>0</v>
      </c>
      <c r="K379" s="16">
        <v>45829</v>
      </c>
      <c r="L379" s="16">
        <v>45962</v>
      </c>
      <c r="M379" s="0" t="inlineStr">
        <is>
          <t xml:space="preserve">jun25</t>
        </is>
      </c>
      <c r="N379" s="0" t="inlineStr">
        <is>
          <t xml:space="preserve">nov25</t>
        </is>
      </c>
      <c r="O379" s="4">
        <v>133</v>
      </c>
      <c r="P379" s="4">
        <v>0</v>
      </c>
      <c r="Q379" s="4">
        <v>1</v>
      </c>
      <c r="R379" s="4">
        <v>0</v>
      </c>
      <c r="S379" s="4">
        <f>(H379*INDEX('Stages'!$D$2:$D$7,MATCH(F379,'Stages'!$A$2:$A$7,0)))</f>
        <v>0</v>
      </c>
      <c r="T379" s="4">
        <f>(H379*I379)</f>
        <v>208800</v>
      </c>
      <c r="U379" s="4">
        <f>(H379*(I379-1))</f>
        <v>104400</v>
      </c>
      <c r="V379" s="0" t="str">
        <f>INDEX('Account executives'!$B$2:$B$25,MATCH(C379,'Account executives'!$A$2:$A$25,0))</f>
        <v>emea</v>
      </c>
      <c r="W379" s="0" t="str">
        <f>INDEX('Account executives'!$C$2:$C$25,MATCH(C379,'Account executives'!$A$2:$A$25,0))</f>
        <v>enterprise</v>
      </c>
      <c r="X379" s="0" t="str">
        <f>SUBSTITUTE(LOWER(INDEX('Periods'!$G$2:$G$22,MATCH(N379,'Periods'!$A$2:$A$22,0)))," ","_")</f>
        <v>q4_2025</v>
      </c>
    </row>
    <row r="380">
      <c r="A380" s="0" t="inlineStr">
        <is>
          <t xml:space="preserve">o0379</t>
        </is>
      </c>
      <c r="B380" s="0" t="inlineStr">
        <is>
          <t xml:space="preserve">a0499</t>
        </is>
      </c>
      <c r="C380" s="0" t="inlineStr">
        <is>
          <t xml:space="preserve">r09</t>
        </is>
      </c>
      <c r="D380" s="0" t="inlineStr">
        <is>
          <t xml:space="preserve">s_amer_west_in</t>
        </is>
      </c>
      <c r="E380" s="0" t="inlineStr">
        <is>
          <t xml:space="preserve">paid</t>
        </is>
      </c>
      <c r="F380" s="0" t="inlineStr">
        <is>
          <t xml:space="preserve">closed_lost</t>
        </is>
      </c>
      <c r="G380" s="4">
        <v>1</v>
      </c>
      <c r="H380" s="4">
        <v>54800</v>
      </c>
      <c r="I380" s="4">
        <v>1</v>
      </c>
      <c r="J380" s="4">
        <v>0</v>
      </c>
      <c r="K380" s="16">
        <v>45984</v>
      </c>
      <c r="L380" s="16">
        <v>46011</v>
      </c>
      <c r="M380" s="0" t="inlineStr">
        <is>
          <t xml:space="preserve">nov25</t>
        </is>
      </c>
      <c r="N380" s="0" t="inlineStr">
        <is>
          <t xml:space="preserve">dec25</t>
        </is>
      </c>
      <c r="O380" s="4">
        <v>27</v>
      </c>
      <c r="P380" s="4">
        <v>0</v>
      </c>
      <c r="Q380" s="4">
        <v>1</v>
      </c>
      <c r="R380" s="4">
        <v>0</v>
      </c>
      <c r="S380" s="4">
        <f>(H380*INDEX('Stages'!$D$2:$D$7,MATCH(F380,'Stages'!$A$2:$A$7,0)))</f>
        <v>0</v>
      </c>
      <c r="T380" s="4">
        <f>(H380*I380)</f>
        <v>54800</v>
      </c>
      <c r="U380" s="4">
        <f>(H380*(I380-1))</f>
        <v>0</v>
      </c>
      <c r="V380" s="0" t="str">
        <f>INDEX('Account executives'!$B$2:$B$25,MATCH(C380,'Account executives'!$A$2:$A$25,0))</f>
        <v>amer_west</v>
      </c>
      <c r="W380" s="0" t="str">
        <f>INDEX('Account executives'!$C$2:$C$25,MATCH(C380,'Account executives'!$A$2:$A$25,0))</f>
        <v>mid_market</v>
      </c>
      <c r="X380" s="0" t="str">
        <f>SUBSTITUTE(LOWER(INDEX('Periods'!$G$2:$G$22,MATCH(N380,'Periods'!$A$2:$A$22,0)))," ","_")</f>
        <v>q4_2025</v>
      </c>
    </row>
    <row r="381">
      <c r="A381" s="0" t="inlineStr">
        <is>
          <t xml:space="preserve">o0380</t>
        </is>
      </c>
      <c r="B381" s="0" t="inlineStr">
        <is>
          <t xml:space="preserve">a0286</t>
        </is>
      </c>
      <c r="C381" s="0" t="inlineStr">
        <is>
          <t xml:space="preserve">r18</t>
        </is>
      </c>
      <c r="D381" s="0" t="inlineStr">
        <is>
          <t xml:space="preserve">s_emea_in</t>
        </is>
      </c>
      <c r="E381" s="0" t="inlineStr">
        <is>
          <t xml:space="preserve">paid</t>
        </is>
      </c>
      <c r="F381" s="0" t="inlineStr">
        <is>
          <t xml:space="preserve">closed_lost</t>
        </is>
      </c>
      <c r="G381" s="4">
        <v>1</v>
      </c>
      <c r="H381" s="4">
        <v>33000</v>
      </c>
      <c r="I381" s="4">
        <v>1</v>
      </c>
      <c r="J381" s="4">
        <v>1</v>
      </c>
      <c r="K381" s="16">
        <v>45862</v>
      </c>
      <c r="L381" s="16">
        <v>45884</v>
      </c>
      <c r="M381" s="0" t="inlineStr">
        <is>
          <t xml:space="preserve">jul25</t>
        </is>
      </c>
      <c r="N381" s="0" t="inlineStr">
        <is>
          <t xml:space="preserve">aug25</t>
        </is>
      </c>
      <c r="O381" s="4">
        <v>22</v>
      </c>
      <c r="P381" s="4">
        <v>0</v>
      </c>
      <c r="Q381" s="4">
        <v>1</v>
      </c>
      <c r="R381" s="4">
        <v>0</v>
      </c>
      <c r="S381" s="4">
        <f>(H381*INDEX('Stages'!$D$2:$D$7,MATCH(F381,'Stages'!$A$2:$A$7,0)))</f>
        <v>0</v>
      </c>
      <c r="T381" s="4">
        <f>(H381*I381)</f>
        <v>33000</v>
      </c>
      <c r="U381" s="4">
        <f>(H381*(I381-1))</f>
        <v>0</v>
      </c>
      <c r="V381" s="0" t="str">
        <f>INDEX('Account executives'!$B$2:$B$25,MATCH(C381,'Account executives'!$A$2:$A$25,0))</f>
        <v>emea</v>
      </c>
      <c r="W381" s="0" t="str">
        <f>INDEX('Account executives'!$C$2:$C$25,MATCH(C381,'Account executives'!$A$2:$A$25,0))</f>
        <v>smb</v>
      </c>
      <c r="X381" s="0" t="str">
        <f>SUBSTITUTE(LOWER(INDEX('Periods'!$G$2:$G$22,MATCH(N381,'Periods'!$A$2:$A$22,0)))," ","_")</f>
        <v>q3_2025</v>
      </c>
    </row>
    <row r="382">
      <c r="A382" s="0" t="inlineStr">
        <is>
          <t xml:space="preserve">o0381</t>
        </is>
      </c>
      <c r="B382" s="0" t="inlineStr">
        <is>
          <t xml:space="preserve">a0331</t>
        </is>
      </c>
      <c r="C382" s="0" t="inlineStr">
        <is>
          <t xml:space="preserve">r09</t>
        </is>
      </c>
      <c r="D382" s="0" t="inlineStr">
        <is>
          <t xml:space="preserve">s_amer_west_in</t>
        </is>
      </c>
      <c r="E382" s="0" t="inlineStr">
        <is>
          <t xml:space="preserve">inbound</t>
        </is>
      </c>
      <c r="F382" s="0" t="inlineStr">
        <is>
          <t xml:space="preserve">closed_won</t>
        </is>
      </c>
      <c r="G382" s="4">
        <v>0</v>
      </c>
      <c r="H382" s="4">
        <v>16900</v>
      </c>
      <c r="I382" s="4">
        <v>1</v>
      </c>
      <c r="J382" s="4">
        <v>1</v>
      </c>
      <c r="K382" s="16">
        <v>46078</v>
      </c>
      <c r="L382" s="16">
        <v>46142</v>
      </c>
      <c r="M382" s="0" t="inlineStr">
        <is>
          <t xml:space="preserve">feb26</t>
        </is>
      </c>
      <c r="N382" s="0" t="inlineStr">
        <is>
          <t xml:space="preserve">apr26</t>
        </is>
      </c>
      <c r="O382" s="4">
        <v>64</v>
      </c>
      <c r="P382" s="4">
        <v>1</v>
      </c>
      <c r="Q382" s="4">
        <v>0</v>
      </c>
      <c r="R382" s="4">
        <v>0</v>
      </c>
      <c r="S382" s="4">
        <f>(H382*INDEX('Stages'!$D$2:$D$7,MATCH(F382,'Stages'!$A$2:$A$7,0)))</f>
        <v>16900</v>
      </c>
      <c r="T382" s="4">
        <f>(H382*I382)</f>
        <v>16900</v>
      </c>
      <c r="U382" s="4">
        <f>(H382*(I382-1))</f>
        <v>0</v>
      </c>
      <c r="V382" s="0" t="str">
        <f>INDEX('Account executives'!$B$2:$B$25,MATCH(C382,'Account executives'!$A$2:$A$25,0))</f>
        <v>amer_west</v>
      </c>
      <c r="W382" s="0" t="str">
        <f>INDEX('Account executives'!$C$2:$C$25,MATCH(C382,'Account executives'!$A$2:$A$25,0))</f>
        <v>mid_market</v>
      </c>
      <c r="X382" s="0" t="str">
        <f>SUBSTITUTE(LOWER(INDEX('Periods'!$G$2:$G$22,MATCH(N382,'Periods'!$A$2:$A$22,0)))," ","_")</f>
        <v>q2_2026</v>
      </c>
    </row>
    <row r="383">
      <c r="A383" s="0" t="inlineStr">
        <is>
          <t xml:space="preserve">o0382</t>
        </is>
      </c>
      <c r="B383" s="0" t="inlineStr">
        <is>
          <t xml:space="preserve">a0119</t>
        </is>
      </c>
      <c r="C383" s="0" t="inlineStr">
        <is>
          <t xml:space="preserve">r15</t>
        </is>
      </c>
      <c r="D383" s="0"/>
      <c r="E383" s="0" t="inlineStr">
        <is>
          <t xml:space="preserve">referral</t>
        </is>
      </c>
      <c r="F383" s="0" t="inlineStr">
        <is>
          <t xml:space="preserve">closed_lost</t>
        </is>
      </c>
      <c r="G383" s="4">
        <v>0</v>
      </c>
      <c r="H383" s="4">
        <v>22700</v>
      </c>
      <c r="I383" s="4">
        <v>1</v>
      </c>
      <c r="J383" s="4">
        <v>0</v>
      </c>
      <c r="K383" s="16">
        <v>46151</v>
      </c>
      <c r="L383" s="16">
        <v>46213</v>
      </c>
      <c r="M383" s="0" t="inlineStr">
        <is>
          <t xml:space="preserve">may26</t>
        </is>
      </c>
      <c r="N383" s="0" t="inlineStr">
        <is>
          <t xml:space="preserve">jul26</t>
        </is>
      </c>
      <c r="O383" s="4">
        <v>62</v>
      </c>
      <c r="P383" s="4">
        <v>0</v>
      </c>
      <c r="Q383" s="4">
        <v>1</v>
      </c>
      <c r="R383" s="4">
        <v>0</v>
      </c>
      <c r="S383" s="4">
        <f>(H383*INDEX('Stages'!$D$2:$D$7,MATCH(F383,'Stages'!$A$2:$A$7,0)))</f>
        <v>0</v>
      </c>
      <c r="T383" s="4">
        <f>(H383*I383)</f>
        <v>22700</v>
      </c>
      <c r="U383" s="4">
        <f>(H383*(I383-1))</f>
        <v>0</v>
      </c>
      <c r="V383" s="0" t="str">
        <f>INDEX('Account executives'!$B$2:$B$25,MATCH(C383,'Account executives'!$A$2:$A$25,0))</f>
        <v>emea</v>
      </c>
      <c r="W383" s="0" t="str">
        <f>INDEX('Account executives'!$C$2:$C$25,MATCH(C383,'Account executives'!$A$2:$A$25,0))</f>
        <v>mid_market</v>
      </c>
      <c r="X383" s="0" t="str">
        <f>SUBSTITUTE(LOWER(INDEX('Periods'!$G$2:$G$22,MATCH(N383,'Periods'!$A$2:$A$22,0)))," ","_")</f>
        <v>q3_2026</v>
      </c>
    </row>
    <row r="384">
      <c r="A384" s="0" t="inlineStr">
        <is>
          <t xml:space="preserve">o0383</t>
        </is>
      </c>
      <c r="B384" s="0" t="inlineStr">
        <is>
          <t xml:space="preserve">a1106</t>
        </is>
      </c>
      <c r="C384" s="0" t="inlineStr">
        <is>
          <t xml:space="preserve">r12</t>
        </is>
      </c>
      <c r="D384" s="0"/>
      <c r="E384" s="0" t="inlineStr">
        <is>
          <t xml:space="preserve">partner</t>
        </is>
      </c>
      <c r="F384" s="0" t="inlineStr">
        <is>
          <t xml:space="preserve">closed_lost</t>
        </is>
      </c>
      <c r="G384" s="4">
        <v>1</v>
      </c>
      <c r="H384" s="4">
        <v>15300</v>
      </c>
      <c r="I384" s="4">
        <v>1</v>
      </c>
      <c r="J384" s="4">
        <v>1</v>
      </c>
      <c r="K384" s="16">
        <v>46214</v>
      </c>
      <c r="L384" s="16">
        <v>46228</v>
      </c>
      <c r="M384" s="0" t="inlineStr">
        <is>
          <t xml:space="preserve">jul26</t>
        </is>
      </c>
      <c r="N384" s="0" t="inlineStr">
        <is>
          <t xml:space="preserve">jul26</t>
        </is>
      </c>
      <c r="O384" s="4">
        <v>14</v>
      </c>
      <c r="P384" s="4">
        <v>0</v>
      </c>
      <c r="Q384" s="4">
        <v>1</v>
      </c>
      <c r="R384" s="4">
        <v>0</v>
      </c>
      <c r="S384" s="4">
        <f>(H384*INDEX('Stages'!$D$2:$D$7,MATCH(F384,'Stages'!$A$2:$A$7,0)))</f>
        <v>0</v>
      </c>
      <c r="T384" s="4">
        <f>(H384*I384)</f>
        <v>15300</v>
      </c>
      <c r="U384" s="4">
        <f>(H384*(I384-1))</f>
        <v>0</v>
      </c>
      <c r="V384" s="0" t="str">
        <f>INDEX('Account executives'!$B$2:$B$25,MATCH(C384,'Account executives'!$A$2:$A$25,0))</f>
        <v>amer_west</v>
      </c>
      <c r="W384" s="0" t="str">
        <f>INDEX('Account executives'!$C$2:$C$25,MATCH(C384,'Account executives'!$A$2:$A$25,0))</f>
        <v>smb</v>
      </c>
      <c r="X384" s="0" t="str">
        <f>SUBSTITUTE(LOWER(INDEX('Periods'!$G$2:$G$22,MATCH(N384,'Periods'!$A$2:$A$22,0)))," ","_")</f>
        <v>q3_2026</v>
      </c>
    </row>
    <row r="385">
      <c r="A385" s="0" t="inlineStr">
        <is>
          <t xml:space="preserve">o0384</t>
        </is>
      </c>
      <c r="B385" s="0" t="inlineStr">
        <is>
          <t xml:space="preserve">a1267</t>
        </is>
      </c>
      <c r="C385" s="0" t="inlineStr">
        <is>
          <t xml:space="preserve">r20</t>
        </is>
      </c>
      <c r="D385" s="0" t="inlineStr">
        <is>
          <t xml:space="preserve">s_apac_out</t>
        </is>
      </c>
      <c r="E385" s="0" t="inlineStr">
        <is>
          <t xml:space="preserve">outbound</t>
        </is>
      </c>
      <c r="F385" s="0" t="inlineStr">
        <is>
          <t xml:space="preserve">discovery</t>
        </is>
      </c>
      <c r="G385" s="4">
        <v>1</v>
      </c>
      <c r="H385" s="4">
        <v>290800</v>
      </c>
      <c r="I385" s="4">
        <v>2</v>
      </c>
      <c r="J385" s="4">
        <v>0</v>
      </c>
      <c r="K385" s="16">
        <v>46269</v>
      </c>
      <c r="L385" s="16">
        <v>46371</v>
      </c>
      <c r="M385" s="0" t="inlineStr">
        <is>
          <t xml:space="preserve">sep26</t>
        </is>
      </c>
      <c r="N385" s="0" t="inlineStr">
        <is>
          <t xml:space="preserve">dec26</t>
        </is>
      </c>
      <c r="O385" s="4">
        <v>102</v>
      </c>
      <c r="P385" s="4">
        <v>0</v>
      </c>
      <c r="Q385" s="4">
        <v>0</v>
      </c>
      <c r="R385" s="4">
        <v>1</v>
      </c>
      <c r="S385" s="4">
        <f>(H385*INDEX('Stages'!$D$2:$D$7,MATCH(F385,'Stages'!$A$2:$A$7,0)))</f>
        <v>29080</v>
      </c>
      <c r="T385" s="4">
        <f>(H385*I385)</f>
        <v>581600</v>
      </c>
      <c r="U385" s="4">
        <f>(H385*(I385-1))</f>
        <v>290800</v>
      </c>
      <c r="V385" s="0" t="str">
        <f>INDEX('Account executives'!$B$2:$B$25,MATCH(C385,'Account executives'!$A$2:$A$25,0))</f>
        <v>apac</v>
      </c>
      <c r="W385" s="0" t="str">
        <f>INDEX('Account executives'!$C$2:$C$25,MATCH(C385,'Account executives'!$A$2:$A$25,0))</f>
        <v>enterprise</v>
      </c>
      <c r="X385" s="0" t="str">
        <f>SUBSTITUTE(LOWER(INDEX('Periods'!$G$2:$G$22,MATCH(N385,'Periods'!$A$2:$A$22,0)))," ","_")</f>
        <v>q4_2026</v>
      </c>
    </row>
    <row r="386">
      <c r="A386" s="0" t="inlineStr">
        <is>
          <t xml:space="preserve">o0385</t>
        </is>
      </c>
      <c r="B386" s="0" t="inlineStr">
        <is>
          <t xml:space="preserve">a1148</t>
        </is>
      </c>
      <c r="C386" s="0" t="inlineStr">
        <is>
          <t xml:space="preserve">r01</t>
        </is>
      </c>
      <c r="D386" s="0" t="inlineStr">
        <is>
          <t xml:space="preserve">s_amer_east_in</t>
        </is>
      </c>
      <c r="E386" s="0" t="inlineStr">
        <is>
          <t xml:space="preserve">paid</t>
        </is>
      </c>
      <c r="F386" s="0" t="inlineStr">
        <is>
          <t xml:space="preserve">discovery</t>
        </is>
      </c>
      <c r="G386" s="4">
        <v>1</v>
      </c>
      <c r="H386" s="4">
        <v>700000</v>
      </c>
      <c r="I386" s="4">
        <v>1</v>
      </c>
      <c r="J386" s="4">
        <v>0</v>
      </c>
      <c r="K386" s="16">
        <v>46260</v>
      </c>
      <c r="L386" s="16">
        <v>46371</v>
      </c>
      <c r="M386" s="0" t="inlineStr">
        <is>
          <t xml:space="preserve">aug26</t>
        </is>
      </c>
      <c r="N386" s="0" t="inlineStr">
        <is>
          <t xml:space="preserve">dec26</t>
        </is>
      </c>
      <c r="O386" s="4">
        <v>111</v>
      </c>
      <c r="P386" s="4">
        <v>0</v>
      </c>
      <c r="Q386" s="4">
        <v>0</v>
      </c>
      <c r="R386" s="4">
        <v>1</v>
      </c>
      <c r="S386" s="4">
        <f>(H386*INDEX('Stages'!$D$2:$D$7,MATCH(F386,'Stages'!$A$2:$A$7,0)))</f>
        <v>70000</v>
      </c>
      <c r="T386" s="4">
        <f>(H386*I386)</f>
        <v>700000</v>
      </c>
      <c r="U386" s="4">
        <f>(H386*(I386-1))</f>
        <v>0</v>
      </c>
      <c r="V386" s="0" t="str">
        <f>INDEX('Account executives'!$B$2:$B$25,MATCH(C386,'Account executives'!$A$2:$A$25,0))</f>
        <v>amer_east</v>
      </c>
      <c r="W386" s="0" t="str">
        <f>INDEX('Account executives'!$C$2:$C$25,MATCH(C386,'Account executives'!$A$2:$A$25,0))</f>
        <v>enterprise</v>
      </c>
      <c r="X386" s="0" t="str">
        <f>SUBSTITUTE(LOWER(INDEX('Periods'!$G$2:$G$22,MATCH(N386,'Periods'!$A$2:$A$22,0)))," ","_")</f>
        <v>q4_2026</v>
      </c>
    </row>
    <row r="387">
      <c r="A387" s="0" t="inlineStr">
        <is>
          <t xml:space="preserve">o0386</t>
        </is>
      </c>
      <c r="B387" s="0" t="inlineStr">
        <is>
          <t xml:space="preserve">a0060</t>
        </is>
      </c>
      <c r="C387" s="0" t="inlineStr">
        <is>
          <t xml:space="preserve">r24</t>
        </is>
      </c>
      <c r="D387" s="0" t="inlineStr">
        <is>
          <t xml:space="preserve">s_apac_out</t>
        </is>
      </c>
      <c r="E387" s="0" t="inlineStr">
        <is>
          <t xml:space="preserve">outbound</t>
        </is>
      </c>
      <c r="F387" s="0" t="inlineStr">
        <is>
          <t xml:space="preserve">closed_lost</t>
        </is>
      </c>
      <c r="G387" s="4">
        <v>1</v>
      </c>
      <c r="H387" s="4">
        <v>6800</v>
      </c>
      <c r="I387" s="4">
        <v>1</v>
      </c>
      <c r="J387" s="4">
        <v>0</v>
      </c>
      <c r="K387" s="16">
        <v>45757</v>
      </c>
      <c r="L387" s="16">
        <v>45836</v>
      </c>
      <c r="M387" s="0" t="inlineStr">
        <is>
          <t xml:space="preserve">apr25</t>
        </is>
      </c>
      <c r="N387" s="0" t="inlineStr">
        <is>
          <t xml:space="preserve">jun25</t>
        </is>
      </c>
      <c r="O387" s="4">
        <v>79</v>
      </c>
      <c r="P387" s="4">
        <v>0</v>
      </c>
      <c r="Q387" s="4">
        <v>1</v>
      </c>
      <c r="R387" s="4">
        <v>0</v>
      </c>
      <c r="S387" s="4">
        <f>(H387*INDEX('Stages'!$D$2:$D$7,MATCH(F387,'Stages'!$A$2:$A$7,0)))</f>
        <v>0</v>
      </c>
      <c r="T387" s="4">
        <f>(H387*I387)</f>
        <v>6800</v>
      </c>
      <c r="U387" s="4">
        <f>(H387*(I387-1))</f>
        <v>0</v>
      </c>
      <c r="V387" s="0" t="str">
        <f>INDEX('Account executives'!$B$2:$B$25,MATCH(C387,'Account executives'!$A$2:$A$25,0))</f>
        <v>apac</v>
      </c>
      <c r="W387" s="0" t="str">
        <f>INDEX('Account executives'!$C$2:$C$25,MATCH(C387,'Account executives'!$A$2:$A$25,0))</f>
        <v>smb</v>
      </c>
      <c r="X387" s="0" t="str">
        <f>SUBSTITUTE(LOWER(INDEX('Periods'!$G$2:$G$22,MATCH(N387,'Periods'!$A$2:$A$22,0)))," ","_")</f>
        <v>q2_2025</v>
      </c>
    </row>
    <row r="388">
      <c r="A388" s="0" t="inlineStr">
        <is>
          <t xml:space="preserve">o0387</t>
        </is>
      </c>
      <c r="B388" s="0" t="inlineStr">
        <is>
          <t xml:space="preserve">a0353</t>
        </is>
      </c>
      <c r="C388" s="0" t="inlineStr">
        <is>
          <t xml:space="preserve">r24</t>
        </is>
      </c>
      <c r="D388" s="0" t="inlineStr">
        <is>
          <t xml:space="preserve">s_apac_in</t>
        </is>
      </c>
      <c r="E388" s="0" t="inlineStr">
        <is>
          <t xml:space="preserve">inbound</t>
        </is>
      </c>
      <c r="F388" s="0" t="inlineStr">
        <is>
          <t xml:space="preserve">closed_lost</t>
        </is>
      </c>
      <c r="G388" s="4">
        <v>1</v>
      </c>
      <c r="H388" s="4">
        <v>7400</v>
      </c>
      <c r="I388" s="4">
        <v>1</v>
      </c>
      <c r="J388" s="4">
        <v>0</v>
      </c>
      <c r="K388" s="16">
        <v>45896</v>
      </c>
      <c r="L388" s="16">
        <v>45924</v>
      </c>
      <c r="M388" s="0" t="inlineStr">
        <is>
          <t xml:space="preserve">aug25</t>
        </is>
      </c>
      <c r="N388" s="0" t="inlineStr">
        <is>
          <t xml:space="preserve">sep25</t>
        </is>
      </c>
      <c r="O388" s="4">
        <v>28</v>
      </c>
      <c r="P388" s="4">
        <v>0</v>
      </c>
      <c r="Q388" s="4">
        <v>1</v>
      </c>
      <c r="R388" s="4">
        <v>0</v>
      </c>
      <c r="S388" s="4">
        <f>(H388*INDEX('Stages'!$D$2:$D$7,MATCH(F388,'Stages'!$A$2:$A$7,0)))</f>
        <v>0</v>
      </c>
      <c r="T388" s="4">
        <f>(H388*I388)</f>
        <v>7400</v>
      </c>
      <c r="U388" s="4">
        <f>(H388*(I388-1))</f>
        <v>0</v>
      </c>
      <c r="V388" s="0" t="str">
        <f>INDEX('Account executives'!$B$2:$B$25,MATCH(C388,'Account executives'!$A$2:$A$25,0))</f>
        <v>apac</v>
      </c>
      <c r="W388" s="0" t="str">
        <f>INDEX('Account executives'!$C$2:$C$25,MATCH(C388,'Account executives'!$A$2:$A$25,0))</f>
        <v>smb</v>
      </c>
      <c r="X388" s="0" t="str">
        <f>SUBSTITUTE(LOWER(INDEX('Periods'!$G$2:$G$22,MATCH(N388,'Periods'!$A$2:$A$22,0)))," ","_")</f>
        <v>q3_2025</v>
      </c>
    </row>
    <row r="389">
      <c r="A389" s="0" t="inlineStr">
        <is>
          <t xml:space="preserve">o0388</t>
        </is>
      </c>
      <c r="B389" s="0" t="inlineStr">
        <is>
          <t xml:space="preserve">a0274</t>
        </is>
      </c>
      <c r="C389" s="0" t="inlineStr">
        <is>
          <t xml:space="preserve">r13</t>
        </is>
      </c>
      <c r="D389" s="0" t="inlineStr">
        <is>
          <t xml:space="preserve">s_emea_out</t>
        </is>
      </c>
      <c r="E389" s="0" t="inlineStr">
        <is>
          <t xml:space="preserve">outbound</t>
        </is>
      </c>
      <c r="F389" s="0" t="inlineStr">
        <is>
          <t xml:space="preserve">closed_won</t>
        </is>
      </c>
      <c r="G389" s="4">
        <v>0</v>
      </c>
      <c r="H389" s="4">
        <v>63700</v>
      </c>
      <c r="I389" s="4">
        <v>1</v>
      </c>
      <c r="J389" s="4">
        <v>0</v>
      </c>
      <c r="K389" s="16">
        <v>45907</v>
      </c>
      <c r="L389" s="16">
        <v>45984</v>
      </c>
      <c r="M389" s="0" t="inlineStr">
        <is>
          <t xml:space="preserve">sep25</t>
        </is>
      </c>
      <c r="N389" s="0" t="inlineStr">
        <is>
          <t xml:space="preserve">nov25</t>
        </is>
      </c>
      <c r="O389" s="4">
        <v>77</v>
      </c>
      <c r="P389" s="4">
        <v>1</v>
      </c>
      <c r="Q389" s="4">
        <v>0</v>
      </c>
      <c r="R389" s="4">
        <v>0</v>
      </c>
      <c r="S389" s="4">
        <f>(H389*INDEX('Stages'!$D$2:$D$7,MATCH(F389,'Stages'!$A$2:$A$7,0)))</f>
        <v>63700</v>
      </c>
      <c r="T389" s="4">
        <f>(H389*I389)</f>
        <v>63700</v>
      </c>
      <c r="U389" s="4">
        <f>(H389*(I389-1))</f>
        <v>0</v>
      </c>
      <c r="V389" s="0" t="str">
        <f>INDEX('Account executives'!$B$2:$B$25,MATCH(C389,'Account executives'!$A$2:$A$25,0))</f>
        <v>emea</v>
      </c>
      <c r="W389" s="0" t="str">
        <f>INDEX('Account executives'!$C$2:$C$25,MATCH(C389,'Account executives'!$A$2:$A$25,0))</f>
        <v>enterprise</v>
      </c>
      <c r="X389" s="0" t="str">
        <f>SUBSTITUTE(LOWER(INDEX('Periods'!$G$2:$G$22,MATCH(N389,'Periods'!$A$2:$A$22,0)))," ","_")</f>
        <v>q4_2025</v>
      </c>
    </row>
    <row r="390">
      <c r="A390" s="0" t="inlineStr">
        <is>
          <t xml:space="preserve">o0389</t>
        </is>
      </c>
      <c r="B390" s="0" t="inlineStr">
        <is>
          <t xml:space="preserve">a0394</t>
        </is>
      </c>
      <c r="C390" s="0" t="inlineStr">
        <is>
          <t xml:space="preserve">r18</t>
        </is>
      </c>
      <c r="D390" s="0" t="inlineStr">
        <is>
          <t xml:space="preserve">s_emea_in</t>
        </is>
      </c>
      <c r="E390" s="0" t="inlineStr">
        <is>
          <t xml:space="preserve">inbound</t>
        </is>
      </c>
      <c r="F390" s="0" t="inlineStr">
        <is>
          <t xml:space="preserve">closed_won</t>
        </is>
      </c>
      <c r="G390" s="4">
        <v>1</v>
      </c>
      <c r="H390" s="4">
        <v>15400</v>
      </c>
      <c r="I390" s="4">
        <v>1</v>
      </c>
      <c r="J390" s="4">
        <v>0</v>
      </c>
      <c r="K390" s="16">
        <v>45910</v>
      </c>
      <c r="L390" s="16">
        <v>45930</v>
      </c>
      <c r="M390" s="0" t="inlineStr">
        <is>
          <t xml:space="preserve">sep25</t>
        </is>
      </c>
      <c r="N390" s="0" t="inlineStr">
        <is>
          <t xml:space="preserve">sep25</t>
        </is>
      </c>
      <c r="O390" s="4">
        <v>20</v>
      </c>
      <c r="P390" s="4">
        <v>1</v>
      </c>
      <c r="Q390" s="4">
        <v>0</v>
      </c>
      <c r="R390" s="4">
        <v>0</v>
      </c>
      <c r="S390" s="4">
        <f>(H390*INDEX('Stages'!$D$2:$D$7,MATCH(F390,'Stages'!$A$2:$A$7,0)))</f>
        <v>15400</v>
      </c>
      <c r="T390" s="4">
        <f>(H390*I390)</f>
        <v>15400</v>
      </c>
      <c r="U390" s="4">
        <f>(H390*(I390-1))</f>
        <v>0</v>
      </c>
      <c r="V390" s="0" t="str">
        <f>INDEX('Account executives'!$B$2:$B$25,MATCH(C390,'Account executives'!$A$2:$A$25,0))</f>
        <v>emea</v>
      </c>
      <c r="W390" s="0" t="str">
        <f>INDEX('Account executives'!$C$2:$C$25,MATCH(C390,'Account executives'!$A$2:$A$25,0))</f>
        <v>smb</v>
      </c>
      <c r="X390" s="0" t="str">
        <f>SUBSTITUTE(LOWER(INDEX('Periods'!$G$2:$G$22,MATCH(N390,'Periods'!$A$2:$A$22,0)))," ","_")</f>
        <v>q3_2025</v>
      </c>
    </row>
    <row r="391">
      <c r="A391" s="0" t="inlineStr">
        <is>
          <t xml:space="preserve">o0390</t>
        </is>
      </c>
      <c r="B391" s="0" t="inlineStr">
        <is>
          <t xml:space="preserve">a0225</t>
        </is>
      </c>
      <c r="C391" s="0" t="inlineStr">
        <is>
          <t xml:space="preserve">r21</t>
        </is>
      </c>
      <c r="D391" s="0" t="inlineStr">
        <is>
          <t xml:space="preserve">s_apac_in</t>
        </is>
      </c>
      <c r="E391" s="0" t="inlineStr">
        <is>
          <t xml:space="preserve">inbound</t>
        </is>
      </c>
      <c r="F391" s="0" t="inlineStr">
        <is>
          <t xml:space="preserve">closed_lost</t>
        </is>
      </c>
      <c r="G391" s="4">
        <v>1</v>
      </c>
      <c r="H391" s="4">
        <v>27800</v>
      </c>
      <c r="I391" s="4">
        <v>1</v>
      </c>
      <c r="J391" s="4">
        <v>0</v>
      </c>
      <c r="K391" s="16">
        <v>45820</v>
      </c>
      <c r="L391" s="16">
        <v>45871</v>
      </c>
      <c r="M391" s="0" t="inlineStr">
        <is>
          <t xml:space="preserve">jun25</t>
        </is>
      </c>
      <c r="N391" s="0" t="inlineStr">
        <is>
          <t xml:space="preserve">aug25</t>
        </is>
      </c>
      <c r="O391" s="4">
        <v>51</v>
      </c>
      <c r="P391" s="4">
        <v>0</v>
      </c>
      <c r="Q391" s="4">
        <v>1</v>
      </c>
      <c r="R391" s="4">
        <v>0</v>
      </c>
      <c r="S391" s="4">
        <f>(H391*INDEX('Stages'!$D$2:$D$7,MATCH(F391,'Stages'!$A$2:$A$7,0)))</f>
        <v>0</v>
      </c>
      <c r="T391" s="4">
        <f>(H391*I391)</f>
        <v>27800</v>
      </c>
      <c r="U391" s="4">
        <f>(H391*(I391-1))</f>
        <v>0</v>
      </c>
      <c r="V391" s="0" t="str">
        <f>INDEX('Account executives'!$B$2:$B$25,MATCH(C391,'Account executives'!$A$2:$A$25,0))</f>
        <v>apac</v>
      </c>
      <c r="W391" s="0" t="str">
        <f>INDEX('Account executives'!$C$2:$C$25,MATCH(C391,'Account executives'!$A$2:$A$25,0))</f>
        <v>mid_market</v>
      </c>
      <c r="X391" s="0" t="str">
        <f>SUBSTITUTE(LOWER(INDEX('Periods'!$G$2:$G$22,MATCH(N391,'Periods'!$A$2:$A$22,0)))," ","_")</f>
        <v>q3_2025</v>
      </c>
    </row>
    <row r="392">
      <c r="A392" s="0" t="inlineStr">
        <is>
          <t xml:space="preserve">o0391</t>
        </is>
      </c>
      <c r="B392" s="0" t="inlineStr">
        <is>
          <t xml:space="preserve">a0633</t>
        </is>
      </c>
      <c r="C392" s="0" t="inlineStr">
        <is>
          <t xml:space="preserve">r09</t>
        </is>
      </c>
      <c r="D392" s="0" t="inlineStr">
        <is>
          <t xml:space="preserve">s_amer_west_out</t>
        </is>
      </c>
      <c r="E392" s="0" t="inlineStr">
        <is>
          <t xml:space="preserve">outbound</t>
        </is>
      </c>
      <c r="F392" s="0" t="inlineStr">
        <is>
          <t xml:space="preserve">closed_won</t>
        </is>
      </c>
      <c r="G392" s="4">
        <v>1</v>
      </c>
      <c r="H392" s="4">
        <v>49800</v>
      </c>
      <c r="I392" s="4">
        <v>2</v>
      </c>
      <c r="J392" s="4">
        <v>0</v>
      </c>
      <c r="K392" s="16">
        <v>46045</v>
      </c>
      <c r="L392" s="16">
        <v>46097</v>
      </c>
      <c r="M392" s="0" t="inlineStr">
        <is>
          <t xml:space="preserve">jan26</t>
        </is>
      </c>
      <c r="N392" s="0" t="inlineStr">
        <is>
          <t xml:space="preserve">mar26</t>
        </is>
      </c>
      <c r="O392" s="4">
        <v>52</v>
      </c>
      <c r="P392" s="4">
        <v>1</v>
      </c>
      <c r="Q392" s="4">
        <v>0</v>
      </c>
      <c r="R392" s="4">
        <v>0</v>
      </c>
      <c r="S392" s="4">
        <f>(H392*INDEX('Stages'!$D$2:$D$7,MATCH(F392,'Stages'!$A$2:$A$7,0)))</f>
        <v>49800</v>
      </c>
      <c r="T392" s="4">
        <f>(H392*I392)</f>
        <v>99600</v>
      </c>
      <c r="U392" s="4">
        <f>(H392*(I392-1))</f>
        <v>49800</v>
      </c>
      <c r="V392" s="0" t="str">
        <f>INDEX('Account executives'!$B$2:$B$25,MATCH(C392,'Account executives'!$A$2:$A$25,0))</f>
        <v>amer_west</v>
      </c>
      <c r="W392" s="0" t="str">
        <f>INDEX('Account executives'!$C$2:$C$25,MATCH(C392,'Account executives'!$A$2:$A$25,0))</f>
        <v>mid_market</v>
      </c>
      <c r="X392" s="0" t="str">
        <f>SUBSTITUTE(LOWER(INDEX('Periods'!$G$2:$G$22,MATCH(N392,'Periods'!$A$2:$A$22,0)))," ","_")</f>
        <v>q1_2026</v>
      </c>
    </row>
    <row r="393">
      <c r="A393" s="0" t="inlineStr">
        <is>
          <t xml:space="preserve">o0392</t>
        </is>
      </c>
      <c r="B393" s="0" t="inlineStr">
        <is>
          <t xml:space="preserve">a0100</t>
        </is>
      </c>
      <c r="C393" s="0" t="inlineStr">
        <is>
          <t xml:space="preserve">r09</t>
        </is>
      </c>
      <c r="D393" s="0"/>
      <c r="E393" s="0" t="inlineStr">
        <is>
          <t xml:space="preserve">events</t>
        </is>
      </c>
      <c r="F393" s="0" t="inlineStr">
        <is>
          <t xml:space="preserve">closed_lost</t>
        </is>
      </c>
      <c r="G393" s="4">
        <v>1</v>
      </c>
      <c r="H393" s="4">
        <v>8700</v>
      </c>
      <c r="I393" s="4">
        <v>1</v>
      </c>
      <c r="J393" s="4">
        <v>0</v>
      </c>
      <c r="K393" s="16">
        <v>45785</v>
      </c>
      <c r="L393" s="16">
        <v>45831</v>
      </c>
      <c r="M393" s="0" t="inlineStr">
        <is>
          <t xml:space="preserve">may25</t>
        </is>
      </c>
      <c r="N393" s="0" t="inlineStr">
        <is>
          <t xml:space="preserve">jun25</t>
        </is>
      </c>
      <c r="O393" s="4">
        <v>46</v>
      </c>
      <c r="P393" s="4">
        <v>0</v>
      </c>
      <c r="Q393" s="4">
        <v>1</v>
      </c>
      <c r="R393" s="4">
        <v>0</v>
      </c>
      <c r="S393" s="4">
        <f>(H393*INDEX('Stages'!$D$2:$D$7,MATCH(F393,'Stages'!$A$2:$A$7,0)))</f>
        <v>0</v>
      </c>
      <c r="T393" s="4">
        <f>(H393*I393)</f>
        <v>8700</v>
      </c>
      <c r="U393" s="4">
        <f>(H393*(I393-1))</f>
        <v>0</v>
      </c>
      <c r="V393" s="0" t="str">
        <f>INDEX('Account executives'!$B$2:$B$25,MATCH(C393,'Account executives'!$A$2:$A$25,0))</f>
        <v>amer_west</v>
      </c>
      <c r="W393" s="0" t="str">
        <f>INDEX('Account executives'!$C$2:$C$25,MATCH(C393,'Account executives'!$A$2:$A$25,0))</f>
        <v>mid_market</v>
      </c>
      <c r="X393" s="0" t="str">
        <f>SUBSTITUTE(LOWER(INDEX('Periods'!$G$2:$G$22,MATCH(N393,'Periods'!$A$2:$A$22,0)))," ","_")</f>
        <v>q2_2025</v>
      </c>
    </row>
    <row r="394">
      <c r="A394" s="0" t="inlineStr">
        <is>
          <t xml:space="preserve">o0393</t>
        </is>
      </c>
      <c r="B394" s="0" t="inlineStr">
        <is>
          <t xml:space="preserve">a0566</t>
        </is>
      </c>
      <c r="C394" s="0" t="inlineStr">
        <is>
          <t xml:space="preserve">r09</t>
        </is>
      </c>
      <c r="D394" s="0" t="inlineStr">
        <is>
          <t xml:space="preserve">s_amer_west_in</t>
        </is>
      </c>
      <c r="E394" s="0" t="inlineStr">
        <is>
          <t xml:space="preserve">paid</t>
        </is>
      </c>
      <c r="F394" s="0" t="inlineStr">
        <is>
          <t xml:space="preserve">closed_lost</t>
        </is>
      </c>
      <c r="G394" s="4">
        <v>1</v>
      </c>
      <c r="H394" s="4">
        <v>52400</v>
      </c>
      <c r="I394" s="4">
        <v>1</v>
      </c>
      <c r="J394" s="4">
        <v>0</v>
      </c>
      <c r="K394" s="16">
        <v>46009</v>
      </c>
      <c r="L394" s="16">
        <v>46068</v>
      </c>
      <c r="M394" s="0" t="inlineStr">
        <is>
          <t xml:space="preserve">dec25</t>
        </is>
      </c>
      <c r="N394" s="0" t="inlineStr">
        <is>
          <t xml:space="preserve">feb26</t>
        </is>
      </c>
      <c r="O394" s="4">
        <v>59</v>
      </c>
      <c r="P394" s="4">
        <v>0</v>
      </c>
      <c r="Q394" s="4">
        <v>1</v>
      </c>
      <c r="R394" s="4">
        <v>0</v>
      </c>
      <c r="S394" s="4">
        <f>(H394*INDEX('Stages'!$D$2:$D$7,MATCH(F394,'Stages'!$A$2:$A$7,0)))</f>
        <v>0</v>
      </c>
      <c r="T394" s="4">
        <f>(H394*I394)</f>
        <v>52400</v>
      </c>
      <c r="U394" s="4">
        <f>(H394*(I394-1))</f>
        <v>0</v>
      </c>
      <c r="V394" s="0" t="str">
        <f>INDEX('Account executives'!$B$2:$B$25,MATCH(C394,'Account executives'!$A$2:$A$25,0))</f>
        <v>amer_west</v>
      </c>
      <c r="W394" s="0" t="str">
        <f>INDEX('Account executives'!$C$2:$C$25,MATCH(C394,'Account executives'!$A$2:$A$25,0))</f>
        <v>mid_market</v>
      </c>
      <c r="X394" s="0" t="str">
        <f>SUBSTITUTE(LOWER(INDEX('Periods'!$G$2:$G$22,MATCH(N394,'Periods'!$A$2:$A$22,0)))," ","_")</f>
        <v>q1_2026</v>
      </c>
    </row>
    <row r="395">
      <c r="A395" s="0" t="inlineStr">
        <is>
          <t xml:space="preserve">o0394</t>
        </is>
      </c>
      <c r="B395" s="0" t="inlineStr">
        <is>
          <t xml:space="preserve">a0399</t>
        </is>
      </c>
      <c r="C395" s="0" t="inlineStr">
        <is>
          <t xml:space="preserve">r15</t>
        </is>
      </c>
      <c r="D395" s="0"/>
      <c r="E395" s="0" t="inlineStr">
        <is>
          <t xml:space="preserve">partner</t>
        </is>
      </c>
      <c r="F395" s="0" t="inlineStr">
        <is>
          <t xml:space="preserve">closed_lost</t>
        </is>
      </c>
      <c r="G395" s="4">
        <v>1</v>
      </c>
      <c r="H395" s="4">
        <v>42600</v>
      </c>
      <c r="I395" s="4">
        <v>1</v>
      </c>
      <c r="J395" s="4">
        <v>0</v>
      </c>
      <c r="K395" s="16">
        <v>45915</v>
      </c>
      <c r="L395" s="16">
        <v>45957</v>
      </c>
      <c r="M395" s="0" t="inlineStr">
        <is>
          <t xml:space="preserve">sep25</t>
        </is>
      </c>
      <c r="N395" s="0" t="inlineStr">
        <is>
          <t xml:space="preserve">oct25</t>
        </is>
      </c>
      <c r="O395" s="4">
        <v>42</v>
      </c>
      <c r="P395" s="4">
        <v>0</v>
      </c>
      <c r="Q395" s="4">
        <v>1</v>
      </c>
      <c r="R395" s="4">
        <v>0</v>
      </c>
      <c r="S395" s="4">
        <f>(H395*INDEX('Stages'!$D$2:$D$7,MATCH(F395,'Stages'!$A$2:$A$7,0)))</f>
        <v>0</v>
      </c>
      <c r="T395" s="4">
        <f>(H395*I395)</f>
        <v>42600</v>
      </c>
      <c r="U395" s="4">
        <f>(H395*(I395-1))</f>
        <v>0</v>
      </c>
      <c r="V395" s="0" t="str">
        <f>INDEX('Account executives'!$B$2:$B$25,MATCH(C395,'Account executives'!$A$2:$A$25,0))</f>
        <v>emea</v>
      </c>
      <c r="W395" s="0" t="str">
        <f>INDEX('Account executives'!$C$2:$C$25,MATCH(C395,'Account executives'!$A$2:$A$25,0))</f>
        <v>mid_market</v>
      </c>
      <c r="X395" s="0" t="str">
        <f>SUBSTITUTE(LOWER(INDEX('Periods'!$G$2:$G$22,MATCH(N395,'Periods'!$A$2:$A$22,0)))," ","_")</f>
        <v>q4_2025</v>
      </c>
    </row>
    <row r="396">
      <c r="A396" s="0" t="inlineStr">
        <is>
          <t xml:space="preserve">o0395</t>
        </is>
      </c>
      <c r="B396" s="0" t="inlineStr">
        <is>
          <t xml:space="preserve">a0747</t>
        </is>
      </c>
      <c r="C396" s="0" t="inlineStr">
        <is>
          <t xml:space="preserve">r03</t>
        </is>
      </c>
      <c r="D396" s="0" t="inlineStr">
        <is>
          <t xml:space="preserve">s_amer_east_in</t>
        </is>
      </c>
      <c r="E396" s="0" t="inlineStr">
        <is>
          <t xml:space="preserve">paid</t>
        </is>
      </c>
      <c r="F396" s="0" t="inlineStr">
        <is>
          <t xml:space="preserve">closed_lost</t>
        </is>
      </c>
      <c r="G396" s="4">
        <v>0</v>
      </c>
      <c r="H396" s="4">
        <v>13400</v>
      </c>
      <c r="I396" s="4">
        <v>1</v>
      </c>
      <c r="J396" s="4">
        <v>0</v>
      </c>
      <c r="K396" s="16">
        <v>46149</v>
      </c>
      <c r="L396" s="16">
        <v>46197</v>
      </c>
      <c r="M396" s="0" t="inlineStr">
        <is>
          <t xml:space="preserve">may26</t>
        </is>
      </c>
      <c r="N396" s="0" t="inlineStr">
        <is>
          <t xml:space="preserve">jun26</t>
        </is>
      </c>
      <c r="O396" s="4">
        <v>48</v>
      </c>
      <c r="P396" s="4">
        <v>0</v>
      </c>
      <c r="Q396" s="4">
        <v>1</v>
      </c>
      <c r="R396" s="4">
        <v>0</v>
      </c>
      <c r="S396" s="4">
        <f>(H396*INDEX('Stages'!$D$2:$D$7,MATCH(F396,'Stages'!$A$2:$A$7,0)))</f>
        <v>0</v>
      </c>
      <c r="T396" s="4">
        <f>(H396*I396)</f>
        <v>13400</v>
      </c>
      <c r="U396" s="4">
        <f>(H396*(I396-1))</f>
        <v>0</v>
      </c>
      <c r="V396" s="0" t="str">
        <f>INDEX('Account executives'!$B$2:$B$25,MATCH(C396,'Account executives'!$A$2:$A$25,0))</f>
        <v>amer_east</v>
      </c>
      <c r="W396" s="0" t="str">
        <f>INDEX('Account executives'!$C$2:$C$25,MATCH(C396,'Account executives'!$A$2:$A$25,0))</f>
        <v>mid_market</v>
      </c>
      <c r="X396" s="0" t="str">
        <f>SUBSTITUTE(LOWER(INDEX('Periods'!$G$2:$G$22,MATCH(N396,'Periods'!$A$2:$A$22,0)))," ","_")</f>
        <v>q2_2026</v>
      </c>
    </row>
    <row r="397">
      <c r="A397" s="0" t="inlineStr">
        <is>
          <t xml:space="preserve">o0396</t>
        </is>
      </c>
      <c r="B397" s="0" t="inlineStr">
        <is>
          <t xml:space="preserve">a0467</t>
        </is>
      </c>
      <c r="C397" s="0" t="inlineStr">
        <is>
          <t xml:space="preserve">r24</t>
        </is>
      </c>
      <c r="D397" s="0" t="inlineStr">
        <is>
          <t xml:space="preserve">s_apac_in</t>
        </is>
      </c>
      <c r="E397" s="0" t="inlineStr">
        <is>
          <t xml:space="preserve">paid</t>
        </is>
      </c>
      <c r="F397" s="0" t="inlineStr">
        <is>
          <t xml:space="preserve">closed_lost</t>
        </is>
      </c>
      <c r="G397" s="4">
        <v>1</v>
      </c>
      <c r="H397" s="4">
        <v>19700</v>
      </c>
      <c r="I397" s="4">
        <v>1</v>
      </c>
      <c r="J397" s="4">
        <v>1</v>
      </c>
      <c r="K397" s="16">
        <v>45946</v>
      </c>
      <c r="L397" s="16">
        <v>46019</v>
      </c>
      <c r="M397" s="0" t="inlineStr">
        <is>
          <t xml:space="preserve">oct25</t>
        </is>
      </c>
      <c r="N397" s="0" t="inlineStr">
        <is>
          <t xml:space="preserve">dec25</t>
        </is>
      </c>
      <c r="O397" s="4">
        <v>73</v>
      </c>
      <c r="P397" s="4">
        <v>0</v>
      </c>
      <c r="Q397" s="4">
        <v>1</v>
      </c>
      <c r="R397" s="4">
        <v>0</v>
      </c>
      <c r="S397" s="4">
        <f>(H397*INDEX('Stages'!$D$2:$D$7,MATCH(F397,'Stages'!$A$2:$A$7,0)))</f>
        <v>0</v>
      </c>
      <c r="T397" s="4">
        <f>(H397*I397)</f>
        <v>19700</v>
      </c>
      <c r="U397" s="4">
        <f>(H397*(I397-1))</f>
        <v>0</v>
      </c>
      <c r="V397" s="0" t="str">
        <f>INDEX('Account executives'!$B$2:$B$25,MATCH(C397,'Account executives'!$A$2:$A$25,0))</f>
        <v>apac</v>
      </c>
      <c r="W397" s="0" t="str">
        <f>INDEX('Account executives'!$C$2:$C$25,MATCH(C397,'Account executives'!$A$2:$A$25,0))</f>
        <v>smb</v>
      </c>
      <c r="X397" s="0" t="str">
        <f>SUBSTITUTE(LOWER(INDEX('Periods'!$G$2:$G$22,MATCH(N397,'Periods'!$A$2:$A$22,0)))," ","_")</f>
        <v>q4_2025</v>
      </c>
    </row>
    <row r="398">
      <c r="A398" s="0" t="inlineStr">
        <is>
          <t xml:space="preserve">o0397</t>
        </is>
      </c>
      <c r="B398" s="0" t="inlineStr">
        <is>
          <t xml:space="preserve">a0281</t>
        </is>
      </c>
      <c r="C398" s="0" t="inlineStr">
        <is>
          <t xml:space="preserve">r15</t>
        </is>
      </c>
      <c r="D398" s="0" t="inlineStr">
        <is>
          <t xml:space="preserve">s_emea_in</t>
        </is>
      </c>
      <c r="E398" s="0" t="inlineStr">
        <is>
          <t xml:space="preserve">inbound</t>
        </is>
      </c>
      <c r="F398" s="0" t="inlineStr">
        <is>
          <t xml:space="preserve">closed_won</t>
        </is>
      </c>
      <c r="G398" s="4">
        <v>1</v>
      </c>
      <c r="H398" s="4">
        <v>66700</v>
      </c>
      <c r="I398" s="4">
        <v>2</v>
      </c>
      <c r="J398" s="4">
        <v>1</v>
      </c>
      <c r="K398" s="16">
        <v>45841</v>
      </c>
      <c r="L398" s="16">
        <v>45928</v>
      </c>
      <c r="M398" s="0" t="inlineStr">
        <is>
          <t xml:space="preserve">jul25</t>
        </is>
      </c>
      <c r="N398" s="0" t="inlineStr">
        <is>
          <t xml:space="preserve">sep25</t>
        </is>
      </c>
      <c r="O398" s="4">
        <v>87</v>
      </c>
      <c r="P398" s="4">
        <v>1</v>
      </c>
      <c r="Q398" s="4">
        <v>0</v>
      </c>
      <c r="R398" s="4">
        <v>0</v>
      </c>
      <c r="S398" s="4">
        <f>(H398*INDEX('Stages'!$D$2:$D$7,MATCH(F398,'Stages'!$A$2:$A$7,0)))</f>
        <v>66700</v>
      </c>
      <c r="T398" s="4">
        <f>(H398*I398)</f>
        <v>133400</v>
      </c>
      <c r="U398" s="4">
        <f>(H398*(I398-1))</f>
        <v>66700</v>
      </c>
      <c r="V398" s="0" t="str">
        <f>INDEX('Account executives'!$B$2:$B$25,MATCH(C398,'Account executives'!$A$2:$A$25,0))</f>
        <v>emea</v>
      </c>
      <c r="W398" s="0" t="str">
        <f>INDEX('Account executives'!$C$2:$C$25,MATCH(C398,'Account executives'!$A$2:$A$25,0))</f>
        <v>mid_market</v>
      </c>
      <c r="X398" s="0" t="str">
        <f>SUBSTITUTE(LOWER(INDEX('Periods'!$G$2:$G$22,MATCH(N398,'Periods'!$A$2:$A$22,0)))," ","_")</f>
        <v>q3_2025</v>
      </c>
    </row>
    <row r="399">
      <c r="A399" s="0" t="inlineStr">
        <is>
          <t xml:space="preserve">o0398</t>
        </is>
      </c>
      <c r="B399" s="0" t="inlineStr">
        <is>
          <t xml:space="preserve">a1100</t>
        </is>
      </c>
      <c r="C399" s="0" t="inlineStr">
        <is>
          <t xml:space="preserve">r09</t>
        </is>
      </c>
      <c r="D399" s="0" t="inlineStr">
        <is>
          <t xml:space="preserve">s_amer_west_in</t>
        </is>
      </c>
      <c r="E399" s="0" t="inlineStr">
        <is>
          <t xml:space="preserve">paid</t>
        </is>
      </c>
      <c r="F399" s="0" t="inlineStr">
        <is>
          <t xml:space="preserve">closed_won</t>
        </is>
      </c>
      <c r="G399" s="4">
        <v>1</v>
      </c>
      <c r="H399" s="4">
        <v>139500</v>
      </c>
      <c r="I399" s="4">
        <v>1</v>
      </c>
      <c r="J399" s="4">
        <v>0</v>
      </c>
      <c r="K399" s="16">
        <v>46223</v>
      </c>
      <c r="L399" s="16">
        <v>46271</v>
      </c>
      <c r="M399" s="0" t="inlineStr">
        <is>
          <t xml:space="preserve">jul26</t>
        </is>
      </c>
      <c r="N399" s="0" t="inlineStr">
        <is>
          <t xml:space="preserve">sep26</t>
        </is>
      </c>
      <c r="O399" s="4">
        <v>48</v>
      </c>
      <c r="P399" s="4">
        <v>1</v>
      </c>
      <c r="Q399" s="4">
        <v>0</v>
      </c>
      <c r="R399" s="4">
        <v>0</v>
      </c>
      <c r="S399" s="4">
        <f>(H399*INDEX('Stages'!$D$2:$D$7,MATCH(F399,'Stages'!$A$2:$A$7,0)))</f>
        <v>139500</v>
      </c>
      <c r="T399" s="4">
        <f>(H399*I399)</f>
        <v>139500</v>
      </c>
      <c r="U399" s="4">
        <f>(H399*(I399-1))</f>
        <v>0</v>
      </c>
      <c r="V399" s="0" t="str">
        <f>INDEX('Account executives'!$B$2:$B$25,MATCH(C399,'Account executives'!$A$2:$A$25,0))</f>
        <v>amer_west</v>
      </c>
      <c r="W399" s="0" t="str">
        <f>INDEX('Account executives'!$C$2:$C$25,MATCH(C399,'Account executives'!$A$2:$A$25,0))</f>
        <v>mid_market</v>
      </c>
      <c r="X399" s="0" t="str">
        <f>SUBSTITUTE(LOWER(INDEX('Periods'!$G$2:$G$22,MATCH(N399,'Periods'!$A$2:$A$22,0)))," ","_")</f>
        <v>q3_2026</v>
      </c>
    </row>
    <row r="400">
      <c r="A400" s="0" t="inlineStr">
        <is>
          <t xml:space="preserve">o0399</t>
        </is>
      </c>
      <c r="B400" s="0" t="inlineStr">
        <is>
          <t xml:space="preserve">a0661</t>
        </is>
      </c>
      <c r="C400" s="0" t="inlineStr">
        <is>
          <t xml:space="preserve">r05</t>
        </is>
      </c>
      <c r="D400" s="0" t="inlineStr">
        <is>
          <t xml:space="preserve">s_amer_east_in</t>
        </is>
      </c>
      <c r="E400" s="0" t="inlineStr">
        <is>
          <t xml:space="preserve">inbound</t>
        </is>
      </c>
      <c r="F400" s="0" t="inlineStr">
        <is>
          <t xml:space="preserve">closed_lost</t>
        </is>
      </c>
      <c r="G400" s="4">
        <v>1</v>
      </c>
      <c r="H400" s="4">
        <v>22200</v>
      </c>
      <c r="I400" s="4">
        <v>1</v>
      </c>
      <c r="J400" s="4">
        <v>1</v>
      </c>
      <c r="K400" s="16">
        <v>46061</v>
      </c>
      <c r="L400" s="16">
        <v>46094</v>
      </c>
      <c r="M400" s="0" t="inlineStr">
        <is>
          <t xml:space="preserve">feb26</t>
        </is>
      </c>
      <c r="N400" s="0" t="inlineStr">
        <is>
          <t xml:space="preserve">mar26</t>
        </is>
      </c>
      <c r="O400" s="4">
        <v>33</v>
      </c>
      <c r="P400" s="4">
        <v>0</v>
      </c>
      <c r="Q400" s="4">
        <v>1</v>
      </c>
      <c r="R400" s="4">
        <v>0</v>
      </c>
      <c r="S400" s="4">
        <f>(H400*INDEX('Stages'!$D$2:$D$7,MATCH(F400,'Stages'!$A$2:$A$7,0)))</f>
        <v>0</v>
      </c>
      <c r="T400" s="4">
        <f>(H400*I400)</f>
        <v>22200</v>
      </c>
      <c r="U400" s="4">
        <f>(H400*(I400-1))</f>
        <v>0</v>
      </c>
      <c r="V400" s="0" t="str">
        <f>INDEX('Account executives'!$B$2:$B$25,MATCH(C400,'Account executives'!$A$2:$A$25,0))</f>
        <v>amer_east</v>
      </c>
      <c r="W400" s="0" t="str">
        <f>INDEX('Account executives'!$C$2:$C$25,MATCH(C400,'Account executives'!$A$2:$A$25,0))</f>
        <v>smb</v>
      </c>
      <c r="X400" s="0" t="str">
        <f>SUBSTITUTE(LOWER(INDEX('Periods'!$G$2:$G$22,MATCH(N400,'Periods'!$A$2:$A$22,0)))," ","_")</f>
        <v>q1_2026</v>
      </c>
    </row>
    <row r="401">
      <c r="A401" s="0" t="inlineStr">
        <is>
          <t xml:space="preserve">o0400</t>
        </is>
      </c>
      <c r="B401" s="0" t="inlineStr">
        <is>
          <t xml:space="preserve">a0200</t>
        </is>
      </c>
      <c r="C401" s="0" t="inlineStr">
        <is>
          <t xml:space="preserve">r09</t>
        </is>
      </c>
      <c r="D401" s="0" t="inlineStr">
        <is>
          <t xml:space="preserve">s_amer_west_in</t>
        </is>
      </c>
      <c r="E401" s="0" t="inlineStr">
        <is>
          <t xml:space="preserve">inbound</t>
        </is>
      </c>
      <c r="F401" s="0" t="inlineStr">
        <is>
          <t xml:space="preserve">closed_lost</t>
        </is>
      </c>
      <c r="G401" s="4">
        <v>0</v>
      </c>
      <c r="H401" s="4">
        <v>11300</v>
      </c>
      <c r="I401" s="4">
        <v>1</v>
      </c>
      <c r="J401" s="4">
        <v>0</v>
      </c>
      <c r="K401" s="16">
        <v>45840</v>
      </c>
      <c r="L401" s="16">
        <v>45860</v>
      </c>
      <c r="M401" s="0" t="inlineStr">
        <is>
          <t xml:space="preserve">jul25</t>
        </is>
      </c>
      <c r="N401" s="0" t="inlineStr">
        <is>
          <t xml:space="preserve">jul25</t>
        </is>
      </c>
      <c r="O401" s="4">
        <v>20</v>
      </c>
      <c r="P401" s="4">
        <v>0</v>
      </c>
      <c r="Q401" s="4">
        <v>1</v>
      </c>
      <c r="R401" s="4">
        <v>0</v>
      </c>
      <c r="S401" s="4">
        <f>(H401*INDEX('Stages'!$D$2:$D$7,MATCH(F401,'Stages'!$A$2:$A$7,0)))</f>
        <v>0</v>
      </c>
      <c r="T401" s="4">
        <f>(H401*I401)</f>
        <v>11300</v>
      </c>
      <c r="U401" s="4">
        <f>(H401*(I401-1))</f>
        <v>0</v>
      </c>
      <c r="V401" s="0" t="str">
        <f>INDEX('Account executives'!$B$2:$B$25,MATCH(C401,'Account executives'!$A$2:$A$25,0))</f>
        <v>amer_west</v>
      </c>
      <c r="W401" s="0" t="str">
        <f>INDEX('Account executives'!$C$2:$C$25,MATCH(C401,'Account executives'!$A$2:$A$25,0))</f>
        <v>mid_market</v>
      </c>
      <c r="X401" s="0" t="str">
        <f>SUBSTITUTE(LOWER(INDEX('Periods'!$G$2:$G$22,MATCH(N401,'Periods'!$A$2:$A$22,0)))," ","_")</f>
        <v>q3_2025</v>
      </c>
    </row>
    <row r="402">
      <c r="A402" s="0" t="inlineStr">
        <is>
          <t xml:space="preserve">o0401</t>
        </is>
      </c>
      <c r="B402" s="0" t="inlineStr">
        <is>
          <t xml:space="preserve">a0325</t>
        </is>
      </c>
      <c r="C402" s="0" t="inlineStr">
        <is>
          <t xml:space="preserve">r09</t>
        </is>
      </c>
      <c r="D402" s="0" t="inlineStr">
        <is>
          <t xml:space="preserve">s_amer_west_in</t>
        </is>
      </c>
      <c r="E402" s="0" t="inlineStr">
        <is>
          <t xml:space="preserve">inbound</t>
        </is>
      </c>
      <c r="F402" s="0" t="inlineStr">
        <is>
          <t xml:space="preserve">closed_lost</t>
        </is>
      </c>
      <c r="G402" s="4">
        <v>1</v>
      </c>
      <c r="H402" s="4">
        <v>31100</v>
      </c>
      <c r="I402" s="4">
        <v>2</v>
      </c>
      <c r="J402" s="4">
        <v>0</v>
      </c>
      <c r="K402" s="16">
        <v>45875</v>
      </c>
      <c r="L402" s="16">
        <v>46019</v>
      </c>
      <c r="M402" s="0" t="inlineStr">
        <is>
          <t xml:space="preserve">aug25</t>
        </is>
      </c>
      <c r="N402" s="0" t="inlineStr">
        <is>
          <t xml:space="preserve">dec25</t>
        </is>
      </c>
      <c r="O402" s="4">
        <v>144</v>
      </c>
      <c r="P402" s="4">
        <v>0</v>
      </c>
      <c r="Q402" s="4">
        <v>1</v>
      </c>
      <c r="R402" s="4">
        <v>0</v>
      </c>
      <c r="S402" s="4">
        <f>(H402*INDEX('Stages'!$D$2:$D$7,MATCH(F402,'Stages'!$A$2:$A$7,0)))</f>
        <v>0</v>
      </c>
      <c r="T402" s="4">
        <f>(H402*I402)</f>
        <v>62200</v>
      </c>
      <c r="U402" s="4">
        <f>(H402*(I402-1))</f>
        <v>31100</v>
      </c>
      <c r="V402" s="0" t="str">
        <f>INDEX('Account executives'!$B$2:$B$25,MATCH(C402,'Account executives'!$A$2:$A$25,0))</f>
        <v>amer_west</v>
      </c>
      <c r="W402" s="0" t="str">
        <f>INDEX('Account executives'!$C$2:$C$25,MATCH(C402,'Account executives'!$A$2:$A$25,0))</f>
        <v>mid_market</v>
      </c>
      <c r="X402" s="0" t="str">
        <f>SUBSTITUTE(LOWER(INDEX('Periods'!$G$2:$G$22,MATCH(N402,'Periods'!$A$2:$A$22,0)))," ","_")</f>
        <v>q4_2025</v>
      </c>
    </row>
    <row r="403">
      <c r="A403" s="0" t="inlineStr">
        <is>
          <t xml:space="preserve">o0402</t>
        </is>
      </c>
      <c r="B403" s="0" t="inlineStr">
        <is>
          <t xml:space="preserve">a0146</t>
        </is>
      </c>
      <c r="C403" s="0" t="inlineStr">
        <is>
          <t xml:space="preserve">r19</t>
        </is>
      </c>
      <c r="D403" s="0"/>
      <c r="E403" s="0" t="inlineStr">
        <is>
          <t xml:space="preserve">partner</t>
        </is>
      </c>
      <c r="F403" s="0" t="inlineStr">
        <is>
          <t xml:space="preserve">closed_lost</t>
        </is>
      </c>
      <c r="G403" s="4">
        <v>0</v>
      </c>
      <c r="H403" s="4">
        <v>86200</v>
      </c>
      <c r="I403" s="4">
        <v>1</v>
      </c>
      <c r="J403" s="4">
        <v>0</v>
      </c>
      <c r="K403" s="16">
        <v>45995</v>
      </c>
      <c r="L403" s="16">
        <v>46116</v>
      </c>
      <c r="M403" s="0" t="inlineStr">
        <is>
          <t xml:space="preserve">dec25</t>
        </is>
      </c>
      <c r="N403" s="0" t="inlineStr">
        <is>
          <t xml:space="preserve">apr26</t>
        </is>
      </c>
      <c r="O403" s="4">
        <v>121</v>
      </c>
      <c r="P403" s="4">
        <v>0</v>
      </c>
      <c r="Q403" s="4">
        <v>1</v>
      </c>
      <c r="R403" s="4">
        <v>0</v>
      </c>
      <c r="S403" s="4">
        <f>(H403*INDEX('Stages'!$D$2:$D$7,MATCH(F403,'Stages'!$A$2:$A$7,0)))</f>
        <v>0</v>
      </c>
      <c r="T403" s="4">
        <f>(H403*I403)</f>
        <v>86200</v>
      </c>
      <c r="U403" s="4">
        <f>(H403*(I403-1))</f>
        <v>0</v>
      </c>
      <c r="V403" s="0" t="str">
        <f>INDEX('Account executives'!$B$2:$B$25,MATCH(C403,'Account executives'!$A$2:$A$25,0))</f>
        <v>apac</v>
      </c>
      <c r="W403" s="0" t="str">
        <f>INDEX('Account executives'!$C$2:$C$25,MATCH(C403,'Account executives'!$A$2:$A$25,0))</f>
        <v>enterprise</v>
      </c>
      <c r="X403" s="0" t="str">
        <f>SUBSTITUTE(LOWER(INDEX('Periods'!$G$2:$G$22,MATCH(N403,'Periods'!$A$2:$A$22,0)))," ","_")</f>
        <v>q2_2026</v>
      </c>
    </row>
    <row r="404">
      <c r="A404" s="0" t="inlineStr">
        <is>
          <t xml:space="preserve">o0403</t>
        </is>
      </c>
      <c r="B404" s="0" t="inlineStr">
        <is>
          <t xml:space="preserve">a0892</t>
        </is>
      </c>
      <c r="C404" s="0" t="inlineStr">
        <is>
          <t xml:space="preserve">r03</t>
        </is>
      </c>
      <c r="D404" s="0" t="inlineStr">
        <is>
          <t xml:space="preserve">s_amer_east_in</t>
        </is>
      </c>
      <c r="E404" s="0" t="inlineStr">
        <is>
          <t xml:space="preserve">inbound</t>
        </is>
      </c>
      <c r="F404" s="0" t="inlineStr">
        <is>
          <t xml:space="preserve">closed_lost</t>
        </is>
      </c>
      <c r="G404" s="4">
        <v>1</v>
      </c>
      <c r="H404" s="4">
        <v>71600</v>
      </c>
      <c r="I404" s="4">
        <v>1</v>
      </c>
      <c r="J404" s="4">
        <v>1</v>
      </c>
      <c r="K404" s="16">
        <v>46162</v>
      </c>
      <c r="L404" s="16">
        <v>46225</v>
      </c>
      <c r="M404" s="0" t="inlineStr">
        <is>
          <t xml:space="preserve">may26</t>
        </is>
      </c>
      <c r="N404" s="0" t="inlineStr">
        <is>
          <t xml:space="preserve">jul26</t>
        </is>
      </c>
      <c r="O404" s="4">
        <v>63</v>
      </c>
      <c r="P404" s="4">
        <v>0</v>
      </c>
      <c r="Q404" s="4">
        <v>1</v>
      </c>
      <c r="R404" s="4">
        <v>0</v>
      </c>
      <c r="S404" s="4">
        <f>(H404*INDEX('Stages'!$D$2:$D$7,MATCH(F404,'Stages'!$A$2:$A$7,0)))</f>
        <v>0</v>
      </c>
      <c r="T404" s="4">
        <f>(H404*I404)</f>
        <v>71600</v>
      </c>
      <c r="U404" s="4">
        <f>(H404*(I404-1))</f>
        <v>0</v>
      </c>
      <c r="V404" s="0" t="str">
        <f>INDEX('Account executives'!$B$2:$B$25,MATCH(C404,'Account executives'!$A$2:$A$25,0))</f>
        <v>amer_east</v>
      </c>
      <c r="W404" s="0" t="str">
        <f>INDEX('Account executives'!$C$2:$C$25,MATCH(C404,'Account executives'!$A$2:$A$25,0))</f>
        <v>mid_market</v>
      </c>
      <c r="X404" s="0" t="str">
        <f>SUBSTITUTE(LOWER(INDEX('Periods'!$G$2:$G$22,MATCH(N404,'Periods'!$A$2:$A$22,0)))," ","_")</f>
        <v>q3_2026</v>
      </c>
    </row>
    <row r="405">
      <c r="A405" s="0" t="inlineStr">
        <is>
          <t xml:space="preserve">o0404</t>
        </is>
      </c>
      <c r="B405" s="0" t="inlineStr">
        <is>
          <t xml:space="preserve">a0706</t>
        </is>
      </c>
      <c r="C405" s="0" t="inlineStr">
        <is>
          <t xml:space="preserve">r13</t>
        </is>
      </c>
      <c r="D405" s="0" t="inlineStr">
        <is>
          <t xml:space="preserve">s_emea_out</t>
        </is>
      </c>
      <c r="E405" s="0" t="inlineStr">
        <is>
          <t xml:space="preserve">outbound</t>
        </is>
      </c>
      <c r="F405" s="0" t="inlineStr">
        <is>
          <t xml:space="preserve">closed_lost</t>
        </is>
      </c>
      <c r="G405" s="4">
        <v>1</v>
      </c>
      <c r="H405" s="4">
        <v>189300</v>
      </c>
      <c r="I405" s="4">
        <v>2</v>
      </c>
      <c r="J405" s="4">
        <v>0</v>
      </c>
      <c r="K405" s="16">
        <v>46067</v>
      </c>
      <c r="L405" s="16">
        <v>46137</v>
      </c>
      <c r="M405" s="0" t="inlineStr">
        <is>
          <t xml:space="preserve">feb26</t>
        </is>
      </c>
      <c r="N405" s="0" t="inlineStr">
        <is>
          <t xml:space="preserve">apr26</t>
        </is>
      </c>
      <c r="O405" s="4">
        <v>70</v>
      </c>
      <c r="P405" s="4">
        <v>0</v>
      </c>
      <c r="Q405" s="4">
        <v>1</v>
      </c>
      <c r="R405" s="4">
        <v>0</v>
      </c>
      <c r="S405" s="4">
        <f>(H405*INDEX('Stages'!$D$2:$D$7,MATCH(F405,'Stages'!$A$2:$A$7,0)))</f>
        <v>0</v>
      </c>
      <c r="T405" s="4">
        <f>(H405*I405)</f>
        <v>378600</v>
      </c>
      <c r="U405" s="4">
        <f>(H405*(I405-1))</f>
        <v>189300</v>
      </c>
      <c r="V405" s="0" t="str">
        <f>INDEX('Account executives'!$B$2:$B$25,MATCH(C405,'Account executives'!$A$2:$A$25,0))</f>
        <v>emea</v>
      </c>
      <c r="W405" s="0" t="str">
        <f>INDEX('Account executives'!$C$2:$C$25,MATCH(C405,'Account executives'!$A$2:$A$25,0))</f>
        <v>enterprise</v>
      </c>
      <c r="X405" s="0" t="str">
        <f>SUBSTITUTE(LOWER(INDEX('Periods'!$G$2:$G$22,MATCH(N405,'Periods'!$A$2:$A$22,0)))," ","_")</f>
        <v>q2_2026</v>
      </c>
    </row>
    <row r="406">
      <c r="A406" s="0" t="inlineStr">
        <is>
          <t xml:space="preserve">o0405</t>
        </is>
      </c>
      <c r="B406" s="0" t="inlineStr">
        <is>
          <t xml:space="preserve">a0736</t>
        </is>
      </c>
      <c r="C406" s="0" t="inlineStr">
        <is>
          <t xml:space="preserve">r06</t>
        </is>
      </c>
      <c r="D406" s="0"/>
      <c r="E406" s="0" t="inlineStr">
        <is>
          <t xml:space="preserve">events</t>
        </is>
      </c>
      <c r="F406" s="0" t="inlineStr">
        <is>
          <t xml:space="preserve">closed_lost</t>
        </is>
      </c>
      <c r="G406" s="4">
        <v>1</v>
      </c>
      <c r="H406" s="4">
        <v>5700</v>
      </c>
      <c r="I406" s="4">
        <v>1</v>
      </c>
      <c r="J406" s="4">
        <v>1</v>
      </c>
      <c r="K406" s="16">
        <v>46103</v>
      </c>
      <c r="L406" s="16">
        <v>46110</v>
      </c>
      <c r="M406" s="0" t="inlineStr">
        <is>
          <t xml:space="preserve">mar26</t>
        </is>
      </c>
      <c r="N406" s="0" t="inlineStr">
        <is>
          <t xml:space="preserve">mar26</t>
        </is>
      </c>
      <c r="O406" s="4">
        <v>7</v>
      </c>
      <c r="P406" s="4">
        <v>0</v>
      </c>
      <c r="Q406" s="4">
        <v>1</v>
      </c>
      <c r="R406" s="4">
        <v>0</v>
      </c>
      <c r="S406" s="4">
        <f>(H406*INDEX('Stages'!$D$2:$D$7,MATCH(F406,'Stages'!$A$2:$A$7,0)))</f>
        <v>0</v>
      </c>
      <c r="T406" s="4">
        <f>(H406*I406)</f>
        <v>5700</v>
      </c>
      <c r="U406" s="4">
        <f>(H406*(I406-1))</f>
        <v>0</v>
      </c>
      <c r="V406" s="0" t="str">
        <f>INDEX('Account executives'!$B$2:$B$25,MATCH(C406,'Account executives'!$A$2:$A$25,0))</f>
        <v>amer_east</v>
      </c>
      <c r="W406" s="0" t="str">
        <f>INDEX('Account executives'!$C$2:$C$25,MATCH(C406,'Account executives'!$A$2:$A$25,0))</f>
        <v>smb</v>
      </c>
      <c r="X406" s="0" t="str">
        <f>SUBSTITUTE(LOWER(INDEX('Periods'!$G$2:$G$22,MATCH(N406,'Periods'!$A$2:$A$22,0)))," ","_")</f>
        <v>q1_2026</v>
      </c>
    </row>
    <row r="407">
      <c r="A407" s="0" t="inlineStr">
        <is>
          <t xml:space="preserve">o0406</t>
        </is>
      </c>
      <c r="B407" s="0" t="inlineStr">
        <is>
          <t xml:space="preserve">a1185</t>
        </is>
      </c>
      <c r="C407" s="0" t="inlineStr">
        <is>
          <t xml:space="preserve">r14</t>
        </is>
      </c>
      <c r="D407" s="0" t="inlineStr">
        <is>
          <t xml:space="preserve">s_emea_in</t>
        </is>
      </c>
      <c r="E407" s="0" t="inlineStr">
        <is>
          <t xml:space="preserve">inbound</t>
        </is>
      </c>
      <c r="F407" s="0" t="inlineStr">
        <is>
          <t xml:space="preserve">evaluation</t>
        </is>
      </c>
      <c r="G407" s="4">
        <v>1</v>
      </c>
      <c r="H407" s="4">
        <v>91100</v>
      </c>
      <c r="I407" s="4">
        <v>1</v>
      </c>
      <c r="J407" s="4">
        <v>0</v>
      </c>
      <c r="K407" s="16">
        <v>46245</v>
      </c>
      <c r="L407" s="16">
        <v>46316</v>
      </c>
      <c r="M407" s="0" t="inlineStr">
        <is>
          <t xml:space="preserve">aug26</t>
        </is>
      </c>
      <c r="N407" s="0" t="inlineStr">
        <is>
          <t xml:space="preserve">oct26</t>
        </is>
      </c>
      <c r="O407" s="4">
        <v>99</v>
      </c>
      <c r="P407" s="4">
        <v>0</v>
      </c>
      <c r="Q407" s="4">
        <v>0</v>
      </c>
      <c r="R407" s="4">
        <v>1</v>
      </c>
      <c r="S407" s="4">
        <f>(H407*INDEX('Stages'!$D$2:$D$7,MATCH(F407,'Stages'!$A$2:$A$7,0)))</f>
        <v>22775</v>
      </c>
      <c r="T407" s="4">
        <f>(H407*I407)</f>
        <v>91100</v>
      </c>
      <c r="U407" s="4">
        <f>(H407*(I407-1))</f>
        <v>0</v>
      </c>
      <c r="V407" s="0" t="str">
        <f>INDEX('Account executives'!$B$2:$B$25,MATCH(C407,'Account executives'!$A$2:$A$25,0))</f>
        <v>emea</v>
      </c>
      <c r="W407" s="0" t="str">
        <f>INDEX('Account executives'!$C$2:$C$25,MATCH(C407,'Account executives'!$A$2:$A$25,0))</f>
        <v>enterprise</v>
      </c>
      <c r="X407" s="0" t="str">
        <f>SUBSTITUTE(LOWER(INDEX('Periods'!$G$2:$G$22,MATCH(N407,'Periods'!$A$2:$A$22,0)))," ","_")</f>
        <v>q4_2026</v>
      </c>
    </row>
    <row r="408">
      <c r="A408" s="0" t="inlineStr">
        <is>
          <t xml:space="preserve">o0407</t>
        </is>
      </c>
      <c r="B408" s="0" t="inlineStr">
        <is>
          <t xml:space="preserve">a0561</t>
        </is>
      </c>
      <c r="C408" s="0" t="inlineStr">
        <is>
          <t xml:space="preserve">r12</t>
        </is>
      </c>
      <c r="D408" s="0" t="inlineStr">
        <is>
          <t xml:space="preserve">s_amer_west_in</t>
        </is>
      </c>
      <c r="E408" s="0" t="inlineStr">
        <is>
          <t xml:space="preserve">inbound</t>
        </is>
      </c>
      <c r="F408" s="0" t="inlineStr">
        <is>
          <t xml:space="preserve">closed_won</t>
        </is>
      </c>
      <c r="G408" s="4">
        <v>1</v>
      </c>
      <c r="H408" s="4">
        <v>5400</v>
      </c>
      <c r="I408" s="4">
        <v>1</v>
      </c>
      <c r="J408" s="4">
        <v>0</v>
      </c>
      <c r="K408" s="16">
        <v>45993</v>
      </c>
      <c r="L408" s="16">
        <v>46021</v>
      </c>
      <c r="M408" s="0" t="inlineStr">
        <is>
          <t xml:space="preserve">dec25</t>
        </is>
      </c>
      <c r="N408" s="0" t="inlineStr">
        <is>
          <t xml:space="preserve">dec25</t>
        </is>
      </c>
      <c r="O408" s="4">
        <v>28</v>
      </c>
      <c r="P408" s="4">
        <v>1</v>
      </c>
      <c r="Q408" s="4">
        <v>0</v>
      </c>
      <c r="R408" s="4">
        <v>0</v>
      </c>
      <c r="S408" s="4">
        <f>(H408*INDEX('Stages'!$D$2:$D$7,MATCH(F408,'Stages'!$A$2:$A$7,0)))</f>
        <v>5400</v>
      </c>
      <c r="T408" s="4">
        <f>(H408*I408)</f>
        <v>5400</v>
      </c>
      <c r="U408" s="4">
        <f>(H408*(I408-1))</f>
        <v>0</v>
      </c>
      <c r="V408" s="0" t="str">
        <f>INDEX('Account executives'!$B$2:$B$25,MATCH(C408,'Account executives'!$A$2:$A$25,0))</f>
        <v>amer_west</v>
      </c>
      <c r="W408" s="0" t="str">
        <f>INDEX('Account executives'!$C$2:$C$25,MATCH(C408,'Account executives'!$A$2:$A$25,0))</f>
        <v>smb</v>
      </c>
      <c r="X408" s="0" t="str">
        <f>SUBSTITUTE(LOWER(INDEX('Periods'!$G$2:$G$22,MATCH(N408,'Periods'!$A$2:$A$22,0)))," ","_")</f>
        <v>q4_2025</v>
      </c>
    </row>
    <row r="409">
      <c r="A409" s="0" t="inlineStr">
        <is>
          <t xml:space="preserve">o0408</t>
        </is>
      </c>
      <c r="B409" s="0" t="inlineStr">
        <is>
          <t xml:space="preserve">a0883</t>
        </is>
      </c>
      <c r="C409" s="0" t="inlineStr">
        <is>
          <t xml:space="preserve">r21</t>
        </is>
      </c>
      <c r="D409" s="0" t="inlineStr">
        <is>
          <t xml:space="preserve">s_apac_out</t>
        </is>
      </c>
      <c r="E409" s="0" t="inlineStr">
        <is>
          <t xml:space="preserve">outbound</t>
        </is>
      </c>
      <c r="F409" s="0" t="inlineStr">
        <is>
          <t xml:space="preserve">closed_won</t>
        </is>
      </c>
      <c r="G409" s="4">
        <v>1</v>
      </c>
      <c r="H409" s="4">
        <v>29700</v>
      </c>
      <c r="I409" s="4">
        <v>1</v>
      </c>
      <c r="J409" s="4">
        <v>1</v>
      </c>
      <c r="K409" s="16">
        <v>46120</v>
      </c>
      <c r="L409" s="16">
        <v>46194</v>
      </c>
      <c r="M409" s="0" t="inlineStr">
        <is>
          <t xml:space="preserve">apr26</t>
        </is>
      </c>
      <c r="N409" s="0" t="inlineStr">
        <is>
          <t xml:space="preserve">jun26</t>
        </is>
      </c>
      <c r="O409" s="4">
        <v>74</v>
      </c>
      <c r="P409" s="4">
        <v>1</v>
      </c>
      <c r="Q409" s="4">
        <v>0</v>
      </c>
      <c r="R409" s="4">
        <v>0</v>
      </c>
      <c r="S409" s="4">
        <f>(H409*INDEX('Stages'!$D$2:$D$7,MATCH(F409,'Stages'!$A$2:$A$7,0)))</f>
        <v>29700</v>
      </c>
      <c r="T409" s="4">
        <f>(H409*I409)</f>
        <v>29700</v>
      </c>
      <c r="U409" s="4">
        <f>(H409*(I409-1))</f>
        <v>0</v>
      </c>
      <c r="V409" s="0" t="str">
        <f>INDEX('Account executives'!$B$2:$B$25,MATCH(C409,'Account executives'!$A$2:$A$25,0))</f>
        <v>apac</v>
      </c>
      <c r="W409" s="0" t="str">
        <f>INDEX('Account executives'!$C$2:$C$25,MATCH(C409,'Account executives'!$A$2:$A$25,0))</f>
        <v>mid_market</v>
      </c>
      <c r="X409" s="0" t="str">
        <f>SUBSTITUTE(LOWER(INDEX('Periods'!$G$2:$G$22,MATCH(N409,'Periods'!$A$2:$A$22,0)))," ","_")</f>
        <v>q2_2026</v>
      </c>
    </row>
    <row r="410">
      <c r="A410" s="0" t="inlineStr">
        <is>
          <t xml:space="preserve">o0409</t>
        </is>
      </c>
      <c r="B410" s="0" t="inlineStr">
        <is>
          <t xml:space="preserve">a0836</t>
        </is>
      </c>
      <c r="C410" s="0" t="inlineStr">
        <is>
          <t xml:space="preserve">r06</t>
        </is>
      </c>
      <c r="D410" s="0" t="inlineStr">
        <is>
          <t xml:space="preserve">s_amer_east_out</t>
        </is>
      </c>
      <c r="E410" s="0" t="inlineStr">
        <is>
          <t xml:space="preserve">outbound</t>
        </is>
      </c>
      <c r="F410" s="0" t="inlineStr">
        <is>
          <t xml:space="preserve">closed_lost</t>
        </is>
      </c>
      <c r="G410" s="4">
        <v>1</v>
      </c>
      <c r="H410" s="4">
        <v>9200</v>
      </c>
      <c r="I410" s="4">
        <v>1</v>
      </c>
      <c r="J410" s="4">
        <v>0</v>
      </c>
      <c r="K410" s="16">
        <v>46135</v>
      </c>
      <c r="L410" s="16">
        <v>46176</v>
      </c>
      <c r="M410" s="0" t="inlineStr">
        <is>
          <t xml:space="preserve">apr26</t>
        </is>
      </c>
      <c r="N410" s="0" t="inlineStr">
        <is>
          <t xml:space="preserve">jun26</t>
        </is>
      </c>
      <c r="O410" s="4">
        <v>41</v>
      </c>
      <c r="P410" s="4">
        <v>0</v>
      </c>
      <c r="Q410" s="4">
        <v>1</v>
      </c>
      <c r="R410" s="4">
        <v>0</v>
      </c>
      <c r="S410" s="4">
        <f>(H410*INDEX('Stages'!$D$2:$D$7,MATCH(F410,'Stages'!$A$2:$A$7,0)))</f>
        <v>0</v>
      </c>
      <c r="T410" s="4">
        <f>(H410*I410)</f>
        <v>9200</v>
      </c>
      <c r="U410" s="4">
        <f>(H410*(I410-1))</f>
        <v>0</v>
      </c>
      <c r="V410" s="0" t="str">
        <f>INDEX('Account executives'!$B$2:$B$25,MATCH(C410,'Account executives'!$A$2:$A$25,0))</f>
        <v>amer_east</v>
      </c>
      <c r="W410" s="0" t="str">
        <f>INDEX('Account executives'!$C$2:$C$25,MATCH(C410,'Account executives'!$A$2:$A$25,0))</f>
        <v>smb</v>
      </c>
      <c r="X410" s="0" t="str">
        <f>SUBSTITUTE(LOWER(INDEX('Periods'!$G$2:$G$22,MATCH(N410,'Periods'!$A$2:$A$22,0)))," ","_")</f>
        <v>q2_2026</v>
      </c>
    </row>
    <row r="411">
      <c r="A411" s="0" t="inlineStr">
        <is>
          <t xml:space="preserve">o0410</t>
        </is>
      </c>
      <c r="B411" s="0" t="inlineStr">
        <is>
          <t xml:space="preserve">a1024</t>
        </is>
      </c>
      <c r="C411" s="0" t="inlineStr">
        <is>
          <t xml:space="preserve">r18</t>
        </is>
      </c>
      <c r="D411" s="0"/>
      <c r="E411" s="0" t="inlineStr">
        <is>
          <t xml:space="preserve">events</t>
        </is>
      </c>
      <c r="F411" s="0" t="inlineStr">
        <is>
          <t xml:space="preserve">closed_lost</t>
        </is>
      </c>
      <c r="G411" s="4">
        <v>1</v>
      </c>
      <c r="H411" s="4">
        <v>17800</v>
      </c>
      <c r="I411" s="4">
        <v>1</v>
      </c>
      <c r="J411" s="4">
        <v>0</v>
      </c>
      <c r="K411" s="16">
        <v>46199</v>
      </c>
      <c r="L411" s="16">
        <v>46237</v>
      </c>
      <c r="M411" s="0" t="inlineStr">
        <is>
          <t xml:space="preserve">jun26</t>
        </is>
      </c>
      <c r="N411" s="0" t="inlineStr">
        <is>
          <t xml:space="preserve">aug26</t>
        </is>
      </c>
      <c r="O411" s="4">
        <v>38</v>
      </c>
      <c r="P411" s="4">
        <v>0</v>
      </c>
      <c r="Q411" s="4">
        <v>1</v>
      </c>
      <c r="R411" s="4">
        <v>0</v>
      </c>
      <c r="S411" s="4">
        <f>(H411*INDEX('Stages'!$D$2:$D$7,MATCH(F411,'Stages'!$A$2:$A$7,0)))</f>
        <v>0</v>
      </c>
      <c r="T411" s="4">
        <f>(H411*I411)</f>
        <v>17800</v>
      </c>
      <c r="U411" s="4">
        <f>(H411*(I411-1))</f>
        <v>0</v>
      </c>
      <c r="V411" s="0" t="str">
        <f>INDEX('Account executives'!$B$2:$B$25,MATCH(C411,'Account executives'!$A$2:$A$25,0))</f>
        <v>emea</v>
      </c>
      <c r="W411" s="0" t="str">
        <f>INDEX('Account executives'!$C$2:$C$25,MATCH(C411,'Account executives'!$A$2:$A$25,0))</f>
        <v>smb</v>
      </c>
      <c r="X411" s="0" t="str">
        <f>SUBSTITUTE(LOWER(INDEX('Periods'!$G$2:$G$22,MATCH(N411,'Periods'!$A$2:$A$22,0)))," ","_")</f>
        <v>q3_2026</v>
      </c>
    </row>
    <row r="412">
      <c r="A412" s="0" t="inlineStr">
        <is>
          <t xml:space="preserve">o0411</t>
        </is>
      </c>
      <c r="B412" s="0" t="inlineStr">
        <is>
          <t xml:space="preserve">a0427</t>
        </is>
      </c>
      <c r="C412" s="0" t="inlineStr">
        <is>
          <t xml:space="preserve">r09</t>
        </is>
      </c>
      <c r="D412" s="0" t="inlineStr">
        <is>
          <t xml:space="preserve">s_amer_west_in</t>
        </is>
      </c>
      <c r="E412" s="0" t="inlineStr">
        <is>
          <t xml:space="preserve">inbound</t>
        </is>
      </c>
      <c r="F412" s="0" t="inlineStr">
        <is>
          <t xml:space="preserve">closed_won</t>
        </is>
      </c>
      <c r="G412" s="4">
        <v>1</v>
      </c>
      <c r="H412" s="4">
        <v>90300</v>
      </c>
      <c r="I412" s="4">
        <v>1</v>
      </c>
      <c r="J412" s="4">
        <v>1</v>
      </c>
      <c r="K412" s="16">
        <v>45939</v>
      </c>
      <c r="L412" s="16">
        <v>45972</v>
      </c>
      <c r="M412" s="0" t="inlineStr">
        <is>
          <t xml:space="preserve">oct25</t>
        </is>
      </c>
      <c r="N412" s="0" t="inlineStr">
        <is>
          <t xml:space="preserve">nov25</t>
        </is>
      </c>
      <c r="O412" s="4">
        <v>33</v>
      </c>
      <c r="P412" s="4">
        <v>1</v>
      </c>
      <c r="Q412" s="4">
        <v>0</v>
      </c>
      <c r="R412" s="4">
        <v>0</v>
      </c>
      <c r="S412" s="4">
        <f>(H412*INDEX('Stages'!$D$2:$D$7,MATCH(F412,'Stages'!$A$2:$A$7,0)))</f>
        <v>90300</v>
      </c>
      <c r="T412" s="4">
        <f>(H412*I412)</f>
        <v>90300</v>
      </c>
      <c r="U412" s="4">
        <f>(H412*(I412-1))</f>
        <v>0</v>
      </c>
      <c r="V412" s="0" t="str">
        <f>INDEX('Account executives'!$B$2:$B$25,MATCH(C412,'Account executives'!$A$2:$A$25,0))</f>
        <v>amer_west</v>
      </c>
      <c r="W412" s="0" t="str">
        <f>INDEX('Account executives'!$C$2:$C$25,MATCH(C412,'Account executives'!$A$2:$A$25,0))</f>
        <v>mid_market</v>
      </c>
      <c r="X412" s="0" t="str">
        <f>SUBSTITUTE(LOWER(INDEX('Periods'!$G$2:$G$22,MATCH(N412,'Periods'!$A$2:$A$22,0)))," ","_")</f>
        <v>q4_2025</v>
      </c>
    </row>
    <row r="413">
      <c r="A413" s="0" t="inlineStr">
        <is>
          <t xml:space="preserve">o0412</t>
        </is>
      </c>
      <c r="B413" s="0" t="inlineStr">
        <is>
          <t xml:space="preserve">a0200</t>
        </is>
      </c>
      <c r="C413" s="0" t="inlineStr">
        <is>
          <t xml:space="preserve">r10</t>
        </is>
      </c>
      <c r="D413" s="0" t="inlineStr">
        <is>
          <t xml:space="preserve">s_amer_west_out</t>
        </is>
      </c>
      <c r="E413" s="0" t="inlineStr">
        <is>
          <t xml:space="preserve">outbound</t>
        </is>
      </c>
      <c r="F413" s="0" t="inlineStr">
        <is>
          <t xml:space="preserve">discovery</t>
        </is>
      </c>
      <c r="G413" s="4">
        <v>0</v>
      </c>
      <c r="H413" s="4">
        <v>25600</v>
      </c>
      <c r="I413" s="4">
        <v>1</v>
      </c>
      <c r="J413" s="4">
        <v>0</v>
      </c>
      <c r="K413" s="16">
        <v>46256</v>
      </c>
      <c r="L413" s="16">
        <v>46340</v>
      </c>
      <c r="M413" s="0" t="inlineStr">
        <is>
          <t xml:space="preserve">aug26</t>
        </is>
      </c>
      <c r="N413" s="0" t="inlineStr">
        <is>
          <t xml:space="preserve">nov26</t>
        </is>
      </c>
      <c r="O413" s="4">
        <v>85</v>
      </c>
      <c r="P413" s="4">
        <v>0</v>
      </c>
      <c r="Q413" s="4">
        <v>0</v>
      </c>
      <c r="R413" s="4">
        <v>1</v>
      </c>
      <c r="S413" s="4">
        <f>(H413*INDEX('Stages'!$D$2:$D$7,MATCH(F413,'Stages'!$A$2:$A$7,0)))</f>
        <v>2560</v>
      </c>
      <c r="T413" s="4">
        <f>(H413*I413)</f>
        <v>25600</v>
      </c>
      <c r="U413" s="4">
        <f>(H413*(I413-1))</f>
        <v>0</v>
      </c>
      <c r="V413" s="0" t="str">
        <f>INDEX('Account executives'!$B$2:$B$25,MATCH(C413,'Account executives'!$A$2:$A$25,0))</f>
        <v>amer_west</v>
      </c>
      <c r="W413" s="0" t="str">
        <f>INDEX('Account executives'!$C$2:$C$25,MATCH(C413,'Account executives'!$A$2:$A$25,0))</f>
        <v>mid_market</v>
      </c>
      <c r="X413" s="0" t="str">
        <f>SUBSTITUTE(LOWER(INDEX('Periods'!$G$2:$G$22,MATCH(N413,'Periods'!$A$2:$A$22,0)))," ","_")</f>
        <v>q4_2026</v>
      </c>
    </row>
    <row r="414">
      <c r="A414" s="0" t="inlineStr">
        <is>
          <t xml:space="preserve">o0413</t>
        </is>
      </c>
      <c r="B414" s="0" t="inlineStr">
        <is>
          <t xml:space="preserve">a0231</t>
        </is>
      </c>
      <c r="C414" s="0" t="inlineStr">
        <is>
          <t xml:space="preserve">r24</t>
        </is>
      </c>
      <c r="D414" s="0" t="inlineStr">
        <is>
          <t xml:space="preserve">s_apac_out</t>
        </is>
      </c>
      <c r="E414" s="0" t="inlineStr">
        <is>
          <t xml:space="preserve">outbound</t>
        </is>
      </c>
      <c r="F414" s="0" t="inlineStr">
        <is>
          <t xml:space="preserve">closed_won</t>
        </is>
      </c>
      <c r="G414" s="4">
        <v>1</v>
      </c>
      <c r="H414" s="4">
        <v>8000</v>
      </c>
      <c r="I414" s="4">
        <v>1</v>
      </c>
      <c r="J414" s="4">
        <v>0</v>
      </c>
      <c r="K414" s="16">
        <v>45834</v>
      </c>
      <c r="L414" s="16">
        <v>45845</v>
      </c>
      <c r="M414" s="0" t="inlineStr">
        <is>
          <t xml:space="preserve">jun25</t>
        </is>
      </c>
      <c r="N414" s="0" t="inlineStr">
        <is>
          <t xml:space="preserve">jul25</t>
        </is>
      </c>
      <c r="O414" s="4">
        <v>11</v>
      </c>
      <c r="P414" s="4">
        <v>1</v>
      </c>
      <c r="Q414" s="4">
        <v>0</v>
      </c>
      <c r="R414" s="4">
        <v>0</v>
      </c>
      <c r="S414" s="4">
        <f>(H414*INDEX('Stages'!$D$2:$D$7,MATCH(F414,'Stages'!$A$2:$A$7,0)))</f>
        <v>8000</v>
      </c>
      <c r="T414" s="4">
        <f>(H414*I414)</f>
        <v>8000</v>
      </c>
      <c r="U414" s="4">
        <f>(H414*(I414-1))</f>
        <v>0</v>
      </c>
      <c r="V414" s="0" t="str">
        <f>INDEX('Account executives'!$B$2:$B$25,MATCH(C414,'Account executives'!$A$2:$A$25,0))</f>
        <v>apac</v>
      </c>
      <c r="W414" s="0" t="str">
        <f>INDEX('Account executives'!$C$2:$C$25,MATCH(C414,'Account executives'!$A$2:$A$25,0))</f>
        <v>smb</v>
      </c>
      <c r="X414" s="0" t="str">
        <f>SUBSTITUTE(LOWER(INDEX('Periods'!$G$2:$G$22,MATCH(N414,'Periods'!$A$2:$A$22,0)))," ","_")</f>
        <v>q3_2025</v>
      </c>
    </row>
    <row r="415">
      <c r="A415" s="0" t="inlineStr">
        <is>
          <t xml:space="preserve">o0414</t>
        </is>
      </c>
      <c r="B415" s="0" t="inlineStr">
        <is>
          <t xml:space="preserve">a0180</t>
        </is>
      </c>
      <c r="C415" s="0" t="inlineStr">
        <is>
          <t xml:space="preserve">r04</t>
        </is>
      </c>
      <c r="D415" s="0" t="inlineStr">
        <is>
          <t xml:space="preserve">s_amer_east_in</t>
        </is>
      </c>
      <c r="E415" s="0" t="inlineStr">
        <is>
          <t xml:space="preserve">inbound</t>
        </is>
      </c>
      <c r="F415" s="0" t="inlineStr">
        <is>
          <t xml:space="preserve">closed_lost</t>
        </is>
      </c>
      <c r="G415" s="4">
        <v>0</v>
      </c>
      <c r="H415" s="4">
        <v>13900</v>
      </c>
      <c r="I415" s="4">
        <v>1</v>
      </c>
      <c r="J415" s="4">
        <v>0</v>
      </c>
      <c r="K415" s="16">
        <v>45857</v>
      </c>
      <c r="L415" s="16">
        <v>45915</v>
      </c>
      <c r="M415" s="0" t="inlineStr">
        <is>
          <t xml:space="preserve">jul25</t>
        </is>
      </c>
      <c r="N415" s="0" t="inlineStr">
        <is>
          <t xml:space="preserve">sep25</t>
        </is>
      </c>
      <c r="O415" s="4">
        <v>58</v>
      </c>
      <c r="P415" s="4">
        <v>0</v>
      </c>
      <c r="Q415" s="4">
        <v>1</v>
      </c>
      <c r="R415" s="4">
        <v>0</v>
      </c>
      <c r="S415" s="4">
        <f>(H415*INDEX('Stages'!$D$2:$D$7,MATCH(F415,'Stages'!$A$2:$A$7,0)))</f>
        <v>0</v>
      </c>
      <c r="T415" s="4">
        <f>(H415*I415)</f>
        <v>13900</v>
      </c>
      <c r="U415" s="4">
        <f>(H415*(I415-1))</f>
        <v>0</v>
      </c>
      <c r="V415" s="0" t="str">
        <f>INDEX('Account executives'!$B$2:$B$25,MATCH(C415,'Account executives'!$A$2:$A$25,0))</f>
        <v>amer_east</v>
      </c>
      <c r="W415" s="0" t="str">
        <f>INDEX('Account executives'!$C$2:$C$25,MATCH(C415,'Account executives'!$A$2:$A$25,0))</f>
        <v>mid_market</v>
      </c>
      <c r="X415" s="0" t="str">
        <f>SUBSTITUTE(LOWER(INDEX('Periods'!$G$2:$G$22,MATCH(N415,'Periods'!$A$2:$A$22,0)))," ","_")</f>
        <v>q3_2025</v>
      </c>
    </row>
    <row r="416">
      <c r="A416" s="0" t="inlineStr">
        <is>
          <t xml:space="preserve">o0415</t>
        </is>
      </c>
      <c r="B416" s="0" t="inlineStr">
        <is>
          <t xml:space="preserve">a0294</t>
        </is>
      </c>
      <c r="C416" s="0" t="inlineStr">
        <is>
          <t xml:space="preserve">r17</t>
        </is>
      </c>
      <c r="D416" s="0"/>
      <c r="E416" s="0" t="inlineStr">
        <is>
          <t xml:space="preserve">referral</t>
        </is>
      </c>
      <c r="F416" s="0" t="inlineStr">
        <is>
          <t xml:space="preserve">closed_lost</t>
        </is>
      </c>
      <c r="G416" s="4">
        <v>1</v>
      </c>
      <c r="H416" s="4">
        <v>7500</v>
      </c>
      <c r="I416" s="4">
        <v>1</v>
      </c>
      <c r="J416" s="4">
        <v>0</v>
      </c>
      <c r="K416" s="16">
        <v>45857</v>
      </c>
      <c r="L416" s="16">
        <v>45893</v>
      </c>
      <c r="M416" s="0" t="inlineStr">
        <is>
          <t xml:space="preserve">jul25</t>
        </is>
      </c>
      <c r="N416" s="0" t="inlineStr">
        <is>
          <t xml:space="preserve">aug25</t>
        </is>
      </c>
      <c r="O416" s="4">
        <v>36</v>
      </c>
      <c r="P416" s="4">
        <v>0</v>
      </c>
      <c r="Q416" s="4">
        <v>1</v>
      </c>
      <c r="R416" s="4">
        <v>0</v>
      </c>
      <c r="S416" s="4">
        <f>(H416*INDEX('Stages'!$D$2:$D$7,MATCH(F416,'Stages'!$A$2:$A$7,0)))</f>
        <v>0</v>
      </c>
      <c r="T416" s="4">
        <f>(H416*I416)</f>
        <v>7500</v>
      </c>
      <c r="U416" s="4">
        <f>(H416*(I416-1))</f>
        <v>0</v>
      </c>
      <c r="V416" s="0" t="str">
        <f>INDEX('Account executives'!$B$2:$B$25,MATCH(C416,'Account executives'!$A$2:$A$25,0))</f>
        <v>emea</v>
      </c>
      <c r="W416" s="0" t="str">
        <f>INDEX('Account executives'!$C$2:$C$25,MATCH(C416,'Account executives'!$A$2:$A$25,0))</f>
        <v>smb</v>
      </c>
      <c r="X416" s="0" t="str">
        <f>SUBSTITUTE(LOWER(INDEX('Periods'!$G$2:$G$22,MATCH(N416,'Periods'!$A$2:$A$22,0)))," ","_")</f>
        <v>q3_2025</v>
      </c>
    </row>
    <row r="417">
      <c r="A417" s="0" t="inlineStr">
        <is>
          <t xml:space="preserve">o0416</t>
        </is>
      </c>
      <c r="B417" s="0" t="inlineStr">
        <is>
          <t xml:space="preserve">a0688</t>
        </is>
      </c>
      <c r="C417" s="0" t="inlineStr">
        <is>
          <t xml:space="preserve">r12</t>
        </is>
      </c>
      <c r="D417" s="0"/>
      <c r="E417" s="0" t="inlineStr">
        <is>
          <t xml:space="preserve">partner</t>
        </is>
      </c>
      <c r="F417" s="0" t="inlineStr">
        <is>
          <t xml:space="preserve">closed_won</t>
        </is>
      </c>
      <c r="G417" s="4">
        <v>1</v>
      </c>
      <c r="H417" s="4">
        <v>34800</v>
      </c>
      <c r="I417" s="4">
        <v>1</v>
      </c>
      <c r="J417" s="4">
        <v>0</v>
      </c>
      <c r="K417" s="16">
        <v>46074</v>
      </c>
      <c r="L417" s="16">
        <v>46110</v>
      </c>
      <c r="M417" s="0" t="inlineStr">
        <is>
          <t xml:space="preserve">feb26</t>
        </is>
      </c>
      <c r="N417" s="0" t="inlineStr">
        <is>
          <t xml:space="preserve">mar26</t>
        </is>
      </c>
      <c r="O417" s="4">
        <v>36</v>
      </c>
      <c r="P417" s="4">
        <v>1</v>
      </c>
      <c r="Q417" s="4">
        <v>0</v>
      </c>
      <c r="R417" s="4">
        <v>0</v>
      </c>
      <c r="S417" s="4">
        <f>(H417*INDEX('Stages'!$D$2:$D$7,MATCH(F417,'Stages'!$A$2:$A$7,0)))</f>
        <v>34800</v>
      </c>
      <c r="T417" s="4">
        <f>(H417*I417)</f>
        <v>34800</v>
      </c>
      <c r="U417" s="4">
        <f>(H417*(I417-1))</f>
        <v>0</v>
      </c>
      <c r="V417" s="0" t="str">
        <f>INDEX('Account executives'!$B$2:$B$25,MATCH(C417,'Account executives'!$A$2:$A$25,0))</f>
        <v>amer_west</v>
      </c>
      <c r="W417" s="0" t="str">
        <f>INDEX('Account executives'!$C$2:$C$25,MATCH(C417,'Account executives'!$A$2:$A$25,0))</f>
        <v>smb</v>
      </c>
      <c r="X417" s="0" t="str">
        <f>SUBSTITUTE(LOWER(INDEX('Periods'!$G$2:$G$22,MATCH(N417,'Periods'!$A$2:$A$22,0)))," ","_")</f>
        <v>q1_2026</v>
      </c>
    </row>
    <row r="418">
      <c r="A418" s="0" t="inlineStr">
        <is>
          <t xml:space="preserve">o0417</t>
        </is>
      </c>
      <c r="B418" s="0" t="inlineStr">
        <is>
          <t xml:space="preserve">a0155</t>
        </is>
      </c>
      <c r="C418" s="0" t="inlineStr">
        <is>
          <t xml:space="preserve">r05</t>
        </is>
      </c>
      <c r="D418" s="0" t="inlineStr">
        <is>
          <t xml:space="preserve">s_amer_east_in</t>
        </is>
      </c>
      <c r="E418" s="0" t="inlineStr">
        <is>
          <t xml:space="preserve">paid</t>
        </is>
      </c>
      <c r="F418" s="0" t="inlineStr">
        <is>
          <t xml:space="preserve">closed_lost</t>
        </is>
      </c>
      <c r="G418" s="4">
        <v>0</v>
      </c>
      <c r="H418" s="4">
        <v>8100</v>
      </c>
      <c r="I418" s="4">
        <v>2</v>
      </c>
      <c r="J418" s="4">
        <v>1</v>
      </c>
      <c r="K418" s="16">
        <v>46194</v>
      </c>
      <c r="L418" s="16">
        <v>46236</v>
      </c>
      <c r="M418" s="0" t="inlineStr">
        <is>
          <t xml:space="preserve">jun26</t>
        </is>
      </c>
      <c r="N418" s="0" t="inlineStr">
        <is>
          <t xml:space="preserve">aug26</t>
        </is>
      </c>
      <c r="O418" s="4">
        <v>42</v>
      </c>
      <c r="P418" s="4">
        <v>0</v>
      </c>
      <c r="Q418" s="4">
        <v>1</v>
      </c>
      <c r="R418" s="4">
        <v>0</v>
      </c>
      <c r="S418" s="4">
        <f>(H418*INDEX('Stages'!$D$2:$D$7,MATCH(F418,'Stages'!$A$2:$A$7,0)))</f>
        <v>0</v>
      </c>
      <c r="T418" s="4">
        <f>(H418*I418)</f>
        <v>16200</v>
      </c>
      <c r="U418" s="4">
        <f>(H418*(I418-1))</f>
        <v>8100</v>
      </c>
      <c r="V418" s="0" t="str">
        <f>INDEX('Account executives'!$B$2:$B$25,MATCH(C418,'Account executives'!$A$2:$A$25,0))</f>
        <v>amer_east</v>
      </c>
      <c r="W418" s="0" t="str">
        <f>INDEX('Account executives'!$C$2:$C$25,MATCH(C418,'Account executives'!$A$2:$A$25,0))</f>
        <v>smb</v>
      </c>
      <c r="X418" s="0" t="str">
        <f>SUBSTITUTE(LOWER(INDEX('Periods'!$G$2:$G$22,MATCH(N418,'Periods'!$A$2:$A$22,0)))," ","_")</f>
        <v>q3_2026</v>
      </c>
    </row>
    <row r="419">
      <c r="A419" s="0" t="inlineStr">
        <is>
          <t xml:space="preserve">o0418</t>
        </is>
      </c>
      <c r="B419" s="0" t="inlineStr">
        <is>
          <t xml:space="preserve">a0223</t>
        </is>
      </c>
      <c r="C419" s="0" t="inlineStr">
        <is>
          <t xml:space="preserve">r21</t>
        </is>
      </c>
      <c r="D419" s="0"/>
      <c r="E419" s="0" t="inlineStr">
        <is>
          <t xml:space="preserve">referral</t>
        </is>
      </c>
      <c r="F419" s="0" t="inlineStr">
        <is>
          <t xml:space="preserve">closed_won</t>
        </is>
      </c>
      <c r="G419" s="4">
        <v>0</v>
      </c>
      <c r="H419" s="4">
        <v>31300</v>
      </c>
      <c r="I419" s="4">
        <v>1</v>
      </c>
      <c r="J419" s="4">
        <v>1</v>
      </c>
      <c r="K419" s="16">
        <v>46160</v>
      </c>
      <c r="L419" s="16">
        <v>46227</v>
      </c>
      <c r="M419" s="0" t="inlineStr">
        <is>
          <t xml:space="preserve">may26</t>
        </is>
      </c>
      <c r="N419" s="0" t="inlineStr">
        <is>
          <t xml:space="preserve">jul26</t>
        </is>
      </c>
      <c r="O419" s="4">
        <v>67</v>
      </c>
      <c r="P419" s="4">
        <v>1</v>
      </c>
      <c r="Q419" s="4">
        <v>0</v>
      </c>
      <c r="R419" s="4">
        <v>0</v>
      </c>
      <c r="S419" s="4">
        <f>(H419*INDEX('Stages'!$D$2:$D$7,MATCH(F419,'Stages'!$A$2:$A$7,0)))</f>
        <v>31300</v>
      </c>
      <c r="T419" s="4">
        <f>(H419*I419)</f>
        <v>31300</v>
      </c>
      <c r="U419" s="4">
        <f>(H419*(I419-1))</f>
        <v>0</v>
      </c>
      <c r="V419" s="0" t="str">
        <f>INDEX('Account executives'!$B$2:$B$25,MATCH(C419,'Account executives'!$A$2:$A$25,0))</f>
        <v>apac</v>
      </c>
      <c r="W419" s="0" t="str">
        <f>INDEX('Account executives'!$C$2:$C$25,MATCH(C419,'Account executives'!$A$2:$A$25,0))</f>
        <v>mid_market</v>
      </c>
      <c r="X419" s="0" t="str">
        <f>SUBSTITUTE(LOWER(INDEX('Periods'!$G$2:$G$22,MATCH(N419,'Periods'!$A$2:$A$22,0)))," ","_")</f>
        <v>q3_2026</v>
      </c>
    </row>
    <row r="420">
      <c r="A420" s="0" t="inlineStr">
        <is>
          <t xml:space="preserve">o0419</t>
        </is>
      </c>
      <c r="B420" s="0" t="inlineStr">
        <is>
          <t xml:space="preserve">a0235</t>
        </is>
      </c>
      <c r="C420" s="0" t="inlineStr">
        <is>
          <t xml:space="preserve">r04</t>
        </is>
      </c>
      <c r="D420" s="0" t="inlineStr">
        <is>
          <t xml:space="preserve">s_amer_east_in</t>
        </is>
      </c>
      <c r="E420" s="0" t="inlineStr">
        <is>
          <t xml:space="preserve">paid</t>
        </is>
      </c>
      <c r="F420" s="0" t="inlineStr">
        <is>
          <t xml:space="preserve">closed_lost</t>
        </is>
      </c>
      <c r="G420" s="4">
        <v>0</v>
      </c>
      <c r="H420" s="4">
        <v>26000</v>
      </c>
      <c r="I420" s="4">
        <v>1</v>
      </c>
      <c r="J420" s="4">
        <v>0</v>
      </c>
      <c r="K420" s="16">
        <v>46078</v>
      </c>
      <c r="L420" s="16">
        <v>46101</v>
      </c>
      <c r="M420" s="0" t="inlineStr">
        <is>
          <t xml:space="preserve">feb26</t>
        </is>
      </c>
      <c r="N420" s="0" t="inlineStr">
        <is>
          <t xml:space="preserve">mar26</t>
        </is>
      </c>
      <c r="O420" s="4">
        <v>23</v>
      </c>
      <c r="P420" s="4">
        <v>0</v>
      </c>
      <c r="Q420" s="4">
        <v>1</v>
      </c>
      <c r="R420" s="4">
        <v>0</v>
      </c>
      <c r="S420" s="4">
        <f>(H420*INDEX('Stages'!$D$2:$D$7,MATCH(F420,'Stages'!$A$2:$A$7,0)))</f>
        <v>0</v>
      </c>
      <c r="T420" s="4">
        <f>(H420*I420)</f>
        <v>26000</v>
      </c>
      <c r="U420" s="4">
        <f>(H420*(I420-1))</f>
        <v>0</v>
      </c>
      <c r="V420" s="0" t="str">
        <f>INDEX('Account executives'!$B$2:$B$25,MATCH(C420,'Account executives'!$A$2:$A$25,0))</f>
        <v>amer_east</v>
      </c>
      <c r="W420" s="0" t="str">
        <f>INDEX('Account executives'!$C$2:$C$25,MATCH(C420,'Account executives'!$A$2:$A$25,0))</f>
        <v>mid_market</v>
      </c>
      <c r="X420" s="0" t="str">
        <f>SUBSTITUTE(LOWER(INDEX('Periods'!$G$2:$G$22,MATCH(N420,'Periods'!$A$2:$A$22,0)))," ","_")</f>
        <v>q1_2026</v>
      </c>
    </row>
    <row r="421">
      <c r="A421" s="0" t="inlineStr">
        <is>
          <t xml:space="preserve">o0420</t>
        </is>
      </c>
      <c r="B421" s="0" t="inlineStr">
        <is>
          <t xml:space="preserve">a0193</t>
        </is>
      </c>
      <c r="C421" s="0" t="inlineStr">
        <is>
          <t xml:space="preserve">r07</t>
        </is>
      </c>
      <c r="D421" s="0"/>
      <c r="E421" s="0" t="inlineStr">
        <is>
          <t xml:space="preserve">events</t>
        </is>
      </c>
      <c r="F421" s="0" t="inlineStr">
        <is>
          <t xml:space="preserve">closed_lost</t>
        </is>
      </c>
      <c r="G421" s="4">
        <v>1</v>
      </c>
      <c r="H421" s="4">
        <v>456000</v>
      </c>
      <c r="I421" s="4">
        <v>1</v>
      </c>
      <c r="J421" s="4">
        <v>0</v>
      </c>
      <c r="K421" s="16">
        <v>45833</v>
      </c>
      <c r="L421" s="16">
        <v>45877</v>
      </c>
      <c r="M421" s="0" t="inlineStr">
        <is>
          <t xml:space="preserve">jun25</t>
        </is>
      </c>
      <c r="N421" s="0" t="inlineStr">
        <is>
          <t xml:space="preserve">aug25</t>
        </is>
      </c>
      <c r="O421" s="4">
        <v>44</v>
      </c>
      <c r="P421" s="4">
        <v>0</v>
      </c>
      <c r="Q421" s="4">
        <v>1</v>
      </c>
      <c r="R421" s="4">
        <v>0</v>
      </c>
      <c r="S421" s="4">
        <f>(H421*INDEX('Stages'!$D$2:$D$7,MATCH(F421,'Stages'!$A$2:$A$7,0)))</f>
        <v>0</v>
      </c>
      <c r="T421" s="4">
        <f>(H421*I421)</f>
        <v>456000</v>
      </c>
      <c r="U421" s="4">
        <f>(H421*(I421-1))</f>
        <v>0</v>
      </c>
      <c r="V421" s="0" t="str">
        <f>INDEX('Account executives'!$B$2:$B$25,MATCH(C421,'Account executives'!$A$2:$A$25,0))</f>
        <v>amer_west</v>
      </c>
      <c r="W421" s="0" t="str">
        <f>INDEX('Account executives'!$C$2:$C$25,MATCH(C421,'Account executives'!$A$2:$A$25,0))</f>
        <v>enterprise</v>
      </c>
      <c r="X421" s="0" t="str">
        <f>SUBSTITUTE(LOWER(INDEX('Periods'!$G$2:$G$22,MATCH(N421,'Periods'!$A$2:$A$22,0)))," ","_")</f>
        <v>q3_2025</v>
      </c>
    </row>
    <row r="422">
      <c r="A422" s="0" t="inlineStr">
        <is>
          <t xml:space="preserve">o0421</t>
        </is>
      </c>
      <c r="B422" s="0" t="inlineStr">
        <is>
          <t xml:space="preserve">a0324</t>
        </is>
      </c>
      <c r="C422" s="0" t="inlineStr">
        <is>
          <t xml:space="preserve">r08</t>
        </is>
      </c>
      <c r="D422" s="0" t="inlineStr">
        <is>
          <t xml:space="preserve">s_amer_west_in</t>
        </is>
      </c>
      <c r="E422" s="0" t="inlineStr">
        <is>
          <t xml:space="preserve">inbound</t>
        </is>
      </c>
      <c r="F422" s="0" t="inlineStr">
        <is>
          <t xml:space="preserve">closed_won</t>
        </is>
      </c>
      <c r="G422" s="4">
        <v>0</v>
      </c>
      <c r="H422" s="4">
        <v>105000</v>
      </c>
      <c r="I422" s="4">
        <v>2</v>
      </c>
      <c r="J422" s="4">
        <v>0</v>
      </c>
      <c r="K422" s="16">
        <v>46060</v>
      </c>
      <c r="L422" s="16">
        <v>46180</v>
      </c>
      <c r="M422" s="0" t="inlineStr">
        <is>
          <t xml:space="preserve">feb26</t>
        </is>
      </c>
      <c r="N422" s="0" t="inlineStr">
        <is>
          <t xml:space="preserve">jun26</t>
        </is>
      </c>
      <c r="O422" s="4">
        <v>120</v>
      </c>
      <c r="P422" s="4">
        <v>1</v>
      </c>
      <c r="Q422" s="4">
        <v>0</v>
      </c>
      <c r="R422" s="4">
        <v>0</v>
      </c>
      <c r="S422" s="4">
        <f>(H422*INDEX('Stages'!$D$2:$D$7,MATCH(F422,'Stages'!$A$2:$A$7,0)))</f>
        <v>105000</v>
      </c>
      <c r="T422" s="4">
        <f>(H422*I422)</f>
        <v>210000</v>
      </c>
      <c r="U422" s="4">
        <f>(H422*(I422-1))</f>
        <v>105000</v>
      </c>
      <c r="V422" s="0" t="str">
        <f>INDEX('Account executives'!$B$2:$B$25,MATCH(C422,'Account executives'!$A$2:$A$25,0))</f>
        <v>amer_west</v>
      </c>
      <c r="W422" s="0" t="str">
        <f>INDEX('Account executives'!$C$2:$C$25,MATCH(C422,'Account executives'!$A$2:$A$25,0))</f>
        <v>enterprise</v>
      </c>
      <c r="X422" s="0" t="str">
        <f>SUBSTITUTE(LOWER(INDEX('Periods'!$G$2:$G$22,MATCH(N422,'Periods'!$A$2:$A$22,0)))," ","_")</f>
        <v>q2_2026</v>
      </c>
    </row>
    <row r="423">
      <c r="A423" s="0" t="inlineStr">
        <is>
          <t xml:space="preserve">o0422</t>
        </is>
      </c>
      <c r="B423" s="0" t="inlineStr">
        <is>
          <t xml:space="preserve">a0994</t>
        </is>
      </c>
      <c r="C423" s="0" t="inlineStr">
        <is>
          <t xml:space="preserve">r09</t>
        </is>
      </c>
      <c r="D423" s="0"/>
      <c r="E423" s="0" t="inlineStr">
        <is>
          <t xml:space="preserve">events</t>
        </is>
      </c>
      <c r="F423" s="0" t="inlineStr">
        <is>
          <t xml:space="preserve">closed_lost</t>
        </is>
      </c>
      <c r="G423" s="4">
        <v>1</v>
      </c>
      <c r="H423" s="4">
        <v>30500</v>
      </c>
      <c r="I423" s="4">
        <v>2</v>
      </c>
      <c r="J423" s="4">
        <v>1</v>
      </c>
      <c r="K423" s="16">
        <v>46174</v>
      </c>
      <c r="L423" s="16">
        <v>46240</v>
      </c>
      <c r="M423" s="0" t="inlineStr">
        <is>
          <t xml:space="preserve">jun26</t>
        </is>
      </c>
      <c r="N423" s="0" t="inlineStr">
        <is>
          <t xml:space="preserve">aug26</t>
        </is>
      </c>
      <c r="O423" s="4">
        <v>66</v>
      </c>
      <c r="P423" s="4">
        <v>0</v>
      </c>
      <c r="Q423" s="4">
        <v>1</v>
      </c>
      <c r="R423" s="4">
        <v>0</v>
      </c>
      <c r="S423" s="4">
        <f>(H423*INDEX('Stages'!$D$2:$D$7,MATCH(F423,'Stages'!$A$2:$A$7,0)))</f>
        <v>0</v>
      </c>
      <c r="T423" s="4">
        <f>(H423*I423)</f>
        <v>61000</v>
      </c>
      <c r="U423" s="4">
        <f>(H423*(I423-1))</f>
        <v>30500</v>
      </c>
      <c r="V423" s="0" t="str">
        <f>INDEX('Account executives'!$B$2:$B$25,MATCH(C423,'Account executives'!$A$2:$A$25,0))</f>
        <v>amer_west</v>
      </c>
      <c r="W423" s="0" t="str">
        <f>INDEX('Account executives'!$C$2:$C$25,MATCH(C423,'Account executives'!$A$2:$A$25,0))</f>
        <v>mid_market</v>
      </c>
      <c r="X423" s="0" t="str">
        <f>SUBSTITUTE(LOWER(INDEX('Periods'!$G$2:$G$22,MATCH(N423,'Periods'!$A$2:$A$22,0)))," ","_")</f>
        <v>q3_2026</v>
      </c>
    </row>
    <row r="424">
      <c r="A424" s="0" t="inlineStr">
        <is>
          <t xml:space="preserve">o0423</t>
        </is>
      </c>
      <c r="B424" s="0" t="inlineStr">
        <is>
          <t xml:space="preserve">a0333</t>
        </is>
      </c>
      <c r="C424" s="0" t="inlineStr">
        <is>
          <t xml:space="preserve">r11</t>
        </is>
      </c>
      <c r="D424" s="0"/>
      <c r="E424" s="0" t="inlineStr">
        <is>
          <t xml:space="preserve">events</t>
        </is>
      </c>
      <c r="F424" s="0" t="inlineStr">
        <is>
          <t xml:space="preserve">closed_lost</t>
        </is>
      </c>
      <c r="G424" s="4">
        <v>0</v>
      </c>
      <c r="H424" s="4">
        <v>10700</v>
      </c>
      <c r="I424" s="4">
        <v>1</v>
      </c>
      <c r="J424" s="4">
        <v>1</v>
      </c>
      <c r="K424" s="16">
        <v>46065</v>
      </c>
      <c r="L424" s="16">
        <v>46100</v>
      </c>
      <c r="M424" s="0" t="inlineStr">
        <is>
          <t xml:space="preserve">feb26</t>
        </is>
      </c>
      <c r="N424" s="0" t="inlineStr">
        <is>
          <t xml:space="preserve">mar26</t>
        </is>
      </c>
      <c r="O424" s="4">
        <v>35</v>
      </c>
      <c r="P424" s="4">
        <v>0</v>
      </c>
      <c r="Q424" s="4">
        <v>1</v>
      </c>
      <c r="R424" s="4">
        <v>0</v>
      </c>
      <c r="S424" s="4">
        <f>(H424*INDEX('Stages'!$D$2:$D$7,MATCH(F424,'Stages'!$A$2:$A$7,0)))</f>
        <v>0</v>
      </c>
      <c r="T424" s="4">
        <f>(H424*I424)</f>
        <v>10700</v>
      </c>
      <c r="U424" s="4">
        <f>(H424*(I424-1))</f>
        <v>0</v>
      </c>
      <c r="V424" s="0" t="str">
        <f>INDEX('Account executives'!$B$2:$B$25,MATCH(C424,'Account executives'!$A$2:$A$25,0))</f>
        <v>amer_west</v>
      </c>
      <c r="W424" s="0" t="str">
        <f>INDEX('Account executives'!$C$2:$C$25,MATCH(C424,'Account executives'!$A$2:$A$25,0))</f>
        <v>smb</v>
      </c>
      <c r="X424" s="0" t="str">
        <f>SUBSTITUTE(LOWER(INDEX('Periods'!$G$2:$G$22,MATCH(N424,'Periods'!$A$2:$A$22,0)))," ","_")</f>
        <v>q1_2026</v>
      </c>
    </row>
    <row r="425">
      <c r="A425" s="0" t="inlineStr">
        <is>
          <t xml:space="preserve">o0424</t>
        </is>
      </c>
      <c r="B425" s="0" t="inlineStr">
        <is>
          <t xml:space="preserve">a0349</t>
        </is>
      </c>
      <c r="C425" s="0" t="inlineStr">
        <is>
          <t xml:space="preserve">r24</t>
        </is>
      </c>
      <c r="D425" s="0"/>
      <c r="E425" s="0" t="inlineStr">
        <is>
          <t xml:space="preserve">partner</t>
        </is>
      </c>
      <c r="F425" s="0" t="inlineStr">
        <is>
          <t xml:space="preserve">closed_lost</t>
        </is>
      </c>
      <c r="G425" s="4">
        <v>0</v>
      </c>
      <c r="H425" s="4">
        <v>3100</v>
      </c>
      <c r="I425" s="4">
        <v>1</v>
      </c>
      <c r="J425" s="4">
        <v>1</v>
      </c>
      <c r="K425" s="16">
        <v>45923</v>
      </c>
      <c r="L425" s="16">
        <v>45956</v>
      </c>
      <c r="M425" s="0" t="inlineStr">
        <is>
          <t xml:space="preserve">sep25</t>
        </is>
      </c>
      <c r="N425" s="0" t="inlineStr">
        <is>
          <t xml:space="preserve">oct25</t>
        </is>
      </c>
      <c r="O425" s="4">
        <v>33</v>
      </c>
      <c r="P425" s="4">
        <v>0</v>
      </c>
      <c r="Q425" s="4">
        <v>1</v>
      </c>
      <c r="R425" s="4">
        <v>0</v>
      </c>
      <c r="S425" s="4">
        <f>(H425*INDEX('Stages'!$D$2:$D$7,MATCH(F425,'Stages'!$A$2:$A$7,0)))</f>
        <v>0</v>
      </c>
      <c r="T425" s="4">
        <f>(H425*I425)</f>
        <v>3100</v>
      </c>
      <c r="U425" s="4">
        <f>(H425*(I425-1))</f>
        <v>0</v>
      </c>
      <c r="V425" s="0" t="str">
        <f>INDEX('Account executives'!$B$2:$B$25,MATCH(C425,'Account executives'!$A$2:$A$25,0))</f>
        <v>apac</v>
      </c>
      <c r="W425" s="0" t="str">
        <f>INDEX('Account executives'!$C$2:$C$25,MATCH(C425,'Account executives'!$A$2:$A$25,0))</f>
        <v>smb</v>
      </c>
      <c r="X425" s="0" t="str">
        <f>SUBSTITUTE(LOWER(INDEX('Periods'!$G$2:$G$22,MATCH(N425,'Periods'!$A$2:$A$22,0)))," ","_")</f>
        <v>q4_2025</v>
      </c>
    </row>
    <row r="426">
      <c r="A426" s="0" t="inlineStr">
        <is>
          <t xml:space="preserve">o0425</t>
        </is>
      </c>
      <c r="B426" s="0" t="inlineStr">
        <is>
          <t xml:space="preserve">a0223</t>
        </is>
      </c>
      <c r="C426" s="0" t="inlineStr">
        <is>
          <t xml:space="preserve">r22</t>
        </is>
      </c>
      <c r="D426" s="0"/>
      <c r="E426" s="0" t="inlineStr">
        <is>
          <t xml:space="preserve">events</t>
        </is>
      </c>
      <c r="F426" s="0" t="inlineStr">
        <is>
          <t xml:space="preserve">closed_won</t>
        </is>
      </c>
      <c r="G426" s="4">
        <v>0</v>
      </c>
      <c r="H426" s="4">
        <v>7000</v>
      </c>
      <c r="I426" s="4">
        <v>1</v>
      </c>
      <c r="J426" s="4">
        <v>0</v>
      </c>
      <c r="K426" s="16">
        <v>45814</v>
      </c>
      <c r="L426" s="16">
        <v>45878</v>
      </c>
      <c r="M426" s="0" t="inlineStr">
        <is>
          <t xml:space="preserve">jun25</t>
        </is>
      </c>
      <c r="N426" s="0" t="inlineStr">
        <is>
          <t xml:space="preserve">aug25</t>
        </is>
      </c>
      <c r="O426" s="4">
        <v>64</v>
      </c>
      <c r="P426" s="4">
        <v>1</v>
      </c>
      <c r="Q426" s="4">
        <v>0</v>
      </c>
      <c r="R426" s="4">
        <v>0</v>
      </c>
      <c r="S426" s="4">
        <f>(H426*INDEX('Stages'!$D$2:$D$7,MATCH(F426,'Stages'!$A$2:$A$7,0)))</f>
        <v>7000</v>
      </c>
      <c r="T426" s="4">
        <f>(H426*I426)</f>
        <v>7000</v>
      </c>
      <c r="U426" s="4">
        <f>(H426*(I426-1))</f>
        <v>0</v>
      </c>
      <c r="V426" s="0" t="str">
        <f>INDEX('Account executives'!$B$2:$B$25,MATCH(C426,'Account executives'!$A$2:$A$25,0))</f>
        <v>apac</v>
      </c>
      <c r="W426" s="0" t="str">
        <f>INDEX('Account executives'!$C$2:$C$25,MATCH(C426,'Account executives'!$A$2:$A$25,0))</f>
        <v>mid_market</v>
      </c>
      <c r="X426" s="0" t="str">
        <f>SUBSTITUTE(LOWER(INDEX('Periods'!$G$2:$G$22,MATCH(N426,'Periods'!$A$2:$A$22,0)))," ","_")</f>
        <v>q3_2025</v>
      </c>
    </row>
    <row r="427">
      <c r="A427" s="0" t="inlineStr">
        <is>
          <t xml:space="preserve">o0426</t>
        </is>
      </c>
      <c r="B427" s="0" t="inlineStr">
        <is>
          <t xml:space="preserve">a0475</t>
        </is>
      </c>
      <c r="C427" s="0" t="inlineStr">
        <is>
          <t xml:space="preserve">r24</t>
        </is>
      </c>
      <c r="D427" s="0" t="inlineStr">
        <is>
          <t xml:space="preserve">s_apac_out</t>
        </is>
      </c>
      <c r="E427" s="0" t="inlineStr">
        <is>
          <t xml:space="preserve">outbound</t>
        </is>
      </c>
      <c r="F427" s="0" t="inlineStr">
        <is>
          <t xml:space="preserve">closed_lost</t>
        </is>
      </c>
      <c r="G427" s="4">
        <v>1</v>
      </c>
      <c r="H427" s="4">
        <v>20300</v>
      </c>
      <c r="I427" s="4">
        <v>1</v>
      </c>
      <c r="J427" s="4">
        <v>0</v>
      </c>
      <c r="K427" s="16">
        <v>45949</v>
      </c>
      <c r="L427" s="16">
        <v>46019</v>
      </c>
      <c r="M427" s="0" t="inlineStr">
        <is>
          <t xml:space="preserve">oct25</t>
        </is>
      </c>
      <c r="N427" s="0" t="inlineStr">
        <is>
          <t xml:space="preserve">dec25</t>
        </is>
      </c>
      <c r="O427" s="4">
        <v>70</v>
      </c>
      <c r="P427" s="4">
        <v>0</v>
      </c>
      <c r="Q427" s="4">
        <v>1</v>
      </c>
      <c r="R427" s="4">
        <v>0</v>
      </c>
      <c r="S427" s="4">
        <f>(H427*INDEX('Stages'!$D$2:$D$7,MATCH(F427,'Stages'!$A$2:$A$7,0)))</f>
        <v>0</v>
      </c>
      <c r="T427" s="4">
        <f>(H427*I427)</f>
        <v>20300</v>
      </c>
      <c r="U427" s="4">
        <f>(H427*(I427-1))</f>
        <v>0</v>
      </c>
      <c r="V427" s="0" t="str">
        <f>INDEX('Account executives'!$B$2:$B$25,MATCH(C427,'Account executives'!$A$2:$A$25,0))</f>
        <v>apac</v>
      </c>
      <c r="W427" s="0" t="str">
        <f>INDEX('Account executives'!$C$2:$C$25,MATCH(C427,'Account executives'!$A$2:$A$25,0))</f>
        <v>smb</v>
      </c>
      <c r="X427" s="0" t="str">
        <f>SUBSTITUTE(LOWER(INDEX('Periods'!$G$2:$G$22,MATCH(N427,'Periods'!$A$2:$A$22,0)))," ","_")</f>
        <v>q4_2025</v>
      </c>
    </row>
    <row r="428">
      <c r="A428" s="0" t="inlineStr">
        <is>
          <t xml:space="preserve">o0427</t>
        </is>
      </c>
      <c r="B428" s="0" t="inlineStr">
        <is>
          <t xml:space="preserve">a0005</t>
        </is>
      </c>
      <c r="C428" s="0" t="inlineStr">
        <is>
          <t xml:space="preserve">r05</t>
        </is>
      </c>
      <c r="D428" s="0" t="inlineStr">
        <is>
          <t xml:space="preserve">s_amer_east_in</t>
        </is>
      </c>
      <c r="E428" s="0" t="inlineStr">
        <is>
          <t xml:space="preserve">inbound</t>
        </is>
      </c>
      <c r="F428" s="0" t="inlineStr">
        <is>
          <t xml:space="preserve">closed_lost</t>
        </is>
      </c>
      <c r="G428" s="4">
        <v>0</v>
      </c>
      <c r="H428" s="4">
        <v>2600</v>
      </c>
      <c r="I428" s="4">
        <v>1</v>
      </c>
      <c r="J428" s="4">
        <v>0</v>
      </c>
      <c r="K428" s="16">
        <v>45752</v>
      </c>
      <c r="L428" s="16">
        <v>45773</v>
      </c>
      <c r="M428" s="0" t="inlineStr">
        <is>
          <t xml:space="preserve">apr25</t>
        </is>
      </c>
      <c r="N428" s="0" t="inlineStr">
        <is>
          <t xml:space="preserve">apr25</t>
        </is>
      </c>
      <c r="O428" s="4">
        <v>21</v>
      </c>
      <c r="P428" s="4">
        <v>0</v>
      </c>
      <c r="Q428" s="4">
        <v>1</v>
      </c>
      <c r="R428" s="4">
        <v>0</v>
      </c>
      <c r="S428" s="4">
        <f>(H428*INDEX('Stages'!$D$2:$D$7,MATCH(F428,'Stages'!$A$2:$A$7,0)))</f>
        <v>0</v>
      </c>
      <c r="T428" s="4">
        <f>(H428*I428)</f>
        <v>2600</v>
      </c>
      <c r="U428" s="4">
        <f>(H428*(I428-1))</f>
        <v>0</v>
      </c>
      <c r="V428" s="0" t="str">
        <f>INDEX('Account executives'!$B$2:$B$25,MATCH(C428,'Account executives'!$A$2:$A$25,0))</f>
        <v>amer_east</v>
      </c>
      <c r="W428" s="0" t="str">
        <f>INDEX('Account executives'!$C$2:$C$25,MATCH(C428,'Account executives'!$A$2:$A$25,0))</f>
        <v>smb</v>
      </c>
      <c r="X428" s="0" t="str">
        <f>SUBSTITUTE(LOWER(INDEX('Periods'!$G$2:$G$22,MATCH(N428,'Periods'!$A$2:$A$22,0)))," ","_")</f>
        <v>q2_2025</v>
      </c>
    </row>
    <row r="429">
      <c r="A429" s="0" t="inlineStr">
        <is>
          <t xml:space="preserve">o0428</t>
        </is>
      </c>
      <c r="B429" s="0" t="inlineStr">
        <is>
          <t xml:space="preserve">a0319</t>
        </is>
      </c>
      <c r="C429" s="0" t="inlineStr">
        <is>
          <t xml:space="preserve">r06</t>
        </is>
      </c>
      <c r="D429" s="0"/>
      <c r="E429" s="0" t="inlineStr">
        <is>
          <t xml:space="preserve">partner</t>
        </is>
      </c>
      <c r="F429" s="0" t="inlineStr">
        <is>
          <t xml:space="preserve">closed_won</t>
        </is>
      </c>
      <c r="G429" s="4">
        <v>1</v>
      </c>
      <c r="H429" s="4">
        <v>10300</v>
      </c>
      <c r="I429" s="4">
        <v>1</v>
      </c>
      <c r="J429" s="4">
        <v>0</v>
      </c>
      <c r="K429" s="16">
        <v>45891</v>
      </c>
      <c r="L429" s="16">
        <v>45924</v>
      </c>
      <c r="M429" s="0" t="inlineStr">
        <is>
          <t xml:space="preserve">aug25</t>
        </is>
      </c>
      <c r="N429" s="0" t="inlineStr">
        <is>
          <t xml:space="preserve">sep25</t>
        </is>
      </c>
      <c r="O429" s="4">
        <v>33</v>
      </c>
      <c r="P429" s="4">
        <v>1</v>
      </c>
      <c r="Q429" s="4">
        <v>0</v>
      </c>
      <c r="R429" s="4">
        <v>0</v>
      </c>
      <c r="S429" s="4">
        <f>(H429*INDEX('Stages'!$D$2:$D$7,MATCH(F429,'Stages'!$A$2:$A$7,0)))</f>
        <v>10300</v>
      </c>
      <c r="T429" s="4">
        <f>(H429*I429)</f>
        <v>10300</v>
      </c>
      <c r="U429" s="4">
        <f>(H429*(I429-1))</f>
        <v>0</v>
      </c>
      <c r="V429" s="0" t="str">
        <f>INDEX('Account executives'!$B$2:$B$25,MATCH(C429,'Account executives'!$A$2:$A$25,0))</f>
        <v>amer_east</v>
      </c>
      <c r="W429" s="0" t="str">
        <f>INDEX('Account executives'!$C$2:$C$25,MATCH(C429,'Account executives'!$A$2:$A$25,0))</f>
        <v>smb</v>
      </c>
      <c r="X429" s="0" t="str">
        <f>SUBSTITUTE(LOWER(INDEX('Periods'!$G$2:$G$22,MATCH(N429,'Periods'!$A$2:$A$22,0)))," ","_")</f>
        <v>q3_2025</v>
      </c>
    </row>
    <row r="430">
      <c r="A430" s="0" t="inlineStr">
        <is>
          <t xml:space="preserve">o0429</t>
        </is>
      </c>
      <c r="B430" s="0" t="inlineStr">
        <is>
          <t xml:space="preserve">a0146</t>
        </is>
      </c>
      <c r="C430" s="0" t="inlineStr">
        <is>
          <t xml:space="preserve">r20</t>
        </is>
      </c>
      <c r="D430" s="0" t="inlineStr">
        <is>
          <t xml:space="preserve">s_apac_out</t>
        </is>
      </c>
      <c r="E430" s="0" t="inlineStr">
        <is>
          <t xml:space="preserve">outbound</t>
        </is>
      </c>
      <c r="F430" s="0" t="inlineStr">
        <is>
          <t xml:space="preserve">closed_lost</t>
        </is>
      </c>
      <c r="G430" s="4">
        <v>0</v>
      </c>
      <c r="H430" s="4">
        <v>102000</v>
      </c>
      <c r="I430" s="4">
        <v>2</v>
      </c>
      <c r="J430" s="4">
        <v>0</v>
      </c>
      <c r="K430" s="16">
        <v>45802</v>
      </c>
      <c r="L430" s="16">
        <v>45924</v>
      </c>
      <c r="M430" s="0" t="inlineStr">
        <is>
          <t xml:space="preserve">may25</t>
        </is>
      </c>
      <c r="N430" s="0" t="inlineStr">
        <is>
          <t xml:space="preserve">sep25</t>
        </is>
      </c>
      <c r="O430" s="4">
        <v>122</v>
      </c>
      <c r="P430" s="4">
        <v>0</v>
      </c>
      <c r="Q430" s="4">
        <v>1</v>
      </c>
      <c r="R430" s="4">
        <v>0</v>
      </c>
      <c r="S430" s="4">
        <f>(H430*INDEX('Stages'!$D$2:$D$7,MATCH(F430,'Stages'!$A$2:$A$7,0)))</f>
        <v>0</v>
      </c>
      <c r="T430" s="4">
        <f>(H430*I430)</f>
        <v>204000</v>
      </c>
      <c r="U430" s="4">
        <f>(H430*(I430-1))</f>
        <v>102000</v>
      </c>
      <c r="V430" s="0" t="str">
        <f>INDEX('Account executives'!$B$2:$B$25,MATCH(C430,'Account executives'!$A$2:$A$25,0))</f>
        <v>apac</v>
      </c>
      <c r="W430" s="0" t="str">
        <f>INDEX('Account executives'!$C$2:$C$25,MATCH(C430,'Account executives'!$A$2:$A$25,0))</f>
        <v>enterprise</v>
      </c>
      <c r="X430" s="0" t="str">
        <f>SUBSTITUTE(LOWER(INDEX('Periods'!$G$2:$G$22,MATCH(N430,'Periods'!$A$2:$A$22,0)))," ","_")</f>
        <v>q3_2025</v>
      </c>
    </row>
    <row r="431">
      <c r="A431" s="0" t="inlineStr">
        <is>
          <t xml:space="preserve">o0430</t>
        </is>
      </c>
      <c r="B431" s="0" t="inlineStr">
        <is>
          <t xml:space="preserve">a0080</t>
        </is>
      </c>
      <c r="C431" s="0" t="inlineStr">
        <is>
          <t xml:space="preserve">r06</t>
        </is>
      </c>
      <c r="D431" s="0" t="inlineStr">
        <is>
          <t xml:space="preserve">s_amer_east_out</t>
        </is>
      </c>
      <c r="E431" s="0" t="inlineStr">
        <is>
          <t xml:space="preserve">outbound</t>
        </is>
      </c>
      <c r="F431" s="0" t="inlineStr">
        <is>
          <t xml:space="preserve">closed_lost</t>
        </is>
      </c>
      <c r="G431" s="4">
        <v>0</v>
      </c>
      <c r="H431" s="4">
        <v>4600</v>
      </c>
      <c r="I431" s="4">
        <v>1</v>
      </c>
      <c r="J431" s="4">
        <v>0</v>
      </c>
      <c r="K431" s="16">
        <v>45861</v>
      </c>
      <c r="L431" s="16">
        <v>45885</v>
      </c>
      <c r="M431" s="0" t="inlineStr">
        <is>
          <t xml:space="preserve">jul25</t>
        </is>
      </c>
      <c r="N431" s="0" t="inlineStr">
        <is>
          <t xml:space="preserve">aug25</t>
        </is>
      </c>
      <c r="O431" s="4">
        <v>24</v>
      </c>
      <c r="P431" s="4">
        <v>0</v>
      </c>
      <c r="Q431" s="4">
        <v>1</v>
      </c>
      <c r="R431" s="4">
        <v>0</v>
      </c>
      <c r="S431" s="4">
        <f>(H431*INDEX('Stages'!$D$2:$D$7,MATCH(F431,'Stages'!$A$2:$A$7,0)))</f>
        <v>0</v>
      </c>
      <c r="T431" s="4">
        <f>(H431*I431)</f>
        <v>4600</v>
      </c>
      <c r="U431" s="4">
        <f>(H431*(I431-1))</f>
        <v>0</v>
      </c>
      <c r="V431" s="0" t="str">
        <f>INDEX('Account executives'!$B$2:$B$25,MATCH(C431,'Account executives'!$A$2:$A$25,0))</f>
        <v>amer_east</v>
      </c>
      <c r="W431" s="0" t="str">
        <f>INDEX('Account executives'!$C$2:$C$25,MATCH(C431,'Account executives'!$A$2:$A$25,0))</f>
        <v>smb</v>
      </c>
      <c r="X431" s="0" t="str">
        <f>SUBSTITUTE(LOWER(INDEX('Periods'!$G$2:$G$22,MATCH(N431,'Periods'!$A$2:$A$22,0)))," ","_")</f>
        <v>q3_2025</v>
      </c>
    </row>
    <row r="432">
      <c r="A432" s="0" t="inlineStr">
        <is>
          <t xml:space="preserve">o0431</t>
        </is>
      </c>
      <c r="B432" s="0" t="inlineStr">
        <is>
          <t xml:space="preserve">a1140</t>
        </is>
      </c>
      <c r="C432" s="0" t="inlineStr">
        <is>
          <t xml:space="preserve">r21</t>
        </is>
      </c>
      <c r="D432" s="0" t="inlineStr">
        <is>
          <t xml:space="preserve">s_apac_out</t>
        </is>
      </c>
      <c r="E432" s="0" t="inlineStr">
        <is>
          <t xml:space="preserve">outbound</t>
        </is>
      </c>
      <c r="F432" s="0" t="inlineStr">
        <is>
          <t xml:space="preserve">evaluation</t>
        </is>
      </c>
      <c r="G432" s="4">
        <v>1</v>
      </c>
      <c r="H432" s="4">
        <v>25300</v>
      </c>
      <c r="I432" s="4">
        <v>2</v>
      </c>
      <c r="J432" s="4">
        <v>0</v>
      </c>
      <c r="K432" s="16">
        <v>46225</v>
      </c>
      <c r="L432" s="16">
        <v>46306</v>
      </c>
      <c r="M432" s="0" t="inlineStr">
        <is>
          <t xml:space="preserve">jul26</t>
        </is>
      </c>
      <c r="N432" s="0" t="inlineStr">
        <is>
          <t xml:space="preserve">oct26</t>
        </is>
      </c>
      <c r="O432" s="4">
        <v>96</v>
      </c>
      <c r="P432" s="4">
        <v>0</v>
      </c>
      <c r="Q432" s="4">
        <v>0</v>
      </c>
      <c r="R432" s="4">
        <v>1</v>
      </c>
      <c r="S432" s="4">
        <f>(H432*INDEX('Stages'!$D$2:$D$7,MATCH(F432,'Stages'!$A$2:$A$7,0)))</f>
        <v>6325</v>
      </c>
      <c r="T432" s="4">
        <f>(H432*I432)</f>
        <v>50600</v>
      </c>
      <c r="U432" s="4">
        <f>(H432*(I432-1))</f>
        <v>25300</v>
      </c>
      <c r="V432" s="0" t="str">
        <f>INDEX('Account executives'!$B$2:$B$25,MATCH(C432,'Account executives'!$A$2:$A$25,0))</f>
        <v>apac</v>
      </c>
      <c r="W432" s="0" t="str">
        <f>INDEX('Account executives'!$C$2:$C$25,MATCH(C432,'Account executives'!$A$2:$A$25,0))</f>
        <v>mid_market</v>
      </c>
      <c r="X432" s="0" t="str">
        <f>SUBSTITUTE(LOWER(INDEX('Periods'!$G$2:$G$22,MATCH(N432,'Periods'!$A$2:$A$22,0)))," ","_")</f>
        <v>q4_2026</v>
      </c>
    </row>
    <row r="433">
      <c r="A433" s="0" t="inlineStr">
        <is>
          <t xml:space="preserve">o0432</t>
        </is>
      </c>
      <c r="B433" s="0" t="inlineStr">
        <is>
          <t xml:space="preserve">a0842</t>
        </is>
      </c>
      <c r="C433" s="0" t="inlineStr">
        <is>
          <t xml:space="preserve">r07</t>
        </is>
      </c>
      <c r="D433" s="0" t="inlineStr">
        <is>
          <t xml:space="preserve">s_amer_west_in</t>
        </is>
      </c>
      <c r="E433" s="0" t="inlineStr">
        <is>
          <t xml:space="preserve">paid</t>
        </is>
      </c>
      <c r="F433" s="0" t="inlineStr">
        <is>
          <t xml:space="preserve">evaluation</t>
        </is>
      </c>
      <c r="G433" s="4">
        <v>0</v>
      </c>
      <c r="H433" s="4">
        <v>105700</v>
      </c>
      <c r="I433" s="4">
        <v>3</v>
      </c>
      <c r="J433" s="4">
        <v>1</v>
      </c>
      <c r="K433" s="16">
        <v>46238</v>
      </c>
      <c r="L433" s="16">
        <v>46308</v>
      </c>
      <c r="M433" s="0" t="inlineStr">
        <is>
          <t xml:space="preserve">aug26</t>
        </is>
      </c>
      <c r="N433" s="0" t="inlineStr">
        <is>
          <t xml:space="preserve">oct26</t>
        </is>
      </c>
      <c r="O433" s="4">
        <v>122</v>
      </c>
      <c r="P433" s="4">
        <v>0</v>
      </c>
      <c r="Q433" s="4">
        <v>0</v>
      </c>
      <c r="R433" s="4">
        <v>1</v>
      </c>
      <c r="S433" s="4">
        <f>(H433*INDEX('Stages'!$D$2:$D$7,MATCH(F433,'Stages'!$A$2:$A$7,0)))</f>
        <v>26425</v>
      </c>
      <c r="T433" s="4">
        <f>(H433*I433)</f>
        <v>317100</v>
      </c>
      <c r="U433" s="4">
        <f>(H433*(I433-1))</f>
        <v>211400</v>
      </c>
      <c r="V433" s="0" t="str">
        <f>INDEX('Account executives'!$B$2:$B$25,MATCH(C433,'Account executives'!$A$2:$A$25,0))</f>
        <v>amer_west</v>
      </c>
      <c r="W433" s="0" t="str">
        <f>INDEX('Account executives'!$C$2:$C$25,MATCH(C433,'Account executives'!$A$2:$A$25,0))</f>
        <v>enterprise</v>
      </c>
      <c r="X433" s="0" t="str">
        <f>SUBSTITUTE(LOWER(INDEX('Periods'!$G$2:$G$22,MATCH(N433,'Periods'!$A$2:$A$22,0)))," ","_")</f>
        <v>q4_2026</v>
      </c>
    </row>
    <row r="434">
      <c r="A434" s="0" t="inlineStr">
        <is>
          <t xml:space="preserve">o0433</t>
        </is>
      </c>
      <c r="B434" s="0" t="inlineStr">
        <is>
          <t xml:space="preserve">a0047</t>
        </is>
      </c>
      <c r="C434" s="0" t="inlineStr">
        <is>
          <t xml:space="preserve">r17</t>
        </is>
      </c>
      <c r="D434" s="0" t="inlineStr">
        <is>
          <t xml:space="preserve">s_emea_in</t>
        </is>
      </c>
      <c r="E434" s="0" t="inlineStr">
        <is>
          <t xml:space="preserve">paid</t>
        </is>
      </c>
      <c r="F434" s="0" t="inlineStr">
        <is>
          <t xml:space="preserve">closed_lost</t>
        </is>
      </c>
      <c r="G434" s="4">
        <v>1</v>
      </c>
      <c r="H434" s="4">
        <v>34300</v>
      </c>
      <c r="I434" s="4">
        <v>1</v>
      </c>
      <c r="J434" s="4">
        <v>0</v>
      </c>
      <c r="K434" s="16">
        <v>45759</v>
      </c>
      <c r="L434" s="16">
        <v>45789</v>
      </c>
      <c r="M434" s="0" t="inlineStr">
        <is>
          <t xml:space="preserve">apr25</t>
        </is>
      </c>
      <c r="N434" s="0" t="inlineStr">
        <is>
          <t xml:space="preserve">may25</t>
        </is>
      </c>
      <c r="O434" s="4">
        <v>30</v>
      </c>
      <c r="P434" s="4">
        <v>0</v>
      </c>
      <c r="Q434" s="4">
        <v>1</v>
      </c>
      <c r="R434" s="4">
        <v>0</v>
      </c>
      <c r="S434" s="4">
        <f>(H434*INDEX('Stages'!$D$2:$D$7,MATCH(F434,'Stages'!$A$2:$A$7,0)))</f>
        <v>0</v>
      </c>
      <c r="T434" s="4">
        <f>(H434*I434)</f>
        <v>34300</v>
      </c>
      <c r="U434" s="4">
        <f>(H434*(I434-1))</f>
        <v>0</v>
      </c>
      <c r="V434" s="0" t="str">
        <f>INDEX('Account executives'!$B$2:$B$25,MATCH(C434,'Account executives'!$A$2:$A$25,0))</f>
        <v>emea</v>
      </c>
      <c r="W434" s="0" t="str">
        <f>INDEX('Account executives'!$C$2:$C$25,MATCH(C434,'Account executives'!$A$2:$A$25,0))</f>
        <v>smb</v>
      </c>
      <c r="X434" s="0" t="str">
        <f>SUBSTITUTE(LOWER(INDEX('Periods'!$G$2:$G$22,MATCH(N434,'Periods'!$A$2:$A$22,0)))," ","_")</f>
        <v>q2_2025</v>
      </c>
    </row>
    <row r="435">
      <c r="A435" s="0" t="inlineStr">
        <is>
          <t xml:space="preserve">o0434</t>
        </is>
      </c>
      <c r="B435" s="0" t="inlineStr">
        <is>
          <t xml:space="preserve">a0293</t>
        </is>
      </c>
      <c r="C435" s="0" t="inlineStr">
        <is>
          <t xml:space="preserve">r15</t>
        </is>
      </c>
      <c r="D435" s="0" t="inlineStr">
        <is>
          <t xml:space="preserve">s_emea_in</t>
        </is>
      </c>
      <c r="E435" s="0" t="inlineStr">
        <is>
          <t xml:space="preserve">inbound</t>
        </is>
      </c>
      <c r="F435" s="0" t="inlineStr">
        <is>
          <t xml:space="preserve">closed_won</t>
        </is>
      </c>
      <c r="G435" s="4">
        <v>0</v>
      </c>
      <c r="H435" s="4">
        <v>12500</v>
      </c>
      <c r="I435" s="4">
        <v>2</v>
      </c>
      <c r="J435" s="4">
        <v>0</v>
      </c>
      <c r="K435" s="16">
        <v>46196</v>
      </c>
      <c r="L435" s="16">
        <v>46275</v>
      </c>
      <c r="M435" s="0" t="inlineStr">
        <is>
          <t xml:space="preserve">jun26</t>
        </is>
      </c>
      <c r="N435" s="0" t="inlineStr">
        <is>
          <t xml:space="preserve">sep26</t>
        </is>
      </c>
      <c r="O435" s="4">
        <v>79</v>
      </c>
      <c r="P435" s="4">
        <v>1</v>
      </c>
      <c r="Q435" s="4">
        <v>0</v>
      </c>
      <c r="R435" s="4">
        <v>0</v>
      </c>
      <c r="S435" s="4">
        <f>(H435*INDEX('Stages'!$D$2:$D$7,MATCH(F435,'Stages'!$A$2:$A$7,0)))</f>
        <v>12500</v>
      </c>
      <c r="T435" s="4">
        <f>(H435*I435)</f>
        <v>25000</v>
      </c>
      <c r="U435" s="4">
        <f>(H435*(I435-1))</f>
        <v>12500</v>
      </c>
      <c r="V435" s="0" t="str">
        <f>INDEX('Account executives'!$B$2:$B$25,MATCH(C435,'Account executives'!$A$2:$A$25,0))</f>
        <v>emea</v>
      </c>
      <c r="W435" s="0" t="str">
        <f>INDEX('Account executives'!$C$2:$C$25,MATCH(C435,'Account executives'!$A$2:$A$25,0))</f>
        <v>mid_market</v>
      </c>
      <c r="X435" s="0" t="str">
        <f>SUBSTITUTE(LOWER(INDEX('Periods'!$G$2:$G$22,MATCH(N435,'Periods'!$A$2:$A$22,0)))," ","_")</f>
        <v>q3_2026</v>
      </c>
    </row>
    <row r="436">
      <c r="A436" s="0" t="inlineStr">
        <is>
          <t xml:space="preserve">o0435</t>
        </is>
      </c>
      <c r="B436" s="0" t="inlineStr">
        <is>
          <t xml:space="preserve">a0282</t>
        </is>
      </c>
      <c r="C436" s="0" t="inlineStr">
        <is>
          <t xml:space="preserve">r18</t>
        </is>
      </c>
      <c r="D436" s="0" t="inlineStr">
        <is>
          <t xml:space="preserve">s_emea_in</t>
        </is>
      </c>
      <c r="E436" s="0" t="inlineStr">
        <is>
          <t xml:space="preserve">paid</t>
        </is>
      </c>
      <c r="F436" s="0" t="inlineStr">
        <is>
          <t xml:space="preserve">closed_lost</t>
        </is>
      </c>
      <c r="G436" s="4">
        <v>1</v>
      </c>
      <c r="H436" s="4">
        <v>11100</v>
      </c>
      <c r="I436" s="4">
        <v>1</v>
      </c>
      <c r="J436" s="4">
        <v>0</v>
      </c>
      <c r="K436" s="16">
        <v>45842</v>
      </c>
      <c r="L436" s="16">
        <v>45870</v>
      </c>
      <c r="M436" s="0" t="inlineStr">
        <is>
          <t xml:space="preserve">jul25</t>
        </is>
      </c>
      <c r="N436" s="0" t="inlineStr">
        <is>
          <t xml:space="preserve">aug25</t>
        </is>
      </c>
      <c r="O436" s="4">
        <v>28</v>
      </c>
      <c r="P436" s="4">
        <v>0</v>
      </c>
      <c r="Q436" s="4">
        <v>1</v>
      </c>
      <c r="R436" s="4">
        <v>0</v>
      </c>
      <c r="S436" s="4">
        <f>(H436*INDEX('Stages'!$D$2:$D$7,MATCH(F436,'Stages'!$A$2:$A$7,0)))</f>
        <v>0</v>
      </c>
      <c r="T436" s="4">
        <f>(H436*I436)</f>
        <v>11100</v>
      </c>
      <c r="U436" s="4">
        <f>(H436*(I436-1))</f>
        <v>0</v>
      </c>
      <c r="V436" s="0" t="str">
        <f>INDEX('Account executives'!$B$2:$B$25,MATCH(C436,'Account executives'!$A$2:$A$25,0))</f>
        <v>emea</v>
      </c>
      <c r="W436" s="0" t="str">
        <f>INDEX('Account executives'!$C$2:$C$25,MATCH(C436,'Account executives'!$A$2:$A$25,0))</f>
        <v>smb</v>
      </c>
      <c r="X436" s="0" t="str">
        <f>SUBSTITUTE(LOWER(INDEX('Periods'!$G$2:$G$22,MATCH(N436,'Periods'!$A$2:$A$22,0)))," ","_")</f>
        <v>q3_2025</v>
      </c>
    </row>
    <row r="437">
      <c r="A437" s="0" t="inlineStr">
        <is>
          <t xml:space="preserve">o0436</t>
        </is>
      </c>
      <c r="B437" s="0" t="inlineStr">
        <is>
          <t xml:space="preserve">a0027</t>
        </is>
      </c>
      <c r="C437" s="0" t="inlineStr">
        <is>
          <t xml:space="preserve">r09</t>
        </is>
      </c>
      <c r="D437" s="0"/>
      <c r="E437" s="0" t="inlineStr">
        <is>
          <t xml:space="preserve">events</t>
        </is>
      </c>
      <c r="F437" s="0" t="inlineStr">
        <is>
          <t xml:space="preserve">closed_lost</t>
        </is>
      </c>
      <c r="G437" s="4">
        <v>0</v>
      </c>
      <c r="H437" s="4">
        <v>24700</v>
      </c>
      <c r="I437" s="4">
        <v>1</v>
      </c>
      <c r="J437" s="4">
        <v>0</v>
      </c>
      <c r="K437" s="16">
        <v>45853</v>
      </c>
      <c r="L437" s="16">
        <v>45916</v>
      </c>
      <c r="M437" s="0" t="inlineStr">
        <is>
          <t xml:space="preserve">jul25</t>
        </is>
      </c>
      <c r="N437" s="0" t="inlineStr">
        <is>
          <t xml:space="preserve">sep25</t>
        </is>
      </c>
      <c r="O437" s="4">
        <v>63</v>
      </c>
      <c r="P437" s="4">
        <v>0</v>
      </c>
      <c r="Q437" s="4">
        <v>1</v>
      </c>
      <c r="R437" s="4">
        <v>0</v>
      </c>
      <c r="S437" s="4">
        <f>(H437*INDEX('Stages'!$D$2:$D$7,MATCH(F437,'Stages'!$A$2:$A$7,0)))</f>
        <v>0</v>
      </c>
      <c r="T437" s="4">
        <f>(H437*I437)</f>
        <v>24700</v>
      </c>
      <c r="U437" s="4">
        <f>(H437*(I437-1))</f>
        <v>0</v>
      </c>
      <c r="V437" s="0" t="str">
        <f>INDEX('Account executives'!$B$2:$B$25,MATCH(C437,'Account executives'!$A$2:$A$25,0))</f>
        <v>amer_west</v>
      </c>
      <c r="W437" s="0" t="str">
        <f>INDEX('Account executives'!$C$2:$C$25,MATCH(C437,'Account executives'!$A$2:$A$25,0))</f>
        <v>mid_market</v>
      </c>
      <c r="X437" s="0" t="str">
        <f>SUBSTITUTE(LOWER(INDEX('Periods'!$G$2:$G$22,MATCH(N437,'Periods'!$A$2:$A$22,0)))," ","_")</f>
        <v>q3_2025</v>
      </c>
    </row>
    <row r="438">
      <c r="A438" s="0" t="inlineStr">
        <is>
          <t xml:space="preserve">o0437</t>
        </is>
      </c>
      <c r="B438" s="0" t="inlineStr">
        <is>
          <t xml:space="preserve">a1048</t>
        </is>
      </c>
      <c r="C438" s="0" t="inlineStr">
        <is>
          <t xml:space="preserve">r24</t>
        </is>
      </c>
      <c r="D438" s="0"/>
      <c r="E438" s="0" t="inlineStr">
        <is>
          <t xml:space="preserve">events</t>
        </is>
      </c>
      <c r="F438" s="0" t="inlineStr">
        <is>
          <t xml:space="preserve">closed_lost</t>
        </is>
      </c>
      <c r="G438" s="4">
        <v>1</v>
      </c>
      <c r="H438" s="4">
        <v>7800</v>
      </c>
      <c r="I438" s="4">
        <v>1</v>
      </c>
      <c r="J438" s="4">
        <v>0</v>
      </c>
      <c r="K438" s="16">
        <v>46179</v>
      </c>
      <c r="L438" s="16">
        <v>46217</v>
      </c>
      <c r="M438" s="0" t="inlineStr">
        <is>
          <t xml:space="preserve">jun26</t>
        </is>
      </c>
      <c r="N438" s="0" t="inlineStr">
        <is>
          <t xml:space="preserve">jul26</t>
        </is>
      </c>
      <c r="O438" s="4">
        <v>38</v>
      </c>
      <c r="P438" s="4">
        <v>0</v>
      </c>
      <c r="Q438" s="4">
        <v>1</v>
      </c>
      <c r="R438" s="4">
        <v>0</v>
      </c>
      <c r="S438" s="4">
        <f>(H438*INDEX('Stages'!$D$2:$D$7,MATCH(F438,'Stages'!$A$2:$A$7,0)))</f>
        <v>0</v>
      </c>
      <c r="T438" s="4">
        <f>(H438*I438)</f>
        <v>7800</v>
      </c>
      <c r="U438" s="4">
        <f>(H438*(I438-1))</f>
        <v>0</v>
      </c>
      <c r="V438" s="0" t="str">
        <f>INDEX('Account executives'!$B$2:$B$25,MATCH(C438,'Account executives'!$A$2:$A$25,0))</f>
        <v>apac</v>
      </c>
      <c r="W438" s="0" t="str">
        <f>INDEX('Account executives'!$C$2:$C$25,MATCH(C438,'Account executives'!$A$2:$A$25,0))</f>
        <v>smb</v>
      </c>
      <c r="X438" s="0" t="str">
        <f>SUBSTITUTE(LOWER(INDEX('Periods'!$G$2:$G$22,MATCH(N438,'Periods'!$A$2:$A$22,0)))," ","_")</f>
        <v>q3_2026</v>
      </c>
    </row>
    <row r="439">
      <c r="A439" s="0" t="inlineStr">
        <is>
          <t xml:space="preserve">o0438</t>
        </is>
      </c>
      <c r="B439" s="0" t="inlineStr">
        <is>
          <t xml:space="preserve">a0381</t>
        </is>
      </c>
      <c r="C439" s="0" t="inlineStr">
        <is>
          <t xml:space="preserve">r10</t>
        </is>
      </c>
      <c r="D439" s="0" t="inlineStr">
        <is>
          <t xml:space="preserve">s_amer_west_in</t>
        </is>
      </c>
      <c r="E439" s="0" t="inlineStr">
        <is>
          <t xml:space="preserve">inbound</t>
        </is>
      </c>
      <c r="F439" s="0" t="inlineStr">
        <is>
          <t xml:space="preserve">closed_lost</t>
        </is>
      </c>
      <c r="G439" s="4">
        <v>0</v>
      </c>
      <c r="H439" s="4">
        <v>8700</v>
      </c>
      <c r="I439" s="4">
        <v>1</v>
      </c>
      <c r="J439" s="4">
        <v>0</v>
      </c>
      <c r="K439" s="16">
        <v>46101</v>
      </c>
      <c r="L439" s="16">
        <v>46172</v>
      </c>
      <c r="M439" s="0" t="inlineStr">
        <is>
          <t xml:space="preserve">mar26</t>
        </is>
      </c>
      <c r="N439" s="0" t="inlineStr">
        <is>
          <t xml:space="preserve">may26</t>
        </is>
      </c>
      <c r="O439" s="4">
        <v>71</v>
      </c>
      <c r="P439" s="4">
        <v>0</v>
      </c>
      <c r="Q439" s="4">
        <v>1</v>
      </c>
      <c r="R439" s="4">
        <v>0</v>
      </c>
      <c r="S439" s="4">
        <f>(H439*INDEX('Stages'!$D$2:$D$7,MATCH(F439,'Stages'!$A$2:$A$7,0)))</f>
        <v>0</v>
      </c>
      <c r="T439" s="4">
        <f>(H439*I439)</f>
        <v>8700</v>
      </c>
      <c r="U439" s="4">
        <f>(H439*(I439-1))</f>
        <v>0</v>
      </c>
      <c r="V439" s="0" t="str">
        <f>INDEX('Account executives'!$B$2:$B$25,MATCH(C439,'Account executives'!$A$2:$A$25,0))</f>
        <v>amer_west</v>
      </c>
      <c r="W439" s="0" t="str">
        <f>INDEX('Account executives'!$C$2:$C$25,MATCH(C439,'Account executives'!$A$2:$A$25,0))</f>
        <v>mid_market</v>
      </c>
      <c r="X439" s="0" t="str">
        <f>SUBSTITUTE(LOWER(INDEX('Periods'!$G$2:$G$22,MATCH(N439,'Periods'!$A$2:$A$22,0)))," ","_")</f>
        <v>q2_2026</v>
      </c>
    </row>
    <row r="440">
      <c r="A440" s="0" t="inlineStr">
        <is>
          <t xml:space="preserve">o0439</t>
        </is>
      </c>
      <c r="B440" s="0" t="inlineStr">
        <is>
          <t xml:space="preserve">a1122</t>
        </is>
      </c>
      <c r="C440" s="0" t="inlineStr">
        <is>
          <t xml:space="preserve">r15</t>
        </is>
      </c>
      <c r="D440" s="0" t="inlineStr">
        <is>
          <t xml:space="preserve">s_emea_in</t>
        </is>
      </c>
      <c r="E440" s="0" t="inlineStr">
        <is>
          <t xml:space="preserve">inbound</t>
        </is>
      </c>
      <c r="F440" s="0" t="inlineStr">
        <is>
          <t xml:space="preserve">closed_lost</t>
        </is>
      </c>
      <c r="G440" s="4">
        <v>1</v>
      </c>
      <c r="H440" s="4">
        <v>24500</v>
      </c>
      <c r="I440" s="4">
        <v>3</v>
      </c>
      <c r="J440" s="4">
        <v>0</v>
      </c>
      <c r="K440" s="16">
        <v>46228</v>
      </c>
      <c r="L440" s="16">
        <v>46255</v>
      </c>
      <c r="M440" s="0" t="inlineStr">
        <is>
          <t xml:space="preserve">jul26</t>
        </is>
      </c>
      <c r="N440" s="0" t="inlineStr">
        <is>
          <t xml:space="preserve">aug26</t>
        </is>
      </c>
      <c r="O440" s="4">
        <v>27</v>
      </c>
      <c r="P440" s="4">
        <v>0</v>
      </c>
      <c r="Q440" s="4">
        <v>1</v>
      </c>
      <c r="R440" s="4">
        <v>0</v>
      </c>
      <c r="S440" s="4">
        <f>(H440*INDEX('Stages'!$D$2:$D$7,MATCH(F440,'Stages'!$A$2:$A$7,0)))</f>
        <v>0</v>
      </c>
      <c r="T440" s="4">
        <f>(H440*I440)</f>
        <v>73500</v>
      </c>
      <c r="U440" s="4">
        <f>(H440*(I440-1))</f>
        <v>49000</v>
      </c>
      <c r="V440" s="0" t="str">
        <f>INDEX('Account executives'!$B$2:$B$25,MATCH(C440,'Account executives'!$A$2:$A$25,0))</f>
        <v>emea</v>
      </c>
      <c r="W440" s="0" t="str">
        <f>INDEX('Account executives'!$C$2:$C$25,MATCH(C440,'Account executives'!$A$2:$A$25,0))</f>
        <v>mid_market</v>
      </c>
      <c r="X440" s="0" t="str">
        <f>SUBSTITUTE(LOWER(INDEX('Periods'!$G$2:$G$22,MATCH(N440,'Periods'!$A$2:$A$22,0)))," ","_")</f>
        <v>q3_2026</v>
      </c>
    </row>
    <row r="441">
      <c r="A441" s="0" t="inlineStr">
        <is>
          <t xml:space="preserve">o0440</t>
        </is>
      </c>
      <c r="B441" s="0" t="inlineStr">
        <is>
          <t xml:space="preserve">a0778</t>
        </is>
      </c>
      <c r="C441" s="0" t="inlineStr">
        <is>
          <t xml:space="preserve">r18</t>
        </is>
      </c>
      <c r="D441" s="0" t="inlineStr">
        <is>
          <t xml:space="preserve">s_emea_in</t>
        </is>
      </c>
      <c r="E441" s="0" t="inlineStr">
        <is>
          <t xml:space="preserve">inbound</t>
        </is>
      </c>
      <c r="F441" s="0" t="inlineStr">
        <is>
          <t xml:space="preserve">closed_lost</t>
        </is>
      </c>
      <c r="G441" s="4">
        <v>1</v>
      </c>
      <c r="H441" s="4">
        <v>14000</v>
      </c>
      <c r="I441" s="4">
        <v>1</v>
      </c>
      <c r="J441" s="4">
        <v>1</v>
      </c>
      <c r="K441" s="16">
        <v>46100</v>
      </c>
      <c r="L441" s="16">
        <v>46139</v>
      </c>
      <c r="M441" s="0" t="inlineStr">
        <is>
          <t xml:space="preserve">mar26</t>
        </is>
      </c>
      <c r="N441" s="0" t="inlineStr">
        <is>
          <t xml:space="preserve">apr26</t>
        </is>
      </c>
      <c r="O441" s="4">
        <v>39</v>
      </c>
      <c r="P441" s="4">
        <v>0</v>
      </c>
      <c r="Q441" s="4">
        <v>1</v>
      </c>
      <c r="R441" s="4">
        <v>0</v>
      </c>
      <c r="S441" s="4">
        <f>(H441*INDEX('Stages'!$D$2:$D$7,MATCH(F441,'Stages'!$A$2:$A$7,0)))</f>
        <v>0</v>
      </c>
      <c r="T441" s="4">
        <f>(H441*I441)</f>
        <v>14000</v>
      </c>
      <c r="U441" s="4">
        <f>(H441*(I441-1))</f>
        <v>0</v>
      </c>
      <c r="V441" s="0" t="str">
        <f>INDEX('Account executives'!$B$2:$B$25,MATCH(C441,'Account executives'!$A$2:$A$25,0))</f>
        <v>emea</v>
      </c>
      <c r="W441" s="0" t="str">
        <f>INDEX('Account executives'!$C$2:$C$25,MATCH(C441,'Account executives'!$A$2:$A$25,0))</f>
        <v>smb</v>
      </c>
      <c r="X441" s="0" t="str">
        <f>SUBSTITUTE(LOWER(INDEX('Periods'!$G$2:$G$22,MATCH(N441,'Periods'!$A$2:$A$22,0)))," ","_")</f>
        <v>q2_2026</v>
      </c>
    </row>
    <row r="442">
      <c r="A442" s="0" t="inlineStr">
        <is>
          <t xml:space="preserve">o0441</t>
        </is>
      </c>
      <c r="B442" s="0" t="inlineStr">
        <is>
          <t xml:space="preserve">a0613</t>
        </is>
      </c>
      <c r="C442" s="0" t="inlineStr">
        <is>
          <t xml:space="preserve">r03</t>
        </is>
      </c>
      <c r="D442" s="0" t="inlineStr">
        <is>
          <t xml:space="preserve">s_amer_east_in</t>
        </is>
      </c>
      <c r="E442" s="0" t="inlineStr">
        <is>
          <t xml:space="preserve">paid</t>
        </is>
      </c>
      <c r="F442" s="0" t="inlineStr">
        <is>
          <t xml:space="preserve">closed_lost</t>
        </is>
      </c>
      <c r="G442" s="4">
        <v>0</v>
      </c>
      <c r="H442" s="4">
        <v>16700</v>
      </c>
      <c r="I442" s="4">
        <v>1</v>
      </c>
      <c r="J442" s="4">
        <v>0</v>
      </c>
      <c r="K442" s="16">
        <v>46109</v>
      </c>
      <c r="L442" s="16">
        <v>46183</v>
      </c>
      <c r="M442" s="0" t="inlineStr">
        <is>
          <t xml:space="preserve">mar26</t>
        </is>
      </c>
      <c r="N442" s="0" t="inlineStr">
        <is>
          <t xml:space="preserve">jun26</t>
        </is>
      </c>
      <c r="O442" s="4">
        <v>74</v>
      </c>
      <c r="P442" s="4">
        <v>0</v>
      </c>
      <c r="Q442" s="4">
        <v>1</v>
      </c>
      <c r="R442" s="4">
        <v>0</v>
      </c>
      <c r="S442" s="4">
        <f>(H442*INDEX('Stages'!$D$2:$D$7,MATCH(F442,'Stages'!$A$2:$A$7,0)))</f>
        <v>0</v>
      </c>
      <c r="T442" s="4">
        <f>(H442*I442)</f>
        <v>16700</v>
      </c>
      <c r="U442" s="4">
        <f>(H442*(I442-1))</f>
        <v>0</v>
      </c>
      <c r="V442" s="0" t="str">
        <f>INDEX('Account executives'!$B$2:$B$25,MATCH(C442,'Account executives'!$A$2:$A$25,0))</f>
        <v>amer_east</v>
      </c>
      <c r="W442" s="0" t="str">
        <f>INDEX('Account executives'!$C$2:$C$25,MATCH(C442,'Account executives'!$A$2:$A$25,0))</f>
        <v>mid_market</v>
      </c>
      <c r="X442" s="0" t="str">
        <f>SUBSTITUTE(LOWER(INDEX('Periods'!$G$2:$G$22,MATCH(N442,'Periods'!$A$2:$A$22,0)))," ","_")</f>
        <v>q2_2026</v>
      </c>
    </row>
    <row r="443">
      <c r="A443" s="0" t="inlineStr">
        <is>
          <t xml:space="preserve">o0442</t>
        </is>
      </c>
      <c r="B443" s="0" t="inlineStr">
        <is>
          <t xml:space="preserve">a0311</t>
        </is>
      </c>
      <c r="C443" s="0" t="inlineStr">
        <is>
          <t xml:space="preserve">r04</t>
        </is>
      </c>
      <c r="D443" s="0" t="inlineStr">
        <is>
          <t xml:space="preserve">s_amer_east_in</t>
        </is>
      </c>
      <c r="E443" s="0" t="inlineStr">
        <is>
          <t xml:space="preserve">inbound</t>
        </is>
      </c>
      <c r="F443" s="0" t="inlineStr">
        <is>
          <t xml:space="preserve">closed_lost</t>
        </is>
      </c>
      <c r="G443" s="4">
        <v>1</v>
      </c>
      <c r="H443" s="4">
        <v>26600</v>
      </c>
      <c r="I443" s="4">
        <v>1</v>
      </c>
      <c r="J443" s="4">
        <v>1</v>
      </c>
      <c r="K443" s="16">
        <v>45872</v>
      </c>
      <c r="L443" s="16">
        <v>45910</v>
      </c>
      <c r="M443" s="0" t="inlineStr">
        <is>
          <t xml:space="preserve">aug25</t>
        </is>
      </c>
      <c r="N443" s="0" t="inlineStr">
        <is>
          <t xml:space="preserve">sep25</t>
        </is>
      </c>
      <c r="O443" s="4">
        <v>38</v>
      </c>
      <c r="P443" s="4">
        <v>0</v>
      </c>
      <c r="Q443" s="4">
        <v>1</v>
      </c>
      <c r="R443" s="4">
        <v>0</v>
      </c>
      <c r="S443" s="4">
        <f>(H443*INDEX('Stages'!$D$2:$D$7,MATCH(F443,'Stages'!$A$2:$A$7,0)))</f>
        <v>0</v>
      </c>
      <c r="T443" s="4">
        <f>(H443*I443)</f>
        <v>26600</v>
      </c>
      <c r="U443" s="4">
        <f>(H443*(I443-1))</f>
        <v>0</v>
      </c>
      <c r="V443" s="0" t="str">
        <f>INDEX('Account executives'!$B$2:$B$25,MATCH(C443,'Account executives'!$A$2:$A$25,0))</f>
        <v>amer_east</v>
      </c>
      <c r="W443" s="0" t="str">
        <f>INDEX('Account executives'!$C$2:$C$25,MATCH(C443,'Account executives'!$A$2:$A$25,0))</f>
        <v>mid_market</v>
      </c>
      <c r="X443" s="0" t="str">
        <f>SUBSTITUTE(LOWER(INDEX('Periods'!$G$2:$G$22,MATCH(N443,'Periods'!$A$2:$A$22,0)))," ","_")</f>
        <v>q3_2025</v>
      </c>
    </row>
    <row r="444">
      <c r="A444" s="0" t="inlineStr">
        <is>
          <t xml:space="preserve">o0443</t>
        </is>
      </c>
      <c r="B444" s="0" t="inlineStr">
        <is>
          <t xml:space="preserve">a0074</t>
        </is>
      </c>
      <c r="C444" s="0" t="inlineStr">
        <is>
          <t xml:space="preserve">r06</t>
        </is>
      </c>
      <c r="D444" s="0" t="inlineStr">
        <is>
          <t xml:space="preserve">s_amer_east_in</t>
        </is>
      </c>
      <c r="E444" s="0" t="inlineStr">
        <is>
          <t xml:space="preserve">paid</t>
        </is>
      </c>
      <c r="F444" s="0" t="inlineStr">
        <is>
          <t xml:space="preserve">closed_won</t>
        </is>
      </c>
      <c r="G444" s="4">
        <v>0</v>
      </c>
      <c r="H444" s="4">
        <v>6100</v>
      </c>
      <c r="I444" s="4">
        <v>1</v>
      </c>
      <c r="J444" s="4">
        <v>1</v>
      </c>
      <c r="K444" s="16">
        <v>45827</v>
      </c>
      <c r="L444" s="16">
        <v>45928</v>
      </c>
      <c r="M444" s="0" t="inlineStr">
        <is>
          <t xml:space="preserve">jun25</t>
        </is>
      </c>
      <c r="N444" s="0" t="inlineStr">
        <is>
          <t xml:space="preserve">sep25</t>
        </is>
      </c>
      <c r="O444" s="4">
        <v>101</v>
      </c>
      <c r="P444" s="4">
        <v>1</v>
      </c>
      <c r="Q444" s="4">
        <v>0</v>
      </c>
      <c r="R444" s="4">
        <v>0</v>
      </c>
      <c r="S444" s="4">
        <f>(H444*INDEX('Stages'!$D$2:$D$7,MATCH(F444,'Stages'!$A$2:$A$7,0)))</f>
        <v>6100</v>
      </c>
      <c r="T444" s="4">
        <f>(H444*I444)</f>
        <v>6100</v>
      </c>
      <c r="U444" s="4">
        <f>(H444*(I444-1))</f>
        <v>0</v>
      </c>
      <c r="V444" s="0" t="str">
        <f>INDEX('Account executives'!$B$2:$B$25,MATCH(C444,'Account executives'!$A$2:$A$25,0))</f>
        <v>amer_east</v>
      </c>
      <c r="W444" s="0" t="str">
        <f>INDEX('Account executives'!$C$2:$C$25,MATCH(C444,'Account executives'!$A$2:$A$25,0))</f>
        <v>smb</v>
      </c>
      <c r="X444" s="0" t="str">
        <f>SUBSTITUTE(LOWER(INDEX('Periods'!$G$2:$G$22,MATCH(N444,'Periods'!$A$2:$A$22,0)))," ","_")</f>
        <v>q3_2025</v>
      </c>
    </row>
    <row r="445">
      <c r="A445" s="0" t="inlineStr">
        <is>
          <t xml:space="preserve">o0444</t>
        </is>
      </c>
      <c r="B445" s="0" t="inlineStr">
        <is>
          <t xml:space="preserve">a0745</t>
        </is>
      </c>
      <c r="C445" s="0" t="inlineStr">
        <is>
          <t xml:space="preserve">r03</t>
        </is>
      </c>
      <c r="D445" s="0"/>
      <c r="E445" s="0" t="inlineStr">
        <is>
          <t xml:space="preserve">partner</t>
        </is>
      </c>
      <c r="F445" s="0" t="inlineStr">
        <is>
          <t xml:space="preserve">closed_won</t>
        </is>
      </c>
      <c r="G445" s="4">
        <v>1</v>
      </c>
      <c r="H445" s="4">
        <v>35000</v>
      </c>
      <c r="I445" s="4">
        <v>1</v>
      </c>
      <c r="J445" s="4">
        <v>1</v>
      </c>
      <c r="K445" s="16">
        <v>46100</v>
      </c>
      <c r="L445" s="16">
        <v>46201</v>
      </c>
      <c r="M445" s="0" t="inlineStr">
        <is>
          <t xml:space="preserve">mar26</t>
        </is>
      </c>
      <c r="N445" s="0" t="inlineStr">
        <is>
          <t xml:space="preserve">jun26</t>
        </is>
      </c>
      <c r="O445" s="4">
        <v>101</v>
      </c>
      <c r="P445" s="4">
        <v>1</v>
      </c>
      <c r="Q445" s="4">
        <v>0</v>
      </c>
      <c r="R445" s="4">
        <v>0</v>
      </c>
      <c r="S445" s="4">
        <f>(H445*INDEX('Stages'!$D$2:$D$7,MATCH(F445,'Stages'!$A$2:$A$7,0)))</f>
        <v>35000</v>
      </c>
      <c r="T445" s="4">
        <f>(H445*I445)</f>
        <v>35000</v>
      </c>
      <c r="U445" s="4">
        <f>(H445*(I445-1))</f>
        <v>0</v>
      </c>
      <c r="V445" s="0" t="str">
        <f>INDEX('Account executives'!$B$2:$B$25,MATCH(C445,'Account executives'!$A$2:$A$25,0))</f>
        <v>amer_east</v>
      </c>
      <c r="W445" s="0" t="str">
        <f>INDEX('Account executives'!$C$2:$C$25,MATCH(C445,'Account executives'!$A$2:$A$25,0))</f>
        <v>mid_market</v>
      </c>
      <c r="X445" s="0" t="str">
        <f>SUBSTITUTE(LOWER(INDEX('Periods'!$G$2:$G$22,MATCH(N445,'Periods'!$A$2:$A$22,0)))," ","_")</f>
        <v>q2_2026</v>
      </c>
    </row>
    <row r="446">
      <c r="A446" s="0" t="inlineStr">
        <is>
          <t xml:space="preserve">o0445</t>
        </is>
      </c>
      <c r="B446" s="0" t="inlineStr">
        <is>
          <t xml:space="preserve">a0714</t>
        </is>
      </c>
      <c r="C446" s="0" t="inlineStr">
        <is>
          <t xml:space="preserve">r22</t>
        </is>
      </c>
      <c r="D446" s="0" t="inlineStr">
        <is>
          <t xml:space="preserve">s_apac_in</t>
        </is>
      </c>
      <c r="E446" s="0" t="inlineStr">
        <is>
          <t xml:space="preserve">paid</t>
        </is>
      </c>
      <c r="F446" s="0" t="inlineStr">
        <is>
          <t xml:space="preserve">closed_lost</t>
        </is>
      </c>
      <c r="G446" s="4">
        <v>1</v>
      </c>
      <c r="H446" s="4">
        <v>48900</v>
      </c>
      <c r="I446" s="4">
        <v>1</v>
      </c>
      <c r="J446" s="4">
        <v>0</v>
      </c>
      <c r="K446" s="16">
        <v>46072</v>
      </c>
      <c r="L446" s="16">
        <v>46201</v>
      </c>
      <c r="M446" s="0" t="inlineStr">
        <is>
          <t xml:space="preserve">feb26</t>
        </is>
      </c>
      <c r="N446" s="0" t="inlineStr">
        <is>
          <t xml:space="preserve">jun26</t>
        </is>
      </c>
      <c r="O446" s="4">
        <v>129</v>
      </c>
      <c r="P446" s="4">
        <v>0</v>
      </c>
      <c r="Q446" s="4">
        <v>1</v>
      </c>
      <c r="R446" s="4">
        <v>0</v>
      </c>
      <c r="S446" s="4">
        <f>(H446*INDEX('Stages'!$D$2:$D$7,MATCH(F446,'Stages'!$A$2:$A$7,0)))</f>
        <v>0</v>
      </c>
      <c r="T446" s="4">
        <f>(H446*I446)</f>
        <v>48900</v>
      </c>
      <c r="U446" s="4">
        <f>(H446*(I446-1))</f>
        <v>0</v>
      </c>
      <c r="V446" s="0" t="str">
        <f>INDEX('Account executives'!$B$2:$B$25,MATCH(C446,'Account executives'!$A$2:$A$25,0))</f>
        <v>apac</v>
      </c>
      <c r="W446" s="0" t="str">
        <f>INDEX('Account executives'!$C$2:$C$25,MATCH(C446,'Account executives'!$A$2:$A$25,0))</f>
        <v>mid_market</v>
      </c>
      <c r="X446" s="0" t="str">
        <f>SUBSTITUTE(LOWER(INDEX('Periods'!$G$2:$G$22,MATCH(N446,'Periods'!$A$2:$A$22,0)))," ","_")</f>
        <v>q2_2026</v>
      </c>
    </row>
    <row r="447">
      <c r="A447" s="0" t="inlineStr">
        <is>
          <t xml:space="preserve">o0446</t>
        </is>
      </c>
      <c r="B447" s="0" t="inlineStr">
        <is>
          <t xml:space="preserve">a0618</t>
        </is>
      </c>
      <c r="C447" s="0" t="inlineStr">
        <is>
          <t xml:space="preserve">r05</t>
        </is>
      </c>
      <c r="D447" s="0" t="inlineStr">
        <is>
          <t xml:space="preserve">s_amer_east_out</t>
        </is>
      </c>
      <c r="E447" s="0" t="inlineStr">
        <is>
          <t xml:space="preserve">outbound</t>
        </is>
      </c>
      <c r="F447" s="0" t="inlineStr">
        <is>
          <t xml:space="preserve">closed_lost</t>
        </is>
      </c>
      <c r="G447" s="4">
        <v>1</v>
      </c>
      <c r="H447" s="4">
        <v>23800</v>
      </c>
      <c r="I447" s="4">
        <v>1</v>
      </c>
      <c r="J447" s="4">
        <v>0</v>
      </c>
      <c r="K447" s="16">
        <v>46048</v>
      </c>
      <c r="L447" s="16">
        <v>46078</v>
      </c>
      <c r="M447" s="0" t="inlineStr">
        <is>
          <t xml:space="preserve">jan26</t>
        </is>
      </c>
      <c r="N447" s="0" t="inlineStr">
        <is>
          <t xml:space="preserve">feb26</t>
        </is>
      </c>
      <c r="O447" s="4">
        <v>30</v>
      </c>
      <c r="P447" s="4">
        <v>0</v>
      </c>
      <c r="Q447" s="4">
        <v>1</v>
      </c>
      <c r="R447" s="4">
        <v>0</v>
      </c>
      <c r="S447" s="4">
        <f>(H447*INDEX('Stages'!$D$2:$D$7,MATCH(F447,'Stages'!$A$2:$A$7,0)))</f>
        <v>0</v>
      </c>
      <c r="T447" s="4">
        <f>(H447*I447)</f>
        <v>23800</v>
      </c>
      <c r="U447" s="4">
        <f>(H447*(I447-1))</f>
        <v>0</v>
      </c>
      <c r="V447" s="0" t="str">
        <f>INDEX('Account executives'!$B$2:$B$25,MATCH(C447,'Account executives'!$A$2:$A$25,0))</f>
        <v>amer_east</v>
      </c>
      <c r="W447" s="0" t="str">
        <f>INDEX('Account executives'!$C$2:$C$25,MATCH(C447,'Account executives'!$A$2:$A$25,0))</f>
        <v>smb</v>
      </c>
      <c r="X447" s="0" t="str">
        <f>SUBSTITUTE(LOWER(INDEX('Periods'!$G$2:$G$22,MATCH(N447,'Periods'!$A$2:$A$22,0)))," ","_")</f>
        <v>q1_2026</v>
      </c>
    </row>
    <row r="448">
      <c r="A448" s="0" t="inlineStr">
        <is>
          <t xml:space="preserve">o0447</t>
        </is>
      </c>
      <c r="B448" s="0" t="inlineStr">
        <is>
          <t xml:space="preserve">a0492</t>
        </is>
      </c>
      <c r="C448" s="0" t="inlineStr">
        <is>
          <t xml:space="preserve">r12</t>
        </is>
      </c>
      <c r="D448" s="0" t="inlineStr">
        <is>
          <t xml:space="preserve">s_amer_west_in</t>
        </is>
      </c>
      <c r="E448" s="0" t="inlineStr">
        <is>
          <t xml:space="preserve">inbound</t>
        </is>
      </c>
      <c r="F448" s="0" t="inlineStr">
        <is>
          <t xml:space="preserve">closed_lost</t>
        </is>
      </c>
      <c r="G448" s="4">
        <v>1</v>
      </c>
      <c r="H448" s="4">
        <v>5600</v>
      </c>
      <c r="I448" s="4">
        <v>1</v>
      </c>
      <c r="J448" s="4">
        <v>0</v>
      </c>
      <c r="K448" s="16">
        <v>45984</v>
      </c>
      <c r="L448" s="16">
        <v>46011</v>
      </c>
      <c r="M448" s="0" t="inlineStr">
        <is>
          <t xml:space="preserve">nov25</t>
        </is>
      </c>
      <c r="N448" s="0" t="inlineStr">
        <is>
          <t xml:space="preserve">dec25</t>
        </is>
      </c>
      <c r="O448" s="4">
        <v>27</v>
      </c>
      <c r="P448" s="4">
        <v>0</v>
      </c>
      <c r="Q448" s="4">
        <v>1</v>
      </c>
      <c r="R448" s="4">
        <v>0</v>
      </c>
      <c r="S448" s="4">
        <f>(H448*INDEX('Stages'!$D$2:$D$7,MATCH(F448,'Stages'!$A$2:$A$7,0)))</f>
        <v>0</v>
      </c>
      <c r="T448" s="4">
        <f>(H448*I448)</f>
        <v>5600</v>
      </c>
      <c r="U448" s="4">
        <f>(H448*(I448-1))</f>
        <v>0</v>
      </c>
      <c r="V448" s="0" t="str">
        <f>INDEX('Account executives'!$B$2:$B$25,MATCH(C448,'Account executives'!$A$2:$A$25,0))</f>
        <v>amer_west</v>
      </c>
      <c r="W448" s="0" t="str">
        <f>INDEX('Account executives'!$C$2:$C$25,MATCH(C448,'Account executives'!$A$2:$A$25,0))</f>
        <v>smb</v>
      </c>
      <c r="X448" s="0" t="str">
        <f>SUBSTITUTE(LOWER(INDEX('Periods'!$G$2:$G$22,MATCH(N448,'Periods'!$A$2:$A$22,0)))," ","_")</f>
        <v>q4_2025</v>
      </c>
    </row>
    <row r="449">
      <c r="A449" s="0" t="inlineStr">
        <is>
          <t xml:space="preserve">o0448</t>
        </is>
      </c>
      <c r="B449" s="0" t="inlineStr">
        <is>
          <t xml:space="preserve">a0510</t>
        </is>
      </c>
      <c r="C449" s="0" t="inlineStr">
        <is>
          <t xml:space="preserve">r18</t>
        </is>
      </c>
      <c r="D449" s="0" t="inlineStr">
        <is>
          <t xml:space="preserve">s_emea_in</t>
        </is>
      </c>
      <c r="E449" s="0" t="inlineStr">
        <is>
          <t xml:space="preserve">inbound</t>
        </is>
      </c>
      <c r="F449" s="0" t="inlineStr">
        <is>
          <t xml:space="preserve">closed_lost</t>
        </is>
      </c>
      <c r="G449" s="4">
        <v>1</v>
      </c>
      <c r="H449" s="4">
        <v>8700</v>
      </c>
      <c r="I449" s="4">
        <v>1</v>
      </c>
      <c r="J449" s="4">
        <v>0</v>
      </c>
      <c r="K449" s="16">
        <v>45979</v>
      </c>
      <c r="L449" s="16">
        <v>46006</v>
      </c>
      <c r="M449" s="0" t="inlineStr">
        <is>
          <t xml:space="preserve">nov25</t>
        </is>
      </c>
      <c r="N449" s="0" t="inlineStr">
        <is>
          <t xml:space="preserve">dec25</t>
        </is>
      </c>
      <c r="O449" s="4">
        <v>27</v>
      </c>
      <c r="P449" s="4">
        <v>0</v>
      </c>
      <c r="Q449" s="4">
        <v>1</v>
      </c>
      <c r="R449" s="4">
        <v>0</v>
      </c>
      <c r="S449" s="4">
        <f>(H449*INDEX('Stages'!$D$2:$D$7,MATCH(F449,'Stages'!$A$2:$A$7,0)))</f>
        <v>0</v>
      </c>
      <c r="T449" s="4">
        <f>(H449*I449)</f>
        <v>8700</v>
      </c>
      <c r="U449" s="4">
        <f>(H449*(I449-1))</f>
        <v>0</v>
      </c>
      <c r="V449" s="0" t="str">
        <f>INDEX('Account executives'!$B$2:$B$25,MATCH(C449,'Account executives'!$A$2:$A$25,0))</f>
        <v>emea</v>
      </c>
      <c r="W449" s="0" t="str">
        <f>INDEX('Account executives'!$C$2:$C$25,MATCH(C449,'Account executives'!$A$2:$A$25,0))</f>
        <v>smb</v>
      </c>
      <c r="X449" s="0" t="str">
        <f>SUBSTITUTE(LOWER(INDEX('Periods'!$G$2:$G$22,MATCH(N449,'Periods'!$A$2:$A$22,0)))," ","_")</f>
        <v>q4_2025</v>
      </c>
    </row>
    <row r="450">
      <c r="A450" s="0" t="inlineStr">
        <is>
          <t xml:space="preserve">o0449</t>
        </is>
      </c>
      <c r="B450" s="0" t="inlineStr">
        <is>
          <t xml:space="preserve">a1089</t>
        </is>
      </c>
      <c r="C450" s="0" t="inlineStr">
        <is>
          <t xml:space="preserve">r09</t>
        </is>
      </c>
      <c r="D450" s="0" t="inlineStr">
        <is>
          <t xml:space="preserve">s_amer_west_in</t>
        </is>
      </c>
      <c r="E450" s="0" t="inlineStr">
        <is>
          <t xml:space="preserve">inbound</t>
        </is>
      </c>
      <c r="F450" s="0" t="inlineStr">
        <is>
          <t xml:space="preserve">closed_won</t>
        </is>
      </c>
      <c r="G450" s="4">
        <v>1</v>
      </c>
      <c r="H450" s="4">
        <v>30100</v>
      </c>
      <c r="I450" s="4">
        <v>1</v>
      </c>
      <c r="J450" s="4">
        <v>0</v>
      </c>
      <c r="K450" s="16">
        <v>46213</v>
      </c>
      <c r="L450" s="16">
        <v>46246</v>
      </c>
      <c r="M450" s="0" t="inlineStr">
        <is>
          <t xml:space="preserve">jul26</t>
        </is>
      </c>
      <c r="N450" s="0" t="inlineStr">
        <is>
          <t xml:space="preserve">aug26</t>
        </is>
      </c>
      <c r="O450" s="4">
        <v>33</v>
      </c>
      <c r="P450" s="4">
        <v>1</v>
      </c>
      <c r="Q450" s="4">
        <v>0</v>
      </c>
      <c r="R450" s="4">
        <v>0</v>
      </c>
      <c r="S450" s="4">
        <f>(H450*INDEX('Stages'!$D$2:$D$7,MATCH(F450,'Stages'!$A$2:$A$7,0)))</f>
        <v>30100</v>
      </c>
      <c r="T450" s="4">
        <f>(H450*I450)</f>
        <v>30100</v>
      </c>
      <c r="U450" s="4">
        <f>(H450*(I450-1))</f>
        <v>0</v>
      </c>
      <c r="V450" s="0" t="str">
        <f>INDEX('Account executives'!$B$2:$B$25,MATCH(C450,'Account executives'!$A$2:$A$25,0))</f>
        <v>amer_west</v>
      </c>
      <c r="W450" s="0" t="str">
        <f>INDEX('Account executives'!$C$2:$C$25,MATCH(C450,'Account executives'!$A$2:$A$25,0))</f>
        <v>mid_market</v>
      </c>
      <c r="X450" s="0" t="str">
        <f>SUBSTITUTE(LOWER(INDEX('Periods'!$G$2:$G$22,MATCH(N450,'Periods'!$A$2:$A$22,0)))," ","_")</f>
        <v>q3_2026</v>
      </c>
    </row>
    <row r="451">
      <c r="A451" s="0" t="inlineStr">
        <is>
          <t xml:space="preserve">o0450</t>
        </is>
      </c>
      <c r="B451" s="0" t="inlineStr">
        <is>
          <t xml:space="preserve">a1077</t>
        </is>
      </c>
      <c r="C451" s="0" t="inlineStr">
        <is>
          <t xml:space="preserve">r03</t>
        </is>
      </c>
      <c r="D451" s="0" t="inlineStr">
        <is>
          <t xml:space="preserve">s_amer_east_in</t>
        </is>
      </c>
      <c r="E451" s="0" t="inlineStr">
        <is>
          <t xml:space="preserve">paid</t>
        </is>
      </c>
      <c r="F451" s="0" t="inlineStr">
        <is>
          <t xml:space="preserve">closed_lost</t>
        </is>
      </c>
      <c r="G451" s="4">
        <v>1</v>
      </c>
      <c r="H451" s="4">
        <v>39000</v>
      </c>
      <c r="I451" s="4">
        <v>1</v>
      </c>
      <c r="J451" s="4">
        <v>0</v>
      </c>
      <c r="K451" s="16">
        <v>46228</v>
      </c>
      <c r="L451" s="16">
        <v>46273</v>
      </c>
      <c r="M451" s="0" t="inlineStr">
        <is>
          <t xml:space="preserve">jul26</t>
        </is>
      </c>
      <c r="N451" s="0" t="inlineStr">
        <is>
          <t xml:space="preserve">sep26</t>
        </is>
      </c>
      <c r="O451" s="4">
        <v>45</v>
      </c>
      <c r="P451" s="4">
        <v>0</v>
      </c>
      <c r="Q451" s="4">
        <v>1</v>
      </c>
      <c r="R451" s="4">
        <v>0</v>
      </c>
      <c r="S451" s="4">
        <f>(H451*INDEX('Stages'!$D$2:$D$7,MATCH(F451,'Stages'!$A$2:$A$7,0)))</f>
        <v>0</v>
      </c>
      <c r="T451" s="4">
        <f>(H451*I451)</f>
        <v>39000</v>
      </c>
      <c r="U451" s="4">
        <f>(H451*(I451-1))</f>
        <v>0</v>
      </c>
      <c r="V451" s="0" t="str">
        <f>INDEX('Account executives'!$B$2:$B$25,MATCH(C451,'Account executives'!$A$2:$A$25,0))</f>
        <v>amer_east</v>
      </c>
      <c r="W451" s="0" t="str">
        <f>INDEX('Account executives'!$C$2:$C$25,MATCH(C451,'Account executives'!$A$2:$A$25,0))</f>
        <v>mid_market</v>
      </c>
      <c r="X451" s="0" t="str">
        <f>SUBSTITUTE(LOWER(INDEX('Periods'!$G$2:$G$22,MATCH(N451,'Periods'!$A$2:$A$22,0)))," ","_")</f>
        <v>q3_2026</v>
      </c>
    </row>
    <row r="452">
      <c r="A452" s="0" t="inlineStr">
        <is>
          <t xml:space="preserve">o0451</t>
        </is>
      </c>
      <c r="B452" s="0" t="inlineStr">
        <is>
          <t xml:space="preserve">a0540</t>
        </is>
      </c>
      <c r="C452" s="0" t="inlineStr">
        <is>
          <t xml:space="preserve">r05</t>
        </is>
      </c>
      <c r="D452" s="0" t="inlineStr">
        <is>
          <t xml:space="preserve">s_amer_east_in</t>
        </is>
      </c>
      <c r="E452" s="0" t="inlineStr">
        <is>
          <t xml:space="preserve">paid</t>
        </is>
      </c>
      <c r="F452" s="0" t="inlineStr">
        <is>
          <t xml:space="preserve">closed_lost</t>
        </is>
      </c>
      <c r="G452" s="4">
        <v>0</v>
      </c>
      <c r="H452" s="4">
        <v>7500</v>
      </c>
      <c r="I452" s="4">
        <v>1</v>
      </c>
      <c r="J452" s="4">
        <v>1</v>
      </c>
      <c r="K452" s="16">
        <v>46166</v>
      </c>
      <c r="L452" s="16">
        <v>46198</v>
      </c>
      <c r="M452" s="0" t="inlineStr">
        <is>
          <t xml:space="preserve">may26</t>
        </is>
      </c>
      <c r="N452" s="0" t="inlineStr">
        <is>
          <t xml:space="preserve">jun26</t>
        </is>
      </c>
      <c r="O452" s="4">
        <v>32</v>
      </c>
      <c r="P452" s="4">
        <v>0</v>
      </c>
      <c r="Q452" s="4">
        <v>1</v>
      </c>
      <c r="R452" s="4">
        <v>0</v>
      </c>
      <c r="S452" s="4">
        <f>(H452*INDEX('Stages'!$D$2:$D$7,MATCH(F452,'Stages'!$A$2:$A$7,0)))</f>
        <v>0</v>
      </c>
      <c r="T452" s="4">
        <f>(H452*I452)</f>
        <v>7500</v>
      </c>
      <c r="U452" s="4">
        <f>(H452*(I452-1))</f>
        <v>0</v>
      </c>
      <c r="V452" s="0" t="str">
        <f>INDEX('Account executives'!$B$2:$B$25,MATCH(C452,'Account executives'!$A$2:$A$25,0))</f>
        <v>amer_east</v>
      </c>
      <c r="W452" s="0" t="str">
        <f>INDEX('Account executives'!$C$2:$C$25,MATCH(C452,'Account executives'!$A$2:$A$25,0))</f>
        <v>smb</v>
      </c>
      <c r="X452" s="0" t="str">
        <f>SUBSTITUTE(LOWER(INDEX('Periods'!$G$2:$G$22,MATCH(N452,'Periods'!$A$2:$A$22,0)))," ","_")</f>
        <v>q2_2026</v>
      </c>
    </row>
    <row r="453">
      <c r="A453" s="0" t="inlineStr">
        <is>
          <t xml:space="preserve">o0452</t>
        </is>
      </c>
      <c r="B453" s="0" t="inlineStr">
        <is>
          <t xml:space="preserve">a0226</t>
        </is>
      </c>
      <c r="C453" s="0" t="inlineStr">
        <is>
          <t xml:space="preserve">r24</t>
        </is>
      </c>
      <c r="D453" s="0"/>
      <c r="E453" s="0" t="inlineStr">
        <is>
          <t xml:space="preserve">partner</t>
        </is>
      </c>
      <c r="F453" s="0" t="inlineStr">
        <is>
          <t xml:space="preserve">closed_won</t>
        </is>
      </c>
      <c r="G453" s="4">
        <v>0</v>
      </c>
      <c r="H453" s="4">
        <v>10700</v>
      </c>
      <c r="I453" s="4">
        <v>1</v>
      </c>
      <c r="J453" s="4">
        <v>0</v>
      </c>
      <c r="K453" s="16">
        <v>46176</v>
      </c>
      <c r="L453" s="16">
        <v>46206</v>
      </c>
      <c r="M453" s="0" t="inlineStr">
        <is>
          <t xml:space="preserve">jun26</t>
        </is>
      </c>
      <c r="N453" s="0" t="inlineStr">
        <is>
          <t xml:space="preserve">jul26</t>
        </is>
      </c>
      <c r="O453" s="4">
        <v>30</v>
      </c>
      <c r="P453" s="4">
        <v>1</v>
      </c>
      <c r="Q453" s="4">
        <v>0</v>
      </c>
      <c r="R453" s="4">
        <v>0</v>
      </c>
      <c r="S453" s="4">
        <f>(H453*INDEX('Stages'!$D$2:$D$7,MATCH(F453,'Stages'!$A$2:$A$7,0)))</f>
        <v>10700</v>
      </c>
      <c r="T453" s="4">
        <f>(H453*I453)</f>
        <v>10700</v>
      </c>
      <c r="U453" s="4">
        <f>(H453*(I453-1))</f>
        <v>0</v>
      </c>
      <c r="V453" s="0" t="str">
        <f>INDEX('Account executives'!$B$2:$B$25,MATCH(C453,'Account executives'!$A$2:$A$25,0))</f>
        <v>apac</v>
      </c>
      <c r="W453" s="0" t="str">
        <f>INDEX('Account executives'!$C$2:$C$25,MATCH(C453,'Account executives'!$A$2:$A$25,0))</f>
        <v>smb</v>
      </c>
      <c r="X453" s="0" t="str">
        <f>SUBSTITUTE(LOWER(INDEX('Periods'!$G$2:$G$22,MATCH(N453,'Periods'!$A$2:$A$22,0)))," ","_")</f>
        <v>q3_2026</v>
      </c>
    </row>
    <row r="454">
      <c r="A454" s="0" t="inlineStr">
        <is>
          <t xml:space="preserve">o0453</t>
        </is>
      </c>
      <c r="B454" s="0" t="inlineStr">
        <is>
          <t xml:space="preserve">a0379</t>
        </is>
      </c>
      <c r="C454" s="0" t="inlineStr">
        <is>
          <t xml:space="preserve">r12</t>
        </is>
      </c>
      <c r="D454" s="0"/>
      <c r="E454" s="0" t="inlineStr">
        <is>
          <t xml:space="preserve">partner</t>
        </is>
      </c>
      <c r="F454" s="0" t="inlineStr">
        <is>
          <t xml:space="preserve">closed_lost</t>
        </is>
      </c>
      <c r="G454" s="4">
        <v>0</v>
      </c>
      <c r="H454" s="4">
        <v>4400</v>
      </c>
      <c r="I454" s="4">
        <v>1</v>
      </c>
      <c r="J454" s="4">
        <v>0</v>
      </c>
      <c r="K454" s="16">
        <v>46070</v>
      </c>
      <c r="L454" s="16">
        <v>46084</v>
      </c>
      <c r="M454" s="0" t="inlineStr">
        <is>
          <t xml:space="preserve">feb26</t>
        </is>
      </c>
      <c r="N454" s="0" t="inlineStr">
        <is>
          <t xml:space="preserve">mar26</t>
        </is>
      </c>
      <c r="O454" s="4">
        <v>14</v>
      </c>
      <c r="P454" s="4">
        <v>0</v>
      </c>
      <c r="Q454" s="4">
        <v>1</v>
      </c>
      <c r="R454" s="4">
        <v>0</v>
      </c>
      <c r="S454" s="4">
        <f>(H454*INDEX('Stages'!$D$2:$D$7,MATCH(F454,'Stages'!$A$2:$A$7,0)))</f>
        <v>0</v>
      </c>
      <c r="T454" s="4">
        <f>(H454*I454)</f>
        <v>4400</v>
      </c>
      <c r="U454" s="4">
        <f>(H454*(I454-1))</f>
        <v>0</v>
      </c>
      <c r="V454" s="0" t="str">
        <f>INDEX('Account executives'!$B$2:$B$25,MATCH(C454,'Account executives'!$A$2:$A$25,0))</f>
        <v>amer_west</v>
      </c>
      <c r="W454" s="0" t="str">
        <f>INDEX('Account executives'!$C$2:$C$25,MATCH(C454,'Account executives'!$A$2:$A$25,0))</f>
        <v>smb</v>
      </c>
      <c r="X454" s="0" t="str">
        <f>SUBSTITUTE(LOWER(INDEX('Periods'!$G$2:$G$22,MATCH(N454,'Periods'!$A$2:$A$22,0)))," ","_")</f>
        <v>q1_2026</v>
      </c>
    </row>
    <row r="455">
      <c r="A455" s="0" t="inlineStr">
        <is>
          <t xml:space="preserve">o0454</t>
        </is>
      </c>
      <c r="B455" s="0" t="inlineStr">
        <is>
          <t xml:space="preserve">a0309</t>
        </is>
      </c>
      <c r="C455" s="0" t="inlineStr">
        <is>
          <t xml:space="preserve">r05</t>
        </is>
      </c>
      <c r="D455" s="0" t="inlineStr">
        <is>
          <t xml:space="preserve">s_amer_east_in</t>
        </is>
      </c>
      <c r="E455" s="0" t="inlineStr">
        <is>
          <t xml:space="preserve">inbound</t>
        </is>
      </c>
      <c r="F455" s="0" t="inlineStr">
        <is>
          <t xml:space="preserve">closed_lost</t>
        </is>
      </c>
      <c r="G455" s="4">
        <v>1</v>
      </c>
      <c r="H455" s="4">
        <v>13400</v>
      </c>
      <c r="I455" s="4">
        <v>1</v>
      </c>
      <c r="J455" s="4">
        <v>0</v>
      </c>
      <c r="K455" s="16">
        <v>45894</v>
      </c>
      <c r="L455" s="16">
        <v>45929</v>
      </c>
      <c r="M455" s="0" t="inlineStr">
        <is>
          <t xml:space="preserve">aug25</t>
        </is>
      </c>
      <c r="N455" s="0" t="inlineStr">
        <is>
          <t xml:space="preserve">sep25</t>
        </is>
      </c>
      <c r="O455" s="4">
        <v>35</v>
      </c>
      <c r="P455" s="4">
        <v>0</v>
      </c>
      <c r="Q455" s="4">
        <v>1</v>
      </c>
      <c r="R455" s="4">
        <v>0</v>
      </c>
      <c r="S455" s="4">
        <f>(H455*INDEX('Stages'!$D$2:$D$7,MATCH(F455,'Stages'!$A$2:$A$7,0)))</f>
        <v>0</v>
      </c>
      <c r="T455" s="4">
        <f>(H455*I455)</f>
        <v>13400</v>
      </c>
      <c r="U455" s="4">
        <f>(H455*(I455-1))</f>
        <v>0</v>
      </c>
      <c r="V455" s="0" t="str">
        <f>INDEX('Account executives'!$B$2:$B$25,MATCH(C455,'Account executives'!$A$2:$A$25,0))</f>
        <v>amer_east</v>
      </c>
      <c r="W455" s="0" t="str">
        <f>INDEX('Account executives'!$C$2:$C$25,MATCH(C455,'Account executives'!$A$2:$A$25,0))</f>
        <v>smb</v>
      </c>
      <c r="X455" s="0" t="str">
        <f>SUBSTITUTE(LOWER(INDEX('Periods'!$G$2:$G$22,MATCH(N455,'Periods'!$A$2:$A$22,0)))," ","_")</f>
        <v>q3_2025</v>
      </c>
    </row>
    <row r="456">
      <c r="A456" s="0" t="inlineStr">
        <is>
          <t xml:space="preserve">o0455</t>
        </is>
      </c>
      <c r="B456" s="0" t="inlineStr">
        <is>
          <t xml:space="preserve">a0711</t>
        </is>
      </c>
      <c r="C456" s="0" t="inlineStr">
        <is>
          <t xml:space="preserve">r22</t>
        </is>
      </c>
      <c r="D456" s="0" t="inlineStr">
        <is>
          <t xml:space="preserve">s_apac_in</t>
        </is>
      </c>
      <c r="E456" s="0" t="inlineStr">
        <is>
          <t xml:space="preserve">inbound</t>
        </is>
      </c>
      <c r="F456" s="0" t="inlineStr">
        <is>
          <t xml:space="preserve">closed_won</t>
        </is>
      </c>
      <c r="G456" s="4">
        <v>0</v>
      </c>
      <c r="H456" s="4">
        <v>20200</v>
      </c>
      <c r="I456" s="4">
        <v>1</v>
      </c>
      <c r="J456" s="4">
        <v>0</v>
      </c>
      <c r="K456" s="16">
        <v>46065</v>
      </c>
      <c r="L456" s="16">
        <v>46201</v>
      </c>
      <c r="M456" s="0" t="inlineStr">
        <is>
          <t xml:space="preserve">feb26</t>
        </is>
      </c>
      <c r="N456" s="0" t="inlineStr">
        <is>
          <t xml:space="preserve">jun26</t>
        </is>
      </c>
      <c r="O456" s="4">
        <v>136</v>
      </c>
      <c r="P456" s="4">
        <v>1</v>
      </c>
      <c r="Q456" s="4">
        <v>0</v>
      </c>
      <c r="R456" s="4">
        <v>0</v>
      </c>
      <c r="S456" s="4">
        <f>(H456*INDEX('Stages'!$D$2:$D$7,MATCH(F456,'Stages'!$A$2:$A$7,0)))</f>
        <v>20200</v>
      </c>
      <c r="T456" s="4">
        <f>(H456*I456)</f>
        <v>20200</v>
      </c>
      <c r="U456" s="4">
        <f>(H456*(I456-1))</f>
        <v>0</v>
      </c>
      <c r="V456" s="0" t="str">
        <f>INDEX('Account executives'!$B$2:$B$25,MATCH(C456,'Account executives'!$A$2:$A$25,0))</f>
        <v>apac</v>
      </c>
      <c r="W456" s="0" t="str">
        <f>INDEX('Account executives'!$C$2:$C$25,MATCH(C456,'Account executives'!$A$2:$A$25,0))</f>
        <v>mid_market</v>
      </c>
      <c r="X456" s="0" t="str">
        <f>SUBSTITUTE(LOWER(INDEX('Periods'!$G$2:$G$22,MATCH(N456,'Periods'!$A$2:$A$22,0)))," ","_")</f>
        <v>q2_2026</v>
      </c>
    </row>
    <row r="457">
      <c r="A457" s="0" t="inlineStr">
        <is>
          <t xml:space="preserve">o0456</t>
        </is>
      </c>
      <c r="B457" s="0" t="inlineStr">
        <is>
          <t xml:space="preserve">a0009</t>
        </is>
      </c>
      <c r="C457" s="0" t="inlineStr">
        <is>
          <t xml:space="preserve">r05</t>
        </is>
      </c>
      <c r="D457" s="0" t="inlineStr">
        <is>
          <t xml:space="preserve">s_amer_east_in</t>
        </is>
      </c>
      <c r="E457" s="0" t="inlineStr">
        <is>
          <t xml:space="preserve">inbound</t>
        </is>
      </c>
      <c r="F457" s="0" t="inlineStr">
        <is>
          <t xml:space="preserve">closed_lost</t>
        </is>
      </c>
      <c r="G457" s="4">
        <v>1</v>
      </c>
      <c r="H457" s="4">
        <v>17900</v>
      </c>
      <c r="I457" s="4">
        <v>1</v>
      </c>
      <c r="J457" s="4">
        <v>0</v>
      </c>
      <c r="K457" s="16">
        <v>45757</v>
      </c>
      <c r="L457" s="16">
        <v>45790</v>
      </c>
      <c r="M457" s="0" t="inlineStr">
        <is>
          <t xml:space="preserve">apr25</t>
        </is>
      </c>
      <c r="N457" s="0" t="inlineStr">
        <is>
          <t xml:space="preserve">may25</t>
        </is>
      </c>
      <c r="O457" s="4">
        <v>33</v>
      </c>
      <c r="P457" s="4">
        <v>0</v>
      </c>
      <c r="Q457" s="4">
        <v>1</v>
      </c>
      <c r="R457" s="4">
        <v>0</v>
      </c>
      <c r="S457" s="4">
        <f>(H457*INDEX('Stages'!$D$2:$D$7,MATCH(F457,'Stages'!$A$2:$A$7,0)))</f>
        <v>0</v>
      </c>
      <c r="T457" s="4">
        <f>(H457*I457)</f>
        <v>17900</v>
      </c>
      <c r="U457" s="4">
        <f>(H457*(I457-1))</f>
        <v>0</v>
      </c>
      <c r="V457" s="0" t="str">
        <f>INDEX('Account executives'!$B$2:$B$25,MATCH(C457,'Account executives'!$A$2:$A$25,0))</f>
        <v>amer_east</v>
      </c>
      <c r="W457" s="0" t="str">
        <f>INDEX('Account executives'!$C$2:$C$25,MATCH(C457,'Account executives'!$A$2:$A$25,0))</f>
        <v>smb</v>
      </c>
      <c r="X457" s="0" t="str">
        <f>SUBSTITUTE(LOWER(INDEX('Periods'!$G$2:$G$22,MATCH(N457,'Periods'!$A$2:$A$22,0)))," ","_")</f>
        <v>q2_2025</v>
      </c>
    </row>
    <row r="458">
      <c r="A458" s="0" t="inlineStr">
        <is>
          <t xml:space="preserve">o0457</t>
        </is>
      </c>
      <c r="B458" s="0" t="inlineStr">
        <is>
          <t xml:space="preserve">a0007</t>
        </is>
      </c>
      <c r="C458" s="0" t="inlineStr">
        <is>
          <t xml:space="preserve">r04</t>
        </is>
      </c>
      <c r="D458" s="0" t="inlineStr">
        <is>
          <t xml:space="preserve">s_amer_east_in</t>
        </is>
      </c>
      <c r="E458" s="0" t="inlineStr">
        <is>
          <t xml:space="preserve">inbound</t>
        </is>
      </c>
      <c r="F458" s="0" t="inlineStr">
        <is>
          <t xml:space="preserve">closed_won</t>
        </is>
      </c>
      <c r="G458" s="4">
        <v>1</v>
      </c>
      <c r="H458" s="4">
        <v>33800</v>
      </c>
      <c r="I458" s="4">
        <v>2</v>
      </c>
      <c r="J458" s="4">
        <v>1</v>
      </c>
      <c r="K458" s="16">
        <v>45762</v>
      </c>
      <c r="L458" s="16">
        <v>45814</v>
      </c>
      <c r="M458" s="0" t="inlineStr">
        <is>
          <t xml:space="preserve">apr25</t>
        </is>
      </c>
      <c r="N458" s="0" t="inlineStr">
        <is>
          <t xml:space="preserve">jun25</t>
        </is>
      </c>
      <c r="O458" s="4">
        <v>52</v>
      </c>
      <c r="P458" s="4">
        <v>1</v>
      </c>
      <c r="Q458" s="4">
        <v>0</v>
      </c>
      <c r="R458" s="4">
        <v>0</v>
      </c>
      <c r="S458" s="4">
        <f>(H458*INDEX('Stages'!$D$2:$D$7,MATCH(F458,'Stages'!$A$2:$A$7,0)))</f>
        <v>33800</v>
      </c>
      <c r="T458" s="4">
        <f>(H458*I458)</f>
        <v>67600</v>
      </c>
      <c r="U458" s="4">
        <f>(H458*(I458-1))</f>
        <v>33800</v>
      </c>
      <c r="V458" s="0" t="str">
        <f>INDEX('Account executives'!$B$2:$B$25,MATCH(C458,'Account executives'!$A$2:$A$25,0))</f>
        <v>amer_east</v>
      </c>
      <c r="W458" s="0" t="str">
        <f>INDEX('Account executives'!$C$2:$C$25,MATCH(C458,'Account executives'!$A$2:$A$25,0))</f>
        <v>mid_market</v>
      </c>
      <c r="X458" s="0" t="str">
        <f>SUBSTITUTE(LOWER(INDEX('Periods'!$G$2:$G$22,MATCH(N458,'Periods'!$A$2:$A$22,0)))," ","_")</f>
        <v>q2_2025</v>
      </c>
    </row>
    <row r="459">
      <c r="A459" s="0" t="inlineStr">
        <is>
          <t xml:space="preserve">o0458</t>
        </is>
      </c>
      <c r="B459" s="0" t="inlineStr">
        <is>
          <t xml:space="preserve">a0034</t>
        </is>
      </c>
      <c r="C459" s="0" t="inlineStr">
        <is>
          <t xml:space="preserve">r11</t>
        </is>
      </c>
      <c r="D459" s="0"/>
      <c r="E459" s="0" t="inlineStr">
        <is>
          <t xml:space="preserve">referral</t>
        </is>
      </c>
      <c r="F459" s="0" t="inlineStr">
        <is>
          <t xml:space="preserve">closed_won</t>
        </is>
      </c>
      <c r="G459" s="4">
        <v>0</v>
      </c>
      <c r="H459" s="4">
        <v>4100</v>
      </c>
      <c r="I459" s="4">
        <v>1</v>
      </c>
      <c r="J459" s="4">
        <v>0</v>
      </c>
      <c r="K459" s="16">
        <v>46012</v>
      </c>
      <c r="L459" s="16">
        <v>46109</v>
      </c>
      <c r="M459" s="0" t="inlineStr">
        <is>
          <t xml:space="preserve">dec25</t>
        </is>
      </c>
      <c r="N459" s="0" t="inlineStr">
        <is>
          <t xml:space="preserve">mar26</t>
        </is>
      </c>
      <c r="O459" s="4">
        <v>97</v>
      </c>
      <c r="P459" s="4">
        <v>1</v>
      </c>
      <c r="Q459" s="4">
        <v>0</v>
      </c>
      <c r="R459" s="4">
        <v>0</v>
      </c>
      <c r="S459" s="4">
        <f>(H459*INDEX('Stages'!$D$2:$D$7,MATCH(F459,'Stages'!$A$2:$A$7,0)))</f>
        <v>4100</v>
      </c>
      <c r="T459" s="4">
        <f>(H459*I459)</f>
        <v>4100</v>
      </c>
      <c r="U459" s="4">
        <f>(H459*(I459-1))</f>
        <v>0</v>
      </c>
      <c r="V459" s="0" t="str">
        <f>INDEX('Account executives'!$B$2:$B$25,MATCH(C459,'Account executives'!$A$2:$A$25,0))</f>
        <v>amer_west</v>
      </c>
      <c r="W459" s="0" t="str">
        <f>INDEX('Account executives'!$C$2:$C$25,MATCH(C459,'Account executives'!$A$2:$A$25,0))</f>
        <v>smb</v>
      </c>
      <c r="X459" s="0" t="str">
        <f>SUBSTITUTE(LOWER(INDEX('Periods'!$G$2:$G$22,MATCH(N459,'Periods'!$A$2:$A$22,0)))," ","_")</f>
        <v>q1_2026</v>
      </c>
    </row>
    <row r="460">
      <c r="A460" s="0" t="inlineStr">
        <is>
          <t xml:space="preserve">o0459</t>
        </is>
      </c>
      <c r="B460" s="0" t="inlineStr">
        <is>
          <t xml:space="preserve">a0024</t>
        </is>
      </c>
      <c r="C460" s="0" t="inlineStr">
        <is>
          <t xml:space="preserve">r11</t>
        </is>
      </c>
      <c r="D460" s="0" t="inlineStr">
        <is>
          <t xml:space="preserve">s_amer_west_in</t>
        </is>
      </c>
      <c r="E460" s="0" t="inlineStr">
        <is>
          <t xml:space="preserve">inbound</t>
        </is>
      </c>
      <c r="F460" s="0" t="inlineStr">
        <is>
          <t xml:space="preserve">closed_lost</t>
        </is>
      </c>
      <c r="G460" s="4">
        <v>0</v>
      </c>
      <c r="H460" s="4">
        <v>4200</v>
      </c>
      <c r="I460" s="4">
        <v>1</v>
      </c>
      <c r="J460" s="4">
        <v>0</v>
      </c>
      <c r="K460" s="16">
        <v>45758</v>
      </c>
      <c r="L460" s="16">
        <v>45836</v>
      </c>
      <c r="M460" s="0" t="inlineStr">
        <is>
          <t xml:space="preserve">apr25</t>
        </is>
      </c>
      <c r="N460" s="0" t="inlineStr">
        <is>
          <t xml:space="preserve">jun25</t>
        </is>
      </c>
      <c r="O460" s="4">
        <v>78</v>
      </c>
      <c r="P460" s="4">
        <v>0</v>
      </c>
      <c r="Q460" s="4">
        <v>1</v>
      </c>
      <c r="R460" s="4">
        <v>0</v>
      </c>
      <c r="S460" s="4">
        <f>(H460*INDEX('Stages'!$D$2:$D$7,MATCH(F460,'Stages'!$A$2:$A$7,0)))</f>
        <v>0</v>
      </c>
      <c r="T460" s="4">
        <f>(H460*I460)</f>
        <v>4200</v>
      </c>
      <c r="U460" s="4">
        <f>(H460*(I460-1))</f>
        <v>0</v>
      </c>
      <c r="V460" s="0" t="str">
        <f>INDEX('Account executives'!$B$2:$B$25,MATCH(C460,'Account executives'!$A$2:$A$25,0))</f>
        <v>amer_west</v>
      </c>
      <c r="W460" s="0" t="str">
        <f>INDEX('Account executives'!$C$2:$C$25,MATCH(C460,'Account executives'!$A$2:$A$25,0))</f>
        <v>smb</v>
      </c>
      <c r="X460" s="0" t="str">
        <f>SUBSTITUTE(LOWER(INDEX('Periods'!$G$2:$G$22,MATCH(N460,'Periods'!$A$2:$A$22,0)))," ","_")</f>
        <v>q2_2025</v>
      </c>
    </row>
    <row r="461">
      <c r="A461" s="0" t="inlineStr">
        <is>
          <t xml:space="preserve">o0460</t>
        </is>
      </c>
      <c r="B461" s="0" t="inlineStr">
        <is>
          <t xml:space="preserve">a1076</t>
        </is>
      </c>
      <c r="C461" s="0" t="inlineStr">
        <is>
          <t xml:space="preserve">r04</t>
        </is>
      </c>
      <c r="D461" s="0" t="inlineStr">
        <is>
          <t xml:space="preserve">s_amer_east_in</t>
        </is>
      </c>
      <c r="E461" s="0" t="inlineStr">
        <is>
          <t xml:space="preserve">paid</t>
        </is>
      </c>
      <c r="F461" s="0" t="inlineStr">
        <is>
          <t xml:space="preserve">evaluation</t>
        </is>
      </c>
      <c r="G461" s="4">
        <v>1</v>
      </c>
      <c r="H461" s="4">
        <v>53700</v>
      </c>
      <c r="I461" s="4">
        <v>1</v>
      </c>
      <c r="J461" s="4">
        <v>0</v>
      </c>
      <c r="K461" s="16">
        <v>46229</v>
      </c>
      <c r="L461" s="16">
        <v>46302</v>
      </c>
      <c r="M461" s="0" t="inlineStr">
        <is>
          <t xml:space="preserve">jul26</t>
        </is>
      </c>
      <c r="N461" s="0" t="inlineStr">
        <is>
          <t xml:space="preserve">oct26</t>
        </is>
      </c>
      <c r="O461" s="4">
        <v>68</v>
      </c>
      <c r="P461" s="4">
        <v>0</v>
      </c>
      <c r="Q461" s="4">
        <v>0</v>
      </c>
      <c r="R461" s="4">
        <v>1</v>
      </c>
      <c r="S461" s="4">
        <f>(H461*INDEX('Stages'!$D$2:$D$7,MATCH(F461,'Stages'!$A$2:$A$7,0)))</f>
        <v>13425</v>
      </c>
      <c r="T461" s="4">
        <f>(H461*I461)</f>
        <v>53700</v>
      </c>
      <c r="U461" s="4">
        <f>(H461*(I461-1))</f>
        <v>0</v>
      </c>
      <c r="V461" s="0" t="str">
        <f>INDEX('Account executives'!$B$2:$B$25,MATCH(C461,'Account executives'!$A$2:$A$25,0))</f>
        <v>amer_east</v>
      </c>
      <c r="W461" s="0" t="str">
        <f>INDEX('Account executives'!$C$2:$C$25,MATCH(C461,'Account executives'!$A$2:$A$25,0))</f>
        <v>mid_market</v>
      </c>
      <c r="X461" s="0" t="str">
        <f>SUBSTITUTE(LOWER(INDEX('Periods'!$G$2:$G$22,MATCH(N461,'Periods'!$A$2:$A$22,0)))," ","_")</f>
        <v>q4_2026</v>
      </c>
    </row>
    <row r="462">
      <c r="A462" s="0" t="inlineStr">
        <is>
          <t xml:space="preserve">o0461</t>
        </is>
      </c>
      <c r="B462" s="0" t="inlineStr">
        <is>
          <t xml:space="preserve">a0183</t>
        </is>
      </c>
      <c r="C462" s="0" t="inlineStr">
        <is>
          <t xml:space="preserve">r06</t>
        </is>
      </c>
      <c r="D462" s="0" t="inlineStr">
        <is>
          <t xml:space="preserve">s_amer_east_in</t>
        </is>
      </c>
      <c r="E462" s="0" t="inlineStr">
        <is>
          <t xml:space="preserve">inbound</t>
        </is>
      </c>
      <c r="F462" s="0" t="inlineStr">
        <is>
          <t xml:space="preserve">closed_lost</t>
        </is>
      </c>
      <c r="G462" s="4">
        <v>0</v>
      </c>
      <c r="H462" s="4">
        <v>5500</v>
      </c>
      <c r="I462" s="4">
        <v>1</v>
      </c>
      <c r="J462" s="4">
        <v>1</v>
      </c>
      <c r="K462" s="16">
        <v>46227</v>
      </c>
      <c r="L462" s="16">
        <v>46269</v>
      </c>
      <c r="M462" s="0" t="inlineStr">
        <is>
          <t xml:space="preserve">jul26</t>
        </is>
      </c>
      <c r="N462" s="0" t="inlineStr">
        <is>
          <t xml:space="preserve">sep26</t>
        </is>
      </c>
      <c r="O462" s="4">
        <v>42</v>
      </c>
      <c r="P462" s="4">
        <v>0</v>
      </c>
      <c r="Q462" s="4">
        <v>1</v>
      </c>
      <c r="R462" s="4">
        <v>0</v>
      </c>
      <c r="S462" s="4">
        <f>(H462*INDEX('Stages'!$D$2:$D$7,MATCH(F462,'Stages'!$A$2:$A$7,0)))</f>
        <v>0</v>
      </c>
      <c r="T462" s="4">
        <f>(H462*I462)</f>
        <v>5500</v>
      </c>
      <c r="U462" s="4">
        <f>(H462*(I462-1))</f>
        <v>0</v>
      </c>
      <c r="V462" s="0" t="str">
        <f>INDEX('Account executives'!$B$2:$B$25,MATCH(C462,'Account executives'!$A$2:$A$25,0))</f>
        <v>amer_east</v>
      </c>
      <c r="W462" s="0" t="str">
        <f>INDEX('Account executives'!$C$2:$C$25,MATCH(C462,'Account executives'!$A$2:$A$25,0))</f>
        <v>smb</v>
      </c>
      <c r="X462" s="0" t="str">
        <f>SUBSTITUTE(LOWER(INDEX('Periods'!$G$2:$G$22,MATCH(N462,'Periods'!$A$2:$A$22,0)))," ","_")</f>
        <v>q3_2026</v>
      </c>
    </row>
    <row r="463">
      <c r="A463" s="0" t="inlineStr">
        <is>
          <t xml:space="preserve">o0462</t>
        </is>
      </c>
      <c r="B463" s="0" t="inlineStr">
        <is>
          <t xml:space="preserve">a1067</t>
        </is>
      </c>
      <c r="C463" s="0" t="inlineStr">
        <is>
          <t xml:space="preserve">r03</t>
        </is>
      </c>
      <c r="D463" s="0" t="inlineStr">
        <is>
          <t xml:space="preserve">s_amer_east_in</t>
        </is>
      </c>
      <c r="E463" s="0" t="inlineStr">
        <is>
          <t xml:space="preserve">inbound</t>
        </is>
      </c>
      <c r="F463" s="0" t="inlineStr">
        <is>
          <t xml:space="preserve">proposal</t>
        </is>
      </c>
      <c r="G463" s="4">
        <v>1</v>
      </c>
      <c r="H463" s="4">
        <v>65000</v>
      </c>
      <c r="I463" s="4">
        <v>1</v>
      </c>
      <c r="J463" s="4">
        <v>1</v>
      </c>
      <c r="K463" s="16">
        <v>46214</v>
      </c>
      <c r="L463" s="16">
        <v>46293</v>
      </c>
      <c r="M463" s="0" t="inlineStr">
        <is>
          <t xml:space="preserve">jul26</t>
        </is>
      </c>
      <c r="N463" s="0" t="inlineStr">
        <is>
          <t xml:space="preserve">sep26</t>
        </is>
      </c>
      <c r="O463" s="4">
        <v>74</v>
      </c>
      <c r="P463" s="4">
        <v>0</v>
      </c>
      <c r="Q463" s="4">
        <v>0</v>
      </c>
      <c r="R463" s="4">
        <v>1</v>
      </c>
      <c r="S463" s="4">
        <f>(H463*INDEX('Stages'!$D$2:$D$7,MATCH(F463,'Stages'!$A$2:$A$7,0)))</f>
        <v>32500</v>
      </c>
      <c r="T463" s="4">
        <f>(H463*I463)</f>
        <v>65000</v>
      </c>
      <c r="U463" s="4">
        <f>(H463*(I463-1))</f>
        <v>0</v>
      </c>
      <c r="V463" s="0" t="str">
        <f>INDEX('Account executives'!$B$2:$B$25,MATCH(C463,'Account executives'!$A$2:$A$25,0))</f>
        <v>amer_east</v>
      </c>
      <c r="W463" s="0" t="str">
        <f>INDEX('Account executives'!$C$2:$C$25,MATCH(C463,'Account executives'!$A$2:$A$25,0))</f>
        <v>mid_market</v>
      </c>
      <c r="X463" s="0" t="str">
        <f>SUBSTITUTE(LOWER(INDEX('Periods'!$G$2:$G$22,MATCH(N463,'Periods'!$A$2:$A$22,0)))," ","_")</f>
        <v>q3_2026</v>
      </c>
    </row>
    <row r="464">
      <c r="A464" s="0" t="inlineStr">
        <is>
          <t xml:space="preserve">o0463</t>
        </is>
      </c>
      <c r="B464" s="0" t="inlineStr">
        <is>
          <t xml:space="preserve">a0116</t>
        </is>
      </c>
      <c r="C464" s="0" t="inlineStr">
        <is>
          <t xml:space="preserve">r17</t>
        </is>
      </c>
      <c r="D464" s="0" t="inlineStr">
        <is>
          <t xml:space="preserve">s_emea_in</t>
        </is>
      </c>
      <c r="E464" s="0" t="inlineStr">
        <is>
          <t xml:space="preserve">inbound</t>
        </is>
      </c>
      <c r="F464" s="0" t="inlineStr">
        <is>
          <t xml:space="preserve">closed_lost</t>
        </is>
      </c>
      <c r="G464" s="4">
        <v>1</v>
      </c>
      <c r="H464" s="4">
        <v>11200</v>
      </c>
      <c r="I464" s="4">
        <v>1</v>
      </c>
      <c r="J464" s="4">
        <v>0</v>
      </c>
      <c r="K464" s="16">
        <v>45791</v>
      </c>
      <c r="L464" s="16">
        <v>45831</v>
      </c>
      <c r="M464" s="0" t="inlineStr">
        <is>
          <t xml:space="preserve">may25</t>
        </is>
      </c>
      <c r="N464" s="0" t="inlineStr">
        <is>
          <t xml:space="preserve">jun25</t>
        </is>
      </c>
      <c r="O464" s="4">
        <v>40</v>
      </c>
      <c r="P464" s="4">
        <v>0</v>
      </c>
      <c r="Q464" s="4">
        <v>1</v>
      </c>
      <c r="R464" s="4">
        <v>0</v>
      </c>
      <c r="S464" s="4">
        <f>(H464*INDEX('Stages'!$D$2:$D$7,MATCH(F464,'Stages'!$A$2:$A$7,0)))</f>
        <v>0</v>
      </c>
      <c r="T464" s="4">
        <f>(H464*I464)</f>
        <v>11200</v>
      </c>
      <c r="U464" s="4">
        <f>(H464*(I464-1))</f>
        <v>0</v>
      </c>
      <c r="V464" s="0" t="str">
        <f>INDEX('Account executives'!$B$2:$B$25,MATCH(C464,'Account executives'!$A$2:$A$25,0))</f>
        <v>emea</v>
      </c>
      <c r="W464" s="0" t="str">
        <f>INDEX('Account executives'!$C$2:$C$25,MATCH(C464,'Account executives'!$A$2:$A$25,0))</f>
        <v>smb</v>
      </c>
      <c r="X464" s="0" t="str">
        <f>SUBSTITUTE(LOWER(INDEX('Periods'!$G$2:$G$22,MATCH(N464,'Periods'!$A$2:$A$22,0)))," ","_")</f>
        <v>q2_2025</v>
      </c>
    </row>
    <row r="465">
      <c r="A465" s="0" t="inlineStr">
        <is>
          <t xml:space="preserve">o0464</t>
        </is>
      </c>
      <c r="B465" s="0" t="inlineStr">
        <is>
          <t xml:space="preserve">a0539</t>
        </is>
      </c>
      <c r="C465" s="0" t="inlineStr">
        <is>
          <t xml:space="preserve">r05</t>
        </is>
      </c>
      <c r="D465" s="0" t="inlineStr">
        <is>
          <t xml:space="preserve">s_amer_east_in</t>
        </is>
      </c>
      <c r="E465" s="0" t="inlineStr">
        <is>
          <t xml:space="preserve">inbound</t>
        </is>
      </c>
      <c r="F465" s="0" t="inlineStr">
        <is>
          <t xml:space="preserve">closed_won</t>
        </is>
      </c>
      <c r="G465" s="4">
        <v>1</v>
      </c>
      <c r="H465" s="4">
        <v>12500</v>
      </c>
      <c r="I465" s="4">
        <v>1</v>
      </c>
      <c r="J465" s="4">
        <v>0</v>
      </c>
      <c r="K465" s="16">
        <v>45995</v>
      </c>
      <c r="L465" s="16">
        <v>46027</v>
      </c>
      <c r="M465" s="0" t="inlineStr">
        <is>
          <t xml:space="preserve">dec25</t>
        </is>
      </c>
      <c r="N465" s="0" t="inlineStr">
        <is>
          <t xml:space="preserve">jan26</t>
        </is>
      </c>
      <c r="O465" s="4">
        <v>32</v>
      </c>
      <c r="P465" s="4">
        <v>1</v>
      </c>
      <c r="Q465" s="4">
        <v>0</v>
      </c>
      <c r="R465" s="4">
        <v>0</v>
      </c>
      <c r="S465" s="4">
        <f>(H465*INDEX('Stages'!$D$2:$D$7,MATCH(F465,'Stages'!$A$2:$A$7,0)))</f>
        <v>12500</v>
      </c>
      <c r="T465" s="4">
        <f>(H465*I465)</f>
        <v>12500</v>
      </c>
      <c r="U465" s="4">
        <f>(H465*(I465-1))</f>
        <v>0</v>
      </c>
      <c r="V465" s="0" t="str">
        <f>INDEX('Account executives'!$B$2:$B$25,MATCH(C465,'Account executives'!$A$2:$A$25,0))</f>
        <v>amer_east</v>
      </c>
      <c r="W465" s="0" t="str">
        <f>INDEX('Account executives'!$C$2:$C$25,MATCH(C465,'Account executives'!$A$2:$A$25,0))</f>
        <v>smb</v>
      </c>
      <c r="X465" s="0" t="str">
        <f>SUBSTITUTE(LOWER(INDEX('Periods'!$G$2:$G$22,MATCH(N465,'Periods'!$A$2:$A$22,0)))," ","_")</f>
        <v>q1_2026</v>
      </c>
    </row>
    <row r="466">
      <c r="A466" s="0" t="inlineStr">
        <is>
          <t xml:space="preserve">o0465</t>
        </is>
      </c>
      <c r="B466" s="0" t="inlineStr">
        <is>
          <t xml:space="preserve">a1121</t>
        </is>
      </c>
      <c r="C466" s="0" t="inlineStr">
        <is>
          <t xml:space="preserve">r15</t>
        </is>
      </c>
      <c r="D466" s="0" t="inlineStr">
        <is>
          <t xml:space="preserve">s_emea_in</t>
        </is>
      </c>
      <c r="E466" s="0" t="inlineStr">
        <is>
          <t xml:space="preserve">inbound</t>
        </is>
      </c>
      <c r="F466" s="0" t="inlineStr">
        <is>
          <t xml:space="preserve">proposal</t>
        </is>
      </c>
      <c r="G466" s="4">
        <v>1</v>
      </c>
      <c r="H466" s="4">
        <v>36100</v>
      </c>
      <c r="I466" s="4">
        <v>1</v>
      </c>
      <c r="J466" s="4">
        <v>0</v>
      </c>
      <c r="K466" s="16">
        <v>46226</v>
      </c>
      <c r="L466" s="16">
        <v>46293</v>
      </c>
      <c r="M466" s="0" t="inlineStr">
        <is>
          <t xml:space="preserve">jul26</t>
        </is>
      </c>
      <c r="N466" s="0" t="inlineStr">
        <is>
          <t xml:space="preserve">sep26</t>
        </is>
      </c>
      <c r="O466" s="4">
        <v>74</v>
      </c>
      <c r="P466" s="4">
        <v>0</v>
      </c>
      <c r="Q466" s="4">
        <v>0</v>
      </c>
      <c r="R466" s="4">
        <v>1</v>
      </c>
      <c r="S466" s="4">
        <f>(H466*INDEX('Stages'!$D$2:$D$7,MATCH(F466,'Stages'!$A$2:$A$7,0)))</f>
        <v>18050</v>
      </c>
      <c r="T466" s="4">
        <f>(H466*I466)</f>
        <v>36100</v>
      </c>
      <c r="U466" s="4">
        <f>(H466*(I466-1))</f>
        <v>0</v>
      </c>
      <c r="V466" s="0" t="str">
        <f>INDEX('Account executives'!$B$2:$B$25,MATCH(C466,'Account executives'!$A$2:$A$25,0))</f>
        <v>emea</v>
      </c>
      <c r="W466" s="0" t="str">
        <f>INDEX('Account executives'!$C$2:$C$25,MATCH(C466,'Account executives'!$A$2:$A$25,0))</f>
        <v>mid_market</v>
      </c>
      <c r="X466" s="0" t="str">
        <f>SUBSTITUTE(LOWER(INDEX('Periods'!$G$2:$G$22,MATCH(N466,'Periods'!$A$2:$A$22,0)))," ","_")</f>
        <v>q3_2026</v>
      </c>
    </row>
    <row r="467">
      <c r="A467" s="0" t="inlineStr">
        <is>
          <t xml:space="preserve">o0466</t>
        </is>
      </c>
      <c r="B467" s="0" t="inlineStr">
        <is>
          <t xml:space="preserve">a0406</t>
        </is>
      </c>
      <c r="C467" s="0" t="inlineStr">
        <is>
          <t xml:space="preserve">r24</t>
        </is>
      </c>
      <c r="D467" s="0" t="inlineStr">
        <is>
          <t xml:space="preserve">s_apac_in</t>
        </is>
      </c>
      <c r="E467" s="0" t="inlineStr">
        <is>
          <t xml:space="preserve">inbound</t>
        </is>
      </c>
      <c r="F467" s="0" t="inlineStr">
        <is>
          <t xml:space="preserve">closed_lost</t>
        </is>
      </c>
      <c r="G467" s="4">
        <v>1</v>
      </c>
      <c r="H467" s="4">
        <v>12100</v>
      </c>
      <c r="I467" s="4">
        <v>1</v>
      </c>
      <c r="J467" s="4">
        <v>1</v>
      </c>
      <c r="K467" s="16">
        <v>45928</v>
      </c>
      <c r="L467" s="16">
        <v>45974</v>
      </c>
      <c r="M467" s="0" t="inlineStr">
        <is>
          <t xml:space="preserve">sep25</t>
        </is>
      </c>
      <c r="N467" s="0" t="inlineStr">
        <is>
          <t xml:space="preserve">nov25</t>
        </is>
      </c>
      <c r="O467" s="4">
        <v>46</v>
      </c>
      <c r="P467" s="4">
        <v>0</v>
      </c>
      <c r="Q467" s="4">
        <v>1</v>
      </c>
      <c r="R467" s="4">
        <v>0</v>
      </c>
      <c r="S467" s="4">
        <f>(H467*INDEX('Stages'!$D$2:$D$7,MATCH(F467,'Stages'!$A$2:$A$7,0)))</f>
        <v>0</v>
      </c>
      <c r="T467" s="4">
        <f>(H467*I467)</f>
        <v>12100</v>
      </c>
      <c r="U467" s="4">
        <f>(H467*(I467-1))</f>
        <v>0</v>
      </c>
      <c r="V467" s="0" t="str">
        <f>INDEX('Account executives'!$B$2:$B$25,MATCH(C467,'Account executives'!$A$2:$A$25,0))</f>
        <v>apac</v>
      </c>
      <c r="W467" s="0" t="str">
        <f>INDEX('Account executives'!$C$2:$C$25,MATCH(C467,'Account executives'!$A$2:$A$25,0))</f>
        <v>smb</v>
      </c>
      <c r="X467" s="0" t="str">
        <f>SUBSTITUTE(LOWER(INDEX('Periods'!$G$2:$G$22,MATCH(N467,'Periods'!$A$2:$A$22,0)))," ","_")</f>
        <v>q4_2025</v>
      </c>
    </row>
    <row r="468">
      <c r="A468" s="0" t="inlineStr">
        <is>
          <t xml:space="preserve">o0467</t>
        </is>
      </c>
      <c r="B468" s="0" t="inlineStr">
        <is>
          <t xml:space="preserve">a0011</t>
        </is>
      </c>
      <c r="C468" s="0" t="inlineStr">
        <is>
          <t xml:space="preserve">r04</t>
        </is>
      </c>
      <c r="D468" s="0" t="inlineStr">
        <is>
          <t xml:space="preserve">s_amer_east_in</t>
        </is>
      </c>
      <c r="E468" s="0" t="inlineStr">
        <is>
          <t xml:space="preserve">paid</t>
        </is>
      </c>
      <c r="F468" s="0" t="inlineStr">
        <is>
          <t xml:space="preserve">closed_won</t>
        </is>
      </c>
      <c r="G468" s="4">
        <v>1</v>
      </c>
      <c r="H468" s="4">
        <v>54200</v>
      </c>
      <c r="I468" s="4">
        <v>1</v>
      </c>
      <c r="J468" s="4">
        <v>0</v>
      </c>
      <c r="K468" s="16">
        <v>45748</v>
      </c>
      <c r="L468" s="16">
        <v>45799</v>
      </c>
      <c r="M468" s="0" t="inlineStr">
        <is>
          <t xml:space="preserve">apr25</t>
        </is>
      </c>
      <c r="N468" s="0" t="inlineStr">
        <is>
          <t xml:space="preserve">may25</t>
        </is>
      </c>
      <c r="O468" s="4">
        <v>51</v>
      </c>
      <c r="P468" s="4">
        <v>1</v>
      </c>
      <c r="Q468" s="4">
        <v>0</v>
      </c>
      <c r="R468" s="4">
        <v>0</v>
      </c>
      <c r="S468" s="4">
        <f>(H468*INDEX('Stages'!$D$2:$D$7,MATCH(F468,'Stages'!$A$2:$A$7,0)))</f>
        <v>54200</v>
      </c>
      <c r="T468" s="4">
        <f>(H468*I468)</f>
        <v>54200</v>
      </c>
      <c r="U468" s="4">
        <f>(H468*(I468-1))</f>
        <v>0</v>
      </c>
      <c r="V468" s="0" t="str">
        <f>INDEX('Account executives'!$B$2:$B$25,MATCH(C468,'Account executives'!$A$2:$A$25,0))</f>
        <v>amer_east</v>
      </c>
      <c r="W468" s="0" t="str">
        <f>INDEX('Account executives'!$C$2:$C$25,MATCH(C468,'Account executives'!$A$2:$A$25,0))</f>
        <v>mid_market</v>
      </c>
      <c r="X468" s="0" t="str">
        <f>SUBSTITUTE(LOWER(INDEX('Periods'!$G$2:$G$22,MATCH(N468,'Periods'!$A$2:$A$22,0)))," ","_")</f>
        <v>q2_2025</v>
      </c>
    </row>
    <row r="469">
      <c r="A469" s="0" t="inlineStr">
        <is>
          <t xml:space="preserve">o0468</t>
        </is>
      </c>
      <c r="B469" s="0" t="inlineStr">
        <is>
          <t xml:space="preserve">a0562</t>
        </is>
      </c>
      <c r="C469" s="0" t="inlineStr">
        <is>
          <t xml:space="preserve">r11</t>
        </is>
      </c>
      <c r="D469" s="0" t="inlineStr">
        <is>
          <t xml:space="preserve">s_amer_west_in</t>
        </is>
      </c>
      <c r="E469" s="0" t="inlineStr">
        <is>
          <t xml:space="preserve">inbound</t>
        </is>
      </c>
      <c r="F469" s="0" t="inlineStr">
        <is>
          <t xml:space="preserve">closed_won</t>
        </is>
      </c>
      <c r="G469" s="4">
        <v>1</v>
      </c>
      <c r="H469" s="4">
        <v>10600</v>
      </c>
      <c r="I469" s="4">
        <v>1</v>
      </c>
      <c r="J469" s="4">
        <v>0</v>
      </c>
      <c r="K469" s="16">
        <v>46011</v>
      </c>
      <c r="L469" s="16">
        <v>46043</v>
      </c>
      <c r="M469" s="0" t="inlineStr">
        <is>
          <t xml:space="preserve">dec25</t>
        </is>
      </c>
      <c r="N469" s="0" t="inlineStr">
        <is>
          <t xml:space="preserve">jan26</t>
        </is>
      </c>
      <c r="O469" s="4">
        <v>32</v>
      </c>
      <c r="P469" s="4">
        <v>1</v>
      </c>
      <c r="Q469" s="4">
        <v>0</v>
      </c>
      <c r="R469" s="4">
        <v>0</v>
      </c>
      <c r="S469" s="4">
        <f>(H469*INDEX('Stages'!$D$2:$D$7,MATCH(F469,'Stages'!$A$2:$A$7,0)))</f>
        <v>10600</v>
      </c>
      <c r="T469" s="4">
        <f>(H469*I469)</f>
        <v>10600</v>
      </c>
      <c r="U469" s="4">
        <f>(H469*(I469-1))</f>
        <v>0</v>
      </c>
      <c r="V469" s="0" t="str">
        <f>INDEX('Account executives'!$B$2:$B$25,MATCH(C469,'Account executives'!$A$2:$A$25,0))</f>
        <v>amer_west</v>
      </c>
      <c r="W469" s="0" t="str">
        <f>INDEX('Account executives'!$C$2:$C$25,MATCH(C469,'Account executives'!$A$2:$A$25,0))</f>
        <v>smb</v>
      </c>
      <c r="X469" s="0" t="str">
        <f>SUBSTITUTE(LOWER(INDEX('Periods'!$G$2:$G$22,MATCH(N469,'Periods'!$A$2:$A$22,0)))," ","_")</f>
        <v>q1_2026</v>
      </c>
    </row>
    <row r="470">
      <c r="A470" s="0" t="inlineStr">
        <is>
          <t xml:space="preserve">o0469</t>
        </is>
      </c>
      <c r="B470" s="0" t="inlineStr">
        <is>
          <t xml:space="preserve">a0151</t>
        </is>
      </c>
      <c r="C470" s="0" t="inlineStr">
        <is>
          <t xml:space="preserve">r24</t>
        </is>
      </c>
      <c r="D470" s="0"/>
      <c r="E470" s="0" t="inlineStr">
        <is>
          <t xml:space="preserve">events</t>
        </is>
      </c>
      <c r="F470" s="0" t="inlineStr">
        <is>
          <t xml:space="preserve">closed_lost</t>
        </is>
      </c>
      <c r="G470" s="4">
        <v>1</v>
      </c>
      <c r="H470" s="4">
        <v>18500</v>
      </c>
      <c r="I470" s="4">
        <v>1</v>
      </c>
      <c r="J470" s="4">
        <v>0</v>
      </c>
      <c r="K470" s="16">
        <v>45802</v>
      </c>
      <c r="L470" s="16">
        <v>45809</v>
      </c>
      <c r="M470" s="0" t="inlineStr">
        <is>
          <t xml:space="preserve">may25</t>
        </is>
      </c>
      <c r="N470" s="0" t="inlineStr">
        <is>
          <t xml:space="preserve">jun25</t>
        </is>
      </c>
      <c r="O470" s="4">
        <v>7</v>
      </c>
      <c r="P470" s="4">
        <v>0</v>
      </c>
      <c r="Q470" s="4">
        <v>1</v>
      </c>
      <c r="R470" s="4">
        <v>0</v>
      </c>
      <c r="S470" s="4">
        <f>(H470*INDEX('Stages'!$D$2:$D$7,MATCH(F470,'Stages'!$A$2:$A$7,0)))</f>
        <v>0</v>
      </c>
      <c r="T470" s="4">
        <f>(H470*I470)</f>
        <v>18500</v>
      </c>
      <c r="U470" s="4">
        <f>(H470*(I470-1))</f>
        <v>0</v>
      </c>
      <c r="V470" s="0" t="str">
        <f>INDEX('Account executives'!$B$2:$B$25,MATCH(C470,'Account executives'!$A$2:$A$25,0))</f>
        <v>apac</v>
      </c>
      <c r="W470" s="0" t="str">
        <f>INDEX('Account executives'!$C$2:$C$25,MATCH(C470,'Account executives'!$A$2:$A$25,0))</f>
        <v>smb</v>
      </c>
      <c r="X470" s="0" t="str">
        <f>SUBSTITUTE(LOWER(INDEX('Periods'!$G$2:$G$22,MATCH(N470,'Periods'!$A$2:$A$22,0)))," ","_")</f>
        <v>q2_2025</v>
      </c>
    </row>
    <row r="471">
      <c r="A471" s="0" t="inlineStr">
        <is>
          <t xml:space="preserve">o0470</t>
        </is>
      </c>
      <c r="B471" s="0" t="inlineStr">
        <is>
          <t xml:space="preserve">a0704</t>
        </is>
      </c>
      <c r="C471" s="0" t="inlineStr">
        <is>
          <t xml:space="preserve">r16</t>
        </is>
      </c>
      <c r="D471" s="0" t="inlineStr">
        <is>
          <t xml:space="preserve">s_emea_out</t>
        </is>
      </c>
      <c r="E471" s="0" t="inlineStr">
        <is>
          <t xml:space="preserve">outbound</t>
        </is>
      </c>
      <c r="F471" s="0" t="inlineStr">
        <is>
          <t xml:space="preserve">closed_won</t>
        </is>
      </c>
      <c r="G471" s="4">
        <v>1</v>
      </c>
      <c r="H471" s="4">
        <v>17700</v>
      </c>
      <c r="I471" s="4">
        <v>3</v>
      </c>
      <c r="J471" s="4">
        <v>1</v>
      </c>
      <c r="K471" s="16">
        <v>46061</v>
      </c>
      <c r="L471" s="16">
        <v>46152</v>
      </c>
      <c r="M471" s="0" t="inlineStr">
        <is>
          <t xml:space="preserve">feb26</t>
        </is>
      </c>
      <c r="N471" s="0" t="inlineStr">
        <is>
          <t xml:space="preserve">may26</t>
        </is>
      </c>
      <c r="O471" s="4">
        <v>91</v>
      </c>
      <c r="P471" s="4">
        <v>1</v>
      </c>
      <c r="Q471" s="4">
        <v>0</v>
      </c>
      <c r="R471" s="4">
        <v>0</v>
      </c>
      <c r="S471" s="4">
        <f>(H471*INDEX('Stages'!$D$2:$D$7,MATCH(F471,'Stages'!$A$2:$A$7,0)))</f>
        <v>17700</v>
      </c>
      <c r="T471" s="4">
        <f>(H471*I471)</f>
        <v>53100</v>
      </c>
      <c r="U471" s="4">
        <f>(H471*(I471-1))</f>
        <v>35400</v>
      </c>
      <c r="V471" s="0" t="str">
        <f>INDEX('Account executives'!$B$2:$B$25,MATCH(C471,'Account executives'!$A$2:$A$25,0))</f>
        <v>emea</v>
      </c>
      <c r="W471" s="0" t="str">
        <f>INDEX('Account executives'!$C$2:$C$25,MATCH(C471,'Account executives'!$A$2:$A$25,0))</f>
        <v>mid_market</v>
      </c>
      <c r="X471" s="0" t="str">
        <f>SUBSTITUTE(LOWER(INDEX('Periods'!$G$2:$G$22,MATCH(N471,'Periods'!$A$2:$A$22,0)))," ","_")</f>
        <v>q2_2026</v>
      </c>
    </row>
    <row r="472">
      <c r="A472" s="0" t="inlineStr">
        <is>
          <t xml:space="preserve">o0471</t>
        </is>
      </c>
      <c r="B472" s="0" t="inlineStr">
        <is>
          <t xml:space="preserve">a0429</t>
        </is>
      </c>
      <c r="C472" s="0" t="inlineStr">
        <is>
          <t xml:space="preserve">r07</t>
        </is>
      </c>
      <c r="D472" s="0" t="inlineStr">
        <is>
          <t xml:space="preserve">s_amer_west_in</t>
        </is>
      </c>
      <c r="E472" s="0" t="inlineStr">
        <is>
          <t xml:space="preserve">inbound</t>
        </is>
      </c>
      <c r="F472" s="0" t="inlineStr">
        <is>
          <t xml:space="preserve">closed_won</t>
        </is>
      </c>
      <c r="G472" s="4">
        <v>1</v>
      </c>
      <c r="H472" s="4">
        <v>700000</v>
      </c>
      <c r="I472" s="4">
        <v>2</v>
      </c>
      <c r="J472" s="4">
        <v>0</v>
      </c>
      <c r="K472" s="16">
        <v>45943</v>
      </c>
      <c r="L472" s="16">
        <v>46077</v>
      </c>
      <c r="M472" s="0" t="inlineStr">
        <is>
          <t xml:space="preserve">oct25</t>
        </is>
      </c>
      <c r="N472" s="0" t="inlineStr">
        <is>
          <t xml:space="preserve">feb26</t>
        </is>
      </c>
      <c r="O472" s="4">
        <v>134</v>
      </c>
      <c r="P472" s="4">
        <v>1</v>
      </c>
      <c r="Q472" s="4">
        <v>0</v>
      </c>
      <c r="R472" s="4">
        <v>0</v>
      </c>
      <c r="S472" s="4">
        <f>(H472*INDEX('Stages'!$D$2:$D$7,MATCH(F472,'Stages'!$A$2:$A$7,0)))</f>
        <v>700000</v>
      </c>
      <c r="T472" s="4">
        <f>(H472*I472)</f>
        <v>1400000</v>
      </c>
      <c r="U472" s="4">
        <f>(H472*(I472-1))</f>
        <v>700000</v>
      </c>
      <c r="V472" s="0" t="str">
        <f>INDEX('Account executives'!$B$2:$B$25,MATCH(C472,'Account executives'!$A$2:$A$25,0))</f>
        <v>amer_west</v>
      </c>
      <c r="W472" s="0" t="str">
        <f>INDEX('Account executives'!$C$2:$C$25,MATCH(C472,'Account executives'!$A$2:$A$25,0))</f>
        <v>enterprise</v>
      </c>
      <c r="X472" s="0" t="str">
        <f>SUBSTITUTE(LOWER(INDEX('Periods'!$G$2:$G$22,MATCH(N472,'Periods'!$A$2:$A$22,0)))," ","_")</f>
        <v>q1_2026</v>
      </c>
    </row>
    <row r="473">
      <c r="A473" s="0" t="inlineStr">
        <is>
          <t xml:space="preserve">o0472</t>
        </is>
      </c>
      <c r="B473" s="0" t="inlineStr">
        <is>
          <t xml:space="preserve">a0334</t>
        </is>
      </c>
      <c r="C473" s="0" t="inlineStr">
        <is>
          <t xml:space="preserve">r12</t>
        </is>
      </c>
      <c r="D473" s="0"/>
      <c r="E473" s="0" t="inlineStr">
        <is>
          <t xml:space="preserve">partner</t>
        </is>
      </c>
      <c r="F473" s="0" t="inlineStr">
        <is>
          <t xml:space="preserve">closed_lost</t>
        </is>
      </c>
      <c r="G473" s="4">
        <v>1</v>
      </c>
      <c r="H473" s="4">
        <v>10400</v>
      </c>
      <c r="I473" s="4">
        <v>1</v>
      </c>
      <c r="J473" s="4">
        <v>0</v>
      </c>
      <c r="K473" s="16">
        <v>45871</v>
      </c>
      <c r="L473" s="16">
        <v>45903</v>
      </c>
      <c r="M473" s="0" t="inlineStr">
        <is>
          <t xml:space="preserve">aug25</t>
        </is>
      </c>
      <c r="N473" s="0" t="inlineStr">
        <is>
          <t xml:space="preserve">sep25</t>
        </is>
      </c>
      <c r="O473" s="4">
        <v>32</v>
      </c>
      <c r="P473" s="4">
        <v>0</v>
      </c>
      <c r="Q473" s="4">
        <v>1</v>
      </c>
      <c r="R473" s="4">
        <v>0</v>
      </c>
      <c r="S473" s="4">
        <f>(H473*INDEX('Stages'!$D$2:$D$7,MATCH(F473,'Stages'!$A$2:$A$7,0)))</f>
        <v>0</v>
      </c>
      <c r="T473" s="4">
        <f>(H473*I473)</f>
        <v>10400</v>
      </c>
      <c r="U473" s="4">
        <f>(H473*(I473-1))</f>
        <v>0</v>
      </c>
      <c r="V473" s="0" t="str">
        <f>INDEX('Account executives'!$B$2:$B$25,MATCH(C473,'Account executives'!$A$2:$A$25,0))</f>
        <v>amer_west</v>
      </c>
      <c r="W473" s="0" t="str">
        <f>INDEX('Account executives'!$C$2:$C$25,MATCH(C473,'Account executives'!$A$2:$A$25,0))</f>
        <v>smb</v>
      </c>
      <c r="X473" s="0" t="str">
        <f>SUBSTITUTE(LOWER(INDEX('Periods'!$G$2:$G$22,MATCH(N473,'Periods'!$A$2:$A$22,0)))," ","_")</f>
        <v>q3_2025</v>
      </c>
    </row>
    <row r="474">
      <c r="A474" s="0" t="inlineStr">
        <is>
          <t xml:space="preserve">o0473</t>
        </is>
      </c>
      <c r="B474" s="0" t="inlineStr">
        <is>
          <t xml:space="preserve">a0366</t>
        </is>
      </c>
      <c r="C474" s="0" t="inlineStr">
        <is>
          <t xml:space="preserve">r03</t>
        </is>
      </c>
      <c r="D474" s="0"/>
      <c r="E474" s="0" t="inlineStr">
        <is>
          <t xml:space="preserve">events</t>
        </is>
      </c>
      <c r="F474" s="0" t="inlineStr">
        <is>
          <t xml:space="preserve">closed_lost</t>
        </is>
      </c>
      <c r="G474" s="4">
        <v>0</v>
      </c>
      <c r="H474" s="4">
        <v>13000</v>
      </c>
      <c r="I474" s="4">
        <v>2</v>
      </c>
      <c r="J474" s="4">
        <v>0</v>
      </c>
      <c r="K474" s="16">
        <v>46016</v>
      </c>
      <c r="L474" s="16">
        <v>46056</v>
      </c>
      <c r="M474" s="0" t="inlineStr">
        <is>
          <t xml:space="preserve">dec25</t>
        </is>
      </c>
      <c r="N474" s="0" t="inlineStr">
        <is>
          <t xml:space="preserve">feb26</t>
        </is>
      </c>
      <c r="O474" s="4">
        <v>40</v>
      </c>
      <c r="P474" s="4">
        <v>0</v>
      </c>
      <c r="Q474" s="4">
        <v>1</v>
      </c>
      <c r="R474" s="4">
        <v>0</v>
      </c>
      <c r="S474" s="4">
        <f>(H474*INDEX('Stages'!$D$2:$D$7,MATCH(F474,'Stages'!$A$2:$A$7,0)))</f>
        <v>0</v>
      </c>
      <c r="T474" s="4">
        <f>(H474*I474)</f>
        <v>26000</v>
      </c>
      <c r="U474" s="4">
        <f>(H474*(I474-1))</f>
        <v>13000</v>
      </c>
      <c r="V474" s="0" t="str">
        <f>INDEX('Account executives'!$B$2:$B$25,MATCH(C474,'Account executives'!$A$2:$A$25,0))</f>
        <v>amer_east</v>
      </c>
      <c r="W474" s="0" t="str">
        <f>INDEX('Account executives'!$C$2:$C$25,MATCH(C474,'Account executives'!$A$2:$A$25,0))</f>
        <v>mid_market</v>
      </c>
      <c r="X474" s="0" t="str">
        <f>SUBSTITUTE(LOWER(INDEX('Periods'!$G$2:$G$22,MATCH(N474,'Periods'!$A$2:$A$22,0)))," ","_")</f>
        <v>q1_2026</v>
      </c>
    </row>
    <row r="475">
      <c r="A475" s="0" t="inlineStr">
        <is>
          <t xml:space="preserve">o0474</t>
        </is>
      </c>
      <c r="B475" s="0" t="inlineStr">
        <is>
          <t xml:space="preserve">a0820</t>
        </is>
      </c>
      <c r="C475" s="0" t="inlineStr">
        <is>
          <t xml:space="preserve">r05</t>
        </is>
      </c>
      <c r="D475" s="0"/>
      <c r="E475" s="0" t="inlineStr">
        <is>
          <t xml:space="preserve">events</t>
        </is>
      </c>
      <c r="F475" s="0" t="inlineStr">
        <is>
          <t xml:space="preserve">closed_won</t>
        </is>
      </c>
      <c r="G475" s="4">
        <v>0</v>
      </c>
      <c r="H475" s="4">
        <v>8600</v>
      </c>
      <c r="I475" s="4">
        <v>1</v>
      </c>
      <c r="J475" s="4">
        <v>0</v>
      </c>
      <c r="K475" s="16">
        <v>46193</v>
      </c>
      <c r="L475" s="16">
        <v>46222</v>
      </c>
      <c r="M475" s="0" t="inlineStr">
        <is>
          <t xml:space="preserve">jun26</t>
        </is>
      </c>
      <c r="N475" s="0" t="inlineStr">
        <is>
          <t xml:space="preserve">jul26</t>
        </is>
      </c>
      <c r="O475" s="4">
        <v>29</v>
      </c>
      <c r="P475" s="4">
        <v>1</v>
      </c>
      <c r="Q475" s="4">
        <v>0</v>
      </c>
      <c r="R475" s="4">
        <v>0</v>
      </c>
      <c r="S475" s="4">
        <f>(H475*INDEX('Stages'!$D$2:$D$7,MATCH(F475,'Stages'!$A$2:$A$7,0)))</f>
        <v>8600</v>
      </c>
      <c r="T475" s="4">
        <f>(H475*I475)</f>
        <v>8600</v>
      </c>
      <c r="U475" s="4">
        <f>(H475*(I475-1))</f>
        <v>0</v>
      </c>
      <c r="V475" s="0" t="str">
        <f>INDEX('Account executives'!$B$2:$B$25,MATCH(C475,'Account executives'!$A$2:$A$25,0))</f>
        <v>amer_east</v>
      </c>
      <c r="W475" s="0" t="str">
        <f>INDEX('Account executives'!$C$2:$C$25,MATCH(C475,'Account executives'!$A$2:$A$25,0))</f>
        <v>smb</v>
      </c>
      <c r="X475" s="0" t="str">
        <f>SUBSTITUTE(LOWER(INDEX('Periods'!$G$2:$G$22,MATCH(N475,'Periods'!$A$2:$A$22,0)))," ","_")</f>
        <v>q3_2026</v>
      </c>
    </row>
    <row r="476">
      <c r="A476" s="0" t="inlineStr">
        <is>
          <t xml:space="preserve">o0475</t>
        </is>
      </c>
      <c r="B476" s="0" t="inlineStr">
        <is>
          <t xml:space="preserve">a0348</t>
        </is>
      </c>
      <c r="C476" s="0" t="inlineStr">
        <is>
          <t xml:space="preserve">r24</t>
        </is>
      </c>
      <c r="D476" s="0"/>
      <c r="E476" s="0" t="inlineStr">
        <is>
          <t xml:space="preserve">referral</t>
        </is>
      </c>
      <c r="F476" s="0" t="inlineStr">
        <is>
          <t xml:space="preserve">closed_lost</t>
        </is>
      </c>
      <c r="G476" s="4">
        <v>0</v>
      </c>
      <c r="H476" s="4">
        <v>4000</v>
      </c>
      <c r="I476" s="4">
        <v>1</v>
      </c>
      <c r="J476" s="4">
        <v>0</v>
      </c>
      <c r="K476" s="16">
        <v>45912</v>
      </c>
      <c r="L476" s="16">
        <v>45941</v>
      </c>
      <c r="M476" s="0" t="inlineStr">
        <is>
          <t xml:space="preserve">sep25</t>
        </is>
      </c>
      <c r="N476" s="0" t="inlineStr">
        <is>
          <t xml:space="preserve">oct25</t>
        </is>
      </c>
      <c r="O476" s="4">
        <v>29</v>
      </c>
      <c r="P476" s="4">
        <v>0</v>
      </c>
      <c r="Q476" s="4">
        <v>1</v>
      </c>
      <c r="R476" s="4">
        <v>0</v>
      </c>
      <c r="S476" s="4">
        <f>(H476*INDEX('Stages'!$D$2:$D$7,MATCH(F476,'Stages'!$A$2:$A$7,0)))</f>
        <v>0</v>
      </c>
      <c r="T476" s="4">
        <f>(H476*I476)</f>
        <v>4000</v>
      </c>
      <c r="U476" s="4">
        <f>(H476*(I476-1))</f>
        <v>0</v>
      </c>
      <c r="V476" s="0" t="str">
        <f>INDEX('Account executives'!$B$2:$B$25,MATCH(C476,'Account executives'!$A$2:$A$25,0))</f>
        <v>apac</v>
      </c>
      <c r="W476" s="0" t="str">
        <f>INDEX('Account executives'!$C$2:$C$25,MATCH(C476,'Account executives'!$A$2:$A$25,0))</f>
        <v>smb</v>
      </c>
      <c r="X476" s="0" t="str">
        <f>SUBSTITUTE(LOWER(INDEX('Periods'!$G$2:$G$22,MATCH(N476,'Periods'!$A$2:$A$22,0)))," ","_")</f>
        <v>q4_2025</v>
      </c>
    </row>
    <row r="477">
      <c r="A477" s="0" t="inlineStr">
        <is>
          <t xml:space="preserve">o0476</t>
        </is>
      </c>
      <c r="B477" s="0" t="inlineStr">
        <is>
          <t xml:space="preserve">a1073</t>
        </is>
      </c>
      <c r="C477" s="0" t="inlineStr">
        <is>
          <t xml:space="preserve">r06</t>
        </is>
      </c>
      <c r="D477" s="0" t="inlineStr">
        <is>
          <t xml:space="preserve">s_amer_east_in</t>
        </is>
      </c>
      <c r="E477" s="0" t="inlineStr">
        <is>
          <t xml:space="preserve">paid</t>
        </is>
      </c>
      <c r="F477" s="0" t="inlineStr">
        <is>
          <t xml:space="preserve">closed_won</t>
        </is>
      </c>
      <c r="G477" s="4">
        <v>1</v>
      </c>
      <c r="H477" s="4">
        <v>12400</v>
      </c>
      <c r="I477" s="4">
        <v>1</v>
      </c>
      <c r="J477" s="4">
        <v>1</v>
      </c>
      <c r="K477" s="16">
        <v>46205</v>
      </c>
      <c r="L477" s="16">
        <v>46213</v>
      </c>
      <c r="M477" s="0" t="inlineStr">
        <is>
          <t xml:space="preserve">jul26</t>
        </is>
      </c>
      <c r="N477" s="0" t="inlineStr">
        <is>
          <t xml:space="preserve">jul26</t>
        </is>
      </c>
      <c r="O477" s="4">
        <v>8</v>
      </c>
      <c r="P477" s="4">
        <v>1</v>
      </c>
      <c r="Q477" s="4">
        <v>0</v>
      </c>
      <c r="R477" s="4">
        <v>0</v>
      </c>
      <c r="S477" s="4">
        <f>(H477*INDEX('Stages'!$D$2:$D$7,MATCH(F477,'Stages'!$A$2:$A$7,0)))</f>
        <v>12400</v>
      </c>
      <c r="T477" s="4">
        <f>(H477*I477)</f>
        <v>12400</v>
      </c>
      <c r="U477" s="4">
        <f>(H477*(I477-1))</f>
        <v>0</v>
      </c>
      <c r="V477" s="0" t="str">
        <f>INDEX('Account executives'!$B$2:$B$25,MATCH(C477,'Account executives'!$A$2:$A$25,0))</f>
        <v>amer_east</v>
      </c>
      <c r="W477" s="0" t="str">
        <f>INDEX('Account executives'!$C$2:$C$25,MATCH(C477,'Account executives'!$A$2:$A$25,0))</f>
        <v>smb</v>
      </c>
      <c r="X477" s="0" t="str">
        <f>SUBSTITUTE(LOWER(INDEX('Periods'!$G$2:$G$22,MATCH(N477,'Periods'!$A$2:$A$22,0)))," ","_")</f>
        <v>q3_2026</v>
      </c>
    </row>
    <row r="478">
      <c r="A478" s="0" t="inlineStr">
        <is>
          <t xml:space="preserve">o0477</t>
        </is>
      </c>
      <c r="B478" s="0" t="inlineStr">
        <is>
          <t xml:space="preserve">a0261</t>
        </is>
      </c>
      <c r="C478" s="0" t="inlineStr">
        <is>
          <t xml:space="preserve">r12</t>
        </is>
      </c>
      <c r="D478" s="0" t="inlineStr">
        <is>
          <t xml:space="preserve">s_amer_west_out</t>
        </is>
      </c>
      <c r="E478" s="0" t="inlineStr">
        <is>
          <t xml:space="preserve">outbound</t>
        </is>
      </c>
      <c r="F478" s="0" t="inlineStr">
        <is>
          <t xml:space="preserve">closed_lost</t>
        </is>
      </c>
      <c r="G478" s="4">
        <v>0</v>
      </c>
      <c r="H478" s="4">
        <v>2600</v>
      </c>
      <c r="I478" s="4">
        <v>1</v>
      </c>
      <c r="J478" s="4">
        <v>0</v>
      </c>
      <c r="K478" s="16">
        <v>46107</v>
      </c>
      <c r="L478" s="16">
        <v>46131</v>
      </c>
      <c r="M478" s="0" t="inlineStr">
        <is>
          <t xml:space="preserve">mar26</t>
        </is>
      </c>
      <c r="N478" s="0" t="inlineStr">
        <is>
          <t xml:space="preserve">apr26</t>
        </is>
      </c>
      <c r="O478" s="4">
        <v>24</v>
      </c>
      <c r="P478" s="4">
        <v>0</v>
      </c>
      <c r="Q478" s="4">
        <v>1</v>
      </c>
      <c r="R478" s="4">
        <v>0</v>
      </c>
      <c r="S478" s="4">
        <f>(H478*INDEX('Stages'!$D$2:$D$7,MATCH(F478,'Stages'!$A$2:$A$7,0)))</f>
        <v>0</v>
      </c>
      <c r="T478" s="4">
        <f>(H478*I478)</f>
        <v>2600</v>
      </c>
      <c r="U478" s="4">
        <f>(H478*(I478-1))</f>
        <v>0</v>
      </c>
      <c r="V478" s="0" t="str">
        <f>INDEX('Account executives'!$B$2:$B$25,MATCH(C478,'Account executives'!$A$2:$A$25,0))</f>
        <v>amer_west</v>
      </c>
      <c r="W478" s="0" t="str">
        <f>INDEX('Account executives'!$C$2:$C$25,MATCH(C478,'Account executives'!$A$2:$A$25,0))</f>
        <v>smb</v>
      </c>
      <c r="X478" s="0" t="str">
        <f>SUBSTITUTE(LOWER(INDEX('Periods'!$G$2:$G$22,MATCH(N478,'Periods'!$A$2:$A$22,0)))," ","_")</f>
        <v>q2_2026</v>
      </c>
    </row>
    <row r="479">
      <c r="A479" s="0" t="inlineStr">
        <is>
          <t xml:space="preserve">o0478</t>
        </is>
      </c>
      <c r="B479" s="0" t="inlineStr">
        <is>
          <t xml:space="preserve">a0677</t>
        </is>
      </c>
      <c r="C479" s="0" t="inlineStr">
        <is>
          <t xml:space="preserve">r08</t>
        </is>
      </c>
      <c r="D479" s="0" t="inlineStr">
        <is>
          <t xml:space="preserve">s_amer_west_in</t>
        </is>
      </c>
      <c r="E479" s="0" t="inlineStr">
        <is>
          <t xml:space="preserve">inbound</t>
        </is>
      </c>
      <c r="F479" s="0" t="inlineStr">
        <is>
          <t xml:space="preserve">closed_lost</t>
        </is>
      </c>
      <c r="G479" s="4">
        <v>1</v>
      </c>
      <c r="H479" s="4">
        <v>213500</v>
      </c>
      <c r="I479" s="4">
        <v>1</v>
      </c>
      <c r="J479" s="4">
        <v>1</v>
      </c>
      <c r="K479" s="16">
        <v>46065</v>
      </c>
      <c r="L479" s="16">
        <v>46196</v>
      </c>
      <c r="M479" s="0" t="inlineStr">
        <is>
          <t xml:space="preserve">feb26</t>
        </is>
      </c>
      <c r="N479" s="0" t="inlineStr">
        <is>
          <t xml:space="preserve">jun26</t>
        </is>
      </c>
      <c r="O479" s="4">
        <v>131</v>
      </c>
      <c r="P479" s="4">
        <v>0</v>
      </c>
      <c r="Q479" s="4">
        <v>1</v>
      </c>
      <c r="R479" s="4">
        <v>0</v>
      </c>
      <c r="S479" s="4">
        <f>(H479*INDEX('Stages'!$D$2:$D$7,MATCH(F479,'Stages'!$A$2:$A$7,0)))</f>
        <v>0</v>
      </c>
      <c r="T479" s="4">
        <f>(H479*I479)</f>
        <v>213500</v>
      </c>
      <c r="U479" s="4">
        <f>(H479*(I479-1))</f>
        <v>0</v>
      </c>
      <c r="V479" s="0" t="str">
        <f>INDEX('Account executives'!$B$2:$B$25,MATCH(C479,'Account executives'!$A$2:$A$25,0))</f>
        <v>amer_west</v>
      </c>
      <c r="W479" s="0" t="str">
        <f>INDEX('Account executives'!$C$2:$C$25,MATCH(C479,'Account executives'!$A$2:$A$25,0))</f>
        <v>enterprise</v>
      </c>
      <c r="X479" s="0" t="str">
        <f>SUBSTITUTE(LOWER(INDEX('Periods'!$G$2:$G$22,MATCH(N479,'Periods'!$A$2:$A$22,0)))," ","_")</f>
        <v>q2_2026</v>
      </c>
    </row>
    <row r="480">
      <c r="A480" s="0" t="inlineStr">
        <is>
          <t xml:space="preserve">o0479</t>
        </is>
      </c>
      <c r="B480" s="0" t="inlineStr">
        <is>
          <t xml:space="preserve">a0011</t>
        </is>
      </c>
      <c r="C480" s="0" t="inlineStr">
        <is>
          <t xml:space="preserve">r04</t>
        </is>
      </c>
      <c r="D480" s="0"/>
      <c r="E480" s="0" t="inlineStr">
        <is>
          <t xml:space="preserve">partner</t>
        </is>
      </c>
      <c r="F480" s="0" t="inlineStr">
        <is>
          <t xml:space="preserve">closed_lost</t>
        </is>
      </c>
      <c r="G480" s="4">
        <v>0</v>
      </c>
      <c r="H480" s="4">
        <v>13600</v>
      </c>
      <c r="I480" s="4">
        <v>2</v>
      </c>
      <c r="J480" s="4">
        <v>0</v>
      </c>
      <c r="K480" s="16">
        <v>46098</v>
      </c>
      <c r="L480" s="16">
        <v>46201</v>
      </c>
      <c r="M480" s="0" t="inlineStr">
        <is>
          <t xml:space="preserve">mar26</t>
        </is>
      </c>
      <c r="N480" s="0" t="inlineStr">
        <is>
          <t xml:space="preserve">jun26</t>
        </is>
      </c>
      <c r="O480" s="4">
        <v>103</v>
      </c>
      <c r="P480" s="4">
        <v>0</v>
      </c>
      <c r="Q480" s="4">
        <v>1</v>
      </c>
      <c r="R480" s="4">
        <v>0</v>
      </c>
      <c r="S480" s="4">
        <f>(H480*INDEX('Stages'!$D$2:$D$7,MATCH(F480,'Stages'!$A$2:$A$7,0)))</f>
        <v>0</v>
      </c>
      <c r="T480" s="4">
        <f>(H480*I480)</f>
        <v>27200</v>
      </c>
      <c r="U480" s="4">
        <f>(H480*(I480-1))</f>
        <v>13600</v>
      </c>
      <c r="V480" s="0" t="str">
        <f>INDEX('Account executives'!$B$2:$B$25,MATCH(C480,'Account executives'!$A$2:$A$25,0))</f>
        <v>amer_east</v>
      </c>
      <c r="W480" s="0" t="str">
        <f>INDEX('Account executives'!$C$2:$C$25,MATCH(C480,'Account executives'!$A$2:$A$25,0))</f>
        <v>mid_market</v>
      </c>
      <c r="X480" s="0" t="str">
        <f>SUBSTITUTE(LOWER(INDEX('Periods'!$G$2:$G$22,MATCH(N480,'Periods'!$A$2:$A$22,0)))," ","_")</f>
        <v>q2_2026</v>
      </c>
    </row>
    <row r="481">
      <c r="A481" s="0" t="inlineStr">
        <is>
          <t xml:space="preserve">o0480</t>
        </is>
      </c>
      <c r="B481" s="0" t="inlineStr">
        <is>
          <t xml:space="preserve">a1089</t>
        </is>
      </c>
      <c r="C481" s="0" t="inlineStr">
        <is>
          <t xml:space="preserve">r09</t>
        </is>
      </c>
      <c r="D481" s="0" t="inlineStr">
        <is>
          <t xml:space="preserve">s_amer_west_in</t>
        </is>
      </c>
      <c r="E481" s="0" t="inlineStr">
        <is>
          <t xml:space="preserve">inbound</t>
        </is>
      </c>
      <c r="F481" s="0" t="inlineStr">
        <is>
          <t xml:space="preserve">proposal</t>
        </is>
      </c>
      <c r="G481" s="4">
        <v>0</v>
      </c>
      <c r="H481" s="4">
        <v>20900</v>
      </c>
      <c r="I481" s="4">
        <v>3</v>
      </c>
      <c r="J481" s="4">
        <v>0</v>
      </c>
      <c r="K481" s="16">
        <v>46211</v>
      </c>
      <c r="L481" s="16">
        <v>46308</v>
      </c>
      <c r="M481" s="0" t="inlineStr">
        <is>
          <t xml:space="preserve">jul26</t>
        </is>
      </c>
      <c r="N481" s="0" t="inlineStr">
        <is>
          <t xml:space="preserve">oct26</t>
        </is>
      </c>
      <c r="O481" s="4">
        <v>82</v>
      </c>
      <c r="P481" s="4">
        <v>0</v>
      </c>
      <c r="Q481" s="4">
        <v>0</v>
      </c>
      <c r="R481" s="4">
        <v>1</v>
      </c>
      <c r="S481" s="4">
        <f>(H481*INDEX('Stages'!$D$2:$D$7,MATCH(F481,'Stages'!$A$2:$A$7,0)))</f>
        <v>10450</v>
      </c>
      <c r="T481" s="4">
        <f>(H481*I481)</f>
        <v>62700</v>
      </c>
      <c r="U481" s="4">
        <f>(H481*(I481-1))</f>
        <v>41800</v>
      </c>
      <c r="V481" s="0" t="str">
        <f>INDEX('Account executives'!$B$2:$B$25,MATCH(C481,'Account executives'!$A$2:$A$25,0))</f>
        <v>amer_west</v>
      </c>
      <c r="W481" s="0" t="str">
        <f>INDEX('Account executives'!$C$2:$C$25,MATCH(C481,'Account executives'!$A$2:$A$25,0))</f>
        <v>mid_market</v>
      </c>
      <c r="X481" s="0" t="str">
        <f>SUBSTITUTE(LOWER(INDEX('Periods'!$G$2:$G$22,MATCH(N481,'Periods'!$A$2:$A$22,0)))," ","_")</f>
        <v>q4_2026</v>
      </c>
    </row>
    <row r="482">
      <c r="A482" s="0" t="inlineStr">
        <is>
          <t xml:space="preserve">o0481</t>
        </is>
      </c>
      <c r="B482" s="0" t="inlineStr">
        <is>
          <t xml:space="preserve">a0248</t>
        </is>
      </c>
      <c r="C482" s="0" t="inlineStr">
        <is>
          <t xml:space="preserve">r03</t>
        </is>
      </c>
      <c r="D482" s="0" t="inlineStr">
        <is>
          <t xml:space="preserve">s_amer_east_out</t>
        </is>
      </c>
      <c r="E482" s="0" t="inlineStr">
        <is>
          <t xml:space="preserve">outbound</t>
        </is>
      </c>
      <c r="F482" s="0" t="inlineStr">
        <is>
          <t xml:space="preserve">closed_won</t>
        </is>
      </c>
      <c r="G482" s="4">
        <v>1</v>
      </c>
      <c r="H482" s="4">
        <v>87800</v>
      </c>
      <c r="I482" s="4">
        <v>1</v>
      </c>
      <c r="J482" s="4">
        <v>0</v>
      </c>
      <c r="K482" s="16">
        <v>45842</v>
      </c>
      <c r="L482" s="16">
        <v>45924</v>
      </c>
      <c r="M482" s="0" t="inlineStr">
        <is>
          <t xml:space="preserve">jul25</t>
        </is>
      </c>
      <c r="N482" s="0" t="inlineStr">
        <is>
          <t xml:space="preserve">sep25</t>
        </is>
      </c>
      <c r="O482" s="4">
        <v>82</v>
      </c>
      <c r="P482" s="4">
        <v>1</v>
      </c>
      <c r="Q482" s="4">
        <v>0</v>
      </c>
      <c r="R482" s="4">
        <v>0</v>
      </c>
      <c r="S482" s="4">
        <f>(H482*INDEX('Stages'!$D$2:$D$7,MATCH(F482,'Stages'!$A$2:$A$7,0)))</f>
        <v>87800</v>
      </c>
      <c r="T482" s="4">
        <f>(H482*I482)</f>
        <v>87800</v>
      </c>
      <c r="U482" s="4">
        <f>(H482*(I482-1))</f>
        <v>0</v>
      </c>
      <c r="V482" s="0" t="str">
        <f>INDEX('Account executives'!$B$2:$B$25,MATCH(C482,'Account executives'!$A$2:$A$25,0))</f>
        <v>amer_east</v>
      </c>
      <c r="W482" s="0" t="str">
        <f>INDEX('Account executives'!$C$2:$C$25,MATCH(C482,'Account executives'!$A$2:$A$25,0))</f>
        <v>mid_market</v>
      </c>
      <c r="X482" s="0" t="str">
        <f>SUBSTITUTE(LOWER(INDEX('Periods'!$G$2:$G$22,MATCH(N482,'Periods'!$A$2:$A$22,0)))," ","_")</f>
        <v>q3_2025</v>
      </c>
    </row>
    <row r="483">
      <c r="A483" s="0" t="inlineStr">
        <is>
          <t xml:space="preserve">o0482</t>
        </is>
      </c>
      <c r="B483" s="0" t="inlineStr">
        <is>
          <t xml:space="preserve">a0707</t>
        </is>
      </c>
      <c r="C483" s="0" t="inlineStr">
        <is>
          <t xml:space="preserve">r17</t>
        </is>
      </c>
      <c r="D483" s="0" t="inlineStr">
        <is>
          <t xml:space="preserve">s_emea_out</t>
        </is>
      </c>
      <c r="E483" s="0" t="inlineStr">
        <is>
          <t xml:space="preserve">outbound</t>
        </is>
      </c>
      <c r="F483" s="0" t="inlineStr">
        <is>
          <t xml:space="preserve">closed_lost</t>
        </is>
      </c>
      <c r="G483" s="4">
        <v>1</v>
      </c>
      <c r="H483" s="4">
        <v>5400</v>
      </c>
      <c r="I483" s="4">
        <v>1</v>
      </c>
      <c r="J483" s="4">
        <v>0</v>
      </c>
      <c r="K483" s="16">
        <v>46056</v>
      </c>
      <c r="L483" s="16">
        <v>46080</v>
      </c>
      <c r="M483" s="0" t="inlineStr">
        <is>
          <t xml:space="preserve">feb26</t>
        </is>
      </c>
      <c r="N483" s="0" t="inlineStr">
        <is>
          <t xml:space="preserve">feb26</t>
        </is>
      </c>
      <c r="O483" s="4">
        <v>24</v>
      </c>
      <c r="P483" s="4">
        <v>0</v>
      </c>
      <c r="Q483" s="4">
        <v>1</v>
      </c>
      <c r="R483" s="4">
        <v>0</v>
      </c>
      <c r="S483" s="4">
        <f>(H483*INDEX('Stages'!$D$2:$D$7,MATCH(F483,'Stages'!$A$2:$A$7,0)))</f>
        <v>0</v>
      </c>
      <c r="T483" s="4">
        <f>(H483*I483)</f>
        <v>5400</v>
      </c>
      <c r="U483" s="4">
        <f>(H483*(I483-1))</f>
        <v>0</v>
      </c>
      <c r="V483" s="0" t="str">
        <f>INDEX('Account executives'!$B$2:$B$25,MATCH(C483,'Account executives'!$A$2:$A$25,0))</f>
        <v>emea</v>
      </c>
      <c r="W483" s="0" t="str">
        <f>INDEX('Account executives'!$C$2:$C$25,MATCH(C483,'Account executives'!$A$2:$A$25,0))</f>
        <v>smb</v>
      </c>
      <c r="X483" s="0" t="str">
        <f>SUBSTITUTE(LOWER(INDEX('Periods'!$G$2:$G$22,MATCH(N483,'Periods'!$A$2:$A$22,0)))," ","_")</f>
        <v>q1_2026</v>
      </c>
    </row>
    <row r="484">
      <c r="A484" s="0" t="inlineStr">
        <is>
          <t xml:space="preserve">o0483</t>
        </is>
      </c>
      <c r="B484" s="0" t="inlineStr">
        <is>
          <t xml:space="preserve">a0221</t>
        </is>
      </c>
      <c r="C484" s="0" t="inlineStr">
        <is>
          <t xml:space="preserve">r18</t>
        </is>
      </c>
      <c r="D484" s="0" t="inlineStr">
        <is>
          <t xml:space="preserve">s_emea_out</t>
        </is>
      </c>
      <c r="E484" s="0" t="inlineStr">
        <is>
          <t xml:space="preserve">outbound</t>
        </is>
      </c>
      <c r="F484" s="0" t="inlineStr">
        <is>
          <t xml:space="preserve">closed_lost</t>
        </is>
      </c>
      <c r="G484" s="4">
        <v>1</v>
      </c>
      <c r="H484" s="4">
        <v>6900</v>
      </c>
      <c r="I484" s="4">
        <v>1</v>
      </c>
      <c r="J484" s="4">
        <v>1</v>
      </c>
      <c r="K484" s="16">
        <v>45826</v>
      </c>
      <c r="L484" s="16">
        <v>45838</v>
      </c>
      <c r="M484" s="0" t="inlineStr">
        <is>
          <t xml:space="preserve">jun25</t>
        </is>
      </c>
      <c r="N484" s="0" t="inlineStr">
        <is>
          <t xml:space="preserve">jun25</t>
        </is>
      </c>
      <c r="O484" s="4">
        <v>12</v>
      </c>
      <c r="P484" s="4">
        <v>0</v>
      </c>
      <c r="Q484" s="4">
        <v>1</v>
      </c>
      <c r="R484" s="4">
        <v>0</v>
      </c>
      <c r="S484" s="4">
        <f>(H484*INDEX('Stages'!$D$2:$D$7,MATCH(F484,'Stages'!$A$2:$A$7,0)))</f>
        <v>0</v>
      </c>
      <c r="T484" s="4">
        <f>(H484*I484)</f>
        <v>6900</v>
      </c>
      <c r="U484" s="4">
        <f>(H484*(I484-1))</f>
        <v>0</v>
      </c>
      <c r="V484" s="0" t="str">
        <f>INDEX('Account executives'!$B$2:$B$25,MATCH(C484,'Account executives'!$A$2:$A$25,0))</f>
        <v>emea</v>
      </c>
      <c r="W484" s="0" t="str">
        <f>INDEX('Account executives'!$C$2:$C$25,MATCH(C484,'Account executives'!$A$2:$A$25,0))</f>
        <v>smb</v>
      </c>
      <c r="X484" s="0" t="str">
        <f>SUBSTITUTE(LOWER(INDEX('Periods'!$G$2:$G$22,MATCH(N484,'Periods'!$A$2:$A$22,0)))," ","_")</f>
        <v>q2_2025</v>
      </c>
    </row>
    <row r="485">
      <c r="A485" s="0" t="inlineStr">
        <is>
          <t xml:space="preserve">o0484</t>
        </is>
      </c>
      <c r="B485" s="0" t="inlineStr">
        <is>
          <t xml:space="preserve">a0708</t>
        </is>
      </c>
      <c r="C485" s="0" t="inlineStr">
        <is>
          <t xml:space="preserve">r16</t>
        </is>
      </c>
      <c r="D485" s="0" t="inlineStr">
        <is>
          <t xml:space="preserve">s_emea_out</t>
        </is>
      </c>
      <c r="E485" s="0" t="inlineStr">
        <is>
          <t xml:space="preserve">outbound</t>
        </is>
      </c>
      <c r="F485" s="0" t="inlineStr">
        <is>
          <t xml:space="preserve">closed_lost</t>
        </is>
      </c>
      <c r="G485" s="4">
        <v>1</v>
      </c>
      <c r="H485" s="4">
        <v>53600</v>
      </c>
      <c r="I485" s="4">
        <v>1</v>
      </c>
      <c r="J485" s="4">
        <v>1</v>
      </c>
      <c r="K485" s="16">
        <v>46059</v>
      </c>
      <c r="L485" s="16">
        <v>46126</v>
      </c>
      <c r="M485" s="0" t="inlineStr">
        <is>
          <t xml:space="preserve">feb26</t>
        </is>
      </c>
      <c r="N485" s="0" t="inlineStr">
        <is>
          <t xml:space="preserve">apr26</t>
        </is>
      </c>
      <c r="O485" s="4">
        <v>67</v>
      </c>
      <c r="P485" s="4">
        <v>0</v>
      </c>
      <c r="Q485" s="4">
        <v>1</v>
      </c>
      <c r="R485" s="4">
        <v>0</v>
      </c>
      <c r="S485" s="4">
        <f>(H485*INDEX('Stages'!$D$2:$D$7,MATCH(F485,'Stages'!$A$2:$A$7,0)))</f>
        <v>0</v>
      </c>
      <c r="T485" s="4">
        <f>(H485*I485)</f>
        <v>53600</v>
      </c>
      <c r="U485" s="4">
        <f>(H485*(I485-1))</f>
        <v>0</v>
      </c>
      <c r="V485" s="0" t="str">
        <f>INDEX('Account executives'!$B$2:$B$25,MATCH(C485,'Account executives'!$A$2:$A$25,0))</f>
        <v>emea</v>
      </c>
      <c r="W485" s="0" t="str">
        <f>INDEX('Account executives'!$C$2:$C$25,MATCH(C485,'Account executives'!$A$2:$A$25,0))</f>
        <v>mid_market</v>
      </c>
      <c r="X485" s="0" t="str">
        <f>SUBSTITUTE(LOWER(INDEX('Periods'!$G$2:$G$22,MATCH(N485,'Periods'!$A$2:$A$22,0)))," ","_")</f>
        <v>q2_2026</v>
      </c>
    </row>
    <row r="486">
      <c r="A486" s="0" t="inlineStr">
        <is>
          <t xml:space="preserve">o0485</t>
        </is>
      </c>
      <c r="B486" s="0" t="inlineStr">
        <is>
          <t xml:space="preserve">a0255</t>
        </is>
      </c>
      <c r="C486" s="0" t="inlineStr">
        <is>
          <t xml:space="preserve">r12</t>
        </is>
      </c>
      <c r="D486" s="0" t="inlineStr">
        <is>
          <t xml:space="preserve">s_amer_west_in</t>
        </is>
      </c>
      <c r="E486" s="0" t="inlineStr">
        <is>
          <t xml:space="preserve">inbound</t>
        </is>
      </c>
      <c r="F486" s="0" t="inlineStr">
        <is>
          <t xml:space="preserve">negotiation</t>
        </is>
      </c>
      <c r="G486" s="4">
        <v>0</v>
      </c>
      <c r="H486" s="4">
        <v>2700</v>
      </c>
      <c r="I486" s="4">
        <v>1</v>
      </c>
      <c r="J486" s="4">
        <v>0</v>
      </c>
      <c r="K486" s="16">
        <v>46178</v>
      </c>
      <c r="L486" s="16">
        <v>46293</v>
      </c>
      <c r="M486" s="0" t="inlineStr">
        <is>
          <t xml:space="preserve">jun26</t>
        </is>
      </c>
      <c r="N486" s="0" t="inlineStr">
        <is>
          <t xml:space="preserve">sep26</t>
        </is>
      </c>
      <c r="O486" s="4">
        <v>115</v>
      </c>
      <c r="P486" s="4">
        <v>0</v>
      </c>
      <c r="Q486" s="4">
        <v>0</v>
      </c>
      <c r="R486" s="4">
        <v>1</v>
      </c>
      <c r="S486" s="4">
        <f>(H486*INDEX('Stages'!$D$2:$D$7,MATCH(F486,'Stages'!$A$2:$A$7,0)))</f>
        <v>2025</v>
      </c>
      <c r="T486" s="4">
        <f>(H486*I486)</f>
        <v>2700</v>
      </c>
      <c r="U486" s="4">
        <f>(H486*(I486-1))</f>
        <v>0</v>
      </c>
      <c r="V486" s="0" t="str">
        <f>INDEX('Account executives'!$B$2:$B$25,MATCH(C486,'Account executives'!$A$2:$A$25,0))</f>
        <v>amer_west</v>
      </c>
      <c r="W486" s="0" t="str">
        <f>INDEX('Account executives'!$C$2:$C$25,MATCH(C486,'Account executives'!$A$2:$A$25,0))</f>
        <v>smb</v>
      </c>
      <c r="X486" s="0" t="str">
        <f>SUBSTITUTE(LOWER(INDEX('Periods'!$G$2:$G$22,MATCH(N486,'Periods'!$A$2:$A$22,0)))," ","_")</f>
        <v>q3_2026</v>
      </c>
    </row>
    <row r="487">
      <c r="A487" s="0" t="inlineStr">
        <is>
          <t xml:space="preserve">o0486</t>
        </is>
      </c>
      <c r="B487" s="0" t="inlineStr">
        <is>
          <t xml:space="preserve">a0630</t>
        </is>
      </c>
      <c r="C487" s="0" t="inlineStr">
        <is>
          <t xml:space="preserve">r09</t>
        </is>
      </c>
      <c r="D487" s="0"/>
      <c r="E487" s="0" t="inlineStr">
        <is>
          <t xml:space="preserve">partner</t>
        </is>
      </c>
      <c r="F487" s="0" t="inlineStr">
        <is>
          <t xml:space="preserve">closed_lost</t>
        </is>
      </c>
      <c r="G487" s="4">
        <v>1</v>
      </c>
      <c r="H487" s="4">
        <v>54800</v>
      </c>
      <c r="I487" s="4">
        <v>2</v>
      </c>
      <c r="J487" s="4">
        <v>1</v>
      </c>
      <c r="K487" s="16">
        <v>46023</v>
      </c>
      <c r="L487" s="16">
        <v>46109</v>
      </c>
      <c r="M487" s="0" t="inlineStr">
        <is>
          <t xml:space="preserve">jan26</t>
        </is>
      </c>
      <c r="N487" s="0" t="inlineStr">
        <is>
          <t xml:space="preserve">mar26</t>
        </is>
      </c>
      <c r="O487" s="4">
        <v>86</v>
      </c>
      <c r="P487" s="4">
        <v>0</v>
      </c>
      <c r="Q487" s="4">
        <v>1</v>
      </c>
      <c r="R487" s="4">
        <v>0</v>
      </c>
      <c r="S487" s="4">
        <f>(H487*INDEX('Stages'!$D$2:$D$7,MATCH(F487,'Stages'!$A$2:$A$7,0)))</f>
        <v>0</v>
      </c>
      <c r="T487" s="4">
        <f>(H487*I487)</f>
        <v>109600</v>
      </c>
      <c r="U487" s="4">
        <f>(H487*(I487-1))</f>
        <v>54800</v>
      </c>
      <c r="V487" s="0" t="str">
        <f>INDEX('Account executives'!$B$2:$B$25,MATCH(C487,'Account executives'!$A$2:$A$25,0))</f>
        <v>amer_west</v>
      </c>
      <c r="W487" s="0" t="str">
        <f>INDEX('Account executives'!$C$2:$C$25,MATCH(C487,'Account executives'!$A$2:$A$25,0))</f>
        <v>mid_market</v>
      </c>
      <c r="X487" s="0" t="str">
        <f>SUBSTITUTE(LOWER(INDEX('Periods'!$G$2:$G$22,MATCH(N487,'Periods'!$A$2:$A$22,0)))," ","_")</f>
        <v>q1_2026</v>
      </c>
    </row>
    <row r="488">
      <c r="A488" s="0" t="inlineStr">
        <is>
          <t xml:space="preserve">o0487</t>
        </is>
      </c>
      <c r="B488" s="0" t="inlineStr">
        <is>
          <t xml:space="preserve">a0771</t>
        </is>
      </c>
      <c r="C488" s="0" t="inlineStr">
        <is>
          <t xml:space="preserve">r09</t>
        </is>
      </c>
      <c r="D488" s="0"/>
      <c r="E488" s="0" t="inlineStr">
        <is>
          <t xml:space="preserve">referral</t>
        </is>
      </c>
      <c r="F488" s="0" t="inlineStr">
        <is>
          <t xml:space="preserve">closed_won</t>
        </is>
      </c>
      <c r="G488" s="4">
        <v>1</v>
      </c>
      <c r="H488" s="4">
        <v>94200</v>
      </c>
      <c r="I488" s="4">
        <v>2</v>
      </c>
      <c r="J488" s="4">
        <v>0</v>
      </c>
      <c r="K488" s="16">
        <v>46093</v>
      </c>
      <c r="L488" s="16">
        <v>46144</v>
      </c>
      <c r="M488" s="0" t="inlineStr">
        <is>
          <t xml:space="preserve">mar26</t>
        </is>
      </c>
      <c r="N488" s="0" t="inlineStr">
        <is>
          <t xml:space="preserve">may26</t>
        </is>
      </c>
      <c r="O488" s="4">
        <v>51</v>
      </c>
      <c r="P488" s="4">
        <v>1</v>
      </c>
      <c r="Q488" s="4">
        <v>0</v>
      </c>
      <c r="R488" s="4">
        <v>0</v>
      </c>
      <c r="S488" s="4">
        <f>(H488*INDEX('Stages'!$D$2:$D$7,MATCH(F488,'Stages'!$A$2:$A$7,0)))</f>
        <v>94200</v>
      </c>
      <c r="T488" s="4">
        <f>(H488*I488)</f>
        <v>188400</v>
      </c>
      <c r="U488" s="4">
        <f>(H488*(I488-1))</f>
        <v>94200</v>
      </c>
      <c r="V488" s="0" t="str">
        <f>INDEX('Account executives'!$B$2:$B$25,MATCH(C488,'Account executives'!$A$2:$A$25,0))</f>
        <v>amer_west</v>
      </c>
      <c r="W488" s="0" t="str">
        <f>INDEX('Account executives'!$C$2:$C$25,MATCH(C488,'Account executives'!$A$2:$A$25,0))</f>
        <v>mid_market</v>
      </c>
      <c r="X488" s="0" t="str">
        <f>SUBSTITUTE(LOWER(INDEX('Periods'!$G$2:$G$22,MATCH(N488,'Periods'!$A$2:$A$22,0)))," ","_")</f>
        <v>q2_2026</v>
      </c>
    </row>
    <row r="489">
      <c r="A489" s="0" t="inlineStr">
        <is>
          <t xml:space="preserve">o0488</t>
        </is>
      </c>
      <c r="B489" s="0" t="inlineStr">
        <is>
          <t xml:space="preserve">a0596</t>
        </is>
      </c>
      <c r="C489" s="0" t="inlineStr">
        <is>
          <t xml:space="preserve">r17</t>
        </is>
      </c>
      <c r="D489" s="0" t="inlineStr">
        <is>
          <t xml:space="preserve">s_emea_in</t>
        </is>
      </c>
      <c r="E489" s="0" t="inlineStr">
        <is>
          <t xml:space="preserve">inbound</t>
        </is>
      </c>
      <c r="F489" s="0" t="inlineStr">
        <is>
          <t xml:space="preserve">closed_won</t>
        </is>
      </c>
      <c r="G489" s="4">
        <v>0</v>
      </c>
      <c r="H489" s="4">
        <v>8700</v>
      </c>
      <c r="I489" s="4">
        <v>1</v>
      </c>
      <c r="J489" s="4">
        <v>0</v>
      </c>
      <c r="K489" s="16">
        <v>46162</v>
      </c>
      <c r="L489" s="16">
        <v>46200</v>
      </c>
      <c r="M489" s="0" t="inlineStr">
        <is>
          <t xml:space="preserve">may26</t>
        </is>
      </c>
      <c r="N489" s="0" t="inlineStr">
        <is>
          <t xml:space="preserve">jun26</t>
        </is>
      </c>
      <c r="O489" s="4">
        <v>38</v>
      </c>
      <c r="P489" s="4">
        <v>1</v>
      </c>
      <c r="Q489" s="4">
        <v>0</v>
      </c>
      <c r="R489" s="4">
        <v>0</v>
      </c>
      <c r="S489" s="4">
        <f>(H489*INDEX('Stages'!$D$2:$D$7,MATCH(F489,'Stages'!$A$2:$A$7,0)))</f>
        <v>8700</v>
      </c>
      <c r="T489" s="4">
        <f>(H489*I489)</f>
        <v>8700</v>
      </c>
      <c r="U489" s="4">
        <f>(H489*(I489-1))</f>
        <v>0</v>
      </c>
      <c r="V489" s="0" t="str">
        <f>INDEX('Account executives'!$B$2:$B$25,MATCH(C489,'Account executives'!$A$2:$A$25,0))</f>
        <v>emea</v>
      </c>
      <c r="W489" s="0" t="str">
        <f>INDEX('Account executives'!$C$2:$C$25,MATCH(C489,'Account executives'!$A$2:$A$25,0))</f>
        <v>smb</v>
      </c>
      <c r="X489" s="0" t="str">
        <f>SUBSTITUTE(LOWER(INDEX('Periods'!$G$2:$G$22,MATCH(N489,'Periods'!$A$2:$A$22,0)))," ","_")</f>
        <v>q2_2026</v>
      </c>
    </row>
    <row r="490">
      <c r="A490" s="0" t="inlineStr">
        <is>
          <t xml:space="preserve">o0489</t>
        </is>
      </c>
      <c r="B490" s="0" t="inlineStr">
        <is>
          <t xml:space="preserve">a0321</t>
        </is>
      </c>
      <c r="C490" s="0" t="inlineStr">
        <is>
          <t xml:space="preserve">r06</t>
        </is>
      </c>
      <c r="D490" s="0" t="inlineStr">
        <is>
          <t xml:space="preserve">s_amer_east_out</t>
        </is>
      </c>
      <c r="E490" s="0" t="inlineStr">
        <is>
          <t xml:space="preserve">outbound</t>
        </is>
      </c>
      <c r="F490" s="0" t="inlineStr">
        <is>
          <t xml:space="preserve">closed_lost</t>
        </is>
      </c>
      <c r="G490" s="4">
        <v>1</v>
      </c>
      <c r="H490" s="4">
        <v>20200</v>
      </c>
      <c r="I490" s="4">
        <v>1</v>
      </c>
      <c r="J490" s="4">
        <v>0</v>
      </c>
      <c r="K490" s="16">
        <v>45878</v>
      </c>
      <c r="L490" s="16">
        <v>45905</v>
      </c>
      <c r="M490" s="0" t="inlineStr">
        <is>
          <t xml:space="preserve">aug25</t>
        </is>
      </c>
      <c r="N490" s="0" t="inlineStr">
        <is>
          <t xml:space="preserve">sep25</t>
        </is>
      </c>
      <c r="O490" s="4">
        <v>27</v>
      </c>
      <c r="P490" s="4">
        <v>0</v>
      </c>
      <c r="Q490" s="4">
        <v>1</v>
      </c>
      <c r="R490" s="4">
        <v>0</v>
      </c>
      <c r="S490" s="4">
        <f>(H490*INDEX('Stages'!$D$2:$D$7,MATCH(F490,'Stages'!$A$2:$A$7,0)))</f>
        <v>0</v>
      </c>
      <c r="T490" s="4">
        <f>(H490*I490)</f>
        <v>20200</v>
      </c>
      <c r="U490" s="4">
        <f>(H490*(I490-1))</f>
        <v>0</v>
      </c>
      <c r="V490" s="0" t="str">
        <f>INDEX('Account executives'!$B$2:$B$25,MATCH(C490,'Account executives'!$A$2:$A$25,0))</f>
        <v>amer_east</v>
      </c>
      <c r="W490" s="0" t="str">
        <f>INDEX('Account executives'!$C$2:$C$25,MATCH(C490,'Account executives'!$A$2:$A$25,0))</f>
        <v>smb</v>
      </c>
      <c r="X490" s="0" t="str">
        <f>SUBSTITUTE(LOWER(INDEX('Periods'!$G$2:$G$22,MATCH(N490,'Periods'!$A$2:$A$22,0)))," ","_")</f>
        <v>q3_2025</v>
      </c>
    </row>
    <row r="491">
      <c r="A491" s="0" t="inlineStr">
        <is>
          <t xml:space="preserve">o0490</t>
        </is>
      </c>
      <c r="B491" s="0" t="inlineStr">
        <is>
          <t xml:space="preserve">a0804</t>
        </is>
      </c>
      <c r="C491" s="0" t="inlineStr">
        <is>
          <t xml:space="preserve">r24</t>
        </is>
      </c>
      <c r="D491" s="0" t="inlineStr">
        <is>
          <t xml:space="preserve">s_apac_out</t>
        </is>
      </c>
      <c r="E491" s="0" t="inlineStr">
        <is>
          <t xml:space="preserve">outbound</t>
        </is>
      </c>
      <c r="F491" s="0" t="inlineStr">
        <is>
          <t xml:space="preserve">closed_lost</t>
        </is>
      </c>
      <c r="G491" s="4">
        <v>1</v>
      </c>
      <c r="H491" s="4">
        <v>5500</v>
      </c>
      <c r="I491" s="4">
        <v>2</v>
      </c>
      <c r="J491" s="4">
        <v>0</v>
      </c>
      <c r="K491" s="16">
        <v>46085</v>
      </c>
      <c r="L491" s="16">
        <v>46092</v>
      </c>
      <c r="M491" s="0" t="inlineStr">
        <is>
          <t xml:space="preserve">mar26</t>
        </is>
      </c>
      <c r="N491" s="0" t="inlineStr">
        <is>
          <t xml:space="preserve">mar26</t>
        </is>
      </c>
      <c r="O491" s="4">
        <v>7</v>
      </c>
      <c r="P491" s="4">
        <v>0</v>
      </c>
      <c r="Q491" s="4">
        <v>1</v>
      </c>
      <c r="R491" s="4">
        <v>0</v>
      </c>
      <c r="S491" s="4">
        <f>(H491*INDEX('Stages'!$D$2:$D$7,MATCH(F491,'Stages'!$A$2:$A$7,0)))</f>
        <v>0</v>
      </c>
      <c r="T491" s="4">
        <f>(H491*I491)</f>
        <v>11000</v>
      </c>
      <c r="U491" s="4">
        <f>(H491*(I491-1))</f>
        <v>5500</v>
      </c>
      <c r="V491" s="0" t="str">
        <f>INDEX('Account executives'!$B$2:$B$25,MATCH(C491,'Account executives'!$A$2:$A$25,0))</f>
        <v>apac</v>
      </c>
      <c r="W491" s="0" t="str">
        <f>INDEX('Account executives'!$C$2:$C$25,MATCH(C491,'Account executives'!$A$2:$A$25,0))</f>
        <v>smb</v>
      </c>
      <c r="X491" s="0" t="str">
        <f>SUBSTITUTE(LOWER(INDEX('Periods'!$G$2:$G$22,MATCH(N491,'Periods'!$A$2:$A$22,0)))," ","_")</f>
        <v>q1_2026</v>
      </c>
    </row>
    <row r="492">
      <c r="A492" s="0" t="inlineStr">
        <is>
          <t xml:space="preserve">o0491</t>
        </is>
      </c>
      <c r="B492" s="0" t="inlineStr">
        <is>
          <t xml:space="preserve">a1220</t>
        </is>
      </c>
      <c r="C492" s="0" t="inlineStr">
        <is>
          <t xml:space="preserve">r02</t>
        </is>
      </c>
      <c r="D492" s="0" t="inlineStr">
        <is>
          <t xml:space="preserve">s_amer_east_in</t>
        </is>
      </c>
      <c r="E492" s="0" t="inlineStr">
        <is>
          <t xml:space="preserve">paid</t>
        </is>
      </c>
      <c r="F492" s="0" t="inlineStr">
        <is>
          <t xml:space="preserve">discovery</t>
        </is>
      </c>
      <c r="G492" s="4">
        <v>1</v>
      </c>
      <c r="H492" s="4">
        <v>200900</v>
      </c>
      <c r="I492" s="4">
        <v>3</v>
      </c>
      <c r="J492" s="4">
        <v>1</v>
      </c>
      <c r="K492" s="16">
        <v>46278</v>
      </c>
      <c r="L492" s="16">
        <v>46371</v>
      </c>
      <c r="M492" s="0" t="inlineStr">
        <is>
          <t xml:space="preserve">sep26</t>
        </is>
      </c>
      <c r="N492" s="0" t="inlineStr">
        <is>
          <t xml:space="preserve">dec26</t>
        </is>
      </c>
      <c r="O492" s="4">
        <v>93</v>
      </c>
      <c r="P492" s="4">
        <v>0</v>
      </c>
      <c r="Q492" s="4">
        <v>0</v>
      </c>
      <c r="R492" s="4">
        <v>1</v>
      </c>
      <c r="S492" s="4">
        <f>(H492*INDEX('Stages'!$D$2:$D$7,MATCH(F492,'Stages'!$A$2:$A$7,0)))</f>
        <v>20090</v>
      </c>
      <c r="T492" s="4">
        <f>(H492*I492)</f>
        <v>602700</v>
      </c>
      <c r="U492" s="4">
        <f>(H492*(I492-1))</f>
        <v>401800</v>
      </c>
      <c r="V492" s="0" t="str">
        <f>INDEX('Account executives'!$B$2:$B$25,MATCH(C492,'Account executives'!$A$2:$A$25,0))</f>
        <v>amer_east</v>
      </c>
      <c r="W492" s="0" t="str">
        <f>INDEX('Account executives'!$C$2:$C$25,MATCH(C492,'Account executives'!$A$2:$A$25,0))</f>
        <v>enterprise</v>
      </c>
      <c r="X492" s="0" t="str">
        <f>SUBSTITUTE(LOWER(INDEX('Periods'!$G$2:$G$22,MATCH(N492,'Periods'!$A$2:$A$22,0)))," ","_")</f>
        <v>q4_2026</v>
      </c>
    </row>
    <row r="493">
      <c r="A493" s="0" t="inlineStr">
        <is>
          <t xml:space="preserve">o0492</t>
        </is>
      </c>
      <c r="B493" s="0" t="inlineStr">
        <is>
          <t xml:space="preserve">a0523</t>
        </is>
      </c>
      <c r="C493" s="0" t="inlineStr">
        <is>
          <t xml:space="preserve">r17</t>
        </is>
      </c>
      <c r="D493" s="0"/>
      <c r="E493" s="0" t="inlineStr">
        <is>
          <t xml:space="preserve">events</t>
        </is>
      </c>
      <c r="F493" s="0" t="inlineStr">
        <is>
          <t xml:space="preserve">closed_lost</t>
        </is>
      </c>
      <c r="G493" s="4">
        <v>1</v>
      </c>
      <c r="H493" s="4">
        <v>21300</v>
      </c>
      <c r="I493" s="4">
        <v>1</v>
      </c>
      <c r="J493" s="4">
        <v>0</v>
      </c>
      <c r="K493" s="16">
        <v>45962</v>
      </c>
      <c r="L493" s="16">
        <v>45995</v>
      </c>
      <c r="M493" s="0" t="inlineStr">
        <is>
          <t xml:space="preserve">nov25</t>
        </is>
      </c>
      <c r="N493" s="0" t="inlineStr">
        <is>
          <t xml:space="preserve">dec25</t>
        </is>
      </c>
      <c r="O493" s="4">
        <v>33</v>
      </c>
      <c r="P493" s="4">
        <v>0</v>
      </c>
      <c r="Q493" s="4">
        <v>1</v>
      </c>
      <c r="R493" s="4">
        <v>0</v>
      </c>
      <c r="S493" s="4">
        <f>(H493*INDEX('Stages'!$D$2:$D$7,MATCH(F493,'Stages'!$A$2:$A$7,0)))</f>
        <v>0</v>
      </c>
      <c r="T493" s="4">
        <f>(H493*I493)</f>
        <v>21300</v>
      </c>
      <c r="U493" s="4">
        <f>(H493*(I493-1))</f>
        <v>0</v>
      </c>
      <c r="V493" s="0" t="str">
        <f>INDEX('Account executives'!$B$2:$B$25,MATCH(C493,'Account executives'!$A$2:$A$25,0))</f>
        <v>emea</v>
      </c>
      <c r="W493" s="0" t="str">
        <f>INDEX('Account executives'!$C$2:$C$25,MATCH(C493,'Account executives'!$A$2:$A$25,0))</f>
        <v>smb</v>
      </c>
      <c r="X493" s="0" t="str">
        <f>SUBSTITUTE(LOWER(INDEX('Periods'!$G$2:$G$22,MATCH(N493,'Periods'!$A$2:$A$22,0)))," ","_")</f>
        <v>q4_2025</v>
      </c>
    </row>
    <row r="494">
      <c r="A494" s="0" t="inlineStr">
        <is>
          <t xml:space="preserve">o0493</t>
        </is>
      </c>
      <c r="B494" s="0" t="inlineStr">
        <is>
          <t xml:space="preserve">a0312</t>
        </is>
      </c>
      <c r="C494" s="0" t="inlineStr">
        <is>
          <t xml:space="preserve">r01</t>
        </is>
      </c>
      <c r="D494" s="0" t="inlineStr">
        <is>
          <t xml:space="preserve">s_amer_east_in</t>
        </is>
      </c>
      <c r="E494" s="0" t="inlineStr">
        <is>
          <t xml:space="preserve">inbound</t>
        </is>
      </c>
      <c r="F494" s="0" t="inlineStr">
        <is>
          <t xml:space="preserve">closed_lost</t>
        </is>
      </c>
      <c r="G494" s="4">
        <v>1</v>
      </c>
      <c r="H494" s="4">
        <v>222800</v>
      </c>
      <c r="I494" s="4">
        <v>3</v>
      </c>
      <c r="J494" s="4">
        <v>0</v>
      </c>
      <c r="K494" s="16">
        <v>45883</v>
      </c>
      <c r="L494" s="16">
        <v>45992</v>
      </c>
      <c r="M494" s="0" t="inlineStr">
        <is>
          <t xml:space="preserve">aug25</t>
        </is>
      </c>
      <c r="N494" s="0" t="inlineStr">
        <is>
          <t xml:space="preserve">dec25</t>
        </is>
      </c>
      <c r="O494" s="4">
        <v>109</v>
      </c>
      <c r="P494" s="4">
        <v>0</v>
      </c>
      <c r="Q494" s="4">
        <v>1</v>
      </c>
      <c r="R494" s="4">
        <v>0</v>
      </c>
      <c r="S494" s="4">
        <f>(H494*INDEX('Stages'!$D$2:$D$7,MATCH(F494,'Stages'!$A$2:$A$7,0)))</f>
        <v>0</v>
      </c>
      <c r="T494" s="4">
        <f>(H494*I494)</f>
        <v>668400</v>
      </c>
      <c r="U494" s="4">
        <f>(H494*(I494-1))</f>
        <v>445600</v>
      </c>
      <c r="V494" s="0" t="str">
        <f>INDEX('Account executives'!$B$2:$B$25,MATCH(C494,'Account executives'!$A$2:$A$25,0))</f>
        <v>amer_east</v>
      </c>
      <c r="W494" s="0" t="str">
        <f>INDEX('Account executives'!$C$2:$C$25,MATCH(C494,'Account executives'!$A$2:$A$25,0))</f>
        <v>enterprise</v>
      </c>
      <c r="X494" s="0" t="str">
        <f>SUBSTITUTE(LOWER(INDEX('Periods'!$G$2:$G$22,MATCH(N494,'Periods'!$A$2:$A$22,0)))," ","_")</f>
        <v>q4_2025</v>
      </c>
    </row>
    <row r="495">
      <c r="A495" s="0" t="inlineStr">
        <is>
          <t xml:space="preserve">o0494</t>
        </is>
      </c>
      <c r="B495" s="0" t="inlineStr">
        <is>
          <t xml:space="preserve">a0327</t>
        </is>
      </c>
      <c r="C495" s="0" t="inlineStr">
        <is>
          <t xml:space="preserve">r09</t>
        </is>
      </c>
      <c r="D495" s="0" t="inlineStr">
        <is>
          <t xml:space="preserve">s_amer_west_in</t>
        </is>
      </c>
      <c r="E495" s="0" t="inlineStr">
        <is>
          <t xml:space="preserve">inbound</t>
        </is>
      </c>
      <c r="F495" s="0" t="inlineStr">
        <is>
          <t xml:space="preserve">closed_lost</t>
        </is>
      </c>
      <c r="G495" s="4">
        <v>1</v>
      </c>
      <c r="H495" s="4">
        <v>95600</v>
      </c>
      <c r="I495" s="4">
        <v>1</v>
      </c>
      <c r="J495" s="4">
        <v>1</v>
      </c>
      <c r="K495" s="16">
        <v>45880</v>
      </c>
      <c r="L495" s="16">
        <v>45965</v>
      </c>
      <c r="M495" s="0" t="inlineStr">
        <is>
          <t xml:space="preserve">aug25</t>
        </is>
      </c>
      <c r="N495" s="0" t="inlineStr">
        <is>
          <t xml:space="preserve">nov25</t>
        </is>
      </c>
      <c r="O495" s="4">
        <v>85</v>
      </c>
      <c r="P495" s="4">
        <v>0</v>
      </c>
      <c r="Q495" s="4">
        <v>1</v>
      </c>
      <c r="R495" s="4">
        <v>0</v>
      </c>
      <c r="S495" s="4">
        <f>(H495*INDEX('Stages'!$D$2:$D$7,MATCH(F495,'Stages'!$A$2:$A$7,0)))</f>
        <v>0</v>
      </c>
      <c r="T495" s="4">
        <f>(H495*I495)</f>
        <v>95600</v>
      </c>
      <c r="U495" s="4">
        <f>(H495*(I495-1))</f>
        <v>0</v>
      </c>
      <c r="V495" s="0" t="str">
        <f>INDEX('Account executives'!$B$2:$B$25,MATCH(C495,'Account executives'!$A$2:$A$25,0))</f>
        <v>amer_west</v>
      </c>
      <c r="W495" s="0" t="str">
        <f>INDEX('Account executives'!$C$2:$C$25,MATCH(C495,'Account executives'!$A$2:$A$25,0))</f>
        <v>mid_market</v>
      </c>
      <c r="X495" s="0" t="str">
        <f>SUBSTITUTE(LOWER(INDEX('Periods'!$G$2:$G$22,MATCH(N495,'Periods'!$A$2:$A$22,0)))," ","_")</f>
        <v>q4_2025</v>
      </c>
    </row>
    <row r="496">
      <c r="A496" s="0" t="inlineStr">
        <is>
          <t xml:space="preserve">o0495</t>
        </is>
      </c>
      <c r="B496" s="0" t="inlineStr">
        <is>
          <t xml:space="preserve">a0048</t>
        </is>
      </c>
      <c r="C496" s="0" t="inlineStr">
        <is>
          <t xml:space="preserve">r13</t>
        </is>
      </c>
      <c r="D496" s="0" t="inlineStr">
        <is>
          <t xml:space="preserve">s_emea_in</t>
        </is>
      </c>
      <c r="E496" s="0" t="inlineStr">
        <is>
          <t xml:space="preserve">paid</t>
        </is>
      </c>
      <c r="F496" s="0" t="inlineStr">
        <is>
          <t xml:space="preserve">closed_won</t>
        </is>
      </c>
      <c r="G496" s="4">
        <v>1</v>
      </c>
      <c r="H496" s="4">
        <v>245800</v>
      </c>
      <c r="I496" s="4">
        <v>1</v>
      </c>
      <c r="J496" s="4">
        <v>1</v>
      </c>
      <c r="K496" s="16">
        <v>45752</v>
      </c>
      <c r="L496" s="16">
        <v>45830</v>
      </c>
      <c r="M496" s="0" t="inlineStr">
        <is>
          <t xml:space="preserve">apr25</t>
        </is>
      </c>
      <c r="N496" s="0" t="inlineStr">
        <is>
          <t xml:space="preserve">jun25</t>
        </is>
      </c>
      <c r="O496" s="4">
        <v>78</v>
      </c>
      <c r="P496" s="4">
        <v>1</v>
      </c>
      <c r="Q496" s="4">
        <v>0</v>
      </c>
      <c r="R496" s="4">
        <v>0</v>
      </c>
      <c r="S496" s="4">
        <f>(H496*INDEX('Stages'!$D$2:$D$7,MATCH(F496,'Stages'!$A$2:$A$7,0)))</f>
        <v>245800</v>
      </c>
      <c r="T496" s="4">
        <f>(H496*I496)</f>
        <v>245800</v>
      </c>
      <c r="U496" s="4">
        <f>(H496*(I496-1))</f>
        <v>0</v>
      </c>
      <c r="V496" s="0" t="str">
        <f>INDEX('Account executives'!$B$2:$B$25,MATCH(C496,'Account executives'!$A$2:$A$25,0))</f>
        <v>emea</v>
      </c>
      <c r="W496" s="0" t="str">
        <f>INDEX('Account executives'!$C$2:$C$25,MATCH(C496,'Account executives'!$A$2:$A$25,0))</f>
        <v>enterprise</v>
      </c>
      <c r="X496" s="0" t="str">
        <f>SUBSTITUTE(LOWER(INDEX('Periods'!$G$2:$G$22,MATCH(N496,'Periods'!$A$2:$A$22,0)))," ","_")</f>
        <v>q2_2025</v>
      </c>
    </row>
    <row r="497">
      <c r="A497" s="0" t="inlineStr">
        <is>
          <t xml:space="preserve">o0496</t>
        </is>
      </c>
      <c r="B497" s="0" t="inlineStr">
        <is>
          <t xml:space="preserve">a0422</t>
        </is>
      </c>
      <c r="C497" s="0" t="inlineStr">
        <is>
          <t xml:space="preserve">r04</t>
        </is>
      </c>
      <c r="D497" s="0"/>
      <c r="E497" s="0" t="inlineStr">
        <is>
          <t xml:space="preserve">events</t>
        </is>
      </c>
      <c r="F497" s="0" t="inlineStr">
        <is>
          <t xml:space="preserve">closed_won</t>
        </is>
      </c>
      <c r="G497" s="4">
        <v>1</v>
      </c>
      <c r="H497" s="4">
        <v>65100</v>
      </c>
      <c r="I497" s="4">
        <v>1</v>
      </c>
      <c r="J497" s="4">
        <v>0</v>
      </c>
      <c r="K497" s="16">
        <v>45956</v>
      </c>
      <c r="L497" s="16">
        <v>46009</v>
      </c>
      <c r="M497" s="0" t="inlineStr">
        <is>
          <t xml:space="preserve">oct25</t>
        </is>
      </c>
      <c r="N497" s="0" t="inlineStr">
        <is>
          <t xml:space="preserve">dec25</t>
        </is>
      </c>
      <c r="O497" s="4">
        <v>53</v>
      </c>
      <c r="P497" s="4">
        <v>1</v>
      </c>
      <c r="Q497" s="4">
        <v>0</v>
      </c>
      <c r="R497" s="4">
        <v>0</v>
      </c>
      <c r="S497" s="4">
        <f>(H497*INDEX('Stages'!$D$2:$D$7,MATCH(F497,'Stages'!$A$2:$A$7,0)))</f>
        <v>65100</v>
      </c>
      <c r="T497" s="4">
        <f>(H497*I497)</f>
        <v>65100</v>
      </c>
      <c r="U497" s="4">
        <f>(H497*(I497-1))</f>
        <v>0</v>
      </c>
      <c r="V497" s="0" t="str">
        <f>INDEX('Account executives'!$B$2:$B$25,MATCH(C497,'Account executives'!$A$2:$A$25,0))</f>
        <v>amer_east</v>
      </c>
      <c r="W497" s="0" t="str">
        <f>INDEX('Account executives'!$C$2:$C$25,MATCH(C497,'Account executives'!$A$2:$A$25,0))</f>
        <v>mid_market</v>
      </c>
      <c r="X497" s="0" t="str">
        <f>SUBSTITUTE(LOWER(INDEX('Periods'!$G$2:$G$22,MATCH(N497,'Periods'!$A$2:$A$22,0)))," ","_")</f>
        <v>q4_2025</v>
      </c>
    </row>
    <row r="498">
      <c r="A498" s="0" t="inlineStr">
        <is>
          <t xml:space="preserve">o0497</t>
        </is>
      </c>
      <c r="B498" s="0" t="inlineStr">
        <is>
          <t xml:space="preserve">a1203</t>
        </is>
      </c>
      <c r="C498" s="0" t="inlineStr">
        <is>
          <t xml:space="preserve">r21</t>
        </is>
      </c>
      <c r="D498" s="0"/>
      <c r="E498" s="0" t="inlineStr">
        <is>
          <t xml:space="preserve">partner</t>
        </is>
      </c>
      <c r="F498" s="0" t="inlineStr">
        <is>
          <t xml:space="preserve">proposal</t>
        </is>
      </c>
      <c r="G498" s="4">
        <v>1</v>
      </c>
      <c r="H498" s="4">
        <v>38900</v>
      </c>
      <c r="I498" s="4">
        <v>1</v>
      </c>
      <c r="J498" s="4">
        <v>1</v>
      </c>
      <c r="K498" s="16">
        <v>46247</v>
      </c>
      <c r="L498" s="16">
        <v>46293</v>
      </c>
      <c r="M498" s="0" t="inlineStr">
        <is>
          <t xml:space="preserve">aug26</t>
        </is>
      </c>
      <c r="N498" s="0" t="inlineStr">
        <is>
          <t xml:space="preserve">sep26</t>
        </is>
      </c>
      <c r="O498" s="4">
        <v>51</v>
      </c>
      <c r="P498" s="4">
        <v>0</v>
      </c>
      <c r="Q498" s="4">
        <v>0</v>
      </c>
      <c r="R498" s="4">
        <v>1</v>
      </c>
      <c r="S498" s="4">
        <f>(H498*INDEX('Stages'!$D$2:$D$7,MATCH(F498,'Stages'!$A$2:$A$7,0)))</f>
        <v>19450</v>
      </c>
      <c r="T498" s="4">
        <f>(H498*I498)</f>
        <v>38900</v>
      </c>
      <c r="U498" s="4">
        <f>(H498*(I498-1))</f>
        <v>0</v>
      </c>
      <c r="V498" s="0" t="str">
        <f>INDEX('Account executives'!$B$2:$B$25,MATCH(C498,'Account executives'!$A$2:$A$25,0))</f>
        <v>apac</v>
      </c>
      <c r="W498" s="0" t="str">
        <f>INDEX('Account executives'!$C$2:$C$25,MATCH(C498,'Account executives'!$A$2:$A$25,0))</f>
        <v>mid_market</v>
      </c>
      <c r="X498" s="0" t="str">
        <f>SUBSTITUTE(LOWER(INDEX('Periods'!$G$2:$G$22,MATCH(N498,'Periods'!$A$2:$A$22,0)))," ","_")</f>
        <v>q3_2026</v>
      </c>
    </row>
    <row r="499">
      <c r="A499" s="0" t="inlineStr">
        <is>
          <t xml:space="preserve">o0498</t>
        </is>
      </c>
      <c r="B499" s="0" t="inlineStr">
        <is>
          <t xml:space="preserve">a1086</t>
        </is>
      </c>
      <c r="C499" s="0" t="inlineStr">
        <is>
          <t xml:space="preserve">r01</t>
        </is>
      </c>
      <c r="D499" s="0"/>
      <c r="E499" s="0" t="inlineStr">
        <is>
          <t xml:space="preserve">referral</t>
        </is>
      </c>
      <c r="F499" s="0" t="inlineStr">
        <is>
          <t xml:space="preserve">evaluation</t>
        </is>
      </c>
      <c r="G499" s="4">
        <v>1</v>
      </c>
      <c r="H499" s="4">
        <v>111500</v>
      </c>
      <c r="I499" s="4">
        <v>2</v>
      </c>
      <c r="J499" s="4">
        <v>0</v>
      </c>
      <c r="K499" s="16">
        <v>46214</v>
      </c>
      <c r="L499" s="16">
        <v>46315</v>
      </c>
      <c r="M499" s="0" t="inlineStr">
        <is>
          <t xml:space="preserve">jul26</t>
        </is>
      </c>
      <c r="N499" s="0" t="inlineStr">
        <is>
          <t xml:space="preserve">oct26</t>
        </is>
      </c>
      <c r="O499" s="4">
        <v>155</v>
      </c>
      <c r="P499" s="4">
        <v>0</v>
      </c>
      <c r="Q499" s="4">
        <v>0</v>
      </c>
      <c r="R499" s="4">
        <v>1</v>
      </c>
      <c r="S499" s="4">
        <f>(H499*INDEX('Stages'!$D$2:$D$7,MATCH(F499,'Stages'!$A$2:$A$7,0)))</f>
        <v>27875</v>
      </c>
      <c r="T499" s="4">
        <f>(H499*I499)</f>
        <v>223000</v>
      </c>
      <c r="U499" s="4">
        <f>(H499*(I499-1))</f>
        <v>111500</v>
      </c>
      <c r="V499" s="0" t="str">
        <f>INDEX('Account executives'!$B$2:$B$25,MATCH(C499,'Account executives'!$A$2:$A$25,0))</f>
        <v>amer_east</v>
      </c>
      <c r="W499" s="0" t="str">
        <f>INDEX('Account executives'!$C$2:$C$25,MATCH(C499,'Account executives'!$A$2:$A$25,0))</f>
        <v>enterprise</v>
      </c>
      <c r="X499" s="0" t="str">
        <f>SUBSTITUTE(LOWER(INDEX('Periods'!$G$2:$G$22,MATCH(N499,'Periods'!$A$2:$A$22,0)))," ","_")</f>
        <v>q4_2026</v>
      </c>
    </row>
    <row r="500">
      <c r="A500" s="0" t="inlineStr">
        <is>
          <t xml:space="preserve">o0499</t>
        </is>
      </c>
      <c r="B500" s="0" t="inlineStr">
        <is>
          <t xml:space="preserve">a0905</t>
        </is>
      </c>
      <c r="C500" s="0" t="inlineStr">
        <is>
          <t xml:space="preserve">r04</t>
        </is>
      </c>
      <c r="D500" s="0" t="inlineStr">
        <is>
          <t xml:space="preserve">s_amer_east_out</t>
        </is>
      </c>
      <c r="E500" s="0" t="inlineStr">
        <is>
          <t xml:space="preserve">outbound</t>
        </is>
      </c>
      <c r="F500" s="0" t="inlineStr">
        <is>
          <t xml:space="preserve">closed_lost</t>
        </is>
      </c>
      <c r="G500" s="4">
        <v>1</v>
      </c>
      <c r="H500" s="4">
        <v>25900</v>
      </c>
      <c r="I500" s="4">
        <v>2</v>
      </c>
      <c r="J500" s="4">
        <v>1</v>
      </c>
      <c r="K500" s="16">
        <v>46144</v>
      </c>
      <c r="L500" s="16">
        <v>46181</v>
      </c>
      <c r="M500" s="0" t="inlineStr">
        <is>
          <t xml:space="preserve">may26</t>
        </is>
      </c>
      <c r="N500" s="0" t="inlineStr">
        <is>
          <t xml:space="preserve">jun26</t>
        </is>
      </c>
      <c r="O500" s="4">
        <v>37</v>
      </c>
      <c r="P500" s="4">
        <v>0</v>
      </c>
      <c r="Q500" s="4">
        <v>1</v>
      </c>
      <c r="R500" s="4">
        <v>0</v>
      </c>
      <c r="S500" s="4">
        <f>(H500*INDEX('Stages'!$D$2:$D$7,MATCH(F500,'Stages'!$A$2:$A$7,0)))</f>
        <v>0</v>
      </c>
      <c r="T500" s="4">
        <f>(H500*I500)</f>
        <v>51800</v>
      </c>
      <c r="U500" s="4">
        <f>(H500*(I500-1))</f>
        <v>25900</v>
      </c>
      <c r="V500" s="0" t="str">
        <f>INDEX('Account executives'!$B$2:$B$25,MATCH(C500,'Account executives'!$A$2:$A$25,0))</f>
        <v>amer_east</v>
      </c>
      <c r="W500" s="0" t="str">
        <f>INDEX('Account executives'!$C$2:$C$25,MATCH(C500,'Account executives'!$A$2:$A$25,0))</f>
        <v>mid_market</v>
      </c>
      <c r="X500" s="0" t="str">
        <f>SUBSTITUTE(LOWER(INDEX('Periods'!$G$2:$G$22,MATCH(N500,'Periods'!$A$2:$A$22,0)))," ","_")</f>
        <v>q2_2026</v>
      </c>
    </row>
    <row r="501">
      <c r="A501" s="0" t="inlineStr">
        <is>
          <t xml:space="preserve">o0500</t>
        </is>
      </c>
      <c r="B501" s="0" t="inlineStr">
        <is>
          <t xml:space="preserve">a0341</t>
        </is>
      </c>
      <c r="C501" s="0" t="inlineStr">
        <is>
          <t xml:space="preserve">r15</t>
        </is>
      </c>
      <c r="D501" s="0" t="inlineStr">
        <is>
          <t xml:space="preserve">s_emea_in</t>
        </is>
      </c>
      <c r="E501" s="0" t="inlineStr">
        <is>
          <t xml:space="preserve">inbound</t>
        </is>
      </c>
      <c r="F501" s="0" t="inlineStr">
        <is>
          <t xml:space="preserve">closed_won</t>
        </is>
      </c>
      <c r="G501" s="4">
        <v>0</v>
      </c>
      <c r="H501" s="4">
        <v>35800</v>
      </c>
      <c r="I501" s="4">
        <v>1</v>
      </c>
      <c r="J501" s="4">
        <v>0</v>
      </c>
      <c r="K501" s="16">
        <v>46122</v>
      </c>
      <c r="L501" s="16">
        <v>46156</v>
      </c>
      <c r="M501" s="0" t="inlineStr">
        <is>
          <t xml:space="preserve">apr26</t>
        </is>
      </c>
      <c r="N501" s="0" t="inlineStr">
        <is>
          <t xml:space="preserve">may26</t>
        </is>
      </c>
      <c r="O501" s="4">
        <v>34</v>
      </c>
      <c r="P501" s="4">
        <v>1</v>
      </c>
      <c r="Q501" s="4">
        <v>0</v>
      </c>
      <c r="R501" s="4">
        <v>0</v>
      </c>
      <c r="S501" s="4">
        <f>(H501*INDEX('Stages'!$D$2:$D$7,MATCH(F501,'Stages'!$A$2:$A$7,0)))</f>
        <v>35800</v>
      </c>
      <c r="T501" s="4">
        <f>(H501*I501)</f>
        <v>35800</v>
      </c>
      <c r="U501" s="4">
        <f>(H501*(I501-1))</f>
        <v>0</v>
      </c>
      <c r="V501" s="0" t="str">
        <f>INDEX('Account executives'!$B$2:$B$25,MATCH(C501,'Account executives'!$A$2:$A$25,0))</f>
        <v>emea</v>
      </c>
      <c r="W501" s="0" t="str">
        <f>INDEX('Account executives'!$C$2:$C$25,MATCH(C501,'Account executives'!$A$2:$A$25,0))</f>
        <v>mid_market</v>
      </c>
      <c r="X501" s="0" t="str">
        <f>SUBSTITUTE(LOWER(INDEX('Periods'!$G$2:$G$22,MATCH(N501,'Periods'!$A$2:$A$22,0)))," ","_")</f>
        <v>q2_2026</v>
      </c>
    </row>
    <row r="502">
      <c r="A502" s="0" t="inlineStr">
        <is>
          <t xml:space="preserve">o0501</t>
        </is>
      </c>
      <c r="B502" s="0" t="inlineStr">
        <is>
          <t xml:space="preserve">a0387</t>
        </is>
      </c>
      <c r="C502" s="0" t="inlineStr">
        <is>
          <t xml:space="preserve">r09</t>
        </is>
      </c>
      <c r="D502" s="0" t="inlineStr">
        <is>
          <t xml:space="preserve">s_amer_west_out</t>
        </is>
      </c>
      <c r="E502" s="0" t="inlineStr">
        <is>
          <t xml:space="preserve">outbound</t>
        </is>
      </c>
      <c r="F502" s="0" t="inlineStr">
        <is>
          <t xml:space="preserve">closed_lost</t>
        </is>
      </c>
      <c r="G502" s="4">
        <v>0</v>
      </c>
      <c r="H502" s="4">
        <v>24900</v>
      </c>
      <c r="I502" s="4">
        <v>1</v>
      </c>
      <c r="J502" s="4">
        <v>0</v>
      </c>
      <c r="K502" s="16">
        <v>45986</v>
      </c>
      <c r="L502" s="16">
        <v>46109</v>
      </c>
      <c r="M502" s="0" t="inlineStr">
        <is>
          <t xml:space="preserve">nov25</t>
        </is>
      </c>
      <c r="N502" s="0" t="inlineStr">
        <is>
          <t xml:space="preserve">mar26</t>
        </is>
      </c>
      <c r="O502" s="4">
        <v>123</v>
      </c>
      <c r="P502" s="4">
        <v>0</v>
      </c>
      <c r="Q502" s="4">
        <v>1</v>
      </c>
      <c r="R502" s="4">
        <v>0</v>
      </c>
      <c r="S502" s="4">
        <f>(H502*INDEX('Stages'!$D$2:$D$7,MATCH(F502,'Stages'!$A$2:$A$7,0)))</f>
        <v>0</v>
      </c>
      <c r="T502" s="4">
        <f>(H502*I502)</f>
        <v>24900</v>
      </c>
      <c r="U502" s="4">
        <f>(H502*(I502-1))</f>
        <v>0</v>
      </c>
      <c r="V502" s="0" t="str">
        <f>INDEX('Account executives'!$B$2:$B$25,MATCH(C502,'Account executives'!$A$2:$A$25,0))</f>
        <v>amer_west</v>
      </c>
      <c r="W502" s="0" t="str">
        <f>INDEX('Account executives'!$C$2:$C$25,MATCH(C502,'Account executives'!$A$2:$A$25,0))</f>
        <v>mid_market</v>
      </c>
      <c r="X502" s="0" t="str">
        <f>SUBSTITUTE(LOWER(INDEX('Periods'!$G$2:$G$22,MATCH(N502,'Periods'!$A$2:$A$22,0)))," ","_")</f>
        <v>q1_2026</v>
      </c>
    </row>
    <row r="503">
      <c r="A503" s="0" t="inlineStr">
        <is>
          <t xml:space="preserve">o0502</t>
        </is>
      </c>
      <c r="B503" s="0" t="inlineStr">
        <is>
          <t xml:space="preserve">a0723</t>
        </is>
      </c>
      <c r="C503" s="0" t="inlineStr">
        <is>
          <t xml:space="preserve">r05</t>
        </is>
      </c>
      <c r="D503" s="0"/>
      <c r="E503" s="0" t="inlineStr">
        <is>
          <t xml:space="preserve">partner</t>
        </is>
      </c>
      <c r="F503" s="0" t="inlineStr">
        <is>
          <t xml:space="preserve">closed_won</t>
        </is>
      </c>
      <c r="G503" s="4">
        <v>0</v>
      </c>
      <c r="H503" s="4">
        <v>4700</v>
      </c>
      <c r="I503" s="4">
        <v>1</v>
      </c>
      <c r="J503" s="4">
        <v>0</v>
      </c>
      <c r="K503" s="16">
        <v>46174</v>
      </c>
      <c r="L503" s="16">
        <v>46210</v>
      </c>
      <c r="M503" s="0" t="inlineStr">
        <is>
          <t xml:space="preserve">jun26</t>
        </is>
      </c>
      <c r="N503" s="0" t="inlineStr">
        <is>
          <t xml:space="preserve">jul26</t>
        </is>
      </c>
      <c r="O503" s="4">
        <v>36</v>
      </c>
      <c r="P503" s="4">
        <v>1</v>
      </c>
      <c r="Q503" s="4">
        <v>0</v>
      </c>
      <c r="R503" s="4">
        <v>0</v>
      </c>
      <c r="S503" s="4">
        <f>(H503*INDEX('Stages'!$D$2:$D$7,MATCH(F503,'Stages'!$A$2:$A$7,0)))</f>
        <v>4700</v>
      </c>
      <c r="T503" s="4">
        <f>(H503*I503)</f>
        <v>4700</v>
      </c>
      <c r="U503" s="4">
        <f>(H503*(I503-1))</f>
        <v>0</v>
      </c>
      <c r="V503" s="0" t="str">
        <f>INDEX('Account executives'!$B$2:$B$25,MATCH(C503,'Account executives'!$A$2:$A$25,0))</f>
        <v>amer_east</v>
      </c>
      <c r="W503" s="0" t="str">
        <f>INDEX('Account executives'!$C$2:$C$25,MATCH(C503,'Account executives'!$A$2:$A$25,0))</f>
        <v>smb</v>
      </c>
      <c r="X503" s="0" t="str">
        <f>SUBSTITUTE(LOWER(INDEX('Periods'!$G$2:$G$22,MATCH(N503,'Periods'!$A$2:$A$22,0)))," ","_")</f>
        <v>q3_2026</v>
      </c>
    </row>
    <row r="504">
      <c r="A504" s="0" t="inlineStr">
        <is>
          <t xml:space="preserve">o0503</t>
        </is>
      </c>
      <c r="B504" s="0" t="inlineStr">
        <is>
          <t xml:space="preserve">a0816</t>
        </is>
      </c>
      <c r="C504" s="0" t="inlineStr">
        <is>
          <t xml:space="preserve">r05</t>
        </is>
      </c>
      <c r="D504" s="0" t="inlineStr">
        <is>
          <t xml:space="preserve">s_amer_east_in</t>
        </is>
      </c>
      <c r="E504" s="0" t="inlineStr">
        <is>
          <t xml:space="preserve">inbound</t>
        </is>
      </c>
      <c r="F504" s="0" t="inlineStr">
        <is>
          <t xml:space="preserve">closed_lost</t>
        </is>
      </c>
      <c r="G504" s="4">
        <v>1</v>
      </c>
      <c r="H504" s="4">
        <v>7200</v>
      </c>
      <c r="I504" s="4">
        <v>1</v>
      </c>
      <c r="J504" s="4">
        <v>0</v>
      </c>
      <c r="K504" s="16">
        <v>46131</v>
      </c>
      <c r="L504" s="16">
        <v>46140</v>
      </c>
      <c r="M504" s="0" t="inlineStr">
        <is>
          <t xml:space="preserve">apr26</t>
        </is>
      </c>
      <c r="N504" s="0" t="inlineStr">
        <is>
          <t xml:space="preserve">apr26</t>
        </is>
      </c>
      <c r="O504" s="4">
        <v>9</v>
      </c>
      <c r="P504" s="4">
        <v>0</v>
      </c>
      <c r="Q504" s="4">
        <v>1</v>
      </c>
      <c r="R504" s="4">
        <v>0</v>
      </c>
      <c r="S504" s="4">
        <f>(H504*INDEX('Stages'!$D$2:$D$7,MATCH(F504,'Stages'!$A$2:$A$7,0)))</f>
        <v>0</v>
      </c>
      <c r="T504" s="4">
        <f>(H504*I504)</f>
        <v>7200</v>
      </c>
      <c r="U504" s="4">
        <f>(H504*(I504-1))</f>
        <v>0</v>
      </c>
      <c r="V504" s="0" t="str">
        <f>INDEX('Account executives'!$B$2:$B$25,MATCH(C504,'Account executives'!$A$2:$A$25,0))</f>
        <v>amer_east</v>
      </c>
      <c r="W504" s="0" t="str">
        <f>INDEX('Account executives'!$C$2:$C$25,MATCH(C504,'Account executives'!$A$2:$A$25,0))</f>
        <v>smb</v>
      </c>
      <c r="X504" s="0" t="str">
        <f>SUBSTITUTE(LOWER(INDEX('Periods'!$G$2:$G$22,MATCH(N504,'Periods'!$A$2:$A$22,0)))," ","_")</f>
        <v>q2_2026</v>
      </c>
    </row>
    <row r="505">
      <c r="A505" s="0" t="inlineStr">
        <is>
          <t xml:space="preserve">o0504</t>
        </is>
      </c>
      <c r="B505" s="0" t="inlineStr">
        <is>
          <t xml:space="preserve">a0109</t>
        </is>
      </c>
      <c r="C505" s="0" t="inlineStr">
        <is>
          <t xml:space="preserve">r11</t>
        </is>
      </c>
      <c r="D505" s="0" t="inlineStr">
        <is>
          <t xml:space="preserve">s_amer_west_in</t>
        </is>
      </c>
      <c r="E505" s="0" t="inlineStr">
        <is>
          <t xml:space="preserve">inbound</t>
        </is>
      </c>
      <c r="F505" s="0" t="inlineStr">
        <is>
          <t xml:space="preserve">closed_lost</t>
        </is>
      </c>
      <c r="G505" s="4">
        <v>0</v>
      </c>
      <c r="H505" s="4">
        <v>4500</v>
      </c>
      <c r="I505" s="4">
        <v>1</v>
      </c>
      <c r="J505" s="4">
        <v>0</v>
      </c>
      <c r="K505" s="16">
        <v>46246</v>
      </c>
      <c r="L505" s="16">
        <v>46258</v>
      </c>
      <c r="M505" s="0" t="inlineStr">
        <is>
          <t xml:space="preserve">aug26</t>
        </is>
      </c>
      <c r="N505" s="0" t="inlineStr">
        <is>
          <t xml:space="preserve">aug26</t>
        </is>
      </c>
      <c r="O505" s="4">
        <v>12</v>
      </c>
      <c r="P505" s="4">
        <v>0</v>
      </c>
      <c r="Q505" s="4">
        <v>1</v>
      </c>
      <c r="R505" s="4">
        <v>0</v>
      </c>
      <c r="S505" s="4">
        <f>(H505*INDEX('Stages'!$D$2:$D$7,MATCH(F505,'Stages'!$A$2:$A$7,0)))</f>
        <v>0</v>
      </c>
      <c r="T505" s="4">
        <f>(H505*I505)</f>
        <v>4500</v>
      </c>
      <c r="U505" s="4">
        <f>(H505*(I505-1))</f>
        <v>0</v>
      </c>
      <c r="V505" s="0" t="str">
        <f>INDEX('Account executives'!$B$2:$B$25,MATCH(C505,'Account executives'!$A$2:$A$25,0))</f>
        <v>amer_west</v>
      </c>
      <c r="W505" s="0" t="str">
        <f>INDEX('Account executives'!$C$2:$C$25,MATCH(C505,'Account executives'!$A$2:$A$25,0))</f>
        <v>smb</v>
      </c>
      <c r="X505" s="0" t="str">
        <f>SUBSTITUTE(LOWER(INDEX('Periods'!$G$2:$G$22,MATCH(N505,'Periods'!$A$2:$A$22,0)))," ","_")</f>
        <v>q3_2026</v>
      </c>
    </row>
    <row r="506">
      <c r="A506" s="0" t="inlineStr">
        <is>
          <t xml:space="preserve">o0505</t>
        </is>
      </c>
      <c r="B506" s="0" t="inlineStr">
        <is>
          <t xml:space="preserve">a0284</t>
        </is>
      </c>
      <c r="C506" s="0" t="inlineStr">
        <is>
          <t xml:space="preserve">r15</t>
        </is>
      </c>
      <c r="D506" s="0" t="inlineStr">
        <is>
          <t xml:space="preserve">s_emea_in</t>
        </is>
      </c>
      <c r="E506" s="0" t="inlineStr">
        <is>
          <t xml:space="preserve">paid</t>
        </is>
      </c>
      <c r="F506" s="0" t="inlineStr">
        <is>
          <t xml:space="preserve">closed_lost</t>
        </is>
      </c>
      <c r="G506" s="4">
        <v>1</v>
      </c>
      <c r="H506" s="4">
        <v>14900</v>
      </c>
      <c r="I506" s="4">
        <v>1</v>
      </c>
      <c r="J506" s="4">
        <v>1</v>
      </c>
      <c r="K506" s="16">
        <v>45852</v>
      </c>
      <c r="L506" s="16">
        <v>45928</v>
      </c>
      <c r="M506" s="0" t="inlineStr">
        <is>
          <t xml:space="preserve">jul25</t>
        </is>
      </c>
      <c r="N506" s="0" t="inlineStr">
        <is>
          <t xml:space="preserve">sep25</t>
        </is>
      </c>
      <c r="O506" s="4">
        <v>76</v>
      </c>
      <c r="P506" s="4">
        <v>0</v>
      </c>
      <c r="Q506" s="4">
        <v>1</v>
      </c>
      <c r="R506" s="4">
        <v>0</v>
      </c>
      <c r="S506" s="4">
        <f>(H506*INDEX('Stages'!$D$2:$D$7,MATCH(F506,'Stages'!$A$2:$A$7,0)))</f>
        <v>0</v>
      </c>
      <c r="T506" s="4">
        <f>(H506*I506)</f>
        <v>14900</v>
      </c>
      <c r="U506" s="4">
        <f>(H506*(I506-1))</f>
        <v>0</v>
      </c>
      <c r="V506" s="0" t="str">
        <f>INDEX('Account executives'!$B$2:$B$25,MATCH(C506,'Account executives'!$A$2:$A$25,0))</f>
        <v>emea</v>
      </c>
      <c r="W506" s="0" t="str">
        <f>INDEX('Account executives'!$C$2:$C$25,MATCH(C506,'Account executives'!$A$2:$A$25,0))</f>
        <v>mid_market</v>
      </c>
      <c r="X506" s="0" t="str">
        <f>SUBSTITUTE(LOWER(INDEX('Periods'!$G$2:$G$22,MATCH(N506,'Periods'!$A$2:$A$22,0)))," ","_")</f>
        <v>q3_2025</v>
      </c>
    </row>
    <row r="507">
      <c r="A507" s="0" t="inlineStr">
        <is>
          <t xml:space="preserve">o0506</t>
        </is>
      </c>
      <c r="B507" s="0" t="inlineStr">
        <is>
          <t xml:space="preserve">a0933</t>
        </is>
      </c>
      <c r="C507" s="0" t="inlineStr">
        <is>
          <t xml:space="preserve">r15</t>
        </is>
      </c>
      <c r="D507" s="0" t="inlineStr">
        <is>
          <t xml:space="preserve">s_emea_in</t>
        </is>
      </c>
      <c r="E507" s="0" t="inlineStr">
        <is>
          <t xml:space="preserve">inbound</t>
        </is>
      </c>
      <c r="F507" s="0" t="inlineStr">
        <is>
          <t xml:space="preserve">closed_lost</t>
        </is>
      </c>
      <c r="G507" s="4">
        <v>1</v>
      </c>
      <c r="H507" s="4">
        <v>22900</v>
      </c>
      <c r="I507" s="4">
        <v>2</v>
      </c>
      <c r="J507" s="4">
        <v>0</v>
      </c>
      <c r="K507" s="16">
        <v>46152</v>
      </c>
      <c r="L507" s="16">
        <v>46223</v>
      </c>
      <c r="M507" s="0" t="inlineStr">
        <is>
          <t xml:space="preserve">may26</t>
        </is>
      </c>
      <c r="N507" s="0" t="inlineStr">
        <is>
          <t xml:space="preserve">jul26</t>
        </is>
      </c>
      <c r="O507" s="4">
        <v>71</v>
      </c>
      <c r="P507" s="4">
        <v>0</v>
      </c>
      <c r="Q507" s="4">
        <v>1</v>
      </c>
      <c r="R507" s="4">
        <v>0</v>
      </c>
      <c r="S507" s="4">
        <f>(H507*INDEX('Stages'!$D$2:$D$7,MATCH(F507,'Stages'!$A$2:$A$7,0)))</f>
        <v>0</v>
      </c>
      <c r="T507" s="4">
        <f>(H507*I507)</f>
        <v>45800</v>
      </c>
      <c r="U507" s="4">
        <f>(H507*(I507-1))</f>
        <v>22900</v>
      </c>
      <c r="V507" s="0" t="str">
        <f>INDEX('Account executives'!$B$2:$B$25,MATCH(C507,'Account executives'!$A$2:$A$25,0))</f>
        <v>emea</v>
      </c>
      <c r="W507" s="0" t="str">
        <f>INDEX('Account executives'!$C$2:$C$25,MATCH(C507,'Account executives'!$A$2:$A$25,0))</f>
        <v>mid_market</v>
      </c>
      <c r="X507" s="0" t="str">
        <f>SUBSTITUTE(LOWER(INDEX('Periods'!$G$2:$G$22,MATCH(N507,'Periods'!$A$2:$A$22,0)))," ","_")</f>
        <v>q3_2026</v>
      </c>
    </row>
    <row r="508">
      <c r="A508" s="0" t="inlineStr">
        <is>
          <t xml:space="preserve">o0507</t>
        </is>
      </c>
      <c r="B508" s="0" t="inlineStr">
        <is>
          <t xml:space="preserve">a1181</t>
        </is>
      </c>
      <c r="C508" s="0" t="inlineStr">
        <is>
          <t xml:space="preserve">r17</t>
        </is>
      </c>
      <c r="D508" s="0" t="inlineStr">
        <is>
          <t xml:space="preserve">s_emea_in</t>
        </is>
      </c>
      <c r="E508" s="0" t="inlineStr">
        <is>
          <t xml:space="preserve">inbound</t>
        </is>
      </c>
      <c r="F508" s="0" t="inlineStr">
        <is>
          <t xml:space="preserve">negotiation</t>
        </is>
      </c>
      <c r="G508" s="4">
        <v>1</v>
      </c>
      <c r="H508" s="4">
        <v>46700</v>
      </c>
      <c r="I508" s="4">
        <v>1</v>
      </c>
      <c r="J508" s="4">
        <v>1</v>
      </c>
      <c r="K508" s="16">
        <v>46251</v>
      </c>
      <c r="L508" s="16">
        <v>46371</v>
      </c>
      <c r="M508" s="0" t="inlineStr">
        <is>
          <t xml:space="preserve">aug26</t>
        </is>
      </c>
      <c r="N508" s="0" t="inlineStr">
        <is>
          <t xml:space="preserve">dec26</t>
        </is>
      </c>
      <c r="O508" s="4">
        <v>34</v>
      </c>
      <c r="P508" s="4">
        <v>0</v>
      </c>
      <c r="Q508" s="4">
        <v>0</v>
      </c>
      <c r="R508" s="4">
        <v>1</v>
      </c>
      <c r="S508" s="4">
        <f>(H508*INDEX('Stages'!$D$2:$D$7,MATCH(F508,'Stages'!$A$2:$A$7,0)))</f>
        <v>35025</v>
      </c>
      <c r="T508" s="4">
        <f>(H508*I508)</f>
        <v>46700</v>
      </c>
      <c r="U508" s="4">
        <f>(H508*(I508-1))</f>
        <v>0</v>
      </c>
      <c r="V508" s="0" t="str">
        <f>INDEX('Account executives'!$B$2:$B$25,MATCH(C508,'Account executives'!$A$2:$A$25,0))</f>
        <v>emea</v>
      </c>
      <c r="W508" s="0" t="str">
        <f>INDEX('Account executives'!$C$2:$C$25,MATCH(C508,'Account executives'!$A$2:$A$25,0))</f>
        <v>smb</v>
      </c>
      <c r="X508" s="0" t="str">
        <f>SUBSTITUTE(LOWER(INDEX('Periods'!$G$2:$G$22,MATCH(N508,'Periods'!$A$2:$A$22,0)))," ","_")</f>
        <v>q4_2026</v>
      </c>
    </row>
    <row r="509">
      <c r="A509" s="0" t="inlineStr">
        <is>
          <t xml:space="preserve">o0508</t>
        </is>
      </c>
      <c r="B509" s="0" t="inlineStr">
        <is>
          <t xml:space="preserve">a0425</t>
        </is>
      </c>
      <c r="C509" s="0" t="inlineStr">
        <is>
          <t xml:space="preserve">r06</t>
        </is>
      </c>
      <c r="D509" s="0" t="inlineStr">
        <is>
          <t xml:space="preserve">s_amer_east_out</t>
        </is>
      </c>
      <c r="E509" s="0" t="inlineStr">
        <is>
          <t xml:space="preserve">outbound</t>
        </is>
      </c>
      <c r="F509" s="0" t="inlineStr">
        <is>
          <t xml:space="preserve">closed_lost</t>
        </is>
      </c>
      <c r="G509" s="4">
        <v>1</v>
      </c>
      <c r="H509" s="4">
        <v>21800</v>
      </c>
      <c r="I509" s="4">
        <v>1</v>
      </c>
      <c r="J509" s="4">
        <v>0</v>
      </c>
      <c r="K509" s="16">
        <v>45944</v>
      </c>
      <c r="L509" s="16">
        <v>45958</v>
      </c>
      <c r="M509" s="0" t="inlineStr">
        <is>
          <t xml:space="preserve">oct25</t>
        </is>
      </c>
      <c r="N509" s="0" t="inlineStr">
        <is>
          <t xml:space="preserve">oct25</t>
        </is>
      </c>
      <c r="O509" s="4">
        <v>14</v>
      </c>
      <c r="P509" s="4">
        <v>0</v>
      </c>
      <c r="Q509" s="4">
        <v>1</v>
      </c>
      <c r="R509" s="4">
        <v>0</v>
      </c>
      <c r="S509" s="4">
        <f>(H509*INDEX('Stages'!$D$2:$D$7,MATCH(F509,'Stages'!$A$2:$A$7,0)))</f>
        <v>0</v>
      </c>
      <c r="T509" s="4">
        <f>(H509*I509)</f>
        <v>21800</v>
      </c>
      <c r="U509" s="4">
        <f>(H509*(I509-1))</f>
        <v>0</v>
      </c>
      <c r="V509" s="0" t="str">
        <f>INDEX('Account executives'!$B$2:$B$25,MATCH(C509,'Account executives'!$A$2:$A$25,0))</f>
        <v>amer_east</v>
      </c>
      <c r="W509" s="0" t="str">
        <f>INDEX('Account executives'!$C$2:$C$25,MATCH(C509,'Account executives'!$A$2:$A$25,0))</f>
        <v>smb</v>
      </c>
      <c r="X509" s="0" t="str">
        <f>SUBSTITUTE(LOWER(INDEX('Periods'!$G$2:$G$22,MATCH(N509,'Periods'!$A$2:$A$22,0)))," ","_")</f>
        <v>q4_2025</v>
      </c>
    </row>
    <row r="510">
      <c r="A510" s="0" t="inlineStr">
        <is>
          <t xml:space="preserve">o0509</t>
        </is>
      </c>
      <c r="B510" s="0" t="inlineStr">
        <is>
          <t xml:space="preserve">a0490</t>
        </is>
      </c>
      <c r="C510" s="0" t="inlineStr">
        <is>
          <t xml:space="preserve">r05</t>
        </is>
      </c>
      <c r="D510" s="0"/>
      <c r="E510" s="0" t="inlineStr">
        <is>
          <t xml:space="preserve">referral</t>
        </is>
      </c>
      <c r="F510" s="0" t="inlineStr">
        <is>
          <t xml:space="preserve">closed_lost</t>
        </is>
      </c>
      <c r="G510" s="4">
        <v>1</v>
      </c>
      <c r="H510" s="4">
        <v>12400</v>
      </c>
      <c r="I510" s="4">
        <v>1</v>
      </c>
      <c r="J510" s="4">
        <v>0</v>
      </c>
      <c r="K510" s="16">
        <v>45977</v>
      </c>
      <c r="L510" s="16">
        <v>46021</v>
      </c>
      <c r="M510" s="0" t="inlineStr">
        <is>
          <t xml:space="preserve">nov25</t>
        </is>
      </c>
      <c r="N510" s="0" t="inlineStr">
        <is>
          <t xml:space="preserve">dec25</t>
        </is>
      </c>
      <c r="O510" s="4">
        <v>44</v>
      </c>
      <c r="P510" s="4">
        <v>0</v>
      </c>
      <c r="Q510" s="4">
        <v>1</v>
      </c>
      <c r="R510" s="4">
        <v>0</v>
      </c>
      <c r="S510" s="4">
        <f>(H510*INDEX('Stages'!$D$2:$D$7,MATCH(F510,'Stages'!$A$2:$A$7,0)))</f>
        <v>0</v>
      </c>
      <c r="T510" s="4">
        <f>(H510*I510)</f>
        <v>12400</v>
      </c>
      <c r="U510" s="4">
        <f>(H510*(I510-1))</f>
        <v>0</v>
      </c>
      <c r="V510" s="0" t="str">
        <f>INDEX('Account executives'!$B$2:$B$25,MATCH(C510,'Account executives'!$A$2:$A$25,0))</f>
        <v>amer_east</v>
      </c>
      <c r="W510" s="0" t="str">
        <f>INDEX('Account executives'!$C$2:$C$25,MATCH(C510,'Account executives'!$A$2:$A$25,0))</f>
        <v>smb</v>
      </c>
      <c r="X510" s="0" t="str">
        <f>SUBSTITUTE(LOWER(INDEX('Periods'!$G$2:$G$22,MATCH(N510,'Periods'!$A$2:$A$22,0)))," ","_")</f>
        <v>q4_2025</v>
      </c>
    </row>
    <row r="511">
      <c r="A511" s="0" t="inlineStr">
        <is>
          <t xml:space="preserve">o0510</t>
        </is>
      </c>
      <c r="B511" s="0" t="inlineStr">
        <is>
          <t xml:space="preserve">a0279</t>
        </is>
      </c>
      <c r="C511" s="0" t="inlineStr">
        <is>
          <t xml:space="preserve">r17</t>
        </is>
      </c>
      <c r="D511" s="0" t="inlineStr">
        <is>
          <t xml:space="preserve">s_emea_in</t>
        </is>
      </c>
      <c r="E511" s="0" t="inlineStr">
        <is>
          <t xml:space="preserve">paid</t>
        </is>
      </c>
      <c r="F511" s="0" t="inlineStr">
        <is>
          <t xml:space="preserve">closed_lost</t>
        </is>
      </c>
      <c r="G511" s="4">
        <v>0</v>
      </c>
      <c r="H511" s="4">
        <v>3300</v>
      </c>
      <c r="I511" s="4">
        <v>1</v>
      </c>
      <c r="J511" s="4">
        <v>0</v>
      </c>
      <c r="K511" s="16">
        <v>46001</v>
      </c>
      <c r="L511" s="16">
        <v>46020</v>
      </c>
      <c r="M511" s="0" t="inlineStr">
        <is>
          <t xml:space="preserve">dec25</t>
        </is>
      </c>
      <c r="N511" s="0" t="inlineStr">
        <is>
          <t xml:space="preserve">dec25</t>
        </is>
      </c>
      <c r="O511" s="4">
        <v>19</v>
      </c>
      <c r="P511" s="4">
        <v>0</v>
      </c>
      <c r="Q511" s="4">
        <v>1</v>
      </c>
      <c r="R511" s="4">
        <v>0</v>
      </c>
      <c r="S511" s="4">
        <f>(H511*INDEX('Stages'!$D$2:$D$7,MATCH(F511,'Stages'!$A$2:$A$7,0)))</f>
        <v>0</v>
      </c>
      <c r="T511" s="4">
        <f>(H511*I511)</f>
        <v>3300</v>
      </c>
      <c r="U511" s="4">
        <f>(H511*(I511-1))</f>
        <v>0</v>
      </c>
      <c r="V511" s="0" t="str">
        <f>INDEX('Account executives'!$B$2:$B$25,MATCH(C511,'Account executives'!$A$2:$A$25,0))</f>
        <v>emea</v>
      </c>
      <c r="W511" s="0" t="str">
        <f>INDEX('Account executives'!$C$2:$C$25,MATCH(C511,'Account executives'!$A$2:$A$25,0))</f>
        <v>smb</v>
      </c>
      <c r="X511" s="0" t="str">
        <f>SUBSTITUTE(LOWER(INDEX('Periods'!$G$2:$G$22,MATCH(N511,'Periods'!$A$2:$A$22,0)))," ","_")</f>
        <v>q4_2025</v>
      </c>
    </row>
    <row r="512">
      <c r="A512" s="0" t="inlineStr">
        <is>
          <t xml:space="preserve">o0511</t>
        </is>
      </c>
      <c r="B512" s="0" t="inlineStr">
        <is>
          <t xml:space="preserve">a0476</t>
        </is>
      </c>
      <c r="C512" s="0" t="inlineStr">
        <is>
          <t xml:space="preserve">r05</t>
        </is>
      </c>
      <c r="D512" s="0" t="inlineStr">
        <is>
          <t xml:space="preserve">s_amer_east_in</t>
        </is>
      </c>
      <c r="E512" s="0" t="inlineStr">
        <is>
          <t xml:space="preserve">inbound</t>
        </is>
      </c>
      <c r="F512" s="0" t="inlineStr">
        <is>
          <t xml:space="preserve">closed_lost</t>
        </is>
      </c>
      <c r="G512" s="4">
        <v>1</v>
      </c>
      <c r="H512" s="4">
        <v>11000</v>
      </c>
      <c r="I512" s="4">
        <v>1</v>
      </c>
      <c r="J512" s="4">
        <v>0</v>
      </c>
      <c r="K512" s="16">
        <v>45976</v>
      </c>
      <c r="L512" s="16">
        <v>46015</v>
      </c>
      <c r="M512" s="0" t="inlineStr">
        <is>
          <t xml:space="preserve">nov25</t>
        </is>
      </c>
      <c r="N512" s="0" t="inlineStr">
        <is>
          <t xml:space="preserve">dec25</t>
        </is>
      </c>
      <c r="O512" s="4">
        <v>39</v>
      </c>
      <c r="P512" s="4">
        <v>0</v>
      </c>
      <c r="Q512" s="4">
        <v>1</v>
      </c>
      <c r="R512" s="4">
        <v>0</v>
      </c>
      <c r="S512" s="4">
        <f>(H512*INDEX('Stages'!$D$2:$D$7,MATCH(F512,'Stages'!$A$2:$A$7,0)))</f>
        <v>0</v>
      </c>
      <c r="T512" s="4">
        <f>(H512*I512)</f>
        <v>11000</v>
      </c>
      <c r="U512" s="4">
        <f>(H512*(I512-1))</f>
        <v>0</v>
      </c>
      <c r="V512" s="0" t="str">
        <f>INDEX('Account executives'!$B$2:$B$25,MATCH(C512,'Account executives'!$A$2:$A$25,0))</f>
        <v>amer_east</v>
      </c>
      <c r="W512" s="0" t="str">
        <f>INDEX('Account executives'!$C$2:$C$25,MATCH(C512,'Account executives'!$A$2:$A$25,0))</f>
        <v>smb</v>
      </c>
      <c r="X512" s="0" t="str">
        <f>SUBSTITUTE(LOWER(INDEX('Periods'!$G$2:$G$22,MATCH(N512,'Periods'!$A$2:$A$22,0)))," ","_")</f>
        <v>q4_2025</v>
      </c>
    </row>
    <row r="513">
      <c r="A513" s="0" t="inlineStr">
        <is>
          <t xml:space="preserve">o0512</t>
        </is>
      </c>
      <c r="B513" s="0" t="inlineStr">
        <is>
          <t xml:space="preserve">a0008</t>
        </is>
      </c>
      <c r="C513" s="0" t="inlineStr">
        <is>
          <t xml:space="preserve">r05</t>
        </is>
      </c>
      <c r="D513" s="0" t="inlineStr">
        <is>
          <t xml:space="preserve">s_amer_east_in</t>
        </is>
      </c>
      <c r="E513" s="0" t="inlineStr">
        <is>
          <t xml:space="preserve">inbound</t>
        </is>
      </c>
      <c r="F513" s="0" t="inlineStr">
        <is>
          <t xml:space="preserve">closed_lost</t>
        </is>
      </c>
      <c r="G513" s="4">
        <v>1</v>
      </c>
      <c r="H513" s="4">
        <v>9000</v>
      </c>
      <c r="I513" s="4">
        <v>1</v>
      </c>
      <c r="J513" s="4">
        <v>0</v>
      </c>
      <c r="K513" s="16">
        <v>45768</v>
      </c>
      <c r="L513" s="16">
        <v>45789</v>
      </c>
      <c r="M513" s="0" t="inlineStr">
        <is>
          <t xml:space="preserve">apr25</t>
        </is>
      </c>
      <c r="N513" s="0" t="inlineStr">
        <is>
          <t xml:space="preserve">may25</t>
        </is>
      </c>
      <c r="O513" s="4">
        <v>21</v>
      </c>
      <c r="P513" s="4">
        <v>0</v>
      </c>
      <c r="Q513" s="4">
        <v>1</v>
      </c>
      <c r="R513" s="4">
        <v>0</v>
      </c>
      <c r="S513" s="4">
        <f>(H513*INDEX('Stages'!$D$2:$D$7,MATCH(F513,'Stages'!$A$2:$A$7,0)))</f>
        <v>0</v>
      </c>
      <c r="T513" s="4">
        <f>(H513*I513)</f>
        <v>9000</v>
      </c>
      <c r="U513" s="4">
        <f>(H513*(I513-1))</f>
        <v>0</v>
      </c>
      <c r="V513" s="0" t="str">
        <f>INDEX('Account executives'!$B$2:$B$25,MATCH(C513,'Account executives'!$A$2:$A$25,0))</f>
        <v>amer_east</v>
      </c>
      <c r="W513" s="0" t="str">
        <f>INDEX('Account executives'!$C$2:$C$25,MATCH(C513,'Account executives'!$A$2:$A$25,0))</f>
        <v>smb</v>
      </c>
      <c r="X513" s="0" t="str">
        <f>SUBSTITUTE(LOWER(INDEX('Periods'!$G$2:$G$22,MATCH(N513,'Periods'!$A$2:$A$22,0)))," ","_")</f>
        <v>q2_2025</v>
      </c>
    </row>
    <row r="514">
      <c r="A514" s="0" t="inlineStr">
        <is>
          <t xml:space="preserve">o0513</t>
        </is>
      </c>
      <c r="B514" s="0" t="inlineStr">
        <is>
          <t xml:space="preserve">a0127</t>
        </is>
      </c>
      <c r="C514" s="0" t="inlineStr">
        <is>
          <t xml:space="preserve">r18</t>
        </is>
      </c>
      <c r="D514" s="0"/>
      <c r="E514" s="0" t="inlineStr">
        <is>
          <t xml:space="preserve">events</t>
        </is>
      </c>
      <c r="F514" s="0" t="inlineStr">
        <is>
          <t xml:space="preserve">closed_won</t>
        </is>
      </c>
      <c r="G514" s="4">
        <v>1</v>
      </c>
      <c r="H514" s="4">
        <v>12100</v>
      </c>
      <c r="I514" s="4">
        <v>1</v>
      </c>
      <c r="J514" s="4">
        <v>0</v>
      </c>
      <c r="K514" s="16">
        <v>45793</v>
      </c>
      <c r="L514" s="16">
        <v>45831</v>
      </c>
      <c r="M514" s="0" t="inlineStr">
        <is>
          <t xml:space="preserve">may25</t>
        </is>
      </c>
      <c r="N514" s="0" t="inlineStr">
        <is>
          <t xml:space="preserve">jun25</t>
        </is>
      </c>
      <c r="O514" s="4">
        <v>38</v>
      </c>
      <c r="P514" s="4">
        <v>1</v>
      </c>
      <c r="Q514" s="4">
        <v>0</v>
      </c>
      <c r="R514" s="4">
        <v>0</v>
      </c>
      <c r="S514" s="4">
        <f>(H514*INDEX('Stages'!$D$2:$D$7,MATCH(F514,'Stages'!$A$2:$A$7,0)))</f>
        <v>12100</v>
      </c>
      <c r="T514" s="4">
        <f>(H514*I514)</f>
        <v>12100</v>
      </c>
      <c r="U514" s="4">
        <f>(H514*(I514-1))</f>
        <v>0</v>
      </c>
      <c r="V514" s="0" t="str">
        <f>INDEX('Account executives'!$B$2:$B$25,MATCH(C514,'Account executives'!$A$2:$A$25,0))</f>
        <v>emea</v>
      </c>
      <c r="W514" s="0" t="str">
        <f>INDEX('Account executives'!$C$2:$C$25,MATCH(C514,'Account executives'!$A$2:$A$25,0))</f>
        <v>smb</v>
      </c>
      <c r="X514" s="0" t="str">
        <f>SUBSTITUTE(LOWER(INDEX('Periods'!$G$2:$G$22,MATCH(N514,'Periods'!$A$2:$A$22,0)))," ","_")</f>
        <v>q2_2025</v>
      </c>
    </row>
    <row r="515">
      <c r="A515" s="0" t="inlineStr">
        <is>
          <t xml:space="preserve">o0514</t>
        </is>
      </c>
      <c r="B515" s="0" t="inlineStr">
        <is>
          <t xml:space="preserve">a0206</t>
        </is>
      </c>
      <c r="C515" s="0" t="inlineStr">
        <is>
          <t xml:space="preserve">r15</t>
        </is>
      </c>
      <c r="D515" s="0" t="inlineStr">
        <is>
          <t xml:space="preserve">s_emea_in</t>
        </is>
      </c>
      <c r="E515" s="0" t="inlineStr">
        <is>
          <t xml:space="preserve">inbound</t>
        </is>
      </c>
      <c r="F515" s="0" t="inlineStr">
        <is>
          <t xml:space="preserve">closed_lost</t>
        </is>
      </c>
      <c r="G515" s="4">
        <v>0</v>
      </c>
      <c r="H515" s="4">
        <v>21100</v>
      </c>
      <c r="I515" s="4">
        <v>1</v>
      </c>
      <c r="J515" s="4">
        <v>0</v>
      </c>
      <c r="K515" s="16">
        <v>45917</v>
      </c>
      <c r="L515" s="16">
        <v>45980</v>
      </c>
      <c r="M515" s="0" t="inlineStr">
        <is>
          <t xml:space="preserve">sep25</t>
        </is>
      </c>
      <c r="N515" s="0" t="inlineStr">
        <is>
          <t xml:space="preserve">nov25</t>
        </is>
      </c>
      <c r="O515" s="4">
        <v>63</v>
      </c>
      <c r="P515" s="4">
        <v>0</v>
      </c>
      <c r="Q515" s="4">
        <v>1</v>
      </c>
      <c r="R515" s="4">
        <v>0</v>
      </c>
      <c r="S515" s="4">
        <f>(H515*INDEX('Stages'!$D$2:$D$7,MATCH(F515,'Stages'!$A$2:$A$7,0)))</f>
        <v>0</v>
      </c>
      <c r="T515" s="4">
        <f>(H515*I515)</f>
        <v>21100</v>
      </c>
      <c r="U515" s="4">
        <f>(H515*(I515-1))</f>
        <v>0</v>
      </c>
      <c r="V515" s="0" t="str">
        <f>INDEX('Account executives'!$B$2:$B$25,MATCH(C515,'Account executives'!$A$2:$A$25,0))</f>
        <v>emea</v>
      </c>
      <c r="W515" s="0" t="str">
        <f>INDEX('Account executives'!$C$2:$C$25,MATCH(C515,'Account executives'!$A$2:$A$25,0))</f>
        <v>mid_market</v>
      </c>
      <c r="X515" s="0" t="str">
        <f>SUBSTITUTE(LOWER(INDEX('Periods'!$G$2:$G$22,MATCH(N515,'Periods'!$A$2:$A$22,0)))," ","_")</f>
        <v>q4_2025</v>
      </c>
    </row>
    <row r="516">
      <c r="A516" s="0" t="inlineStr">
        <is>
          <t xml:space="preserve">o0515</t>
        </is>
      </c>
      <c r="B516" s="0" t="inlineStr">
        <is>
          <t xml:space="preserve">a0155</t>
        </is>
      </c>
      <c r="C516" s="0" t="inlineStr">
        <is>
          <t xml:space="preserve">r06</t>
        </is>
      </c>
      <c r="D516" s="0" t="inlineStr">
        <is>
          <t xml:space="preserve">s_amer_east_in</t>
        </is>
      </c>
      <c r="E516" s="0" t="inlineStr">
        <is>
          <t xml:space="preserve">inbound</t>
        </is>
      </c>
      <c r="F516" s="0" t="inlineStr">
        <is>
          <t xml:space="preserve">closed_won</t>
        </is>
      </c>
      <c r="G516" s="4">
        <v>1</v>
      </c>
      <c r="H516" s="4">
        <v>7800</v>
      </c>
      <c r="I516" s="4">
        <v>1</v>
      </c>
      <c r="J516" s="4">
        <v>0</v>
      </c>
      <c r="K516" s="16">
        <v>45832</v>
      </c>
      <c r="L516" s="16">
        <v>45864</v>
      </c>
      <c r="M516" s="0" t="inlineStr">
        <is>
          <t xml:space="preserve">jun25</t>
        </is>
      </c>
      <c r="N516" s="0" t="inlineStr">
        <is>
          <t xml:space="preserve">jul25</t>
        </is>
      </c>
      <c r="O516" s="4">
        <v>32</v>
      </c>
      <c r="P516" s="4">
        <v>1</v>
      </c>
      <c r="Q516" s="4">
        <v>0</v>
      </c>
      <c r="R516" s="4">
        <v>0</v>
      </c>
      <c r="S516" s="4">
        <f>(H516*INDEX('Stages'!$D$2:$D$7,MATCH(F516,'Stages'!$A$2:$A$7,0)))</f>
        <v>7800</v>
      </c>
      <c r="T516" s="4">
        <f>(H516*I516)</f>
        <v>7800</v>
      </c>
      <c r="U516" s="4">
        <f>(H516*(I516-1))</f>
        <v>0</v>
      </c>
      <c r="V516" s="0" t="str">
        <f>INDEX('Account executives'!$B$2:$B$25,MATCH(C516,'Account executives'!$A$2:$A$25,0))</f>
        <v>amer_east</v>
      </c>
      <c r="W516" s="0" t="str">
        <f>INDEX('Account executives'!$C$2:$C$25,MATCH(C516,'Account executives'!$A$2:$A$25,0))</f>
        <v>smb</v>
      </c>
      <c r="X516" s="0" t="str">
        <f>SUBSTITUTE(LOWER(INDEX('Periods'!$G$2:$G$22,MATCH(N516,'Periods'!$A$2:$A$22,0)))," ","_")</f>
        <v>q3_2025</v>
      </c>
    </row>
    <row r="517">
      <c r="A517" s="0" t="inlineStr">
        <is>
          <t xml:space="preserve">o0516</t>
        </is>
      </c>
      <c r="B517" s="0" t="inlineStr">
        <is>
          <t xml:space="preserve">a0448</t>
        </is>
      </c>
      <c r="C517" s="0" t="inlineStr">
        <is>
          <t xml:space="preserve">r13</t>
        </is>
      </c>
      <c r="D517" s="0" t="inlineStr">
        <is>
          <t xml:space="preserve">s_emea_in</t>
        </is>
      </c>
      <c r="E517" s="0" t="inlineStr">
        <is>
          <t xml:space="preserve">inbound</t>
        </is>
      </c>
      <c r="F517" s="0" t="inlineStr">
        <is>
          <t xml:space="preserve">closed_won</t>
        </is>
      </c>
      <c r="G517" s="4">
        <v>1</v>
      </c>
      <c r="H517" s="4">
        <v>32700</v>
      </c>
      <c r="I517" s="4">
        <v>2</v>
      </c>
      <c r="J517" s="4">
        <v>1</v>
      </c>
      <c r="K517" s="16">
        <v>45951</v>
      </c>
      <c r="L517" s="16">
        <v>46047</v>
      </c>
      <c r="M517" s="0" t="inlineStr">
        <is>
          <t xml:space="preserve">oct25</t>
        </is>
      </c>
      <c r="N517" s="0" t="inlineStr">
        <is>
          <t xml:space="preserve">jan26</t>
        </is>
      </c>
      <c r="O517" s="4">
        <v>96</v>
      </c>
      <c r="P517" s="4">
        <v>1</v>
      </c>
      <c r="Q517" s="4">
        <v>0</v>
      </c>
      <c r="R517" s="4">
        <v>0</v>
      </c>
      <c r="S517" s="4">
        <f>(H517*INDEX('Stages'!$D$2:$D$7,MATCH(F517,'Stages'!$A$2:$A$7,0)))</f>
        <v>32700</v>
      </c>
      <c r="T517" s="4">
        <f>(H517*I517)</f>
        <v>65400</v>
      </c>
      <c r="U517" s="4">
        <f>(H517*(I517-1))</f>
        <v>32700</v>
      </c>
      <c r="V517" s="0" t="str">
        <f>INDEX('Account executives'!$B$2:$B$25,MATCH(C517,'Account executives'!$A$2:$A$25,0))</f>
        <v>emea</v>
      </c>
      <c r="W517" s="0" t="str">
        <f>INDEX('Account executives'!$C$2:$C$25,MATCH(C517,'Account executives'!$A$2:$A$25,0))</f>
        <v>enterprise</v>
      </c>
      <c r="X517" s="0" t="str">
        <f>SUBSTITUTE(LOWER(INDEX('Periods'!$G$2:$G$22,MATCH(N517,'Periods'!$A$2:$A$22,0)))," ","_")</f>
        <v>q1_2026</v>
      </c>
    </row>
    <row r="518">
      <c r="A518" s="0" t="inlineStr">
        <is>
          <t xml:space="preserve">o0517</t>
        </is>
      </c>
      <c r="B518" s="0" t="inlineStr">
        <is>
          <t xml:space="preserve">a0076</t>
        </is>
      </c>
      <c r="C518" s="0" t="inlineStr">
        <is>
          <t xml:space="preserve">r06</t>
        </is>
      </c>
      <c r="D518" s="0"/>
      <c r="E518" s="0" t="inlineStr">
        <is>
          <t xml:space="preserve">events</t>
        </is>
      </c>
      <c r="F518" s="0" t="inlineStr">
        <is>
          <t xml:space="preserve">closed_lost</t>
        </is>
      </c>
      <c r="G518" s="4">
        <v>1</v>
      </c>
      <c r="H518" s="4">
        <v>12100</v>
      </c>
      <c r="I518" s="4">
        <v>1</v>
      </c>
      <c r="J518" s="4">
        <v>0</v>
      </c>
      <c r="K518" s="16">
        <v>45790</v>
      </c>
      <c r="L518" s="16">
        <v>45812</v>
      </c>
      <c r="M518" s="0" t="inlineStr">
        <is>
          <t xml:space="preserve">may25</t>
        </is>
      </c>
      <c r="N518" s="0" t="inlineStr">
        <is>
          <t xml:space="preserve">jun25</t>
        </is>
      </c>
      <c r="O518" s="4">
        <v>22</v>
      </c>
      <c r="P518" s="4">
        <v>0</v>
      </c>
      <c r="Q518" s="4">
        <v>1</v>
      </c>
      <c r="R518" s="4">
        <v>0</v>
      </c>
      <c r="S518" s="4">
        <f>(H518*INDEX('Stages'!$D$2:$D$7,MATCH(F518,'Stages'!$A$2:$A$7,0)))</f>
        <v>0</v>
      </c>
      <c r="T518" s="4">
        <f>(H518*I518)</f>
        <v>12100</v>
      </c>
      <c r="U518" s="4">
        <f>(H518*(I518-1))</f>
        <v>0</v>
      </c>
      <c r="V518" s="0" t="str">
        <f>INDEX('Account executives'!$B$2:$B$25,MATCH(C518,'Account executives'!$A$2:$A$25,0))</f>
        <v>amer_east</v>
      </c>
      <c r="W518" s="0" t="str">
        <f>INDEX('Account executives'!$C$2:$C$25,MATCH(C518,'Account executives'!$A$2:$A$25,0))</f>
        <v>smb</v>
      </c>
      <c r="X518" s="0" t="str">
        <f>SUBSTITUTE(LOWER(INDEX('Periods'!$G$2:$G$22,MATCH(N518,'Periods'!$A$2:$A$22,0)))," ","_")</f>
        <v>q2_2025</v>
      </c>
    </row>
    <row r="519">
      <c r="A519" s="0" t="inlineStr">
        <is>
          <t xml:space="preserve">o0518</t>
        </is>
      </c>
      <c r="B519" s="0" t="inlineStr">
        <is>
          <t xml:space="preserve">a0631</t>
        </is>
      </c>
      <c r="C519" s="0" t="inlineStr">
        <is>
          <t xml:space="preserve">r08</t>
        </is>
      </c>
      <c r="D519" s="0"/>
      <c r="E519" s="0" t="inlineStr">
        <is>
          <t xml:space="preserve">partner</t>
        </is>
      </c>
      <c r="F519" s="0" t="inlineStr">
        <is>
          <t xml:space="preserve">closed_won</t>
        </is>
      </c>
      <c r="G519" s="4">
        <v>1</v>
      </c>
      <c r="H519" s="4">
        <v>39500</v>
      </c>
      <c r="I519" s="4">
        <v>2</v>
      </c>
      <c r="J519" s="4">
        <v>0</v>
      </c>
      <c r="K519" s="16">
        <v>46048</v>
      </c>
      <c r="L519" s="16">
        <v>46201</v>
      </c>
      <c r="M519" s="0" t="inlineStr">
        <is>
          <t xml:space="preserve">jan26</t>
        </is>
      </c>
      <c r="N519" s="0" t="inlineStr">
        <is>
          <t xml:space="preserve">jun26</t>
        </is>
      </c>
      <c r="O519" s="4">
        <v>153</v>
      </c>
      <c r="P519" s="4">
        <v>1</v>
      </c>
      <c r="Q519" s="4">
        <v>0</v>
      </c>
      <c r="R519" s="4">
        <v>0</v>
      </c>
      <c r="S519" s="4">
        <f>(H519*INDEX('Stages'!$D$2:$D$7,MATCH(F519,'Stages'!$A$2:$A$7,0)))</f>
        <v>39500</v>
      </c>
      <c r="T519" s="4">
        <f>(H519*I519)</f>
        <v>79000</v>
      </c>
      <c r="U519" s="4">
        <f>(H519*(I519-1))</f>
        <v>39500</v>
      </c>
      <c r="V519" s="0" t="str">
        <f>INDEX('Account executives'!$B$2:$B$25,MATCH(C519,'Account executives'!$A$2:$A$25,0))</f>
        <v>amer_west</v>
      </c>
      <c r="W519" s="0" t="str">
        <f>INDEX('Account executives'!$C$2:$C$25,MATCH(C519,'Account executives'!$A$2:$A$25,0))</f>
        <v>enterprise</v>
      </c>
      <c r="X519" s="0" t="str">
        <f>SUBSTITUTE(LOWER(INDEX('Periods'!$G$2:$G$22,MATCH(N519,'Periods'!$A$2:$A$22,0)))," ","_")</f>
        <v>q2_2026</v>
      </c>
    </row>
    <row r="520">
      <c r="A520" s="0" t="inlineStr">
        <is>
          <t xml:space="preserve">o0519</t>
        </is>
      </c>
      <c r="B520" s="0" t="inlineStr">
        <is>
          <t xml:space="preserve">a1240</t>
        </is>
      </c>
      <c r="C520" s="0" t="inlineStr">
        <is>
          <t xml:space="preserve">r12</t>
        </is>
      </c>
      <c r="D520" s="0"/>
      <c r="E520" s="0" t="inlineStr">
        <is>
          <t xml:space="preserve">partner</t>
        </is>
      </c>
      <c r="F520" s="0" t="inlineStr">
        <is>
          <t xml:space="preserve">discovery</t>
        </is>
      </c>
      <c r="G520" s="4">
        <v>1</v>
      </c>
      <c r="H520" s="4">
        <v>9100</v>
      </c>
      <c r="I520" s="4">
        <v>1</v>
      </c>
      <c r="J520" s="4">
        <v>0</v>
      </c>
      <c r="K520" s="16">
        <v>46283</v>
      </c>
      <c r="L520" s="16">
        <v>46293</v>
      </c>
      <c r="M520" s="0" t="inlineStr">
        <is>
          <t xml:space="preserve">sep26</t>
        </is>
      </c>
      <c r="N520" s="0" t="inlineStr">
        <is>
          <t xml:space="preserve">sep26</t>
        </is>
      </c>
      <c r="O520" s="4">
        <v>15</v>
      </c>
      <c r="P520" s="4">
        <v>0</v>
      </c>
      <c r="Q520" s="4">
        <v>0</v>
      </c>
      <c r="R520" s="4">
        <v>1</v>
      </c>
      <c r="S520" s="4">
        <f>(H520*INDEX('Stages'!$D$2:$D$7,MATCH(F520,'Stages'!$A$2:$A$7,0)))</f>
        <v>910</v>
      </c>
      <c r="T520" s="4">
        <f>(H520*I520)</f>
        <v>9100</v>
      </c>
      <c r="U520" s="4">
        <f>(H520*(I520-1))</f>
        <v>0</v>
      </c>
      <c r="V520" s="0" t="str">
        <f>INDEX('Account executives'!$B$2:$B$25,MATCH(C520,'Account executives'!$A$2:$A$25,0))</f>
        <v>amer_west</v>
      </c>
      <c r="W520" s="0" t="str">
        <f>INDEX('Account executives'!$C$2:$C$25,MATCH(C520,'Account executives'!$A$2:$A$25,0))</f>
        <v>smb</v>
      </c>
      <c r="X520" s="0" t="str">
        <f>SUBSTITUTE(LOWER(INDEX('Periods'!$G$2:$G$22,MATCH(N520,'Periods'!$A$2:$A$22,0)))," ","_")</f>
        <v>q3_2026</v>
      </c>
    </row>
    <row r="521">
      <c r="A521" s="0" t="inlineStr">
        <is>
          <t xml:space="preserve">o0520</t>
        </is>
      </c>
      <c r="B521" s="0" t="inlineStr">
        <is>
          <t xml:space="preserve">a0532</t>
        </is>
      </c>
      <c r="C521" s="0" t="inlineStr">
        <is>
          <t xml:space="preserve">r24</t>
        </is>
      </c>
      <c r="D521" s="0"/>
      <c r="E521" s="0" t="inlineStr">
        <is>
          <t xml:space="preserve">partner</t>
        </is>
      </c>
      <c r="F521" s="0" t="inlineStr">
        <is>
          <t xml:space="preserve">closed_won</t>
        </is>
      </c>
      <c r="G521" s="4">
        <v>0</v>
      </c>
      <c r="H521" s="4">
        <v>27400</v>
      </c>
      <c r="I521" s="4">
        <v>1</v>
      </c>
      <c r="J521" s="4">
        <v>0</v>
      </c>
      <c r="K521" s="16">
        <v>46134</v>
      </c>
      <c r="L521" s="16">
        <v>46174</v>
      </c>
      <c r="M521" s="0" t="inlineStr">
        <is>
          <t xml:space="preserve">apr26</t>
        </is>
      </c>
      <c r="N521" s="0" t="inlineStr">
        <is>
          <t xml:space="preserve">jun26</t>
        </is>
      </c>
      <c r="O521" s="4">
        <v>40</v>
      </c>
      <c r="P521" s="4">
        <v>1</v>
      </c>
      <c r="Q521" s="4">
        <v>0</v>
      </c>
      <c r="R521" s="4">
        <v>0</v>
      </c>
      <c r="S521" s="4">
        <f>(H521*INDEX('Stages'!$D$2:$D$7,MATCH(F521,'Stages'!$A$2:$A$7,0)))</f>
        <v>27400</v>
      </c>
      <c r="T521" s="4">
        <f>(H521*I521)</f>
        <v>27400</v>
      </c>
      <c r="U521" s="4">
        <f>(H521*(I521-1))</f>
        <v>0</v>
      </c>
      <c r="V521" s="0" t="str">
        <f>INDEX('Account executives'!$B$2:$B$25,MATCH(C521,'Account executives'!$A$2:$A$25,0))</f>
        <v>apac</v>
      </c>
      <c r="W521" s="0" t="str">
        <f>INDEX('Account executives'!$C$2:$C$25,MATCH(C521,'Account executives'!$A$2:$A$25,0))</f>
        <v>smb</v>
      </c>
      <c r="X521" s="0" t="str">
        <f>SUBSTITUTE(LOWER(INDEX('Periods'!$G$2:$G$22,MATCH(N521,'Periods'!$A$2:$A$22,0)))," ","_")</f>
        <v>q2_2026</v>
      </c>
    </row>
    <row r="522">
      <c r="A522" s="0" t="inlineStr">
        <is>
          <t xml:space="preserve">o0521</t>
        </is>
      </c>
      <c r="B522" s="0" t="inlineStr">
        <is>
          <t xml:space="preserve">a0426</t>
        </is>
      </c>
      <c r="C522" s="0" t="inlineStr">
        <is>
          <t xml:space="preserve">r05</t>
        </is>
      </c>
      <c r="D522" s="0" t="inlineStr">
        <is>
          <t xml:space="preserve">s_amer_east_out</t>
        </is>
      </c>
      <c r="E522" s="0" t="inlineStr">
        <is>
          <t xml:space="preserve">outbound</t>
        </is>
      </c>
      <c r="F522" s="0" t="inlineStr">
        <is>
          <t xml:space="preserve">closed_lost</t>
        </is>
      </c>
      <c r="G522" s="4">
        <v>1</v>
      </c>
      <c r="H522" s="4">
        <v>9100</v>
      </c>
      <c r="I522" s="4">
        <v>2</v>
      </c>
      <c r="J522" s="4">
        <v>0</v>
      </c>
      <c r="K522" s="16">
        <v>45958</v>
      </c>
      <c r="L522" s="16">
        <v>46002</v>
      </c>
      <c r="M522" s="0" t="inlineStr">
        <is>
          <t xml:space="preserve">oct25</t>
        </is>
      </c>
      <c r="N522" s="0" t="inlineStr">
        <is>
          <t xml:space="preserve">dec25</t>
        </is>
      </c>
      <c r="O522" s="4">
        <v>44</v>
      </c>
      <c r="P522" s="4">
        <v>0</v>
      </c>
      <c r="Q522" s="4">
        <v>1</v>
      </c>
      <c r="R522" s="4">
        <v>0</v>
      </c>
      <c r="S522" s="4">
        <f>(H522*INDEX('Stages'!$D$2:$D$7,MATCH(F522,'Stages'!$A$2:$A$7,0)))</f>
        <v>0</v>
      </c>
      <c r="T522" s="4">
        <f>(H522*I522)</f>
        <v>18200</v>
      </c>
      <c r="U522" s="4">
        <f>(H522*(I522-1))</f>
        <v>9100</v>
      </c>
      <c r="V522" s="0" t="str">
        <f>INDEX('Account executives'!$B$2:$B$25,MATCH(C522,'Account executives'!$A$2:$A$25,0))</f>
        <v>amer_east</v>
      </c>
      <c r="W522" s="0" t="str">
        <f>INDEX('Account executives'!$C$2:$C$25,MATCH(C522,'Account executives'!$A$2:$A$25,0))</f>
        <v>smb</v>
      </c>
      <c r="X522" s="0" t="str">
        <f>SUBSTITUTE(LOWER(INDEX('Periods'!$G$2:$G$22,MATCH(N522,'Periods'!$A$2:$A$22,0)))," ","_")</f>
        <v>q4_2025</v>
      </c>
    </row>
    <row r="523">
      <c r="A523" s="0" t="inlineStr">
        <is>
          <t xml:space="preserve">o0522</t>
        </is>
      </c>
      <c r="B523" s="0" t="inlineStr">
        <is>
          <t xml:space="preserve">a1023</t>
        </is>
      </c>
      <c r="C523" s="0" t="inlineStr">
        <is>
          <t xml:space="preserve">r17</t>
        </is>
      </c>
      <c r="D523" s="0"/>
      <c r="E523" s="0" t="inlineStr">
        <is>
          <t xml:space="preserve">events</t>
        </is>
      </c>
      <c r="F523" s="0" t="inlineStr">
        <is>
          <t xml:space="preserve">closed_won</t>
        </is>
      </c>
      <c r="G523" s="4">
        <v>1</v>
      </c>
      <c r="H523" s="4">
        <v>18400</v>
      </c>
      <c r="I523" s="4">
        <v>1</v>
      </c>
      <c r="J523" s="4">
        <v>0</v>
      </c>
      <c r="K523" s="16">
        <v>46194</v>
      </c>
      <c r="L523" s="16">
        <v>46230</v>
      </c>
      <c r="M523" s="0" t="inlineStr">
        <is>
          <t xml:space="preserve">jun26</t>
        </is>
      </c>
      <c r="N523" s="0" t="inlineStr">
        <is>
          <t xml:space="preserve">jul26</t>
        </is>
      </c>
      <c r="O523" s="4">
        <v>36</v>
      </c>
      <c r="P523" s="4">
        <v>1</v>
      </c>
      <c r="Q523" s="4">
        <v>0</v>
      </c>
      <c r="R523" s="4">
        <v>0</v>
      </c>
      <c r="S523" s="4">
        <f>(H523*INDEX('Stages'!$D$2:$D$7,MATCH(F523,'Stages'!$A$2:$A$7,0)))</f>
        <v>18400</v>
      </c>
      <c r="T523" s="4">
        <f>(H523*I523)</f>
        <v>18400</v>
      </c>
      <c r="U523" s="4">
        <f>(H523*(I523-1))</f>
        <v>0</v>
      </c>
      <c r="V523" s="0" t="str">
        <f>INDEX('Account executives'!$B$2:$B$25,MATCH(C523,'Account executives'!$A$2:$A$25,0))</f>
        <v>emea</v>
      </c>
      <c r="W523" s="0" t="str">
        <f>INDEX('Account executives'!$C$2:$C$25,MATCH(C523,'Account executives'!$A$2:$A$25,0))</f>
        <v>smb</v>
      </c>
      <c r="X523" s="0" t="str">
        <f>SUBSTITUTE(LOWER(INDEX('Periods'!$G$2:$G$22,MATCH(N523,'Periods'!$A$2:$A$22,0)))," ","_")</f>
        <v>q3_2026</v>
      </c>
    </row>
    <row r="524">
      <c r="A524" s="0" t="inlineStr">
        <is>
          <t xml:space="preserve">o0523</t>
        </is>
      </c>
      <c r="B524" s="0" t="inlineStr">
        <is>
          <t xml:space="preserve">a0534</t>
        </is>
      </c>
      <c r="C524" s="0" t="inlineStr">
        <is>
          <t xml:space="preserve">r19</t>
        </is>
      </c>
      <c r="D524" s="0"/>
      <c r="E524" s="0" t="inlineStr">
        <is>
          <t xml:space="preserve">referral</t>
        </is>
      </c>
      <c r="F524" s="0" t="inlineStr">
        <is>
          <t xml:space="preserve">closed_lost</t>
        </is>
      </c>
      <c r="G524" s="4">
        <v>1</v>
      </c>
      <c r="H524" s="4">
        <v>124200</v>
      </c>
      <c r="I524" s="4">
        <v>1</v>
      </c>
      <c r="J524" s="4">
        <v>0</v>
      </c>
      <c r="K524" s="16">
        <v>45983</v>
      </c>
      <c r="L524" s="16">
        <v>46086</v>
      </c>
      <c r="M524" s="0" t="inlineStr">
        <is>
          <t xml:space="preserve">nov25</t>
        </is>
      </c>
      <c r="N524" s="0" t="inlineStr">
        <is>
          <t xml:space="preserve">mar26</t>
        </is>
      </c>
      <c r="O524" s="4">
        <v>103</v>
      </c>
      <c r="P524" s="4">
        <v>0</v>
      </c>
      <c r="Q524" s="4">
        <v>1</v>
      </c>
      <c r="R524" s="4">
        <v>0</v>
      </c>
      <c r="S524" s="4">
        <f>(H524*INDEX('Stages'!$D$2:$D$7,MATCH(F524,'Stages'!$A$2:$A$7,0)))</f>
        <v>0</v>
      </c>
      <c r="T524" s="4">
        <f>(H524*I524)</f>
        <v>124200</v>
      </c>
      <c r="U524" s="4">
        <f>(H524*(I524-1))</f>
        <v>0</v>
      </c>
      <c r="V524" s="0" t="str">
        <f>INDEX('Account executives'!$B$2:$B$25,MATCH(C524,'Account executives'!$A$2:$A$25,0))</f>
        <v>apac</v>
      </c>
      <c r="W524" s="0" t="str">
        <f>INDEX('Account executives'!$C$2:$C$25,MATCH(C524,'Account executives'!$A$2:$A$25,0))</f>
        <v>enterprise</v>
      </c>
      <c r="X524" s="0" t="str">
        <f>SUBSTITUTE(LOWER(INDEX('Periods'!$G$2:$G$22,MATCH(N524,'Periods'!$A$2:$A$22,0)))," ","_")</f>
        <v>q1_2026</v>
      </c>
    </row>
    <row r="525">
      <c r="A525" s="0" t="inlineStr">
        <is>
          <t xml:space="preserve">o0524</t>
        </is>
      </c>
      <c r="B525" s="0" t="inlineStr">
        <is>
          <t xml:space="preserve">a0821</t>
        </is>
      </c>
      <c r="C525" s="0" t="inlineStr">
        <is>
          <t xml:space="preserve">r06</t>
        </is>
      </c>
      <c r="D525" s="0" t="inlineStr">
        <is>
          <t xml:space="preserve">s_amer_east_in</t>
        </is>
      </c>
      <c r="E525" s="0" t="inlineStr">
        <is>
          <t xml:space="preserve">inbound</t>
        </is>
      </c>
      <c r="F525" s="0" t="inlineStr">
        <is>
          <t xml:space="preserve">closed_won</t>
        </is>
      </c>
      <c r="G525" s="4">
        <v>1</v>
      </c>
      <c r="H525" s="4">
        <v>12700</v>
      </c>
      <c r="I525" s="4">
        <v>1</v>
      </c>
      <c r="J525" s="4">
        <v>1</v>
      </c>
      <c r="K525" s="16">
        <v>46125</v>
      </c>
      <c r="L525" s="16">
        <v>46154</v>
      </c>
      <c r="M525" s="0" t="inlineStr">
        <is>
          <t xml:space="preserve">apr26</t>
        </is>
      </c>
      <c r="N525" s="0" t="inlineStr">
        <is>
          <t xml:space="preserve">may26</t>
        </is>
      </c>
      <c r="O525" s="4">
        <v>29</v>
      </c>
      <c r="P525" s="4">
        <v>1</v>
      </c>
      <c r="Q525" s="4">
        <v>0</v>
      </c>
      <c r="R525" s="4">
        <v>0</v>
      </c>
      <c r="S525" s="4">
        <f>(H525*INDEX('Stages'!$D$2:$D$7,MATCH(F525,'Stages'!$A$2:$A$7,0)))</f>
        <v>12700</v>
      </c>
      <c r="T525" s="4">
        <f>(H525*I525)</f>
        <v>12700</v>
      </c>
      <c r="U525" s="4">
        <f>(H525*(I525-1))</f>
        <v>0</v>
      </c>
      <c r="V525" s="0" t="str">
        <f>INDEX('Account executives'!$B$2:$B$25,MATCH(C525,'Account executives'!$A$2:$A$25,0))</f>
        <v>amer_east</v>
      </c>
      <c r="W525" s="0" t="str">
        <f>INDEX('Account executives'!$C$2:$C$25,MATCH(C525,'Account executives'!$A$2:$A$25,0))</f>
        <v>smb</v>
      </c>
      <c r="X525" s="0" t="str">
        <f>SUBSTITUTE(LOWER(INDEX('Periods'!$G$2:$G$22,MATCH(N525,'Periods'!$A$2:$A$22,0)))," ","_")</f>
        <v>q2_2026</v>
      </c>
    </row>
    <row r="526">
      <c r="A526" s="0" t="inlineStr">
        <is>
          <t xml:space="preserve">o0525</t>
        </is>
      </c>
      <c r="B526" s="0" t="inlineStr">
        <is>
          <t xml:space="preserve">a0753</t>
        </is>
      </c>
      <c r="C526" s="0" t="inlineStr">
        <is>
          <t xml:space="preserve">r09</t>
        </is>
      </c>
      <c r="D526" s="0" t="inlineStr">
        <is>
          <t xml:space="preserve">s_amer_west_in</t>
        </is>
      </c>
      <c r="E526" s="0" t="inlineStr">
        <is>
          <t xml:space="preserve">inbound</t>
        </is>
      </c>
      <c r="F526" s="0" t="inlineStr">
        <is>
          <t xml:space="preserve">closed_lost</t>
        </is>
      </c>
      <c r="G526" s="4">
        <v>1</v>
      </c>
      <c r="H526" s="4">
        <v>83000</v>
      </c>
      <c r="I526" s="4">
        <v>2</v>
      </c>
      <c r="J526" s="4">
        <v>0</v>
      </c>
      <c r="K526" s="16">
        <v>46086</v>
      </c>
      <c r="L526" s="16">
        <v>46124</v>
      </c>
      <c r="M526" s="0" t="inlineStr">
        <is>
          <t xml:space="preserve">mar26</t>
        </is>
      </c>
      <c r="N526" s="0" t="inlineStr">
        <is>
          <t xml:space="preserve">apr26</t>
        </is>
      </c>
      <c r="O526" s="4">
        <v>38</v>
      </c>
      <c r="P526" s="4">
        <v>0</v>
      </c>
      <c r="Q526" s="4">
        <v>1</v>
      </c>
      <c r="R526" s="4">
        <v>0</v>
      </c>
      <c r="S526" s="4">
        <f>(H526*INDEX('Stages'!$D$2:$D$7,MATCH(F526,'Stages'!$A$2:$A$7,0)))</f>
        <v>0</v>
      </c>
      <c r="T526" s="4">
        <f>(H526*I526)</f>
        <v>166000</v>
      </c>
      <c r="U526" s="4">
        <f>(H526*(I526-1))</f>
        <v>83000</v>
      </c>
      <c r="V526" s="0" t="str">
        <f>INDEX('Account executives'!$B$2:$B$25,MATCH(C526,'Account executives'!$A$2:$A$25,0))</f>
        <v>amer_west</v>
      </c>
      <c r="W526" s="0" t="str">
        <f>INDEX('Account executives'!$C$2:$C$25,MATCH(C526,'Account executives'!$A$2:$A$25,0))</f>
        <v>mid_market</v>
      </c>
      <c r="X526" s="0" t="str">
        <f>SUBSTITUTE(LOWER(INDEX('Periods'!$G$2:$G$22,MATCH(N526,'Periods'!$A$2:$A$22,0)))," ","_")</f>
        <v>q2_2026</v>
      </c>
    </row>
    <row r="527">
      <c r="A527" s="0" t="inlineStr">
        <is>
          <t xml:space="preserve">o0526</t>
        </is>
      </c>
      <c r="B527" s="0" t="inlineStr">
        <is>
          <t xml:space="preserve">a0264</t>
        </is>
      </c>
      <c r="C527" s="0" t="inlineStr">
        <is>
          <t xml:space="preserve">r11</t>
        </is>
      </c>
      <c r="D527" s="0" t="inlineStr">
        <is>
          <t xml:space="preserve">s_amer_west_out</t>
        </is>
      </c>
      <c r="E527" s="0" t="inlineStr">
        <is>
          <t xml:space="preserve">outbound</t>
        </is>
      </c>
      <c r="F527" s="0" t="inlineStr">
        <is>
          <t xml:space="preserve">closed_lost</t>
        </is>
      </c>
      <c r="G527" s="4">
        <v>1</v>
      </c>
      <c r="H527" s="4">
        <v>18600</v>
      </c>
      <c r="I527" s="4">
        <v>1</v>
      </c>
      <c r="J527" s="4">
        <v>1</v>
      </c>
      <c r="K527" s="16">
        <v>45850</v>
      </c>
      <c r="L527" s="16">
        <v>45928</v>
      </c>
      <c r="M527" s="0" t="inlineStr">
        <is>
          <t xml:space="preserve">jul25</t>
        </is>
      </c>
      <c r="N527" s="0" t="inlineStr">
        <is>
          <t xml:space="preserve">sep25</t>
        </is>
      </c>
      <c r="O527" s="4">
        <v>78</v>
      </c>
      <c r="P527" s="4">
        <v>0</v>
      </c>
      <c r="Q527" s="4">
        <v>1</v>
      </c>
      <c r="R527" s="4">
        <v>0</v>
      </c>
      <c r="S527" s="4">
        <f>(H527*INDEX('Stages'!$D$2:$D$7,MATCH(F527,'Stages'!$A$2:$A$7,0)))</f>
        <v>0</v>
      </c>
      <c r="T527" s="4">
        <f>(H527*I527)</f>
        <v>18600</v>
      </c>
      <c r="U527" s="4">
        <f>(H527*(I527-1))</f>
        <v>0</v>
      </c>
      <c r="V527" s="0" t="str">
        <f>INDEX('Account executives'!$B$2:$B$25,MATCH(C527,'Account executives'!$A$2:$A$25,0))</f>
        <v>amer_west</v>
      </c>
      <c r="W527" s="0" t="str">
        <f>INDEX('Account executives'!$C$2:$C$25,MATCH(C527,'Account executives'!$A$2:$A$25,0))</f>
        <v>smb</v>
      </c>
      <c r="X527" s="0" t="str">
        <f>SUBSTITUTE(LOWER(INDEX('Periods'!$G$2:$G$22,MATCH(N527,'Periods'!$A$2:$A$22,0)))," ","_")</f>
        <v>q3_2025</v>
      </c>
    </row>
    <row r="528">
      <c r="A528" s="0" t="inlineStr">
        <is>
          <t xml:space="preserve">o0527</t>
        </is>
      </c>
      <c r="B528" s="0" t="inlineStr">
        <is>
          <t xml:space="preserve">a0349</t>
        </is>
      </c>
      <c r="C528" s="0" t="inlineStr">
        <is>
          <t xml:space="preserve">r24</t>
        </is>
      </c>
      <c r="D528" s="0" t="inlineStr">
        <is>
          <t xml:space="preserve">s_apac_in</t>
        </is>
      </c>
      <c r="E528" s="0" t="inlineStr">
        <is>
          <t xml:space="preserve">inbound</t>
        </is>
      </c>
      <c r="F528" s="0" t="inlineStr">
        <is>
          <t xml:space="preserve">closed_won</t>
        </is>
      </c>
      <c r="G528" s="4">
        <v>1</v>
      </c>
      <c r="H528" s="4">
        <v>19000</v>
      </c>
      <c r="I528" s="4">
        <v>1</v>
      </c>
      <c r="J528" s="4">
        <v>1</v>
      </c>
      <c r="K528" s="16">
        <v>45879</v>
      </c>
      <c r="L528" s="16">
        <v>45915</v>
      </c>
      <c r="M528" s="0" t="inlineStr">
        <is>
          <t xml:space="preserve">aug25</t>
        </is>
      </c>
      <c r="N528" s="0" t="inlineStr">
        <is>
          <t xml:space="preserve">sep25</t>
        </is>
      </c>
      <c r="O528" s="4">
        <v>36</v>
      </c>
      <c r="P528" s="4">
        <v>1</v>
      </c>
      <c r="Q528" s="4">
        <v>0</v>
      </c>
      <c r="R528" s="4">
        <v>0</v>
      </c>
      <c r="S528" s="4">
        <f>(H528*INDEX('Stages'!$D$2:$D$7,MATCH(F528,'Stages'!$A$2:$A$7,0)))</f>
        <v>19000</v>
      </c>
      <c r="T528" s="4">
        <f>(H528*I528)</f>
        <v>19000</v>
      </c>
      <c r="U528" s="4">
        <f>(H528*(I528-1))</f>
        <v>0</v>
      </c>
      <c r="V528" s="0" t="str">
        <f>INDEX('Account executives'!$B$2:$B$25,MATCH(C528,'Account executives'!$A$2:$A$25,0))</f>
        <v>apac</v>
      </c>
      <c r="W528" s="0" t="str">
        <f>INDEX('Account executives'!$C$2:$C$25,MATCH(C528,'Account executives'!$A$2:$A$25,0))</f>
        <v>smb</v>
      </c>
      <c r="X528" s="0" t="str">
        <f>SUBSTITUTE(LOWER(INDEX('Periods'!$G$2:$G$22,MATCH(N528,'Periods'!$A$2:$A$22,0)))," ","_")</f>
        <v>q3_2025</v>
      </c>
    </row>
    <row r="529">
      <c r="A529" s="0" t="inlineStr">
        <is>
          <t xml:space="preserve">o0528</t>
        </is>
      </c>
      <c r="B529" s="0" t="inlineStr">
        <is>
          <t xml:space="preserve">a0124</t>
        </is>
      </c>
      <c r="C529" s="0" t="inlineStr">
        <is>
          <t xml:space="preserve">r13</t>
        </is>
      </c>
      <c r="D529" s="0"/>
      <c r="E529" s="0" t="inlineStr">
        <is>
          <t xml:space="preserve">partner</t>
        </is>
      </c>
      <c r="F529" s="0" t="inlineStr">
        <is>
          <t xml:space="preserve">closed_lost</t>
        </is>
      </c>
      <c r="G529" s="4">
        <v>0</v>
      </c>
      <c r="H529" s="4">
        <v>112900</v>
      </c>
      <c r="I529" s="4">
        <v>1</v>
      </c>
      <c r="J529" s="4">
        <v>0</v>
      </c>
      <c r="K529" s="16">
        <v>46072</v>
      </c>
      <c r="L529" s="16">
        <v>46150</v>
      </c>
      <c r="M529" s="0" t="inlineStr">
        <is>
          <t xml:space="preserve">feb26</t>
        </is>
      </c>
      <c r="N529" s="0" t="inlineStr">
        <is>
          <t xml:space="preserve">may26</t>
        </is>
      </c>
      <c r="O529" s="4">
        <v>78</v>
      </c>
      <c r="P529" s="4">
        <v>0</v>
      </c>
      <c r="Q529" s="4">
        <v>1</v>
      </c>
      <c r="R529" s="4">
        <v>0</v>
      </c>
      <c r="S529" s="4">
        <f>(H529*INDEX('Stages'!$D$2:$D$7,MATCH(F529,'Stages'!$A$2:$A$7,0)))</f>
        <v>0</v>
      </c>
      <c r="T529" s="4">
        <f>(H529*I529)</f>
        <v>112900</v>
      </c>
      <c r="U529" s="4">
        <f>(H529*(I529-1))</f>
        <v>0</v>
      </c>
      <c r="V529" s="0" t="str">
        <f>INDEX('Account executives'!$B$2:$B$25,MATCH(C529,'Account executives'!$A$2:$A$25,0))</f>
        <v>emea</v>
      </c>
      <c r="W529" s="0" t="str">
        <f>INDEX('Account executives'!$C$2:$C$25,MATCH(C529,'Account executives'!$A$2:$A$25,0))</f>
        <v>enterprise</v>
      </c>
      <c r="X529" s="0" t="str">
        <f>SUBSTITUTE(LOWER(INDEX('Periods'!$G$2:$G$22,MATCH(N529,'Periods'!$A$2:$A$22,0)))," ","_")</f>
        <v>q2_2026</v>
      </c>
    </row>
    <row r="530">
      <c r="A530" s="0" t="inlineStr">
        <is>
          <t xml:space="preserve">o0529</t>
        </is>
      </c>
      <c r="B530" s="0" t="inlineStr">
        <is>
          <t xml:space="preserve">a0500</t>
        </is>
      </c>
      <c r="C530" s="0" t="inlineStr">
        <is>
          <t xml:space="preserve">r08</t>
        </is>
      </c>
      <c r="D530" s="0" t="inlineStr">
        <is>
          <t xml:space="preserve">s_amer_west_out</t>
        </is>
      </c>
      <c r="E530" s="0" t="inlineStr">
        <is>
          <t xml:space="preserve">outbound</t>
        </is>
      </c>
      <c r="F530" s="0" t="inlineStr">
        <is>
          <t xml:space="preserve">closed_lost</t>
        </is>
      </c>
      <c r="G530" s="4">
        <v>0</v>
      </c>
      <c r="H530" s="4">
        <v>33500</v>
      </c>
      <c r="I530" s="4">
        <v>1</v>
      </c>
      <c r="J530" s="4">
        <v>0</v>
      </c>
      <c r="K530" s="16">
        <v>45980</v>
      </c>
      <c r="L530" s="16">
        <v>46084</v>
      </c>
      <c r="M530" s="0" t="inlineStr">
        <is>
          <t xml:space="preserve">nov25</t>
        </is>
      </c>
      <c r="N530" s="0" t="inlineStr">
        <is>
          <t xml:space="preserve">mar26</t>
        </is>
      </c>
      <c r="O530" s="4">
        <v>104</v>
      </c>
      <c r="P530" s="4">
        <v>0</v>
      </c>
      <c r="Q530" s="4">
        <v>1</v>
      </c>
      <c r="R530" s="4">
        <v>0</v>
      </c>
      <c r="S530" s="4">
        <f>(H530*INDEX('Stages'!$D$2:$D$7,MATCH(F530,'Stages'!$A$2:$A$7,0)))</f>
        <v>0</v>
      </c>
      <c r="T530" s="4">
        <f>(H530*I530)</f>
        <v>33500</v>
      </c>
      <c r="U530" s="4">
        <f>(H530*(I530-1))</f>
        <v>0</v>
      </c>
      <c r="V530" s="0" t="str">
        <f>INDEX('Account executives'!$B$2:$B$25,MATCH(C530,'Account executives'!$A$2:$A$25,0))</f>
        <v>amer_west</v>
      </c>
      <c r="W530" s="0" t="str">
        <f>INDEX('Account executives'!$C$2:$C$25,MATCH(C530,'Account executives'!$A$2:$A$25,0))</f>
        <v>enterprise</v>
      </c>
      <c r="X530" s="0" t="str">
        <f>SUBSTITUTE(LOWER(INDEX('Periods'!$G$2:$G$22,MATCH(N530,'Periods'!$A$2:$A$22,0)))," ","_")</f>
        <v>q1_2026</v>
      </c>
    </row>
    <row r="531">
      <c r="A531" s="0" t="inlineStr">
        <is>
          <t xml:space="preserve">o0530</t>
        </is>
      </c>
      <c r="B531" s="0" t="inlineStr">
        <is>
          <t xml:space="preserve">a1136</t>
        </is>
      </c>
      <c r="C531" s="0" t="inlineStr">
        <is>
          <t xml:space="preserve">r21</t>
        </is>
      </c>
      <c r="D531" s="0" t="inlineStr">
        <is>
          <t xml:space="preserve">s_apac_in</t>
        </is>
      </c>
      <c r="E531" s="0" t="inlineStr">
        <is>
          <t xml:space="preserve">inbound</t>
        </is>
      </c>
      <c r="F531" s="0" t="inlineStr">
        <is>
          <t xml:space="preserve">closed_won</t>
        </is>
      </c>
      <c r="G531" s="4">
        <v>1</v>
      </c>
      <c r="H531" s="4">
        <v>32000</v>
      </c>
      <c r="I531" s="4">
        <v>2</v>
      </c>
      <c r="J531" s="4">
        <v>1</v>
      </c>
      <c r="K531" s="16">
        <v>46228</v>
      </c>
      <c r="L531" s="16">
        <v>46273</v>
      </c>
      <c r="M531" s="0" t="inlineStr">
        <is>
          <t xml:space="preserve">jul26</t>
        </is>
      </c>
      <c r="N531" s="0" t="inlineStr">
        <is>
          <t xml:space="preserve">sep26</t>
        </is>
      </c>
      <c r="O531" s="4">
        <v>45</v>
      </c>
      <c r="P531" s="4">
        <v>1</v>
      </c>
      <c r="Q531" s="4">
        <v>0</v>
      </c>
      <c r="R531" s="4">
        <v>0</v>
      </c>
      <c r="S531" s="4">
        <f>(H531*INDEX('Stages'!$D$2:$D$7,MATCH(F531,'Stages'!$A$2:$A$7,0)))</f>
        <v>32000</v>
      </c>
      <c r="T531" s="4">
        <f>(H531*I531)</f>
        <v>64000</v>
      </c>
      <c r="U531" s="4">
        <f>(H531*(I531-1))</f>
        <v>32000</v>
      </c>
      <c r="V531" s="0" t="str">
        <f>INDEX('Account executives'!$B$2:$B$25,MATCH(C531,'Account executives'!$A$2:$A$25,0))</f>
        <v>apac</v>
      </c>
      <c r="W531" s="0" t="str">
        <f>INDEX('Account executives'!$C$2:$C$25,MATCH(C531,'Account executives'!$A$2:$A$25,0))</f>
        <v>mid_market</v>
      </c>
      <c r="X531" s="0" t="str">
        <f>SUBSTITUTE(LOWER(INDEX('Periods'!$G$2:$G$22,MATCH(N531,'Periods'!$A$2:$A$22,0)))," ","_")</f>
        <v>q3_2026</v>
      </c>
    </row>
    <row r="532">
      <c r="A532" s="0" t="inlineStr">
        <is>
          <t xml:space="preserve">o0531</t>
        </is>
      </c>
      <c r="B532" s="0" t="inlineStr">
        <is>
          <t xml:space="preserve">a1251</t>
        </is>
      </c>
      <c r="C532" s="0" t="inlineStr">
        <is>
          <t xml:space="preserve">r15</t>
        </is>
      </c>
      <c r="D532" s="0" t="inlineStr">
        <is>
          <t xml:space="preserve">s_emea_in</t>
        </is>
      </c>
      <c r="E532" s="0" t="inlineStr">
        <is>
          <t xml:space="preserve">inbound</t>
        </is>
      </c>
      <c r="F532" s="0" t="inlineStr">
        <is>
          <t xml:space="preserve">discovery</t>
        </is>
      </c>
      <c r="G532" s="4">
        <v>1</v>
      </c>
      <c r="H532" s="4">
        <v>41000</v>
      </c>
      <c r="I532" s="4">
        <v>1</v>
      </c>
      <c r="J532" s="4">
        <v>0</v>
      </c>
      <c r="K532" s="16">
        <v>46278</v>
      </c>
      <c r="L532" s="16">
        <v>46371</v>
      </c>
      <c r="M532" s="0" t="inlineStr">
        <is>
          <t xml:space="preserve">sep26</t>
        </is>
      </c>
      <c r="N532" s="0" t="inlineStr">
        <is>
          <t xml:space="preserve">dec26</t>
        </is>
      </c>
      <c r="O532" s="4">
        <v>65</v>
      </c>
      <c r="P532" s="4">
        <v>0</v>
      </c>
      <c r="Q532" s="4">
        <v>0</v>
      </c>
      <c r="R532" s="4">
        <v>1</v>
      </c>
      <c r="S532" s="4">
        <f>(H532*INDEX('Stages'!$D$2:$D$7,MATCH(F532,'Stages'!$A$2:$A$7,0)))</f>
        <v>4100</v>
      </c>
      <c r="T532" s="4">
        <f>(H532*I532)</f>
        <v>41000</v>
      </c>
      <c r="U532" s="4">
        <f>(H532*(I532-1))</f>
        <v>0</v>
      </c>
      <c r="V532" s="0" t="str">
        <f>INDEX('Account executives'!$B$2:$B$25,MATCH(C532,'Account executives'!$A$2:$A$25,0))</f>
        <v>emea</v>
      </c>
      <c r="W532" s="0" t="str">
        <f>INDEX('Account executives'!$C$2:$C$25,MATCH(C532,'Account executives'!$A$2:$A$25,0))</f>
        <v>mid_market</v>
      </c>
      <c r="X532" s="0" t="str">
        <f>SUBSTITUTE(LOWER(INDEX('Periods'!$G$2:$G$22,MATCH(N532,'Periods'!$A$2:$A$22,0)))," ","_")</f>
        <v>q4_2026</v>
      </c>
    </row>
    <row r="533">
      <c r="A533" s="0" t="inlineStr">
        <is>
          <t xml:space="preserve">o0532</t>
        </is>
      </c>
      <c r="B533" s="0" t="inlineStr">
        <is>
          <t xml:space="preserve">a0857</t>
        </is>
      </c>
      <c r="C533" s="0" t="inlineStr">
        <is>
          <t xml:space="preserve">r13</t>
        </is>
      </c>
      <c r="D533" s="0" t="inlineStr">
        <is>
          <t xml:space="preserve">s_emea_in</t>
        </is>
      </c>
      <c r="E533" s="0" t="inlineStr">
        <is>
          <t xml:space="preserve">inbound</t>
        </is>
      </c>
      <c r="F533" s="0" t="inlineStr">
        <is>
          <t xml:space="preserve">closed_lost</t>
        </is>
      </c>
      <c r="G533" s="4">
        <v>1</v>
      </c>
      <c r="H533" s="4">
        <v>77200</v>
      </c>
      <c r="I533" s="4">
        <v>3</v>
      </c>
      <c r="J533" s="4">
        <v>0</v>
      </c>
      <c r="K533" s="16">
        <v>46114</v>
      </c>
      <c r="L533" s="16">
        <v>46205</v>
      </c>
      <c r="M533" s="0" t="inlineStr">
        <is>
          <t xml:space="preserve">apr26</t>
        </is>
      </c>
      <c r="N533" s="0" t="inlineStr">
        <is>
          <t xml:space="preserve">jul26</t>
        </is>
      </c>
      <c r="O533" s="4">
        <v>91</v>
      </c>
      <c r="P533" s="4">
        <v>0</v>
      </c>
      <c r="Q533" s="4">
        <v>1</v>
      </c>
      <c r="R533" s="4">
        <v>0</v>
      </c>
      <c r="S533" s="4">
        <f>(H533*INDEX('Stages'!$D$2:$D$7,MATCH(F533,'Stages'!$A$2:$A$7,0)))</f>
        <v>0</v>
      </c>
      <c r="T533" s="4">
        <f>(H533*I533)</f>
        <v>231600</v>
      </c>
      <c r="U533" s="4">
        <f>(H533*(I533-1))</f>
        <v>154400</v>
      </c>
      <c r="V533" s="0" t="str">
        <f>INDEX('Account executives'!$B$2:$B$25,MATCH(C533,'Account executives'!$A$2:$A$25,0))</f>
        <v>emea</v>
      </c>
      <c r="W533" s="0" t="str">
        <f>INDEX('Account executives'!$C$2:$C$25,MATCH(C533,'Account executives'!$A$2:$A$25,0))</f>
        <v>enterprise</v>
      </c>
      <c r="X533" s="0" t="str">
        <f>SUBSTITUTE(LOWER(INDEX('Periods'!$G$2:$G$22,MATCH(N533,'Periods'!$A$2:$A$22,0)))," ","_")</f>
        <v>q3_2026</v>
      </c>
    </row>
    <row r="534">
      <c r="A534" s="0" t="inlineStr">
        <is>
          <t xml:space="preserve">o0533</t>
        </is>
      </c>
      <c r="B534" s="0" t="inlineStr">
        <is>
          <t xml:space="preserve">a0679</t>
        </is>
      </c>
      <c r="C534" s="0" t="inlineStr">
        <is>
          <t xml:space="preserve">r09</t>
        </is>
      </c>
      <c r="D534" s="0" t="inlineStr">
        <is>
          <t xml:space="preserve">s_amer_west_in</t>
        </is>
      </c>
      <c r="E534" s="0" t="inlineStr">
        <is>
          <t xml:space="preserve">inbound</t>
        </is>
      </c>
      <c r="F534" s="0" t="inlineStr">
        <is>
          <t xml:space="preserve">closed_won</t>
        </is>
      </c>
      <c r="G534" s="4">
        <v>1</v>
      </c>
      <c r="H534" s="4">
        <v>64700</v>
      </c>
      <c r="I534" s="4">
        <v>1</v>
      </c>
      <c r="J534" s="4">
        <v>0</v>
      </c>
      <c r="K534" s="16">
        <v>46080</v>
      </c>
      <c r="L534" s="16">
        <v>46201</v>
      </c>
      <c r="M534" s="0" t="inlineStr">
        <is>
          <t xml:space="preserve">feb26</t>
        </is>
      </c>
      <c r="N534" s="0" t="inlineStr">
        <is>
          <t xml:space="preserve">jun26</t>
        </is>
      </c>
      <c r="O534" s="4">
        <v>121</v>
      </c>
      <c r="P534" s="4">
        <v>1</v>
      </c>
      <c r="Q534" s="4">
        <v>0</v>
      </c>
      <c r="R534" s="4">
        <v>0</v>
      </c>
      <c r="S534" s="4">
        <f>(H534*INDEX('Stages'!$D$2:$D$7,MATCH(F534,'Stages'!$A$2:$A$7,0)))</f>
        <v>64700</v>
      </c>
      <c r="T534" s="4">
        <f>(H534*I534)</f>
        <v>64700</v>
      </c>
      <c r="U534" s="4">
        <f>(H534*(I534-1))</f>
        <v>0</v>
      </c>
      <c r="V534" s="0" t="str">
        <f>INDEX('Account executives'!$B$2:$B$25,MATCH(C534,'Account executives'!$A$2:$A$25,0))</f>
        <v>amer_west</v>
      </c>
      <c r="W534" s="0" t="str">
        <f>INDEX('Account executives'!$C$2:$C$25,MATCH(C534,'Account executives'!$A$2:$A$25,0))</f>
        <v>mid_market</v>
      </c>
      <c r="X534" s="0" t="str">
        <f>SUBSTITUTE(LOWER(INDEX('Periods'!$G$2:$G$22,MATCH(N534,'Periods'!$A$2:$A$22,0)))," ","_")</f>
        <v>q2_2026</v>
      </c>
    </row>
    <row r="535">
      <c r="A535" s="0" t="inlineStr">
        <is>
          <t xml:space="preserve">o0534</t>
        </is>
      </c>
      <c r="B535" s="0" t="inlineStr">
        <is>
          <t xml:space="preserve">a0374</t>
        </is>
      </c>
      <c r="C535" s="0" t="inlineStr">
        <is>
          <t xml:space="preserve">r11</t>
        </is>
      </c>
      <c r="D535" s="0"/>
      <c r="E535" s="0" t="inlineStr">
        <is>
          <t xml:space="preserve">events</t>
        </is>
      </c>
      <c r="F535" s="0" t="inlineStr">
        <is>
          <t xml:space="preserve">closed_won</t>
        </is>
      </c>
      <c r="G535" s="4">
        <v>0</v>
      </c>
      <c r="H535" s="4">
        <v>2700</v>
      </c>
      <c r="I535" s="4">
        <v>1</v>
      </c>
      <c r="J535" s="4">
        <v>1</v>
      </c>
      <c r="K535" s="16">
        <v>45998</v>
      </c>
      <c r="L535" s="16">
        <v>46022</v>
      </c>
      <c r="M535" s="0" t="inlineStr">
        <is>
          <t xml:space="preserve">dec25</t>
        </is>
      </c>
      <c r="N535" s="0" t="inlineStr">
        <is>
          <t xml:space="preserve">dec25</t>
        </is>
      </c>
      <c r="O535" s="4">
        <v>24</v>
      </c>
      <c r="P535" s="4">
        <v>1</v>
      </c>
      <c r="Q535" s="4">
        <v>0</v>
      </c>
      <c r="R535" s="4">
        <v>0</v>
      </c>
      <c r="S535" s="4">
        <f>(H535*INDEX('Stages'!$D$2:$D$7,MATCH(F535,'Stages'!$A$2:$A$7,0)))</f>
        <v>2700</v>
      </c>
      <c r="T535" s="4">
        <f>(H535*I535)</f>
        <v>2700</v>
      </c>
      <c r="U535" s="4">
        <f>(H535*(I535-1))</f>
        <v>0</v>
      </c>
      <c r="V535" s="0" t="str">
        <f>INDEX('Account executives'!$B$2:$B$25,MATCH(C535,'Account executives'!$A$2:$A$25,0))</f>
        <v>amer_west</v>
      </c>
      <c r="W535" s="0" t="str">
        <f>INDEX('Account executives'!$C$2:$C$25,MATCH(C535,'Account executives'!$A$2:$A$25,0))</f>
        <v>smb</v>
      </c>
      <c r="X535" s="0" t="str">
        <f>SUBSTITUTE(LOWER(INDEX('Periods'!$G$2:$G$22,MATCH(N535,'Periods'!$A$2:$A$22,0)))," ","_")</f>
        <v>q4_2025</v>
      </c>
    </row>
    <row r="536">
      <c r="A536" s="0" t="inlineStr">
        <is>
          <t xml:space="preserve">o0535</t>
        </is>
      </c>
      <c r="B536" s="0" t="inlineStr">
        <is>
          <t xml:space="preserve">a0654</t>
        </is>
      </c>
      <c r="C536" s="0" t="inlineStr">
        <is>
          <t xml:space="preserve">r24</t>
        </is>
      </c>
      <c r="D536" s="0"/>
      <c r="E536" s="0" t="inlineStr">
        <is>
          <t xml:space="preserve">events</t>
        </is>
      </c>
      <c r="F536" s="0" t="inlineStr">
        <is>
          <t xml:space="preserve">closed_lost</t>
        </is>
      </c>
      <c r="G536" s="4">
        <v>0</v>
      </c>
      <c r="H536" s="4">
        <v>9100</v>
      </c>
      <c r="I536" s="4">
        <v>1</v>
      </c>
      <c r="J536" s="4">
        <v>0</v>
      </c>
      <c r="K536" s="16">
        <v>46115</v>
      </c>
      <c r="L536" s="16">
        <v>46147</v>
      </c>
      <c r="M536" s="0" t="inlineStr">
        <is>
          <t xml:space="preserve">apr26</t>
        </is>
      </c>
      <c r="N536" s="0" t="inlineStr">
        <is>
          <t xml:space="preserve">may26</t>
        </is>
      </c>
      <c r="O536" s="4">
        <v>32</v>
      </c>
      <c r="P536" s="4">
        <v>0</v>
      </c>
      <c r="Q536" s="4">
        <v>1</v>
      </c>
      <c r="R536" s="4">
        <v>0</v>
      </c>
      <c r="S536" s="4">
        <f>(H536*INDEX('Stages'!$D$2:$D$7,MATCH(F536,'Stages'!$A$2:$A$7,0)))</f>
        <v>0</v>
      </c>
      <c r="T536" s="4">
        <f>(H536*I536)</f>
        <v>9100</v>
      </c>
      <c r="U536" s="4">
        <f>(H536*(I536-1))</f>
        <v>0</v>
      </c>
      <c r="V536" s="0" t="str">
        <f>INDEX('Account executives'!$B$2:$B$25,MATCH(C536,'Account executives'!$A$2:$A$25,0))</f>
        <v>apac</v>
      </c>
      <c r="W536" s="0" t="str">
        <f>INDEX('Account executives'!$C$2:$C$25,MATCH(C536,'Account executives'!$A$2:$A$25,0))</f>
        <v>smb</v>
      </c>
      <c r="X536" s="0" t="str">
        <f>SUBSTITUTE(LOWER(INDEX('Periods'!$G$2:$G$22,MATCH(N536,'Periods'!$A$2:$A$22,0)))," ","_")</f>
        <v>q2_2026</v>
      </c>
    </row>
    <row r="537">
      <c r="A537" s="0" t="inlineStr">
        <is>
          <t xml:space="preserve">o0536</t>
        </is>
      </c>
      <c r="B537" s="0" t="inlineStr">
        <is>
          <t xml:space="preserve">a1235</t>
        </is>
      </c>
      <c r="C537" s="0" t="inlineStr">
        <is>
          <t xml:space="preserve">r10</t>
        </is>
      </c>
      <c r="D537" s="0" t="inlineStr">
        <is>
          <t xml:space="preserve">s_amer_west_in</t>
        </is>
      </c>
      <c r="E537" s="0" t="inlineStr">
        <is>
          <t xml:space="preserve">inbound</t>
        </is>
      </c>
      <c r="F537" s="0" t="inlineStr">
        <is>
          <t xml:space="preserve">discovery</t>
        </is>
      </c>
      <c r="G537" s="4">
        <v>1</v>
      </c>
      <c r="H537" s="4">
        <v>71000</v>
      </c>
      <c r="I537" s="4">
        <v>1</v>
      </c>
      <c r="J537" s="4">
        <v>0</v>
      </c>
      <c r="K537" s="16">
        <v>46284</v>
      </c>
      <c r="L537" s="16">
        <v>46330</v>
      </c>
      <c r="M537" s="0" t="inlineStr">
        <is>
          <t xml:space="preserve">sep26</t>
        </is>
      </c>
      <c r="N537" s="0" t="inlineStr">
        <is>
          <t xml:space="preserve">nov26</t>
        </is>
      </c>
      <c r="O537" s="4">
        <v>75</v>
      </c>
      <c r="P537" s="4">
        <v>0</v>
      </c>
      <c r="Q537" s="4">
        <v>0</v>
      </c>
      <c r="R537" s="4">
        <v>1</v>
      </c>
      <c r="S537" s="4">
        <f>(H537*INDEX('Stages'!$D$2:$D$7,MATCH(F537,'Stages'!$A$2:$A$7,0)))</f>
        <v>7100</v>
      </c>
      <c r="T537" s="4">
        <f>(H537*I537)</f>
        <v>71000</v>
      </c>
      <c r="U537" s="4">
        <f>(H537*(I537-1))</f>
        <v>0</v>
      </c>
      <c r="V537" s="0" t="str">
        <f>INDEX('Account executives'!$B$2:$B$25,MATCH(C537,'Account executives'!$A$2:$A$25,0))</f>
        <v>amer_west</v>
      </c>
      <c r="W537" s="0" t="str">
        <f>INDEX('Account executives'!$C$2:$C$25,MATCH(C537,'Account executives'!$A$2:$A$25,0))</f>
        <v>mid_market</v>
      </c>
      <c r="X537" s="0" t="str">
        <f>SUBSTITUTE(LOWER(INDEX('Periods'!$G$2:$G$22,MATCH(N537,'Periods'!$A$2:$A$22,0)))," ","_")</f>
        <v>q4_2026</v>
      </c>
    </row>
    <row r="538">
      <c r="A538" s="0" t="inlineStr">
        <is>
          <t xml:space="preserve">o0537</t>
        </is>
      </c>
      <c r="B538" s="0" t="inlineStr">
        <is>
          <t xml:space="preserve">a1020</t>
        </is>
      </c>
      <c r="C538" s="0" t="inlineStr">
        <is>
          <t xml:space="preserve">r16</t>
        </is>
      </c>
      <c r="D538" s="0" t="inlineStr">
        <is>
          <t xml:space="preserve">s_emea_in</t>
        </is>
      </c>
      <c r="E538" s="0" t="inlineStr">
        <is>
          <t xml:space="preserve">paid</t>
        </is>
      </c>
      <c r="F538" s="0" t="inlineStr">
        <is>
          <t xml:space="preserve">proposal</t>
        </is>
      </c>
      <c r="G538" s="4">
        <v>1</v>
      </c>
      <c r="H538" s="4">
        <v>21400</v>
      </c>
      <c r="I538" s="4">
        <v>2</v>
      </c>
      <c r="J538" s="4">
        <v>1</v>
      </c>
      <c r="K538" s="16">
        <v>46186</v>
      </c>
      <c r="L538" s="16">
        <v>46293</v>
      </c>
      <c r="M538" s="0" t="inlineStr">
        <is>
          <t xml:space="preserve">jun26</t>
        </is>
      </c>
      <c r="N538" s="0" t="inlineStr">
        <is>
          <t xml:space="preserve">sep26</t>
        </is>
      </c>
      <c r="O538" s="4">
        <v>107</v>
      </c>
      <c r="P538" s="4">
        <v>0</v>
      </c>
      <c r="Q538" s="4">
        <v>0</v>
      </c>
      <c r="R538" s="4">
        <v>1</v>
      </c>
      <c r="S538" s="4">
        <f>(H538*INDEX('Stages'!$D$2:$D$7,MATCH(F538,'Stages'!$A$2:$A$7,0)))</f>
        <v>10700</v>
      </c>
      <c r="T538" s="4">
        <f>(H538*I538)</f>
        <v>42800</v>
      </c>
      <c r="U538" s="4">
        <f>(H538*(I538-1))</f>
        <v>21400</v>
      </c>
      <c r="V538" s="0" t="str">
        <f>INDEX('Account executives'!$B$2:$B$25,MATCH(C538,'Account executives'!$A$2:$A$25,0))</f>
        <v>emea</v>
      </c>
      <c r="W538" s="0" t="str">
        <f>INDEX('Account executives'!$C$2:$C$25,MATCH(C538,'Account executives'!$A$2:$A$25,0))</f>
        <v>mid_market</v>
      </c>
      <c r="X538" s="0" t="str">
        <f>SUBSTITUTE(LOWER(INDEX('Periods'!$G$2:$G$22,MATCH(N538,'Periods'!$A$2:$A$22,0)))," ","_")</f>
        <v>q3_2026</v>
      </c>
    </row>
    <row r="539">
      <c r="A539" s="0" t="inlineStr">
        <is>
          <t xml:space="preserve">o0538</t>
        </is>
      </c>
      <c r="B539" s="0" t="inlineStr">
        <is>
          <t xml:space="preserve">a0722</t>
        </is>
      </c>
      <c r="C539" s="0" t="inlineStr">
        <is>
          <t xml:space="preserve">r05</t>
        </is>
      </c>
      <c r="D539" s="0" t="inlineStr">
        <is>
          <t xml:space="preserve">s_amer_east_in</t>
        </is>
      </c>
      <c r="E539" s="0" t="inlineStr">
        <is>
          <t xml:space="preserve">inbound</t>
        </is>
      </c>
      <c r="F539" s="0" t="inlineStr">
        <is>
          <t xml:space="preserve">closed_lost</t>
        </is>
      </c>
      <c r="G539" s="4">
        <v>1</v>
      </c>
      <c r="H539" s="4">
        <v>9000</v>
      </c>
      <c r="I539" s="4">
        <v>1</v>
      </c>
      <c r="J539" s="4">
        <v>0</v>
      </c>
      <c r="K539" s="16">
        <v>46091</v>
      </c>
      <c r="L539" s="16">
        <v>46201</v>
      </c>
      <c r="M539" s="0" t="inlineStr">
        <is>
          <t xml:space="preserve">mar26</t>
        </is>
      </c>
      <c r="N539" s="0" t="inlineStr">
        <is>
          <t xml:space="preserve">jun26</t>
        </is>
      </c>
      <c r="O539" s="4">
        <v>110</v>
      </c>
      <c r="P539" s="4">
        <v>0</v>
      </c>
      <c r="Q539" s="4">
        <v>1</v>
      </c>
      <c r="R539" s="4">
        <v>0</v>
      </c>
      <c r="S539" s="4">
        <f>(H539*INDEX('Stages'!$D$2:$D$7,MATCH(F539,'Stages'!$A$2:$A$7,0)))</f>
        <v>0</v>
      </c>
      <c r="T539" s="4">
        <f>(H539*I539)</f>
        <v>9000</v>
      </c>
      <c r="U539" s="4">
        <f>(H539*(I539-1))</f>
        <v>0</v>
      </c>
      <c r="V539" s="0" t="str">
        <f>INDEX('Account executives'!$B$2:$B$25,MATCH(C539,'Account executives'!$A$2:$A$25,0))</f>
        <v>amer_east</v>
      </c>
      <c r="W539" s="0" t="str">
        <f>INDEX('Account executives'!$C$2:$C$25,MATCH(C539,'Account executives'!$A$2:$A$25,0))</f>
        <v>smb</v>
      </c>
      <c r="X539" s="0" t="str">
        <f>SUBSTITUTE(LOWER(INDEX('Periods'!$G$2:$G$22,MATCH(N539,'Periods'!$A$2:$A$22,0)))," ","_")</f>
        <v>q2_2026</v>
      </c>
    </row>
    <row r="540">
      <c r="A540" s="0" t="inlineStr">
        <is>
          <t xml:space="preserve">o0539</t>
        </is>
      </c>
      <c r="B540" s="0" t="inlineStr">
        <is>
          <t xml:space="preserve">a0540</t>
        </is>
      </c>
      <c r="C540" s="0" t="inlineStr">
        <is>
          <t xml:space="preserve">r06</t>
        </is>
      </c>
      <c r="D540" s="0" t="inlineStr">
        <is>
          <t xml:space="preserve">s_amer_east_in</t>
        </is>
      </c>
      <c r="E540" s="0" t="inlineStr">
        <is>
          <t xml:space="preserve">inbound</t>
        </is>
      </c>
      <c r="F540" s="0" t="inlineStr">
        <is>
          <t xml:space="preserve">closed_won</t>
        </is>
      </c>
      <c r="G540" s="4">
        <v>1</v>
      </c>
      <c r="H540" s="4">
        <v>7300</v>
      </c>
      <c r="I540" s="4">
        <v>1</v>
      </c>
      <c r="J540" s="4">
        <v>0</v>
      </c>
      <c r="K540" s="16">
        <v>45998</v>
      </c>
      <c r="L540" s="16">
        <v>46024</v>
      </c>
      <c r="M540" s="0" t="inlineStr">
        <is>
          <t xml:space="preserve">dec25</t>
        </is>
      </c>
      <c r="N540" s="0" t="inlineStr">
        <is>
          <t xml:space="preserve">jan26</t>
        </is>
      </c>
      <c r="O540" s="4">
        <v>26</v>
      </c>
      <c r="P540" s="4">
        <v>1</v>
      </c>
      <c r="Q540" s="4">
        <v>0</v>
      </c>
      <c r="R540" s="4">
        <v>0</v>
      </c>
      <c r="S540" s="4">
        <f>(H540*INDEX('Stages'!$D$2:$D$7,MATCH(F540,'Stages'!$A$2:$A$7,0)))</f>
        <v>7300</v>
      </c>
      <c r="T540" s="4">
        <f>(H540*I540)</f>
        <v>7300</v>
      </c>
      <c r="U540" s="4">
        <f>(H540*(I540-1))</f>
        <v>0</v>
      </c>
      <c r="V540" s="0" t="str">
        <f>INDEX('Account executives'!$B$2:$B$25,MATCH(C540,'Account executives'!$A$2:$A$25,0))</f>
        <v>amer_east</v>
      </c>
      <c r="W540" s="0" t="str">
        <f>INDEX('Account executives'!$C$2:$C$25,MATCH(C540,'Account executives'!$A$2:$A$25,0))</f>
        <v>smb</v>
      </c>
      <c r="X540" s="0" t="str">
        <f>SUBSTITUTE(LOWER(INDEX('Periods'!$G$2:$G$22,MATCH(N540,'Periods'!$A$2:$A$22,0)))," ","_")</f>
        <v>q1_2026</v>
      </c>
    </row>
    <row r="541">
      <c r="A541" s="0" t="inlineStr">
        <is>
          <t xml:space="preserve">o0540</t>
        </is>
      </c>
      <c r="B541" s="0" t="inlineStr">
        <is>
          <t xml:space="preserve">a1000</t>
        </is>
      </c>
      <c r="C541" s="0" t="inlineStr">
        <is>
          <t xml:space="preserve">r12</t>
        </is>
      </c>
      <c r="D541" s="0"/>
      <c r="E541" s="0" t="inlineStr">
        <is>
          <t xml:space="preserve">partner</t>
        </is>
      </c>
      <c r="F541" s="0" t="inlineStr">
        <is>
          <t xml:space="preserve">closed_lost</t>
        </is>
      </c>
      <c r="G541" s="4">
        <v>1</v>
      </c>
      <c r="H541" s="4">
        <v>10400</v>
      </c>
      <c r="I541" s="4">
        <v>1</v>
      </c>
      <c r="J541" s="4">
        <v>0</v>
      </c>
      <c r="K541" s="16">
        <v>46201</v>
      </c>
      <c r="L541" s="16">
        <v>46211</v>
      </c>
      <c r="M541" s="0" t="inlineStr">
        <is>
          <t xml:space="preserve">jun26</t>
        </is>
      </c>
      <c r="N541" s="0" t="inlineStr">
        <is>
          <t xml:space="preserve">jul26</t>
        </is>
      </c>
      <c r="O541" s="4">
        <v>10</v>
      </c>
      <c r="P541" s="4">
        <v>0</v>
      </c>
      <c r="Q541" s="4">
        <v>1</v>
      </c>
      <c r="R541" s="4">
        <v>0</v>
      </c>
      <c r="S541" s="4">
        <f>(H541*INDEX('Stages'!$D$2:$D$7,MATCH(F541,'Stages'!$A$2:$A$7,0)))</f>
        <v>0</v>
      </c>
      <c r="T541" s="4">
        <f>(H541*I541)</f>
        <v>10400</v>
      </c>
      <c r="U541" s="4">
        <f>(H541*(I541-1))</f>
        <v>0</v>
      </c>
      <c r="V541" s="0" t="str">
        <f>INDEX('Account executives'!$B$2:$B$25,MATCH(C541,'Account executives'!$A$2:$A$25,0))</f>
        <v>amer_west</v>
      </c>
      <c r="W541" s="0" t="str">
        <f>INDEX('Account executives'!$C$2:$C$25,MATCH(C541,'Account executives'!$A$2:$A$25,0))</f>
        <v>smb</v>
      </c>
      <c r="X541" s="0" t="str">
        <f>SUBSTITUTE(LOWER(INDEX('Periods'!$G$2:$G$22,MATCH(N541,'Periods'!$A$2:$A$22,0)))," ","_")</f>
        <v>q3_2026</v>
      </c>
    </row>
    <row r="542">
      <c r="A542" s="0" t="inlineStr">
        <is>
          <t xml:space="preserve">o0541</t>
        </is>
      </c>
      <c r="B542" s="0" t="inlineStr">
        <is>
          <t xml:space="preserve">a0674</t>
        </is>
      </c>
      <c r="C542" s="0" t="inlineStr">
        <is>
          <t xml:space="preserve">r09</t>
        </is>
      </c>
      <c r="D542" s="0" t="inlineStr">
        <is>
          <t xml:space="preserve">s_amer_west_in</t>
        </is>
      </c>
      <c r="E542" s="0" t="inlineStr">
        <is>
          <t xml:space="preserve">inbound</t>
        </is>
      </c>
      <c r="F542" s="0" t="inlineStr">
        <is>
          <t xml:space="preserve">closed_won</t>
        </is>
      </c>
      <c r="G542" s="4">
        <v>1</v>
      </c>
      <c r="H542" s="4">
        <v>53300</v>
      </c>
      <c r="I542" s="4">
        <v>1</v>
      </c>
      <c r="J542" s="4">
        <v>1</v>
      </c>
      <c r="K542" s="16">
        <v>46059</v>
      </c>
      <c r="L542" s="16">
        <v>46201</v>
      </c>
      <c r="M542" s="0" t="inlineStr">
        <is>
          <t xml:space="preserve">feb26</t>
        </is>
      </c>
      <c r="N542" s="0" t="inlineStr">
        <is>
          <t xml:space="preserve">jun26</t>
        </is>
      </c>
      <c r="O542" s="4">
        <v>142</v>
      </c>
      <c r="P542" s="4">
        <v>1</v>
      </c>
      <c r="Q542" s="4">
        <v>0</v>
      </c>
      <c r="R542" s="4">
        <v>0</v>
      </c>
      <c r="S542" s="4">
        <f>(H542*INDEX('Stages'!$D$2:$D$7,MATCH(F542,'Stages'!$A$2:$A$7,0)))</f>
        <v>53300</v>
      </c>
      <c r="T542" s="4">
        <f>(H542*I542)</f>
        <v>53300</v>
      </c>
      <c r="U542" s="4">
        <f>(H542*(I542-1))</f>
        <v>0</v>
      </c>
      <c r="V542" s="0" t="str">
        <f>INDEX('Account executives'!$B$2:$B$25,MATCH(C542,'Account executives'!$A$2:$A$25,0))</f>
        <v>amer_west</v>
      </c>
      <c r="W542" s="0" t="str">
        <f>INDEX('Account executives'!$C$2:$C$25,MATCH(C542,'Account executives'!$A$2:$A$25,0))</f>
        <v>mid_market</v>
      </c>
      <c r="X542" s="0" t="str">
        <f>SUBSTITUTE(LOWER(INDEX('Periods'!$G$2:$G$22,MATCH(N542,'Periods'!$A$2:$A$22,0)))," ","_")</f>
        <v>q2_2026</v>
      </c>
    </row>
    <row r="543">
      <c r="A543" s="0" t="inlineStr">
        <is>
          <t xml:space="preserve">o0542</t>
        </is>
      </c>
      <c r="B543" s="0" t="inlineStr">
        <is>
          <t xml:space="preserve">a0220</t>
        </is>
      </c>
      <c r="C543" s="0" t="inlineStr">
        <is>
          <t xml:space="preserve">r16</t>
        </is>
      </c>
      <c r="D543" s="0" t="inlineStr">
        <is>
          <t xml:space="preserve">s_emea_out</t>
        </is>
      </c>
      <c r="E543" s="0" t="inlineStr">
        <is>
          <t xml:space="preserve">outbound</t>
        </is>
      </c>
      <c r="F543" s="0" t="inlineStr">
        <is>
          <t xml:space="preserve">closed_lost</t>
        </is>
      </c>
      <c r="G543" s="4">
        <v>1</v>
      </c>
      <c r="H543" s="4">
        <v>49900</v>
      </c>
      <c r="I543" s="4">
        <v>1</v>
      </c>
      <c r="J543" s="4">
        <v>0</v>
      </c>
      <c r="K543" s="16">
        <v>45809</v>
      </c>
      <c r="L543" s="16">
        <v>45928</v>
      </c>
      <c r="M543" s="0" t="inlineStr">
        <is>
          <t xml:space="preserve">jun25</t>
        </is>
      </c>
      <c r="N543" s="0" t="inlineStr">
        <is>
          <t xml:space="preserve">sep25</t>
        </is>
      </c>
      <c r="O543" s="4">
        <v>119</v>
      </c>
      <c r="P543" s="4">
        <v>0</v>
      </c>
      <c r="Q543" s="4">
        <v>1</v>
      </c>
      <c r="R543" s="4">
        <v>0</v>
      </c>
      <c r="S543" s="4">
        <f>(H543*INDEX('Stages'!$D$2:$D$7,MATCH(F543,'Stages'!$A$2:$A$7,0)))</f>
        <v>0</v>
      </c>
      <c r="T543" s="4">
        <f>(H543*I543)</f>
        <v>49900</v>
      </c>
      <c r="U543" s="4">
        <f>(H543*(I543-1))</f>
        <v>0</v>
      </c>
      <c r="V543" s="0" t="str">
        <f>INDEX('Account executives'!$B$2:$B$25,MATCH(C543,'Account executives'!$A$2:$A$25,0))</f>
        <v>emea</v>
      </c>
      <c r="W543" s="0" t="str">
        <f>INDEX('Account executives'!$C$2:$C$25,MATCH(C543,'Account executives'!$A$2:$A$25,0))</f>
        <v>mid_market</v>
      </c>
      <c r="X543" s="0" t="str">
        <f>SUBSTITUTE(LOWER(INDEX('Periods'!$G$2:$G$22,MATCH(N543,'Periods'!$A$2:$A$22,0)))," ","_")</f>
        <v>q3_2025</v>
      </c>
    </row>
    <row r="544">
      <c r="A544" s="0" t="inlineStr">
        <is>
          <t xml:space="preserve">o0543</t>
        </is>
      </c>
      <c r="B544" s="0" t="inlineStr">
        <is>
          <t xml:space="preserve">a0818</t>
        </is>
      </c>
      <c r="C544" s="0" t="inlineStr">
        <is>
          <t xml:space="preserve">r05</t>
        </is>
      </c>
      <c r="D544" s="0" t="inlineStr">
        <is>
          <t xml:space="preserve">s_amer_east_in</t>
        </is>
      </c>
      <c r="E544" s="0" t="inlineStr">
        <is>
          <t xml:space="preserve">inbound</t>
        </is>
      </c>
      <c r="F544" s="0" t="inlineStr">
        <is>
          <t xml:space="preserve">closed_lost</t>
        </is>
      </c>
      <c r="G544" s="4">
        <v>1</v>
      </c>
      <c r="H544" s="4">
        <v>51500</v>
      </c>
      <c r="I544" s="4">
        <v>1</v>
      </c>
      <c r="J544" s="4">
        <v>0</v>
      </c>
      <c r="K544" s="16">
        <v>46126</v>
      </c>
      <c r="L544" s="16">
        <v>46146</v>
      </c>
      <c r="M544" s="0" t="inlineStr">
        <is>
          <t xml:space="preserve">apr26</t>
        </is>
      </c>
      <c r="N544" s="0" t="inlineStr">
        <is>
          <t xml:space="preserve">may26</t>
        </is>
      </c>
      <c r="O544" s="4">
        <v>20</v>
      </c>
      <c r="P544" s="4">
        <v>0</v>
      </c>
      <c r="Q544" s="4">
        <v>1</v>
      </c>
      <c r="R544" s="4">
        <v>0</v>
      </c>
      <c r="S544" s="4">
        <f>(H544*INDEX('Stages'!$D$2:$D$7,MATCH(F544,'Stages'!$A$2:$A$7,0)))</f>
        <v>0</v>
      </c>
      <c r="T544" s="4">
        <f>(H544*I544)</f>
        <v>51500</v>
      </c>
      <c r="U544" s="4">
        <f>(H544*(I544-1))</f>
        <v>0</v>
      </c>
      <c r="V544" s="0" t="str">
        <f>INDEX('Account executives'!$B$2:$B$25,MATCH(C544,'Account executives'!$A$2:$A$25,0))</f>
        <v>amer_east</v>
      </c>
      <c r="W544" s="0" t="str">
        <f>INDEX('Account executives'!$C$2:$C$25,MATCH(C544,'Account executives'!$A$2:$A$25,0))</f>
        <v>smb</v>
      </c>
      <c r="X544" s="0" t="str">
        <f>SUBSTITUTE(LOWER(INDEX('Periods'!$G$2:$G$22,MATCH(N544,'Periods'!$A$2:$A$22,0)))," ","_")</f>
        <v>q2_2026</v>
      </c>
    </row>
    <row r="545">
      <c r="A545" s="0" t="inlineStr">
        <is>
          <t xml:space="preserve">o0544</t>
        </is>
      </c>
      <c r="B545" s="0" t="inlineStr">
        <is>
          <t xml:space="preserve">a0497</t>
        </is>
      </c>
      <c r="C545" s="0" t="inlineStr">
        <is>
          <t xml:space="preserve">r07</t>
        </is>
      </c>
      <c r="D545" s="0" t="inlineStr">
        <is>
          <t xml:space="preserve">s_amer_west_in</t>
        </is>
      </c>
      <c r="E545" s="0" t="inlineStr">
        <is>
          <t xml:space="preserve">inbound</t>
        </is>
      </c>
      <c r="F545" s="0" t="inlineStr">
        <is>
          <t xml:space="preserve">closed_lost</t>
        </is>
      </c>
      <c r="G545" s="4">
        <v>1</v>
      </c>
      <c r="H545" s="4">
        <v>381300</v>
      </c>
      <c r="I545" s="4">
        <v>2</v>
      </c>
      <c r="J545" s="4">
        <v>0</v>
      </c>
      <c r="K545" s="16">
        <v>45986</v>
      </c>
      <c r="L545" s="16">
        <v>46016</v>
      </c>
      <c r="M545" s="0" t="inlineStr">
        <is>
          <t xml:space="preserve">nov25</t>
        </is>
      </c>
      <c r="N545" s="0" t="inlineStr">
        <is>
          <t xml:space="preserve">dec25</t>
        </is>
      </c>
      <c r="O545" s="4">
        <v>30</v>
      </c>
      <c r="P545" s="4">
        <v>0</v>
      </c>
      <c r="Q545" s="4">
        <v>1</v>
      </c>
      <c r="R545" s="4">
        <v>0</v>
      </c>
      <c r="S545" s="4">
        <f>(H545*INDEX('Stages'!$D$2:$D$7,MATCH(F545,'Stages'!$A$2:$A$7,0)))</f>
        <v>0</v>
      </c>
      <c r="T545" s="4">
        <f>(H545*I545)</f>
        <v>762600</v>
      </c>
      <c r="U545" s="4">
        <f>(H545*(I545-1))</f>
        <v>381300</v>
      </c>
      <c r="V545" s="0" t="str">
        <f>INDEX('Account executives'!$B$2:$B$25,MATCH(C545,'Account executives'!$A$2:$A$25,0))</f>
        <v>amer_west</v>
      </c>
      <c r="W545" s="0" t="str">
        <f>INDEX('Account executives'!$C$2:$C$25,MATCH(C545,'Account executives'!$A$2:$A$25,0))</f>
        <v>enterprise</v>
      </c>
      <c r="X545" s="0" t="str">
        <f>SUBSTITUTE(LOWER(INDEX('Periods'!$G$2:$G$22,MATCH(N545,'Periods'!$A$2:$A$22,0)))," ","_")</f>
        <v>q4_2025</v>
      </c>
    </row>
    <row r="546">
      <c r="A546" s="0" t="inlineStr">
        <is>
          <t xml:space="preserve">o0545</t>
        </is>
      </c>
      <c r="B546" s="0" t="inlineStr">
        <is>
          <t xml:space="preserve">a1064</t>
        </is>
      </c>
      <c r="C546" s="0" t="inlineStr">
        <is>
          <t xml:space="preserve">r05</t>
        </is>
      </c>
      <c r="D546" s="0" t="inlineStr">
        <is>
          <t xml:space="preserve">s_amer_east_in</t>
        </is>
      </c>
      <c r="E546" s="0" t="inlineStr">
        <is>
          <t xml:space="preserve">inbound</t>
        </is>
      </c>
      <c r="F546" s="0" t="inlineStr">
        <is>
          <t xml:space="preserve">closed_won</t>
        </is>
      </c>
      <c r="G546" s="4">
        <v>1</v>
      </c>
      <c r="H546" s="4">
        <v>11900</v>
      </c>
      <c r="I546" s="4">
        <v>1</v>
      </c>
      <c r="J546" s="4">
        <v>0</v>
      </c>
      <c r="K546" s="16">
        <v>46230</v>
      </c>
      <c r="L546" s="16">
        <v>46237</v>
      </c>
      <c r="M546" s="0" t="inlineStr">
        <is>
          <t xml:space="preserve">jul26</t>
        </is>
      </c>
      <c r="N546" s="0" t="inlineStr">
        <is>
          <t xml:space="preserve">aug26</t>
        </is>
      </c>
      <c r="O546" s="4">
        <v>7</v>
      </c>
      <c r="P546" s="4">
        <v>1</v>
      </c>
      <c r="Q546" s="4">
        <v>0</v>
      </c>
      <c r="R546" s="4">
        <v>0</v>
      </c>
      <c r="S546" s="4">
        <f>(H546*INDEX('Stages'!$D$2:$D$7,MATCH(F546,'Stages'!$A$2:$A$7,0)))</f>
        <v>11900</v>
      </c>
      <c r="T546" s="4">
        <f>(H546*I546)</f>
        <v>11900</v>
      </c>
      <c r="U546" s="4">
        <f>(H546*(I546-1))</f>
        <v>0</v>
      </c>
      <c r="V546" s="0" t="str">
        <f>INDEX('Account executives'!$B$2:$B$25,MATCH(C546,'Account executives'!$A$2:$A$25,0))</f>
        <v>amer_east</v>
      </c>
      <c r="W546" s="0" t="str">
        <f>INDEX('Account executives'!$C$2:$C$25,MATCH(C546,'Account executives'!$A$2:$A$25,0))</f>
        <v>smb</v>
      </c>
      <c r="X546" s="0" t="str">
        <f>SUBSTITUTE(LOWER(INDEX('Periods'!$G$2:$G$22,MATCH(N546,'Periods'!$A$2:$A$22,0)))," ","_")</f>
        <v>q3_2026</v>
      </c>
    </row>
    <row r="547">
      <c r="A547" s="0" t="inlineStr">
        <is>
          <t xml:space="preserve">o0546</t>
        </is>
      </c>
      <c r="B547" s="0" t="inlineStr">
        <is>
          <t xml:space="preserve">a0011</t>
        </is>
      </c>
      <c r="C547" s="0" t="inlineStr">
        <is>
          <t xml:space="preserve">r21</t>
        </is>
      </c>
      <c r="D547" s="0" t="inlineStr">
        <is>
          <t xml:space="preserve">s_apac_in</t>
        </is>
      </c>
      <c r="E547" s="0" t="inlineStr">
        <is>
          <t xml:space="preserve">inbound</t>
        </is>
      </c>
      <c r="F547" s="0" t="inlineStr">
        <is>
          <t xml:space="preserve">closed_won</t>
        </is>
      </c>
      <c r="G547" s="4">
        <v>0</v>
      </c>
      <c r="H547" s="4">
        <v>34300</v>
      </c>
      <c r="I547" s="4">
        <v>2</v>
      </c>
      <c r="J547" s="4">
        <v>0</v>
      </c>
      <c r="K547" s="16">
        <v>45767</v>
      </c>
      <c r="L547" s="16">
        <v>45827</v>
      </c>
      <c r="M547" s="0" t="inlineStr">
        <is>
          <t xml:space="preserve">apr25</t>
        </is>
      </c>
      <c r="N547" s="0" t="inlineStr">
        <is>
          <t xml:space="preserve">jun25</t>
        </is>
      </c>
      <c r="O547" s="4">
        <v>60</v>
      </c>
      <c r="P547" s="4">
        <v>1</v>
      </c>
      <c r="Q547" s="4">
        <v>0</v>
      </c>
      <c r="R547" s="4">
        <v>0</v>
      </c>
      <c r="S547" s="4">
        <f>(H547*INDEX('Stages'!$D$2:$D$7,MATCH(F547,'Stages'!$A$2:$A$7,0)))</f>
        <v>34300</v>
      </c>
      <c r="T547" s="4">
        <f>(H547*I547)</f>
        <v>68600</v>
      </c>
      <c r="U547" s="4">
        <f>(H547*(I547-1))</f>
        <v>34300</v>
      </c>
      <c r="V547" s="0" t="str">
        <f>INDEX('Account executives'!$B$2:$B$25,MATCH(C547,'Account executives'!$A$2:$A$25,0))</f>
        <v>apac</v>
      </c>
      <c r="W547" s="0" t="str">
        <f>INDEX('Account executives'!$C$2:$C$25,MATCH(C547,'Account executives'!$A$2:$A$25,0))</f>
        <v>mid_market</v>
      </c>
      <c r="X547" s="0" t="str">
        <f>SUBSTITUTE(LOWER(INDEX('Periods'!$G$2:$G$22,MATCH(N547,'Periods'!$A$2:$A$22,0)))," ","_")</f>
        <v>q2_2025</v>
      </c>
    </row>
    <row r="548">
      <c r="A548" s="0" t="inlineStr">
        <is>
          <t xml:space="preserve">o0547</t>
        </is>
      </c>
      <c r="B548" s="0" t="inlineStr">
        <is>
          <t xml:space="preserve">a0339</t>
        </is>
      </c>
      <c r="C548" s="0" t="inlineStr">
        <is>
          <t xml:space="preserve">r13</t>
        </is>
      </c>
      <c r="D548" s="0" t="inlineStr">
        <is>
          <t xml:space="preserve">s_emea_in</t>
        </is>
      </c>
      <c r="E548" s="0" t="inlineStr">
        <is>
          <t xml:space="preserve">paid</t>
        </is>
      </c>
      <c r="F548" s="0" t="inlineStr">
        <is>
          <t xml:space="preserve">closed_lost</t>
        </is>
      </c>
      <c r="G548" s="4">
        <v>1</v>
      </c>
      <c r="H548" s="4">
        <v>104500</v>
      </c>
      <c r="I548" s="4">
        <v>1</v>
      </c>
      <c r="J548" s="4">
        <v>1</v>
      </c>
      <c r="K548" s="16">
        <v>45892</v>
      </c>
      <c r="L548" s="16">
        <v>45998</v>
      </c>
      <c r="M548" s="0" t="inlineStr">
        <is>
          <t xml:space="preserve">aug25</t>
        </is>
      </c>
      <c r="N548" s="0" t="inlineStr">
        <is>
          <t xml:space="preserve">dec25</t>
        </is>
      </c>
      <c r="O548" s="4">
        <v>106</v>
      </c>
      <c r="P548" s="4">
        <v>0</v>
      </c>
      <c r="Q548" s="4">
        <v>1</v>
      </c>
      <c r="R548" s="4">
        <v>0</v>
      </c>
      <c r="S548" s="4">
        <f>(H548*INDEX('Stages'!$D$2:$D$7,MATCH(F548,'Stages'!$A$2:$A$7,0)))</f>
        <v>0</v>
      </c>
      <c r="T548" s="4">
        <f>(H548*I548)</f>
        <v>104500</v>
      </c>
      <c r="U548" s="4">
        <f>(H548*(I548-1))</f>
        <v>0</v>
      </c>
      <c r="V548" s="0" t="str">
        <f>INDEX('Account executives'!$B$2:$B$25,MATCH(C548,'Account executives'!$A$2:$A$25,0))</f>
        <v>emea</v>
      </c>
      <c r="W548" s="0" t="str">
        <f>INDEX('Account executives'!$C$2:$C$25,MATCH(C548,'Account executives'!$A$2:$A$25,0))</f>
        <v>enterprise</v>
      </c>
      <c r="X548" s="0" t="str">
        <f>SUBSTITUTE(LOWER(INDEX('Periods'!$G$2:$G$22,MATCH(N548,'Periods'!$A$2:$A$22,0)))," ","_")</f>
        <v>q4_2025</v>
      </c>
    </row>
    <row r="549">
      <c r="A549" s="0" t="inlineStr">
        <is>
          <t xml:space="preserve">o0548</t>
        </is>
      </c>
      <c r="B549" s="0" t="inlineStr">
        <is>
          <t xml:space="preserve">a1005</t>
        </is>
      </c>
      <c r="C549" s="0" t="inlineStr">
        <is>
          <t xml:space="preserve">r12</t>
        </is>
      </c>
      <c r="D549" s="0" t="inlineStr">
        <is>
          <t xml:space="preserve">s_amer_west_out</t>
        </is>
      </c>
      <c r="E549" s="0" t="inlineStr">
        <is>
          <t xml:space="preserve">outbound</t>
        </is>
      </c>
      <c r="F549" s="0" t="inlineStr">
        <is>
          <t xml:space="preserve">proposal</t>
        </is>
      </c>
      <c r="G549" s="4">
        <v>1</v>
      </c>
      <c r="H549" s="4">
        <v>22100</v>
      </c>
      <c r="I549" s="4">
        <v>1</v>
      </c>
      <c r="J549" s="4">
        <v>0</v>
      </c>
      <c r="K549" s="16">
        <v>46195</v>
      </c>
      <c r="L549" s="16">
        <v>46371</v>
      </c>
      <c r="M549" s="0" t="inlineStr">
        <is>
          <t xml:space="preserve">jun26</t>
        </is>
      </c>
      <c r="N549" s="0" t="inlineStr">
        <is>
          <t xml:space="preserve">dec26</t>
        </is>
      </c>
      <c r="O549" s="4">
        <v>98</v>
      </c>
      <c r="P549" s="4">
        <v>0</v>
      </c>
      <c r="Q549" s="4">
        <v>0</v>
      </c>
      <c r="R549" s="4">
        <v>1</v>
      </c>
      <c r="S549" s="4">
        <f>(H549*INDEX('Stages'!$D$2:$D$7,MATCH(F549,'Stages'!$A$2:$A$7,0)))</f>
        <v>11050</v>
      </c>
      <c r="T549" s="4">
        <f>(H549*I549)</f>
        <v>22100</v>
      </c>
      <c r="U549" s="4">
        <f>(H549*(I549-1))</f>
        <v>0</v>
      </c>
      <c r="V549" s="0" t="str">
        <f>INDEX('Account executives'!$B$2:$B$25,MATCH(C549,'Account executives'!$A$2:$A$25,0))</f>
        <v>amer_west</v>
      </c>
      <c r="W549" s="0" t="str">
        <f>INDEX('Account executives'!$C$2:$C$25,MATCH(C549,'Account executives'!$A$2:$A$25,0))</f>
        <v>smb</v>
      </c>
      <c r="X549" s="0" t="str">
        <f>SUBSTITUTE(LOWER(INDEX('Periods'!$G$2:$G$22,MATCH(N549,'Periods'!$A$2:$A$22,0)))," ","_")</f>
        <v>q4_2026</v>
      </c>
    </row>
    <row r="550">
      <c r="A550" s="0" t="inlineStr">
        <is>
          <t xml:space="preserve">o0549</t>
        </is>
      </c>
      <c r="B550" s="0" t="inlineStr">
        <is>
          <t xml:space="preserve">a0331</t>
        </is>
      </c>
      <c r="C550" s="0" t="inlineStr">
        <is>
          <t xml:space="preserve">r09</t>
        </is>
      </c>
      <c r="D550" s="0"/>
      <c r="E550" s="0" t="inlineStr">
        <is>
          <t xml:space="preserve">events</t>
        </is>
      </c>
      <c r="F550" s="0" t="inlineStr">
        <is>
          <t xml:space="preserve">closed_won</t>
        </is>
      </c>
      <c r="G550" s="4">
        <v>1</v>
      </c>
      <c r="H550" s="4">
        <v>38600</v>
      </c>
      <c r="I550" s="4">
        <v>2</v>
      </c>
      <c r="J550" s="4">
        <v>0</v>
      </c>
      <c r="K550" s="16">
        <v>45889</v>
      </c>
      <c r="L550" s="16">
        <v>45930</v>
      </c>
      <c r="M550" s="0" t="inlineStr">
        <is>
          <t xml:space="preserve">aug25</t>
        </is>
      </c>
      <c r="N550" s="0" t="inlineStr">
        <is>
          <t xml:space="preserve">sep25</t>
        </is>
      </c>
      <c r="O550" s="4">
        <v>41</v>
      </c>
      <c r="P550" s="4">
        <v>1</v>
      </c>
      <c r="Q550" s="4">
        <v>0</v>
      </c>
      <c r="R550" s="4">
        <v>0</v>
      </c>
      <c r="S550" s="4">
        <f>(H550*INDEX('Stages'!$D$2:$D$7,MATCH(F550,'Stages'!$A$2:$A$7,0)))</f>
        <v>38600</v>
      </c>
      <c r="T550" s="4">
        <f>(H550*I550)</f>
        <v>77200</v>
      </c>
      <c r="U550" s="4">
        <f>(H550*(I550-1))</f>
        <v>38600</v>
      </c>
      <c r="V550" s="0" t="str">
        <f>INDEX('Account executives'!$B$2:$B$25,MATCH(C550,'Account executives'!$A$2:$A$25,0))</f>
        <v>amer_west</v>
      </c>
      <c r="W550" s="0" t="str">
        <f>INDEX('Account executives'!$C$2:$C$25,MATCH(C550,'Account executives'!$A$2:$A$25,0))</f>
        <v>mid_market</v>
      </c>
      <c r="X550" s="0" t="str">
        <f>SUBSTITUTE(LOWER(INDEX('Periods'!$G$2:$G$22,MATCH(N550,'Periods'!$A$2:$A$22,0)))," ","_")</f>
        <v>q3_2025</v>
      </c>
    </row>
    <row r="551">
      <c r="A551" s="0" t="inlineStr">
        <is>
          <t xml:space="preserve">o0550</t>
        </is>
      </c>
      <c r="B551" s="0" t="inlineStr">
        <is>
          <t xml:space="preserve">a0241</t>
        </is>
      </c>
      <c r="C551" s="0" t="inlineStr">
        <is>
          <t xml:space="preserve">r01</t>
        </is>
      </c>
      <c r="D551" s="0"/>
      <c r="E551" s="0" t="inlineStr">
        <is>
          <t xml:space="preserve">events</t>
        </is>
      </c>
      <c r="F551" s="0" t="inlineStr">
        <is>
          <t xml:space="preserve">evaluation</t>
        </is>
      </c>
      <c r="G551" s="4">
        <v>0</v>
      </c>
      <c r="H551" s="4">
        <v>103100</v>
      </c>
      <c r="I551" s="4">
        <v>2</v>
      </c>
      <c r="J551" s="4">
        <v>0</v>
      </c>
      <c r="K551" s="16">
        <v>46208</v>
      </c>
      <c r="L551" s="16">
        <v>46371</v>
      </c>
      <c r="M551" s="0" t="inlineStr">
        <is>
          <t xml:space="preserve">jul26</t>
        </is>
      </c>
      <c r="N551" s="0" t="inlineStr">
        <is>
          <t xml:space="preserve">dec26</t>
        </is>
      </c>
      <c r="O551" s="4">
        <v>176</v>
      </c>
      <c r="P551" s="4">
        <v>0</v>
      </c>
      <c r="Q551" s="4">
        <v>0</v>
      </c>
      <c r="R551" s="4">
        <v>1</v>
      </c>
      <c r="S551" s="4">
        <f>(H551*INDEX('Stages'!$D$2:$D$7,MATCH(F551,'Stages'!$A$2:$A$7,0)))</f>
        <v>25775</v>
      </c>
      <c r="T551" s="4">
        <f>(H551*I551)</f>
        <v>206200</v>
      </c>
      <c r="U551" s="4">
        <f>(H551*(I551-1))</f>
        <v>103100</v>
      </c>
      <c r="V551" s="0" t="str">
        <f>INDEX('Account executives'!$B$2:$B$25,MATCH(C551,'Account executives'!$A$2:$A$25,0))</f>
        <v>amer_east</v>
      </c>
      <c r="W551" s="0" t="str">
        <f>INDEX('Account executives'!$C$2:$C$25,MATCH(C551,'Account executives'!$A$2:$A$25,0))</f>
        <v>enterprise</v>
      </c>
      <c r="X551" s="0" t="str">
        <f>SUBSTITUTE(LOWER(INDEX('Periods'!$G$2:$G$22,MATCH(N551,'Periods'!$A$2:$A$22,0)))," ","_")</f>
        <v>q4_2026</v>
      </c>
    </row>
    <row r="552">
      <c r="A552" s="0" t="inlineStr">
        <is>
          <t xml:space="preserve">o0551</t>
        </is>
      </c>
      <c r="B552" s="0" t="inlineStr">
        <is>
          <t xml:space="preserve">a0820</t>
        </is>
      </c>
      <c r="C552" s="0" t="inlineStr">
        <is>
          <t xml:space="preserve">r05</t>
        </is>
      </c>
      <c r="D552" s="0" t="inlineStr">
        <is>
          <t xml:space="preserve">s_amer_east_in</t>
        </is>
      </c>
      <c r="E552" s="0" t="inlineStr">
        <is>
          <t xml:space="preserve">inbound</t>
        </is>
      </c>
      <c r="F552" s="0" t="inlineStr">
        <is>
          <t xml:space="preserve">closed_won</t>
        </is>
      </c>
      <c r="G552" s="4">
        <v>1</v>
      </c>
      <c r="H552" s="4">
        <v>11300</v>
      </c>
      <c r="I552" s="4">
        <v>1</v>
      </c>
      <c r="J552" s="4">
        <v>0</v>
      </c>
      <c r="K552" s="16">
        <v>46120</v>
      </c>
      <c r="L552" s="16">
        <v>46155</v>
      </c>
      <c r="M552" s="0" t="inlineStr">
        <is>
          <t xml:space="preserve">apr26</t>
        </is>
      </c>
      <c r="N552" s="0" t="inlineStr">
        <is>
          <t xml:space="preserve">may26</t>
        </is>
      </c>
      <c r="O552" s="4">
        <v>35</v>
      </c>
      <c r="P552" s="4">
        <v>1</v>
      </c>
      <c r="Q552" s="4">
        <v>0</v>
      </c>
      <c r="R552" s="4">
        <v>0</v>
      </c>
      <c r="S552" s="4">
        <f>(H552*INDEX('Stages'!$D$2:$D$7,MATCH(F552,'Stages'!$A$2:$A$7,0)))</f>
        <v>11300</v>
      </c>
      <c r="T552" s="4">
        <f>(H552*I552)</f>
        <v>11300</v>
      </c>
      <c r="U552" s="4">
        <f>(H552*(I552-1))</f>
        <v>0</v>
      </c>
      <c r="V552" s="0" t="str">
        <f>INDEX('Account executives'!$B$2:$B$25,MATCH(C552,'Account executives'!$A$2:$A$25,0))</f>
        <v>amer_east</v>
      </c>
      <c r="W552" s="0" t="str">
        <f>INDEX('Account executives'!$C$2:$C$25,MATCH(C552,'Account executives'!$A$2:$A$25,0))</f>
        <v>smb</v>
      </c>
      <c r="X552" s="0" t="str">
        <f>SUBSTITUTE(LOWER(INDEX('Periods'!$G$2:$G$22,MATCH(N552,'Periods'!$A$2:$A$22,0)))," ","_")</f>
        <v>q2_2026</v>
      </c>
    </row>
    <row r="553">
      <c r="A553" s="0" t="inlineStr">
        <is>
          <t xml:space="preserve">o0552</t>
        </is>
      </c>
      <c r="B553" s="0" t="inlineStr">
        <is>
          <t xml:space="preserve">a0351</t>
        </is>
      </c>
      <c r="C553" s="0" t="inlineStr">
        <is>
          <t xml:space="preserve">r24</t>
        </is>
      </c>
      <c r="D553" s="0" t="inlineStr">
        <is>
          <t xml:space="preserve">s_apac_in</t>
        </is>
      </c>
      <c r="E553" s="0" t="inlineStr">
        <is>
          <t xml:space="preserve">inbound</t>
        </is>
      </c>
      <c r="F553" s="0" t="inlineStr">
        <is>
          <t xml:space="preserve">closed_lost</t>
        </is>
      </c>
      <c r="G553" s="4">
        <v>1</v>
      </c>
      <c r="H553" s="4">
        <v>19300</v>
      </c>
      <c r="I553" s="4">
        <v>1</v>
      </c>
      <c r="J553" s="4">
        <v>0</v>
      </c>
      <c r="K553" s="16">
        <v>45871</v>
      </c>
      <c r="L553" s="16">
        <v>45911</v>
      </c>
      <c r="M553" s="0" t="inlineStr">
        <is>
          <t xml:space="preserve">aug25</t>
        </is>
      </c>
      <c r="N553" s="0" t="inlineStr">
        <is>
          <t xml:space="preserve">sep25</t>
        </is>
      </c>
      <c r="O553" s="4">
        <v>40</v>
      </c>
      <c r="P553" s="4">
        <v>0</v>
      </c>
      <c r="Q553" s="4">
        <v>1</v>
      </c>
      <c r="R553" s="4">
        <v>0</v>
      </c>
      <c r="S553" s="4">
        <f>(H553*INDEX('Stages'!$D$2:$D$7,MATCH(F553,'Stages'!$A$2:$A$7,0)))</f>
        <v>0</v>
      </c>
      <c r="T553" s="4">
        <f>(H553*I553)</f>
        <v>19300</v>
      </c>
      <c r="U553" s="4">
        <f>(H553*(I553-1))</f>
        <v>0</v>
      </c>
      <c r="V553" s="0" t="str">
        <f>INDEX('Account executives'!$B$2:$B$25,MATCH(C553,'Account executives'!$A$2:$A$25,0))</f>
        <v>apac</v>
      </c>
      <c r="W553" s="0" t="str">
        <f>INDEX('Account executives'!$C$2:$C$25,MATCH(C553,'Account executives'!$A$2:$A$25,0))</f>
        <v>smb</v>
      </c>
      <c r="X553" s="0" t="str">
        <f>SUBSTITUTE(LOWER(INDEX('Periods'!$G$2:$G$22,MATCH(N553,'Periods'!$A$2:$A$22,0)))," ","_")</f>
        <v>q3_2025</v>
      </c>
    </row>
    <row r="554">
      <c r="A554" s="0" t="inlineStr">
        <is>
          <t xml:space="preserve">o0553</t>
        </is>
      </c>
      <c r="B554" s="0" t="inlineStr">
        <is>
          <t xml:space="preserve">a0063</t>
        </is>
      </c>
      <c r="C554" s="0" t="inlineStr">
        <is>
          <t xml:space="preserve">r05</t>
        </is>
      </c>
      <c r="D554" s="0" t="inlineStr">
        <is>
          <t xml:space="preserve">s_amer_east_in</t>
        </is>
      </c>
      <c r="E554" s="0" t="inlineStr">
        <is>
          <t xml:space="preserve">inbound</t>
        </is>
      </c>
      <c r="F554" s="0" t="inlineStr">
        <is>
          <t xml:space="preserve">closed_lost</t>
        </is>
      </c>
      <c r="G554" s="4">
        <v>1</v>
      </c>
      <c r="H554" s="4">
        <v>14500</v>
      </c>
      <c r="I554" s="4">
        <v>1</v>
      </c>
      <c r="J554" s="4">
        <v>0</v>
      </c>
      <c r="K554" s="16">
        <v>45785</v>
      </c>
      <c r="L554" s="16">
        <v>45818</v>
      </c>
      <c r="M554" s="0" t="inlineStr">
        <is>
          <t xml:space="preserve">may25</t>
        </is>
      </c>
      <c r="N554" s="0" t="inlineStr">
        <is>
          <t xml:space="preserve">jun25</t>
        </is>
      </c>
      <c r="O554" s="4">
        <v>33</v>
      </c>
      <c r="P554" s="4">
        <v>0</v>
      </c>
      <c r="Q554" s="4">
        <v>1</v>
      </c>
      <c r="R554" s="4">
        <v>0</v>
      </c>
      <c r="S554" s="4">
        <f>(H554*INDEX('Stages'!$D$2:$D$7,MATCH(F554,'Stages'!$A$2:$A$7,0)))</f>
        <v>0</v>
      </c>
      <c r="T554" s="4">
        <f>(H554*I554)</f>
        <v>14500</v>
      </c>
      <c r="U554" s="4">
        <f>(H554*(I554-1))</f>
        <v>0</v>
      </c>
      <c r="V554" s="0" t="str">
        <f>INDEX('Account executives'!$B$2:$B$25,MATCH(C554,'Account executives'!$A$2:$A$25,0))</f>
        <v>amer_east</v>
      </c>
      <c r="W554" s="0" t="str">
        <f>INDEX('Account executives'!$C$2:$C$25,MATCH(C554,'Account executives'!$A$2:$A$25,0))</f>
        <v>smb</v>
      </c>
      <c r="X554" s="0" t="str">
        <f>SUBSTITUTE(LOWER(INDEX('Periods'!$G$2:$G$22,MATCH(N554,'Periods'!$A$2:$A$22,0)))," ","_")</f>
        <v>q2_2025</v>
      </c>
    </row>
    <row r="555">
      <c r="A555" s="0" t="inlineStr">
        <is>
          <t xml:space="preserve">o0554</t>
        </is>
      </c>
      <c r="B555" s="0" t="inlineStr">
        <is>
          <t xml:space="preserve">a0027</t>
        </is>
      </c>
      <c r="C555" s="0" t="inlineStr">
        <is>
          <t xml:space="preserve">r09</t>
        </is>
      </c>
      <c r="D555" s="0" t="inlineStr">
        <is>
          <t xml:space="preserve">s_amer_west_in</t>
        </is>
      </c>
      <c r="E555" s="0" t="inlineStr">
        <is>
          <t xml:space="preserve">paid</t>
        </is>
      </c>
      <c r="F555" s="0" t="inlineStr">
        <is>
          <t xml:space="preserve">closed_lost</t>
        </is>
      </c>
      <c r="G555" s="4">
        <v>0</v>
      </c>
      <c r="H555" s="4">
        <v>26700</v>
      </c>
      <c r="I555" s="4">
        <v>1</v>
      </c>
      <c r="J555" s="4">
        <v>1</v>
      </c>
      <c r="K555" s="16">
        <v>45774</v>
      </c>
      <c r="L555" s="16">
        <v>45812</v>
      </c>
      <c r="M555" s="0" t="inlineStr">
        <is>
          <t xml:space="preserve">apr25</t>
        </is>
      </c>
      <c r="N555" s="0" t="inlineStr">
        <is>
          <t xml:space="preserve">jun25</t>
        </is>
      </c>
      <c r="O555" s="4">
        <v>38</v>
      </c>
      <c r="P555" s="4">
        <v>0</v>
      </c>
      <c r="Q555" s="4">
        <v>1</v>
      </c>
      <c r="R555" s="4">
        <v>0</v>
      </c>
      <c r="S555" s="4">
        <f>(H555*INDEX('Stages'!$D$2:$D$7,MATCH(F555,'Stages'!$A$2:$A$7,0)))</f>
        <v>0</v>
      </c>
      <c r="T555" s="4">
        <f>(H555*I555)</f>
        <v>26700</v>
      </c>
      <c r="U555" s="4">
        <f>(H555*(I555-1))</f>
        <v>0</v>
      </c>
      <c r="V555" s="0" t="str">
        <f>INDEX('Account executives'!$B$2:$B$25,MATCH(C555,'Account executives'!$A$2:$A$25,0))</f>
        <v>amer_west</v>
      </c>
      <c r="W555" s="0" t="str">
        <f>INDEX('Account executives'!$C$2:$C$25,MATCH(C555,'Account executives'!$A$2:$A$25,0))</f>
        <v>mid_market</v>
      </c>
      <c r="X555" s="0" t="str">
        <f>SUBSTITUTE(LOWER(INDEX('Periods'!$G$2:$G$22,MATCH(N555,'Periods'!$A$2:$A$22,0)))," ","_")</f>
        <v>q2_2025</v>
      </c>
    </row>
    <row r="556">
      <c r="A556" s="0" t="inlineStr">
        <is>
          <t xml:space="preserve">o0555</t>
        </is>
      </c>
      <c r="B556" s="0" t="inlineStr">
        <is>
          <t xml:space="preserve">a1123</t>
        </is>
      </c>
      <c r="C556" s="0" t="inlineStr">
        <is>
          <t xml:space="preserve">r18</t>
        </is>
      </c>
      <c r="D556" s="0" t="inlineStr">
        <is>
          <t xml:space="preserve">s_emea_in</t>
        </is>
      </c>
      <c r="E556" s="0" t="inlineStr">
        <is>
          <t xml:space="preserve">paid</t>
        </is>
      </c>
      <c r="F556" s="0" t="inlineStr">
        <is>
          <t xml:space="preserve">negotiation</t>
        </is>
      </c>
      <c r="G556" s="4">
        <v>1</v>
      </c>
      <c r="H556" s="4">
        <v>9200</v>
      </c>
      <c r="I556" s="4">
        <v>1</v>
      </c>
      <c r="J556" s="4">
        <v>1</v>
      </c>
      <c r="K556" s="16">
        <v>46227</v>
      </c>
      <c r="L556" s="16">
        <v>46371</v>
      </c>
      <c r="M556" s="0" t="inlineStr">
        <is>
          <t xml:space="preserve">jul26</t>
        </is>
      </c>
      <c r="N556" s="0" t="inlineStr">
        <is>
          <t xml:space="preserve">dec26</t>
        </is>
      </c>
      <c r="O556" s="4">
        <v>66</v>
      </c>
      <c r="P556" s="4">
        <v>0</v>
      </c>
      <c r="Q556" s="4">
        <v>0</v>
      </c>
      <c r="R556" s="4">
        <v>1</v>
      </c>
      <c r="S556" s="4">
        <f>(H556*INDEX('Stages'!$D$2:$D$7,MATCH(F556,'Stages'!$A$2:$A$7,0)))</f>
        <v>6900</v>
      </c>
      <c r="T556" s="4">
        <f>(H556*I556)</f>
        <v>9200</v>
      </c>
      <c r="U556" s="4">
        <f>(H556*(I556-1))</f>
        <v>0</v>
      </c>
      <c r="V556" s="0" t="str">
        <f>INDEX('Account executives'!$B$2:$B$25,MATCH(C556,'Account executives'!$A$2:$A$25,0))</f>
        <v>emea</v>
      </c>
      <c r="W556" s="0" t="str">
        <f>INDEX('Account executives'!$C$2:$C$25,MATCH(C556,'Account executives'!$A$2:$A$25,0))</f>
        <v>smb</v>
      </c>
      <c r="X556" s="0" t="str">
        <f>SUBSTITUTE(LOWER(INDEX('Periods'!$G$2:$G$22,MATCH(N556,'Periods'!$A$2:$A$22,0)))," ","_")</f>
        <v>q4_2026</v>
      </c>
    </row>
    <row r="557">
      <c r="A557" s="0" t="inlineStr">
        <is>
          <t xml:space="preserve">o0556</t>
        </is>
      </c>
      <c r="B557" s="0" t="inlineStr">
        <is>
          <t xml:space="preserve">a0442</t>
        </is>
      </c>
      <c r="C557" s="0" t="inlineStr">
        <is>
          <t xml:space="preserve">r08</t>
        </is>
      </c>
      <c r="D557" s="0"/>
      <c r="E557" s="0" t="inlineStr">
        <is>
          <t xml:space="preserve">referral</t>
        </is>
      </c>
      <c r="F557" s="0" t="inlineStr">
        <is>
          <t xml:space="preserve">closed_lost</t>
        </is>
      </c>
      <c r="G557" s="4">
        <v>1</v>
      </c>
      <c r="H557" s="4">
        <v>390800</v>
      </c>
      <c r="I557" s="4">
        <v>1</v>
      </c>
      <c r="J557" s="4">
        <v>0</v>
      </c>
      <c r="K557" s="16">
        <v>45935</v>
      </c>
      <c r="L557" s="16">
        <v>46109</v>
      </c>
      <c r="M557" s="0" t="inlineStr">
        <is>
          <t xml:space="preserve">oct25</t>
        </is>
      </c>
      <c r="N557" s="0" t="inlineStr">
        <is>
          <t xml:space="preserve">mar26</t>
        </is>
      </c>
      <c r="O557" s="4">
        <v>174</v>
      </c>
      <c r="P557" s="4">
        <v>0</v>
      </c>
      <c r="Q557" s="4">
        <v>1</v>
      </c>
      <c r="R557" s="4">
        <v>0</v>
      </c>
      <c r="S557" s="4">
        <f>(H557*INDEX('Stages'!$D$2:$D$7,MATCH(F557,'Stages'!$A$2:$A$7,0)))</f>
        <v>0</v>
      </c>
      <c r="T557" s="4">
        <f>(H557*I557)</f>
        <v>390800</v>
      </c>
      <c r="U557" s="4">
        <f>(H557*(I557-1))</f>
        <v>0</v>
      </c>
      <c r="V557" s="0" t="str">
        <f>INDEX('Account executives'!$B$2:$B$25,MATCH(C557,'Account executives'!$A$2:$A$25,0))</f>
        <v>amer_west</v>
      </c>
      <c r="W557" s="0" t="str">
        <f>INDEX('Account executives'!$C$2:$C$25,MATCH(C557,'Account executives'!$A$2:$A$25,0))</f>
        <v>enterprise</v>
      </c>
      <c r="X557" s="0" t="str">
        <f>SUBSTITUTE(LOWER(INDEX('Periods'!$G$2:$G$22,MATCH(N557,'Periods'!$A$2:$A$22,0)))," ","_")</f>
        <v>q1_2026</v>
      </c>
    </row>
    <row r="558">
      <c r="A558" s="0" t="inlineStr">
        <is>
          <t xml:space="preserve">o0557</t>
        </is>
      </c>
      <c r="B558" s="0" t="inlineStr">
        <is>
          <t xml:space="preserve">a0626</t>
        </is>
      </c>
      <c r="C558" s="0" t="inlineStr">
        <is>
          <t xml:space="preserve">r09</t>
        </is>
      </c>
      <c r="D558" s="0" t="inlineStr">
        <is>
          <t xml:space="preserve">s_amer_west_in</t>
        </is>
      </c>
      <c r="E558" s="0" t="inlineStr">
        <is>
          <t xml:space="preserve">paid</t>
        </is>
      </c>
      <c r="F558" s="0" t="inlineStr">
        <is>
          <t xml:space="preserve">closed_lost</t>
        </is>
      </c>
      <c r="G558" s="4">
        <v>1</v>
      </c>
      <c r="H558" s="4">
        <v>40800</v>
      </c>
      <c r="I558" s="4">
        <v>1</v>
      </c>
      <c r="J558" s="4">
        <v>0</v>
      </c>
      <c r="K558" s="16">
        <v>46027</v>
      </c>
      <c r="L558" s="16">
        <v>46097</v>
      </c>
      <c r="M558" s="0" t="inlineStr">
        <is>
          <t xml:space="preserve">jan26</t>
        </is>
      </c>
      <c r="N558" s="0" t="inlineStr">
        <is>
          <t xml:space="preserve">mar26</t>
        </is>
      </c>
      <c r="O558" s="4">
        <v>70</v>
      </c>
      <c r="P558" s="4">
        <v>0</v>
      </c>
      <c r="Q558" s="4">
        <v>1</v>
      </c>
      <c r="R558" s="4">
        <v>0</v>
      </c>
      <c r="S558" s="4">
        <f>(H558*INDEX('Stages'!$D$2:$D$7,MATCH(F558,'Stages'!$A$2:$A$7,0)))</f>
        <v>0</v>
      </c>
      <c r="T558" s="4">
        <f>(H558*I558)</f>
        <v>40800</v>
      </c>
      <c r="U558" s="4">
        <f>(H558*(I558-1))</f>
        <v>0</v>
      </c>
      <c r="V558" s="0" t="str">
        <f>INDEX('Account executives'!$B$2:$B$25,MATCH(C558,'Account executives'!$A$2:$A$25,0))</f>
        <v>amer_west</v>
      </c>
      <c r="W558" s="0" t="str">
        <f>INDEX('Account executives'!$C$2:$C$25,MATCH(C558,'Account executives'!$A$2:$A$25,0))</f>
        <v>mid_market</v>
      </c>
      <c r="X558" s="0" t="str">
        <f>SUBSTITUTE(LOWER(INDEX('Periods'!$G$2:$G$22,MATCH(N558,'Periods'!$A$2:$A$22,0)))," ","_")</f>
        <v>q1_2026</v>
      </c>
    </row>
    <row r="559">
      <c r="A559" s="0" t="inlineStr">
        <is>
          <t xml:space="preserve">o0558</t>
        </is>
      </c>
      <c r="B559" s="0" t="inlineStr">
        <is>
          <t xml:space="preserve">a0813</t>
        </is>
      </c>
      <c r="C559" s="0" t="inlineStr">
        <is>
          <t xml:space="preserve">r03</t>
        </is>
      </c>
      <c r="D559" s="0" t="inlineStr">
        <is>
          <t xml:space="preserve">s_amer_east_in</t>
        </is>
      </c>
      <c r="E559" s="0" t="inlineStr">
        <is>
          <t xml:space="preserve">inbound</t>
        </is>
      </c>
      <c r="F559" s="0" t="inlineStr">
        <is>
          <t xml:space="preserve">closed_lost</t>
        </is>
      </c>
      <c r="G559" s="4">
        <v>1</v>
      </c>
      <c r="H559" s="4">
        <v>42900</v>
      </c>
      <c r="I559" s="4">
        <v>1</v>
      </c>
      <c r="J559" s="4">
        <v>1</v>
      </c>
      <c r="K559" s="16">
        <v>46120</v>
      </c>
      <c r="L559" s="16">
        <v>46171</v>
      </c>
      <c r="M559" s="0" t="inlineStr">
        <is>
          <t xml:space="preserve">apr26</t>
        </is>
      </c>
      <c r="N559" s="0" t="inlineStr">
        <is>
          <t xml:space="preserve">may26</t>
        </is>
      </c>
      <c r="O559" s="4">
        <v>51</v>
      </c>
      <c r="P559" s="4">
        <v>0</v>
      </c>
      <c r="Q559" s="4">
        <v>1</v>
      </c>
      <c r="R559" s="4">
        <v>0</v>
      </c>
      <c r="S559" s="4">
        <f>(H559*INDEX('Stages'!$D$2:$D$7,MATCH(F559,'Stages'!$A$2:$A$7,0)))</f>
        <v>0</v>
      </c>
      <c r="T559" s="4">
        <f>(H559*I559)</f>
        <v>42900</v>
      </c>
      <c r="U559" s="4">
        <f>(H559*(I559-1))</f>
        <v>0</v>
      </c>
      <c r="V559" s="0" t="str">
        <f>INDEX('Account executives'!$B$2:$B$25,MATCH(C559,'Account executives'!$A$2:$A$25,0))</f>
        <v>amer_east</v>
      </c>
      <c r="W559" s="0" t="str">
        <f>INDEX('Account executives'!$C$2:$C$25,MATCH(C559,'Account executives'!$A$2:$A$25,0))</f>
        <v>mid_market</v>
      </c>
      <c r="X559" s="0" t="str">
        <f>SUBSTITUTE(LOWER(INDEX('Periods'!$G$2:$G$22,MATCH(N559,'Periods'!$A$2:$A$22,0)))," ","_")</f>
        <v>q2_2026</v>
      </c>
    </row>
    <row r="560">
      <c r="A560" s="0" t="inlineStr">
        <is>
          <t xml:space="preserve">o0559</t>
        </is>
      </c>
      <c r="B560" s="0" t="inlineStr">
        <is>
          <t xml:space="preserve">a0548</t>
        </is>
      </c>
      <c r="C560" s="0" t="inlineStr">
        <is>
          <t xml:space="preserve">r01</t>
        </is>
      </c>
      <c r="D560" s="0" t="inlineStr">
        <is>
          <t xml:space="preserve">s_amer_east_in</t>
        </is>
      </c>
      <c r="E560" s="0" t="inlineStr">
        <is>
          <t xml:space="preserve">paid</t>
        </is>
      </c>
      <c r="F560" s="0" t="inlineStr">
        <is>
          <t xml:space="preserve">closed_lost</t>
        </is>
      </c>
      <c r="G560" s="4">
        <v>1</v>
      </c>
      <c r="H560" s="4">
        <v>121000</v>
      </c>
      <c r="I560" s="4">
        <v>1</v>
      </c>
      <c r="J560" s="4">
        <v>0</v>
      </c>
      <c r="K560" s="16">
        <v>46003</v>
      </c>
      <c r="L560" s="16">
        <v>46181</v>
      </c>
      <c r="M560" s="0" t="inlineStr">
        <is>
          <t xml:space="preserve">dec25</t>
        </is>
      </c>
      <c r="N560" s="0" t="inlineStr">
        <is>
          <t xml:space="preserve">jun26</t>
        </is>
      </c>
      <c r="O560" s="4">
        <v>178</v>
      </c>
      <c r="P560" s="4">
        <v>0</v>
      </c>
      <c r="Q560" s="4">
        <v>1</v>
      </c>
      <c r="R560" s="4">
        <v>0</v>
      </c>
      <c r="S560" s="4">
        <f>(H560*INDEX('Stages'!$D$2:$D$7,MATCH(F560,'Stages'!$A$2:$A$7,0)))</f>
        <v>0</v>
      </c>
      <c r="T560" s="4">
        <f>(H560*I560)</f>
        <v>121000</v>
      </c>
      <c r="U560" s="4">
        <f>(H560*(I560-1))</f>
        <v>0</v>
      </c>
      <c r="V560" s="0" t="str">
        <f>INDEX('Account executives'!$B$2:$B$25,MATCH(C560,'Account executives'!$A$2:$A$25,0))</f>
        <v>amer_east</v>
      </c>
      <c r="W560" s="0" t="str">
        <f>INDEX('Account executives'!$C$2:$C$25,MATCH(C560,'Account executives'!$A$2:$A$25,0))</f>
        <v>enterprise</v>
      </c>
      <c r="X560" s="0" t="str">
        <f>SUBSTITUTE(LOWER(INDEX('Periods'!$G$2:$G$22,MATCH(N560,'Periods'!$A$2:$A$22,0)))," ","_")</f>
        <v>q2_2026</v>
      </c>
    </row>
    <row r="561">
      <c r="A561" s="0" t="inlineStr">
        <is>
          <t xml:space="preserve">o0560</t>
        </is>
      </c>
      <c r="B561" s="0" t="inlineStr">
        <is>
          <t xml:space="preserve">a0681</t>
        </is>
      </c>
      <c r="C561" s="0" t="inlineStr">
        <is>
          <t xml:space="preserve">r08</t>
        </is>
      </c>
      <c r="D561" s="0" t="inlineStr">
        <is>
          <t xml:space="preserve">s_amer_west_in</t>
        </is>
      </c>
      <c r="E561" s="0" t="inlineStr">
        <is>
          <t xml:space="preserve">paid</t>
        </is>
      </c>
      <c r="F561" s="0" t="inlineStr">
        <is>
          <t xml:space="preserve">closed_lost</t>
        </is>
      </c>
      <c r="G561" s="4">
        <v>1</v>
      </c>
      <c r="H561" s="4">
        <v>185800</v>
      </c>
      <c r="I561" s="4">
        <v>2</v>
      </c>
      <c r="J561" s="4">
        <v>0</v>
      </c>
      <c r="K561" s="16">
        <v>46060</v>
      </c>
      <c r="L561" s="16">
        <v>46199</v>
      </c>
      <c r="M561" s="0" t="inlineStr">
        <is>
          <t xml:space="preserve">feb26</t>
        </is>
      </c>
      <c r="N561" s="0" t="inlineStr">
        <is>
          <t xml:space="preserve">jun26</t>
        </is>
      </c>
      <c r="O561" s="4">
        <v>139</v>
      </c>
      <c r="P561" s="4">
        <v>0</v>
      </c>
      <c r="Q561" s="4">
        <v>1</v>
      </c>
      <c r="R561" s="4">
        <v>0</v>
      </c>
      <c r="S561" s="4">
        <f>(H561*INDEX('Stages'!$D$2:$D$7,MATCH(F561,'Stages'!$A$2:$A$7,0)))</f>
        <v>0</v>
      </c>
      <c r="T561" s="4">
        <f>(H561*I561)</f>
        <v>371600</v>
      </c>
      <c r="U561" s="4">
        <f>(H561*(I561-1))</f>
        <v>185800</v>
      </c>
      <c r="V561" s="0" t="str">
        <f>INDEX('Account executives'!$B$2:$B$25,MATCH(C561,'Account executives'!$A$2:$A$25,0))</f>
        <v>amer_west</v>
      </c>
      <c r="W561" s="0" t="str">
        <f>INDEX('Account executives'!$C$2:$C$25,MATCH(C561,'Account executives'!$A$2:$A$25,0))</f>
        <v>enterprise</v>
      </c>
      <c r="X561" s="0" t="str">
        <f>SUBSTITUTE(LOWER(INDEX('Periods'!$G$2:$G$22,MATCH(N561,'Periods'!$A$2:$A$22,0)))," ","_")</f>
        <v>q2_2026</v>
      </c>
    </row>
    <row r="562">
      <c r="A562" s="0" t="inlineStr">
        <is>
          <t xml:space="preserve">o0561</t>
        </is>
      </c>
      <c r="B562" s="0" t="inlineStr">
        <is>
          <t xml:space="preserve">a0884</t>
        </is>
      </c>
      <c r="C562" s="0" t="inlineStr">
        <is>
          <t xml:space="preserve">r24</t>
        </is>
      </c>
      <c r="D562" s="0" t="inlineStr">
        <is>
          <t xml:space="preserve">s_apac_out</t>
        </is>
      </c>
      <c r="E562" s="0" t="inlineStr">
        <is>
          <t xml:space="preserve">outbound</t>
        </is>
      </c>
      <c r="F562" s="0" t="inlineStr">
        <is>
          <t xml:space="preserve">closed_lost</t>
        </is>
      </c>
      <c r="G562" s="4">
        <v>1</v>
      </c>
      <c r="H562" s="4">
        <v>16900</v>
      </c>
      <c r="I562" s="4">
        <v>1</v>
      </c>
      <c r="J562" s="4">
        <v>0</v>
      </c>
      <c r="K562" s="16">
        <v>46138</v>
      </c>
      <c r="L562" s="16">
        <v>46174</v>
      </c>
      <c r="M562" s="0" t="inlineStr">
        <is>
          <t xml:space="preserve">apr26</t>
        </is>
      </c>
      <c r="N562" s="0" t="inlineStr">
        <is>
          <t xml:space="preserve">jun26</t>
        </is>
      </c>
      <c r="O562" s="4">
        <v>36</v>
      </c>
      <c r="P562" s="4">
        <v>0</v>
      </c>
      <c r="Q562" s="4">
        <v>1</v>
      </c>
      <c r="R562" s="4">
        <v>0</v>
      </c>
      <c r="S562" s="4">
        <f>(H562*INDEX('Stages'!$D$2:$D$7,MATCH(F562,'Stages'!$A$2:$A$7,0)))</f>
        <v>0</v>
      </c>
      <c r="T562" s="4">
        <f>(H562*I562)</f>
        <v>16900</v>
      </c>
      <c r="U562" s="4">
        <f>(H562*(I562-1))</f>
        <v>0</v>
      </c>
      <c r="V562" s="0" t="str">
        <f>INDEX('Account executives'!$B$2:$B$25,MATCH(C562,'Account executives'!$A$2:$A$25,0))</f>
        <v>apac</v>
      </c>
      <c r="W562" s="0" t="str">
        <f>INDEX('Account executives'!$C$2:$C$25,MATCH(C562,'Account executives'!$A$2:$A$25,0))</f>
        <v>smb</v>
      </c>
      <c r="X562" s="0" t="str">
        <f>SUBSTITUTE(LOWER(INDEX('Periods'!$G$2:$G$22,MATCH(N562,'Periods'!$A$2:$A$22,0)))," ","_")</f>
        <v>q2_2026</v>
      </c>
    </row>
    <row r="563">
      <c r="A563" s="0" t="inlineStr">
        <is>
          <t xml:space="preserve">o0562</t>
        </is>
      </c>
      <c r="B563" s="0" t="inlineStr">
        <is>
          <t xml:space="preserve">a0601</t>
        </is>
      </c>
      <c r="C563" s="0" t="inlineStr">
        <is>
          <t xml:space="preserve">r24</t>
        </is>
      </c>
      <c r="D563" s="0"/>
      <c r="E563" s="0" t="inlineStr">
        <is>
          <t xml:space="preserve">partner</t>
        </is>
      </c>
      <c r="F563" s="0" t="inlineStr">
        <is>
          <t xml:space="preserve">closed_lost</t>
        </is>
      </c>
      <c r="G563" s="4">
        <v>1</v>
      </c>
      <c r="H563" s="4">
        <v>20800</v>
      </c>
      <c r="I563" s="4">
        <v>1</v>
      </c>
      <c r="J563" s="4">
        <v>0</v>
      </c>
      <c r="K563" s="16">
        <v>46001</v>
      </c>
      <c r="L563" s="16">
        <v>46019</v>
      </c>
      <c r="M563" s="0" t="inlineStr">
        <is>
          <t xml:space="preserve">dec25</t>
        </is>
      </c>
      <c r="N563" s="0" t="inlineStr">
        <is>
          <t xml:space="preserve">dec25</t>
        </is>
      </c>
      <c r="O563" s="4">
        <v>18</v>
      </c>
      <c r="P563" s="4">
        <v>0</v>
      </c>
      <c r="Q563" s="4">
        <v>1</v>
      </c>
      <c r="R563" s="4">
        <v>0</v>
      </c>
      <c r="S563" s="4">
        <f>(H563*INDEX('Stages'!$D$2:$D$7,MATCH(F563,'Stages'!$A$2:$A$7,0)))</f>
        <v>0</v>
      </c>
      <c r="T563" s="4">
        <f>(H563*I563)</f>
        <v>20800</v>
      </c>
      <c r="U563" s="4">
        <f>(H563*(I563-1))</f>
        <v>0</v>
      </c>
      <c r="V563" s="0" t="str">
        <f>INDEX('Account executives'!$B$2:$B$25,MATCH(C563,'Account executives'!$A$2:$A$25,0))</f>
        <v>apac</v>
      </c>
      <c r="W563" s="0" t="str">
        <f>INDEX('Account executives'!$C$2:$C$25,MATCH(C563,'Account executives'!$A$2:$A$25,0))</f>
        <v>smb</v>
      </c>
      <c r="X563" s="0" t="str">
        <f>SUBSTITUTE(LOWER(INDEX('Periods'!$G$2:$G$22,MATCH(N563,'Periods'!$A$2:$A$22,0)))," ","_")</f>
        <v>q4_2025</v>
      </c>
    </row>
    <row r="564">
      <c r="A564" s="0" t="inlineStr">
        <is>
          <t xml:space="preserve">o0563</t>
        </is>
      </c>
      <c r="B564" s="0" t="inlineStr">
        <is>
          <t xml:space="preserve">a0374</t>
        </is>
      </c>
      <c r="C564" s="0" t="inlineStr">
        <is>
          <t xml:space="preserve">r12</t>
        </is>
      </c>
      <c r="D564" s="0" t="inlineStr">
        <is>
          <t xml:space="preserve">s_amer_west_out</t>
        </is>
      </c>
      <c r="E564" s="0" t="inlineStr">
        <is>
          <t xml:space="preserve">outbound</t>
        </is>
      </c>
      <c r="F564" s="0" t="inlineStr">
        <is>
          <t xml:space="preserve">closed_lost</t>
        </is>
      </c>
      <c r="G564" s="4">
        <v>0</v>
      </c>
      <c r="H564" s="4">
        <v>17300</v>
      </c>
      <c r="I564" s="4">
        <v>1</v>
      </c>
      <c r="J564" s="4">
        <v>1</v>
      </c>
      <c r="K564" s="16">
        <v>45955</v>
      </c>
      <c r="L564" s="16">
        <v>45992</v>
      </c>
      <c r="M564" s="0" t="inlineStr">
        <is>
          <t xml:space="preserve">oct25</t>
        </is>
      </c>
      <c r="N564" s="0" t="inlineStr">
        <is>
          <t xml:space="preserve">dec25</t>
        </is>
      </c>
      <c r="O564" s="4">
        <v>37</v>
      </c>
      <c r="P564" s="4">
        <v>0</v>
      </c>
      <c r="Q564" s="4">
        <v>1</v>
      </c>
      <c r="R564" s="4">
        <v>0</v>
      </c>
      <c r="S564" s="4">
        <f>(H564*INDEX('Stages'!$D$2:$D$7,MATCH(F564,'Stages'!$A$2:$A$7,0)))</f>
        <v>0</v>
      </c>
      <c r="T564" s="4">
        <f>(H564*I564)</f>
        <v>17300</v>
      </c>
      <c r="U564" s="4">
        <f>(H564*(I564-1))</f>
        <v>0</v>
      </c>
      <c r="V564" s="0" t="str">
        <f>INDEX('Account executives'!$B$2:$B$25,MATCH(C564,'Account executives'!$A$2:$A$25,0))</f>
        <v>amer_west</v>
      </c>
      <c r="W564" s="0" t="str">
        <f>INDEX('Account executives'!$C$2:$C$25,MATCH(C564,'Account executives'!$A$2:$A$25,0))</f>
        <v>smb</v>
      </c>
      <c r="X564" s="0" t="str">
        <f>SUBSTITUTE(LOWER(INDEX('Periods'!$G$2:$G$22,MATCH(N564,'Periods'!$A$2:$A$22,0)))," ","_")</f>
        <v>q4_2025</v>
      </c>
    </row>
    <row r="565">
      <c r="A565" s="0" t="inlineStr">
        <is>
          <t xml:space="preserve">o0564</t>
        </is>
      </c>
      <c r="B565" s="0" t="inlineStr">
        <is>
          <t xml:space="preserve">a1045</t>
        </is>
      </c>
      <c r="C565" s="0" t="inlineStr">
        <is>
          <t xml:space="preserve">r24</t>
        </is>
      </c>
      <c r="D565" s="0" t="inlineStr">
        <is>
          <t xml:space="preserve">s_apac_out</t>
        </is>
      </c>
      <c r="E565" s="0" t="inlineStr">
        <is>
          <t xml:space="preserve">outbound</t>
        </is>
      </c>
      <c r="F565" s="0" t="inlineStr">
        <is>
          <t xml:space="preserve">closed_lost</t>
        </is>
      </c>
      <c r="G565" s="4">
        <v>0</v>
      </c>
      <c r="H565" s="4">
        <v>4900</v>
      </c>
      <c r="I565" s="4">
        <v>2</v>
      </c>
      <c r="J565" s="4">
        <v>0</v>
      </c>
      <c r="K565" s="16">
        <v>46214</v>
      </c>
      <c r="L565" s="16">
        <v>46255</v>
      </c>
      <c r="M565" s="0" t="inlineStr">
        <is>
          <t xml:space="preserve">jul26</t>
        </is>
      </c>
      <c r="N565" s="0" t="inlineStr">
        <is>
          <t xml:space="preserve">aug26</t>
        </is>
      </c>
      <c r="O565" s="4">
        <v>41</v>
      </c>
      <c r="P565" s="4">
        <v>0</v>
      </c>
      <c r="Q565" s="4">
        <v>1</v>
      </c>
      <c r="R565" s="4">
        <v>0</v>
      </c>
      <c r="S565" s="4">
        <f>(H565*INDEX('Stages'!$D$2:$D$7,MATCH(F565,'Stages'!$A$2:$A$7,0)))</f>
        <v>0</v>
      </c>
      <c r="T565" s="4">
        <f>(H565*I565)</f>
        <v>9800</v>
      </c>
      <c r="U565" s="4">
        <f>(H565*(I565-1))</f>
        <v>4900</v>
      </c>
      <c r="V565" s="0" t="str">
        <f>INDEX('Account executives'!$B$2:$B$25,MATCH(C565,'Account executives'!$A$2:$A$25,0))</f>
        <v>apac</v>
      </c>
      <c r="W565" s="0" t="str">
        <f>INDEX('Account executives'!$C$2:$C$25,MATCH(C565,'Account executives'!$A$2:$A$25,0))</f>
        <v>smb</v>
      </c>
      <c r="X565" s="0" t="str">
        <f>SUBSTITUTE(LOWER(INDEX('Periods'!$G$2:$G$22,MATCH(N565,'Periods'!$A$2:$A$22,0)))," ","_")</f>
        <v>q3_2026</v>
      </c>
    </row>
    <row r="566">
      <c r="A566" s="0" t="inlineStr">
        <is>
          <t xml:space="preserve">o0565</t>
        </is>
      </c>
      <c r="B566" s="0" t="inlineStr">
        <is>
          <t xml:space="preserve">a0988</t>
        </is>
      </c>
      <c r="C566" s="0" t="inlineStr">
        <is>
          <t xml:space="preserve">r09</t>
        </is>
      </c>
      <c r="D566" s="0" t="inlineStr">
        <is>
          <t xml:space="preserve">s_amer_west_in</t>
        </is>
      </c>
      <c r="E566" s="0" t="inlineStr">
        <is>
          <t xml:space="preserve">paid</t>
        </is>
      </c>
      <c r="F566" s="0" t="inlineStr">
        <is>
          <t xml:space="preserve">closed_lost</t>
        </is>
      </c>
      <c r="G566" s="4">
        <v>1</v>
      </c>
      <c r="H566" s="4">
        <v>73500</v>
      </c>
      <c r="I566" s="4">
        <v>1</v>
      </c>
      <c r="J566" s="4">
        <v>0</v>
      </c>
      <c r="K566" s="16">
        <v>46179</v>
      </c>
      <c r="L566" s="16">
        <v>46234</v>
      </c>
      <c r="M566" s="0" t="inlineStr">
        <is>
          <t xml:space="preserve">jun26</t>
        </is>
      </c>
      <c r="N566" s="0" t="inlineStr">
        <is>
          <t xml:space="preserve">jul26</t>
        </is>
      </c>
      <c r="O566" s="4">
        <v>55</v>
      </c>
      <c r="P566" s="4">
        <v>0</v>
      </c>
      <c r="Q566" s="4">
        <v>1</v>
      </c>
      <c r="R566" s="4">
        <v>0</v>
      </c>
      <c r="S566" s="4">
        <f>(H566*INDEX('Stages'!$D$2:$D$7,MATCH(F566,'Stages'!$A$2:$A$7,0)))</f>
        <v>0</v>
      </c>
      <c r="T566" s="4">
        <f>(H566*I566)</f>
        <v>73500</v>
      </c>
      <c r="U566" s="4">
        <f>(H566*(I566-1))</f>
        <v>0</v>
      </c>
      <c r="V566" s="0" t="str">
        <f>INDEX('Account executives'!$B$2:$B$25,MATCH(C566,'Account executives'!$A$2:$A$25,0))</f>
        <v>amer_west</v>
      </c>
      <c r="W566" s="0" t="str">
        <f>INDEX('Account executives'!$C$2:$C$25,MATCH(C566,'Account executives'!$A$2:$A$25,0))</f>
        <v>mid_market</v>
      </c>
      <c r="X566" s="0" t="str">
        <f>SUBSTITUTE(LOWER(INDEX('Periods'!$G$2:$G$22,MATCH(N566,'Periods'!$A$2:$A$22,0)))," ","_")</f>
        <v>q3_2026</v>
      </c>
    </row>
    <row r="567">
      <c r="A567" s="0" t="inlineStr">
        <is>
          <t xml:space="preserve">o0566</t>
        </is>
      </c>
      <c r="B567" s="0" t="inlineStr">
        <is>
          <t xml:space="preserve">a0922</t>
        </is>
      </c>
      <c r="C567" s="0" t="inlineStr">
        <is>
          <t xml:space="preserve">r11</t>
        </is>
      </c>
      <c r="D567" s="0"/>
      <c r="E567" s="0" t="inlineStr">
        <is>
          <t xml:space="preserve">events</t>
        </is>
      </c>
      <c r="F567" s="0" t="inlineStr">
        <is>
          <t xml:space="preserve">closed_lost</t>
        </is>
      </c>
      <c r="G567" s="4">
        <v>1</v>
      </c>
      <c r="H567" s="4">
        <v>19300</v>
      </c>
      <c r="I567" s="4">
        <v>1</v>
      </c>
      <c r="J567" s="4">
        <v>0</v>
      </c>
      <c r="K567" s="16">
        <v>46144</v>
      </c>
      <c r="L567" s="16">
        <v>46173</v>
      </c>
      <c r="M567" s="0" t="inlineStr">
        <is>
          <t xml:space="preserve">may26</t>
        </is>
      </c>
      <c r="N567" s="0" t="inlineStr">
        <is>
          <t xml:space="preserve">may26</t>
        </is>
      </c>
      <c r="O567" s="4">
        <v>29</v>
      </c>
      <c r="P567" s="4">
        <v>0</v>
      </c>
      <c r="Q567" s="4">
        <v>1</v>
      </c>
      <c r="R567" s="4">
        <v>0</v>
      </c>
      <c r="S567" s="4">
        <f>(H567*INDEX('Stages'!$D$2:$D$7,MATCH(F567,'Stages'!$A$2:$A$7,0)))</f>
        <v>0</v>
      </c>
      <c r="T567" s="4">
        <f>(H567*I567)</f>
        <v>19300</v>
      </c>
      <c r="U567" s="4">
        <f>(H567*(I567-1))</f>
        <v>0</v>
      </c>
      <c r="V567" s="0" t="str">
        <f>INDEX('Account executives'!$B$2:$B$25,MATCH(C567,'Account executives'!$A$2:$A$25,0))</f>
        <v>amer_west</v>
      </c>
      <c r="W567" s="0" t="str">
        <f>INDEX('Account executives'!$C$2:$C$25,MATCH(C567,'Account executives'!$A$2:$A$25,0))</f>
        <v>smb</v>
      </c>
      <c r="X567" s="0" t="str">
        <f>SUBSTITUTE(LOWER(INDEX('Periods'!$G$2:$G$22,MATCH(N567,'Periods'!$A$2:$A$22,0)))," ","_")</f>
        <v>q2_2026</v>
      </c>
    </row>
    <row r="568">
      <c r="A568" s="0" t="inlineStr">
        <is>
          <t xml:space="preserve">o0567</t>
        </is>
      </c>
      <c r="B568" s="0" t="inlineStr">
        <is>
          <t xml:space="preserve">a0005</t>
        </is>
      </c>
      <c r="C568" s="0" t="inlineStr">
        <is>
          <t xml:space="preserve">r05</t>
        </is>
      </c>
      <c r="D568" s="0" t="inlineStr">
        <is>
          <t xml:space="preserve">s_amer_east_out</t>
        </is>
      </c>
      <c r="E568" s="0" t="inlineStr">
        <is>
          <t xml:space="preserve">outbound</t>
        </is>
      </c>
      <c r="F568" s="0" t="inlineStr">
        <is>
          <t xml:space="preserve">closed_lost</t>
        </is>
      </c>
      <c r="G568" s="4">
        <v>0</v>
      </c>
      <c r="H568" s="4">
        <v>10500</v>
      </c>
      <c r="I568" s="4">
        <v>1</v>
      </c>
      <c r="J568" s="4">
        <v>0</v>
      </c>
      <c r="K568" s="16">
        <v>46081</v>
      </c>
      <c r="L568" s="16">
        <v>46091</v>
      </c>
      <c r="M568" s="0" t="inlineStr">
        <is>
          <t xml:space="preserve">feb26</t>
        </is>
      </c>
      <c r="N568" s="0" t="inlineStr">
        <is>
          <t xml:space="preserve">mar26</t>
        </is>
      </c>
      <c r="O568" s="4">
        <v>10</v>
      </c>
      <c r="P568" s="4">
        <v>0</v>
      </c>
      <c r="Q568" s="4">
        <v>1</v>
      </c>
      <c r="R568" s="4">
        <v>0</v>
      </c>
      <c r="S568" s="4">
        <f>(H568*INDEX('Stages'!$D$2:$D$7,MATCH(F568,'Stages'!$A$2:$A$7,0)))</f>
        <v>0</v>
      </c>
      <c r="T568" s="4">
        <f>(H568*I568)</f>
        <v>10500</v>
      </c>
      <c r="U568" s="4">
        <f>(H568*(I568-1))</f>
        <v>0</v>
      </c>
      <c r="V568" s="0" t="str">
        <f>INDEX('Account executives'!$B$2:$B$25,MATCH(C568,'Account executives'!$A$2:$A$25,0))</f>
        <v>amer_east</v>
      </c>
      <c r="W568" s="0" t="str">
        <f>INDEX('Account executives'!$C$2:$C$25,MATCH(C568,'Account executives'!$A$2:$A$25,0))</f>
        <v>smb</v>
      </c>
      <c r="X568" s="0" t="str">
        <f>SUBSTITUTE(LOWER(INDEX('Periods'!$G$2:$G$22,MATCH(N568,'Periods'!$A$2:$A$22,0)))," ","_")</f>
        <v>q1_2026</v>
      </c>
    </row>
    <row r="569">
      <c r="A569" s="0" t="inlineStr">
        <is>
          <t xml:space="preserve">o0568</t>
        </is>
      </c>
      <c r="B569" s="0" t="inlineStr">
        <is>
          <t xml:space="preserve">a1150</t>
        </is>
      </c>
      <c r="C569" s="0" t="inlineStr">
        <is>
          <t xml:space="preserve">r04</t>
        </is>
      </c>
      <c r="D569" s="0" t="inlineStr">
        <is>
          <t xml:space="preserve">s_amer_east_in</t>
        </is>
      </c>
      <c r="E569" s="0" t="inlineStr">
        <is>
          <t xml:space="preserve">paid</t>
        </is>
      </c>
      <c r="F569" s="0" t="inlineStr">
        <is>
          <t xml:space="preserve">evaluation</t>
        </is>
      </c>
      <c r="G569" s="4">
        <v>1</v>
      </c>
      <c r="H569" s="4">
        <v>12800</v>
      </c>
      <c r="I569" s="4">
        <v>2</v>
      </c>
      <c r="J569" s="4">
        <v>0</v>
      </c>
      <c r="K569" s="16">
        <v>46246</v>
      </c>
      <c r="L569" s="16">
        <v>46371</v>
      </c>
      <c r="M569" s="0" t="inlineStr">
        <is>
          <t xml:space="preserve">aug26</t>
        </is>
      </c>
      <c r="N569" s="0" t="inlineStr">
        <is>
          <t xml:space="preserve">dec26</t>
        </is>
      </c>
      <c r="O569" s="4">
        <v>95</v>
      </c>
      <c r="P569" s="4">
        <v>0</v>
      </c>
      <c r="Q569" s="4">
        <v>0</v>
      </c>
      <c r="R569" s="4">
        <v>1</v>
      </c>
      <c r="S569" s="4">
        <f>(H569*INDEX('Stages'!$D$2:$D$7,MATCH(F569,'Stages'!$A$2:$A$7,0)))</f>
        <v>3200</v>
      </c>
      <c r="T569" s="4">
        <f>(H569*I569)</f>
        <v>25600</v>
      </c>
      <c r="U569" s="4">
        <f>(H569*(I569-1))</f>
        <v>12800</v>
      </c>
      <c r="V569" s="0" t="str">
        <f>INDEX('Account executives'!$B$2:$B$25,MATCH(C569,'Account executives'!$A$2:$A$25,0))</f>
        <v>amer_east</v>
      </c>
      <c r="W569" s="0" t="str">
        <f>INDEX('Account executives'!$C$2:$C$25,MATCH(C569,'Account executives'!$A$2:$A$25,0))</f>
        <v>mid_market</v>
      </c>
      <c r="X569" s="0" t="str">
        <f>SUBSTITUTE(LOWER(INDEX('Periods'!$G$2:$G$22,MATCH(N569,'Periods'!$A$2:$A$22,0)))," ","_")</f>
        <v>q4_2026</v>
      </c>
    </row>
    <row r="570">
      <c r="A570" s="0" t="inlineStr">
        <is>
          <t xml:space="preserve">o0569</t>
        </is>
      </c>
      <c r="B570" s="0" t="inlineStr">
        <is>
          <t xml:space="preserve">a0528</t>
        </is>
      </c>
      <c r="C570" s="0" t="inlineStr">
        <is>
          <t xml:space="preserve">r22</t>
        </is>
      </c>
      <c r="D570" s="0" t="inlineStr">
        <is>
          <t xml:space="preserve">s_apac_out</t>
        </is>
      </c>
      <c r="E570" s="0" t="inlineStr">
        <is>
          <t xml:space="preserve">outbound</t>
        </is>
      </c>
      <c r="F570" s="0" t="inlineStr">
        <is>
          <t xml:space="preserve">closed_lost</t>
        </is>
      </c>
      <c r="G570" s="4">
        <v>1</v>
      </c>
      <c r="H570" s="4">
        <v>19700</v>
      </c>
      <c r="I570" s="4">
        <v>1</v>
      </c>
      <c r="J570" s="4">
        <v>1</v>
      </c>
      <c r="K570" s="16">
        <v>45975</v>
      </c>
      <c r="L570" s="16">
        <v>46021</v>
      </c>
      <c r="M570" s="0" t="inlineStr">
        <is>
          <t xml:space="preserve">nov25</t>
        </is>
      </c>
      <c r="N570" s="0" t="inlineStr">
        <is>
          <t xml:space="preserve">dec25</t>
        </is>
      </c>
      <c r="O570" s="4">
        <v>46</v>
      </c>
      <c r="P570" s="4">
        <v>0</v>
      </c>
      <c r="Q570" s="4">
        <v>1</v>
      </c>
      <c r="R570" s="4">
        <v>0</v>
      </c>
      <c r="S570" s="4">
        <f>(H570*INDEX('Stages'!$D$2:$D$7,MATCH(F570,'Stages'!$A$2:$A$7,0)))</f>
        <v>0</v>
      </c>
      <c r="T570" s="4">
        <f>(H570*I570)</f>
        <v>19700</v>
      </c>
      <c r="U570" s="4">
        <f>(H570*(I570-1))</f>
        <v>0</v>
      </c>
      <c r="V570" s="0" t="str">
        <f>INDEX('Account executives'!$B$2:$B$25,MATCH(C570,'Account executives'!$A$2:$A$25,0))</f>
        <v>apac</v>
      </c>
      <c r="W570" s="0" t="str">
        <f>INDEX('Account executives'!$C$2:$C$25,MATCH(C570,'Account executives'!$A$2:$A$25,0))</f>
        <v>mid_market</v>
      </c>
      <c r="X570" s="0" t="str">
        <f>SUBSTITUTE(LOWER(INDEX('Periods'!$G$2:$G$22,MATCH(N570,'Periods'!$A$2:$A$22,0)))," ","_")</f>
        <v>q4_2025</v>
      </c>
    </row>
    <row r="571">
      <c r="A571" s="0" t="inlineStr">
        <is>
          <t xml:space="preserve">o0570</t>
        </is>
      </c>
      <c r="B571" s="0" t="inlineStr">
        <is>
          <t xml:space="preserve">a0772</t>
        </is>
      </c>
      <c r="C571" s="0" t="inlineStr">
        <is>
          <t xml:space="preserve">r09</t>
        </is>
      </c>
      <c r="D571" s="0"/>
      <c r="E571" s="0" t="inlineStr">
        <is>
          <t xml:space="preserve">referral</t>
        </is>
      </c>
      <c r="F571" s="0" t="inlineStr">
        <is>
          <t xml:space="preserve">closed_lost</t>
        </is>
      </c>
      <c r="G571" s="4">
        <v>1</v>
      </c>
      <c r="H571" s="4">
        <v>20900</v>
      </c>
      <c r="I571" s="4">
        <v>3</v>
      </c>
      <c r="J571" s="4">
        <v>1</v>
      </c>
      <c r="K571" s="16">
        <v>46109</v>
      </c>
      <c r="L571" s="16">
        <v>46164</v>
      </c>
      <c r="M571" s="0" t="inlineStr">
        <is>
          <t xml:space="preserve">mar26</t>
        </is>
      </c>
      <c r="N571" s="0" t="inlineStr">
        <is>
          <t xml:space="preserve">may26</t>
        </is>
      </c>
      <c r="O571" s="4">
        <v>55</v>
      </c>
      <c r="P571" s="4">
        <v>0</v>
      </c>
      <c r="Q571" s="4">
        <v>1</v>
      </c>
      <c r="R571" s="4">
        <v>0</v>
      </c>
      <c r="S571" s="4">
        <f>(H571*INDEX('Stages'!$D$2:$D$7,MATCH(F571,'Stages'!$A$2:$A$7,0)))</f>
        <v>0</v>
      </c>
      <c r="T571" s="4">
        <f>(H571*I571)</f>
        <v>62700</v>
      </c>
      <c r="U571" s="4">
        <f>(H571*(I571-1))</f>
        <v>41800</v>
      </c>
      <c r="V571" s="0" t="str">
        <f>INDEX('Account executives'!$B$2:$B$25,MATCH(C571,'Account executives'!$A$2:$A$25,0))</f>
        <v>amer_west</v>
      </c>
      <c r="W571" s="0" t="str">
        <f>INDEX('Account executives'!$C$2:$C$25,MATCH(C571,'Account executives'!$A$2:$A$25,0))</f>
        <v>mid_market</v>
      </c>
      <c r="X571" s="0" t="str">
        <f>SUBSTITUTE(LOWER(INDEX('Periods'!$G$2:$G$22,MATCH(N571,'Periods'!$A$2:$A$22,0)))," ","_")</f>
        <v>q2_2026</v>
      </c>
    </row>
    <row r="572">
      <c r="A572" s="0" t="inlineStr">
        <is>
          <t xml:space="preserve">o0571</t>
        </is>
      </c>
      <c r="B572" s="0" t="inlineStr">
        <is>
          <t xml:space="preserve">a0496</t>
        </is>
      </c>
      <c r="C572" s="0" t="inlineStr">
        <is>
          <t xml:space="preserve">r11</t>
        </is>
      </c>
      <c r="D572" s="0" t="inlineStr">
        <is>
          <t xml:space="preserve">s_amer_west_in</t>
        </is>
      </c>
      <c r="E572" s="0" t="inlineStr">
        <is>
          <t xml:space="preserve">inbound</t>
        </is>
      </c>
      <c r="F572" s="0" t="inlineStr">
        <is>
          <t xml:space="preserve">closed_lost</t>
        </is>
      </c>
      <c r="G572" s="4">
        <v>1</v>
      </c>
      <c r="H572" s="4">
        <v>8900</v>
      </c>
      <c r="I572" s="4">
        <v>1</v>
      </c>
      <c r="J572" s="4">
        <v>0</v>
      </c>
      <c r="K572" s="16">
        <v>45964</v>
      </c>
      <c r="L572" s="16">
        <v>45989</v>
      </c>
      <c r="M572" s="0" t="inlineStr">
        <is>
          <t xml:space="preserve">nov25</t>
        </is>
      </c>
      <c r="N572" s="0" t="inlineStr">
        <is>
          <t xml:space="preserve">nov25</t>
        </is>
      </c>
      <c r="O572" s="4">
        <v>25</v>
      </c>
      <c r="P572" s="4">
        <v>0</v>
      </c>
      <c r="Q572" s="4">
        <v>1</v>
      </c>
      <c r="R572" s="4">
        <v>0</v>
      </c>
      <c r="S572" s="4">
        <f>(H572*INDEX('Stages'!$D$2:$D$7,MATCH(F572,'Stages'!$A$2:$A$7,0)))</f>
        <v>0</v>
      </c>
      <c r="T572" s="4">
        <f>(H572*I572)</f>
        <v>8900</v>
      </c>
      <c r="U572" s="4">
        <f>(H572*(I572-1))</f>
        <v>0</v>
      </c>
      <c r="V572" s="0" t="str">
        <f>INDEX('Account executives'!$B$2:$B$25,MATCH(C572,'Account executives'!$A$2:$A$25,0))</f>
        <v>amer_west</v>
      </c>
      <c r="W572" s="0" t="str">
        <f>INDEX('Account executives'!$C$2:$C$25,MATCH(C572,'Account executives'!$A$2:$A$25,0))</f>
        <v>smb</v>
      </c>
      <c r="X572" s="0" t="str">
        <f>SUBSTITUTE(LOWER(INDEX('Periods'!$G$2:$G$22,MATCH(N572,'Periods'!$A$2:$A$22,0)))," ","_")</f>
        <v>q4_2025</v>
      </c>
    </row>
    <row r="573">
      <c r="A573" s="0" t="inlineStr">
        <is>
          <t xml:space="preserve">o0572</t>
        </is>
      </c>
      <c r="B573" s="0" t="inlineStr">
        <is>
          <t xml:space="preserve">a0361</t>
        </is>
      </c>
      <c r="C573" s="0" t="inlineStr">
        <is>
          <t xml:space="preserve">r04</t>
        </is>
      </c>
      <c r="D573" s="0" t="inlineStr">
        <is>
          <t xml:space="preserve">s_amer_east_in</t>
        </is>
      </c>
      <c r="E573" s="0" t="inlineStr">
        <is>
          <t xml:space="preserve">inbound</t>
        </is>
      </c>
      <c r="F573" s="0" t="inlineStr">
        <is>
          <t xml:space="preserve">closed_lost</t>
        </is>
      </c>
      <c r="G573" s="4">
        <v>1</v>
      </c>
      <c r="H573" s="4">
        <v>33400</v>
      </c>
      <c r="I573" s="4">
        <v>1</v>
      </c>
      <c r="J573" s="4">
        <v>0</v>
      </c>
      <c r="K573" s="16">
        <v>45918</v>
      </c>
      <c r="L573" s="16">
        <v>45979</v>
      </c>
      <c r="M573" s="0" t="inlineStr">
        <is>
          <t xml:space="preserve">sep25</t>
        </is>
      </c>
      <c r="N573" s="0" t="inlineStr">
        <is>
          <t xml:space="preserve">nov25</t>
        </is>
      </c>
      <c r="O573" s="4">
        <v>61</v>
      </c>
      <c r="P573" s="4">
        <v>0</v>
      </c>
      <c r="Q573" s="4">
        <v>1</v>
      </c>
      <c r="R573" s="4">
        <v>0</v>
      </c>
      <c r="S573" s="4">
        <f>(H573*INDEX('Stages'!$D$2:$D$7,MATCH(F573,'Stages'!$A$2:$A$7,0)))</f>
        <v>0</v>
      </c>
      <c r="T573" s="4">
        <f>(H573*I573)</f>
        <v>33400</v>
      </c>
      <c r="U573" s="4">
        <f>(H573*(I573-1))</f>
        <v>0</v>
      </c>
      <c r="V573" s="0" t="str">
        <f>INDEX('Account executives'!$B$2:$B$25,MATCH(C573,'Account executives'!$A$2:$A$25,0))</f>
        <v>amer_east</v>
      </c>
      <c r="W573" s="0" t="str">
        <f>INDEX('Account executives'!$C$2:$C$25,MATCH(C573,'Account executives'!$A$2:$A$25,0))</f>
        <v>mid_market</v>
      </c>
      <c r="X573" s="0" t="str">
        <f>SUBSTITUTE(LOWER(INDEX('Periods'!$G$2:$G$22,MATCH(N573,'Periods'!$A$2:$A$22,0)))," ","_")</f>
        <v>q4_2025</v>
      </c>
    </row>
    <row r="574">
      <c r="A574" s="0" t="inlineStr">
        <is>
          <t xml:space="preserve">o0573</t>
        </is>
      </c>
      <c r="B574" s="0" t="inlineStr">
        <is>
          <t xml:space="preserve">a0433</t>
        </is>
      </c>
      <c r="C574" s="0" t="inlineStr">
        <is>
          <t xml:space="preserve">r11</t>
        </is>
      </c>
      <c r="D574" s="0" t="inlineStr">
        <is>
          <t xml:space="preserve">s_amer_west_in</t>
        </is>
      </c>
      <c r="E574" s="0" t="inlineStr">
        <is>
          <t xml:space="preserve">paid</t>
        </is>
      </c>
      <c r="F574" s="0" t="inlineStr">
        <is>
          <t xml:space="preserve">closed_lost</t>
        </is>
      </c>
      <c r="G574" s="4">
        <v>1</v>
      </c>
      <c r="H574" s="4">
        <v>24500</v>
      </c>
      <c r="I574" s="4">
        <v>1</v>
      </c>
      <c r="J574" s="4">
        <v>0</v>
      </c>
      <c r="K574" s="16">
        <v>45948</v>
      </c>
      <c r="L574" s="16">
        <v>45970</v>
      </c>
      <c r="M574" s="0" t="inlineStr">
        <is>
          <t xml:space="preserve">oct25</t>
        </is>
      </c>
      <c r="N574" s="0" t="inlineStr">
        <is>
          <t xml:space="preserve">nov25</t>
        </is>
      </c>
      <c r="O574" s="4">
        <v>22</v>
      </c>
      <c r="P574" s="4">
        <v>0</v>
      </c>
      <c r="Q574" s="4">
        <v>1</v>
      </c>
      <c r="R574" s="4">
        <v>0</v>
      </c>
      <c r="S574" s="4">
        <f>(H574*INDEX('Stages'!$D$2:$D$7,MATCH(F574,'Stages'!$A$2:$A$7,0)))</f>
        <v>0</v>
      </c>
      <c r="T574" s="4">
        <f>(H574*I574)</f>
        <v>24500</v>
      </c>
      <c r="U574" s="4">
        <f>(H574*(I574-1))</f>
        <v>0</v>
      </c>
      <c r="V574" s="0" t="str">
        <f>INDEX('Account executives'!$B$2:$B$25,MATCH(C574,'Account executives'!$A$2:$A$25,0))</f>
        <v>amer_west</v>
      </c>
      <c r="W574" s="0" t="str">
        <f>INDEX('Account executives'!$C$2:$C$25,MATCH(C574,'Account executives'!$A$2:$A$25,0))</f>
        <v>smb</v>
      </c>
      <c r="X574" s="0" t="str">
        <f>SUBSTITUTE(LOWER(INDEX('Periods'!$G$2:$G$22,MATCH(N574,'Periods'!$A$2:$A$22,0)))," ","_")</f>
        <v>q4_2025</v>
      </c>
    </row>
    <row r="575">
      <c r="A575" s="0" t="inlineStr">
        <is>
          <t xml:space="preserve">o0574</t>
        </is>
      </c>
      <c r="B575" s="0" t="inlineStr">
        <is>
          <t xml:space="preserve">a0256</t>
        </is>
      </c>
      <c r="C575" s="0" t="inlineStr">
        <is>
          <t xml:space="preserve">r12</t>
        </is>
      </c>
      <c r="D575" s="0" t="inlineStr">
        <is>
          <t xml:space="preserve">s_amer_west_in</t>
        </is>
      </c>
      <c r="E575" s="0" t="inlineStr">
        <is>
          <t xml:space="preserve">inbound</t>
        </is>
      </c>
      <c r="F575" s="0" t="inlineStr">
        <is>
          <t xml:space="preserve">closed_lost</t>
        </is>
      </c>
      <c r="G575" s="4">
        <v>0</v>
      </c>
      <c r="H575" s="4">
        <v>4900</v>
      </c>
      <c r="I575" s="4">
        <v>1</v>
      </c>
      <c r="J575" s="4">
        <v>1</v>
      </c>
      <c r="K575" s="16">
        <v>45923</v>
      </c>
      <c r="L575" s="16">
        <v>45953</v>
      </c>
      <c r="M575" s="0" t="inlineStr">
        <is>
          <t xml:space="preserve">sep25</t>
        </is>
      </c>
      <c r="N575" s="0" t="inlineStr">
        <is>
          <t xml:space="preserve">oct25</t>
        </is>
      </c>
      <c r="O575" s="4">
        <v>30</v>
      </c>
      <c r="P575" s="4">
        <v>0</v>
      </c>
      <c r="Q575" s="4">
        <v>1</v>
      </c>
      <c r="R575" s="4">
        <v>0</v>
      </c>
      <c r="S575" s="4">
        <f>(H575*INDEX('Stages'!$D$2:$D$7,MATCH(F575,'Stages'!$A$2:$A$7,0)))</f>
        <v>0</v>
      </c>
      <c r="T575" s="4">
        <f>(H575*I575)</f>
        <v>4900</v>
      </c>
      <c r="U575" s="4">
        <f>(H575*(I575-1))</f>
        <v>0</v>
      </c>
      <c r="V575" s="0" t="str">
        <f>INDEX('Account executives'!$B$2:$B$25,MATCH(C575,'Account executives'!$A$2:$A$25,0))</f>
        <v>amer_west</v>
      </c>
      <c r="W575" s="0" t="str">
        <f>INDEX('Account executives'!$C$2:$C$25,MATCH(C575,'Account executives'!$A$2:$A$25,0))</f>
        <v>smb</v>
      </c>
      <c r="X575" s="0" t="str">
        <f>SUBSTITUTE(LOWER(INDEX('Periods'!$G$2:$G$22,MATCH(N575,'Periods'!$A$2:$A$22,0)))," ","_")</f>
        <v>q4_2025</v>
      </c>
    </row>
    <row r="576">
      <c r="A576" s="0" t="inlineStr">
        <is>
          <t xml:space="preserve">o0575</t>
        </is>
      </c>
      <c r="B576" s="0" t="inlineStr">
        <is>
          <t xml:space="preserve">a0005</t>
        </is>
      </c>
      <c r="C576" s="0" t="inlineStr">
        <is>
          <t xml:space="preserve">r05</t>
        </is>
      </c>
      <c r="D576" s="0" t="inlineStr">
        <is>
          <t xml:space="preserve">s_amer_east_in</t>
        </is>
      </c>
      <c r="E576" s="0" t="inlineStr">
        <is>
          <t xml:space="preserve">inbound</t>
        </is>
      </c>
      <c r="F576" s="0" t="inlineStr">
        <is>
          <t xml:space="preserve">closed_won</t>
        </is>
      </c>
      <c r="G576" s="4">
        <v>0</v>
      </c>
      <c r="H576" s="4">
        <v>7300</v>
      </c>
      <c r="I576" s="4">
        <v>1</v>
      </c>
      <c r="J576" s="4">
        <v>0</v>
      </c>
      <c r="K576" s="16">
        <v>45770</v>
      </c>
      <c r="L576" s="16">
        <v>45810</v>
      </c>
      <c r="M576" s="0" t="inlineStr">
        <is>
          <t xml:space="preserve">apr25</t>
        </is>
      </c>
      <c r="N576" s="0" t="inlineStr">
        <is>
          <t xml:space="preserve">jun25</t>
        </is>
      </c>
      <c r="O576" s="4">
        <v>40</v>
      </c>
      <c r="P576" s="4">
        <v>1</v>
      </c>
      <c r="Q576" s="4">
        <v>0</v>
      </c>
      <c r="R576" s="4">
        <v>0</v>
      </c>
      <c r="S576" s="4">
        <f>(H576*INDEX('Stages'!$D$2:$D$7,MATCH(F576,'Stages'!$A$2:$A$7,0)))</f>
        <v>7300</v>
      </c>
      <c r="T576" s="4">
        <f>(H576*I576)</f>
        <v>7300</v>
      </c>
      <c r="U576" s="4">
        <f>(H576*(I576-1))</f>
        <v>0</v>
      </c>
      <c r="V576" s="0" t="str">
        <f>INDEX('Account executives'!$B$2:$B$25,MATCH(C576,'Account executives'!$A$2:$A$25,0))</f>
        <v>amer_east</v>
      </c>
      <c r="W576" s="0" t="str">
        <f>INDEX('Account executives'!$C$2:$C$25,MATCH(C576,'Account executives'!$A$2:$A$25,0))</f>
        <v>smb</v>
      </c>
      <c r="X576" s="0" t="str">
        <f>SUBSTITUTE(LOWER(INDEX('Periods'!$G$2:$G$22,MATCH(N576,'Periods'!$A$2:$A$22,0)))," ","_")</f>
        <v>q2_2025</v>
      </c>
    </row>
    <row r="577">
      <c r="A577" s="0" t="inlineStr">
        <is>
          <t xml:space="preserve">o0576</t>
        </is>
      </c>
      <c r="B577" s="0" t="inlineStr">
        <is>
          <t xml:space="preserve">a0374</t>
        </is>
      </c>
      <c r="C577" s="0" t="inlineStr">
        <is>
          <t xml:space="preserve">r11</t>
        </is>
      </c>
      <c r="D577" s="0" t="inlineStr">
        <is>
          <t xml:space="preserve">s_amer_west_in</t>
        </is>
      </c>
      <c r="E577" s="0" t="inlineStr">
        <is>
          <t xml:space="preserve">inbound</t>
        </is>
      </c>
      <c r="F577" s="0" t="inlineStr">
        <is>
          <t xml:space="preserve">closed_won</t>
        </is>
      </c>
      <c r="G577" s="4">
        <v>1</v>
      </c>
      <c r="H577" s="4">
        <v>31100</v>
      </c>
      <c r="I577" s="4">
        <v>1</v>
      </c>
      <c r="J577" s="4">
        <v>0</v>
      </c>
      <c r="K577" s="16">
        <v>45912</v>
      </c>
      <c r="L577" s="16">
        <v>45957</v>
      </c>
      <c r="M577" s="0" t="inlineStr">
        <is>
          <t xml:space="preserve">sep25</t>
        </is>
      </c>
      <c r="N577" s="0" t="inlineStr">
        <is>
          <t xml:space="preserve">oct25</t>
        </is>
      </c>
      <c r="O577" s="4">
        <v>45</v>
      </c>
      <c r="P577" s="4">
        <v>1</v>
      </c>
      <c r="Q577" s="4">
        <v>0</v>
      </c>
      <c r="R577" s="4">
        <v>0</v>
      </c>
      <c r="S577" s="4">
        <f>(H577*INDEX('Stages'!$D$2:$D$7,MATCH(F577,'Stages'!$A$2:$A$7,0)))</f>
        <v>31100</v>
      </c>
      <c r="T577" s="4">
        <f>(H577*I577)</f>
        <v>31100</v>
      </c>
      <c r="U577" s="4">
        <f>(H577*(I577-1))</f>
        <v>0</v>
      </c>
      <c r="V577" s="0" t="str">
        <f>INDEX('Account executives'!$B$2:$B$25,MATCH(C577,'Account executives'!$A$2:$A$25,0))</f>
        <v>amer_west</v>
      </c>
      <c r="W577" s="0" t="str">
        <f>INDEX('Account executives'!$C$2:$C$25,MATCH(C577,'Account executives'!$A$2:$A$25,0))</f>
        <v>smb</v>
      </c>
      <c r="X577" s="0" t="str">
        <f>SUBSTITUTE(LOWER(INDEX('Periods'!$G$2:$G$22,MATCH(N577,'Periods'!$A$2:$A$22,0)))," ","_")</f>
        <v>q4_2025</v>
      </c>
    </row>
    <row r="578">
      <c r="A578" s="0" t="inlineStr">
        <is>
          <t xml:space="preserve">o0577</t>
        </is>
      </c>
      <c r="B578" s="0" t="inlineStr">
        <is>
          <t xml:space="preserve">a1041</t>
        </is>
      </c>
      <c r="C578" s="0" t="inlineStr">
        <is>
          <t xml:space="preserve">r21</t>
        </is>
      </c>
      <c r="D578" s="0" t="inlineStr">
        <is>
          <t xml:space="preserve">s_apac_in</t>
        </is>
      </c>
      <c r="E578" s="0" t="inlineStr">
        <is>
          <t xml:space="preserve">inbound</t>
        </is>
      </c>
      <c r="F578" s="0" t="inlineStr">
        <is>
          <t xml:space="preserve">closed_lost</t>
        </is>
      </c>
      <c r="G578" s="4">
        <v>1</v>
      </c>
      <c r="H578" s="4">
        <v>81800</v>
      </c>
      <c r="I578" s="4">
        <v>2</v>
      </c>
      <c r="J578" s="4">
        <v>0</v>
      </c>
      <c r="K578" s="16">
        <v>46191</v>
      </c>
      <c r="L578" s="16">
        <v>46205</v>
      </c>
      <c r="M578" s="0" t="inlineStr">
        <is>
          <t xml:space="preserve">jun26</t>
        </is>
      </c>
      <c r="N578" s="0" t="inlineStr">
        <is>
          <t xml:space="preserve">jul26</t>
        </is>
      </c>
      <c r="O578" s="4">
        <v>14</v>
      </c>
      <c r="P578" s="4">
        <v>0</v>
      </c>
      <c r="Q578" s="4">
        <v>1</v>
      </c>
      <c r="R578" s="4">
        <v>0</v>
      </c>
      <c r="S578" s="4">
        <f>(H578*INDEX('Stages'!$D$2:$D$7,MATCH(F578,'Stages'!$A$2:$A$7,0)))</f>
        <v>0</v>
      </c>
      <c r="T578" s="4">
        <f>(H578*I578)</f>
        <v>163600</v>
      </c>
      <c r="U578" s="4">
        <f>(H578*(I578-1))</f>
        <v>81800</v>
      </c>
      <c r="V578" s="0" t="str">
        <f>INDEX('Account executives'!$B$2:$B$25,MATCH(C578,'Account executives'!$A$2:$A$25,0))</f>
        <v>apac</v>
      </c>
      <c r="W578" s="0" t="str">
        <f>INDEX('Account executives'!$C$2:$C$25,MATCH(C578,'Account executives'!$A$2:$A$25,0))</f>
        <v>mid_market</v>
      </c>
      <c r="X578" s="0" t="str">
        <f>SUBSTITUTE(LOWER(INDEX('Periods'!$G$2:$G$22,MATCH(N578,'Periods'!$A$2:$A$22,0)))," ","_")</f>
        <v>q3_2026</v>
      </c>
    </row>
    <row r="579">
      <c r="A579" s="0" t="inlineStr">
        <is>
          <t xml:space="preserve">o0578</t>
        </is>
      </c>
      <c r="B579" s="0" t="inlineStr">
        <is>
          <t xml:space="preserve">a0981</t>
        </is>
      </c>
      <c r="C579" s="0" t="inlineStr">
        <is>
          <t xml:space="preserve">r12</t>
        </is>
      </c>
      <c r="D579" s="0" t="inlineStr">
        <is>
          <t xml:space="preserve">s_amer_west_in</t>
        </is>
      </c>
      <c r="E579" s="0" t="inlineStr">
        <is>
          <t xml:space="preserve">inbound</t>
        </is>
      </c>
      <c r="F579" s="0" t="inlineStr">
        <is>
          <t xml:space="preserve">negotiation</t>
        </is>
      </c>
      <c r="G579" s="4">
        <v>1</v>
      </c>
      <c r="H579" s="4">
        <v>7700</v>
      </c>
      <c r="I579" s="4">
        <v>1</v>
      </c>
      <c r="J579" s="4">
        <v>0</v>
      </c>
      <c r="K579" s="16">
        <v>46201</v>
      </c>
      <c r="L579" s="16">
        <v>46293</v>
      </c>
      <c r="M579" s="0" t="inlineStr">
        <is>
          <t xml:space="preserve">jun26</t>
        </is>
      </c>
      <c r="N579" s="0" t="inlineStr">
        <is>
          <t xml:space="preserve">sep26</t>
        </is>
      </c>
      <c r="O579" s="4">
        <v>92</v>
      </c>
      <c r="P579" s="4">
        <v>0</v>
      </c>
      <c r="Q579" s="4">
        <v>0</v>
      </c>
      <c r="R579" s="4">
        <v>1</v>
      </c>
      <c r="S579" s="4">
        <f>(H579*INDEX('Stages'!$D$2:$D$7,MATCH(F579,'Stages'!$A$2:$A$7,0)))</f>
        <v>5775</v>
      </c>
      <c r="T579" s="4">
        <f>(H579*I579)</f>
        <v>7700</v>
      </c>
      <c r="U579" s="4">
        <f>(H579*(I579-1))</f>
        <v>0</v>
      </c>
      <c r="V579" s="0" t="str">
        <f>INDEX('Account executives'!$B$2:$B$25,MATCH(C579,'Account executives'!$A$2:$A$25,0))</f>
        <v>amer_west</v>
      </c>
      <c r="W579" s="0" t="str">
        <f>INDEX('Account executives'!$C$2:$C$25,MATCH(C579,'Account executives'!$A$2:$A$25,0))</f>
        <v>smb</v>
      </c>
      <c r="X579" s="0" t="str">
        <f>SUBSTITUTE(LOWER(INDEX('Periods'!$G$2:$G$22,MATCH(N579,'Periods'!$A$2:$A$22,0)))," ","_")</f>
        <v>q3_2026</v>
      </c>
    </row>
    <row r="580">
      <c r="A580" s="0" t="inlineStr">
        <is>
          <t xml:space="preserve">o0579</t>
        </is>
      </c>
      <c r="B580" s="0" t="inlineStr">
        <is>
          <t xml:space="preserve">a1044</t>
        </is>
      </c>
      <c r="C580" s="0" t="inlineStr">
        <is>
          <t xml:space="preserve">r22</t>
        </is>
      </c>
      <c r="D580" s="0" t="inlineStr">
        <is>
          <t xml:space="preserve">s_apac_in</t>
        </is>
      </c>
      <c r="E580" s="0" t="inlineStr">
        <is>
          <t xml:space="preserve">paid</t>
        </is>
      </c>
      <c r="F580" s="0" t="inlineStr">
        <is>
          <t xml:space="preserve">closed_lost</t>
        </is>
      </c>
      <c r="G580" s="4">
        <v>1</v>
      </c>
      <c r="H580" s="4">
        <v>14900</v>
      </c>
      <c r="I580" s="4">
        <v>1</v>
      </c>
      <c r="J580" s="4">
        <v>1</v>
      </c>
      <c r="K580" s="16">
        <v>46184</v>
      </c>
      <c r="L580" s="16">
        <v>46241</v>
      </c>
      <c r="M580" s="0" t="inlineStr">
        <is>
          <t xml:space="preserve">jun26</t>
        </is>
      </c>
      <c r="N580" s="0" t="inlineStr">
        <is>
          <t xml:space="preserve">aug26</t>
        </is>
      </c>
      <c r="O580" s="4">
        <v>57</v>
      </c>
      <c r="P580" s="4">
        <v>0</v>
      </c>
      <c r="Q580" s="4">
        <v>1</v>
      </c>
      <c r="R580" s="4">
        <v>0</v>
      </c>
      <c r="S580" s="4">
        <f>(H580*INDEX('Stages'!$D$2:$D$7,MATCH(F580,'Stages'!$A$2:$A$7,0)))</f>
        <v>0</v>
      </c>
      <c r="T580" s="4">
        <f>(H580*I580)</f>
        <v>14900</v>
      </c>
      <c r="U580" s="4">
        <f>(H580*(I580-1))</f>
        <v>0</v>
      </c>
      <c r="V580" s="0" t="str">
        <f>INDEX('Account executives'!$B$2:$B$25,MATCH(C580,'Account executives'!$A$2:$A$25,0))</f>
        <v>apac</v>
      </c>
      <c r="W580" s="0" t="str">
        <f>INDEX('Account executives'!$C$2:$C$25,MATCH(C580,'Account executives'!$A$2:$A$25,0))</f>
        <v>mid_market</v>
      </c>
      <c r="X580" s="0" t="str">
        <f>SUBSTITUTE(LOWER(INDEX('Periods'!$G$2:$G$22,MATCH(N580,'Periods'!$A$2:$A$22,0)))," ","_")</f>
        <v>q3_2026</v>
      </c>
    </row>
    <row r="581">
      <c r="A581" s="0" t="inlineStr">
        <is>
          <t xml:space="preserve">o0580</t>
        </is>
      </c>
      <c r="B581" s="0" t="inlineStr">
        <is>
          <t xml:space="preserve">a0024</t>
        </is>
      </c>
      <c r="C581" s="0" t="inlineStr">
        <is>
          <t xml:space="preserve">r11</t>
        </is>
      </c>
      <c r="D581" s="0" t="inlineStr">
        <is>
          <t xml:space="preserve">s_amer_west_in</t>
        </is>
      </c>
      <c r="E581" s="0" t="inlineStr">
        <is>
          <t xml:space="preserve">inbound</t>
        </is>
      </c>
      <c r="F581" s="0" t="inlineStr">
        <is>
          <t xml:space="preserve">closed_won</t>
        </is>
      </c>
      <c r="G581" s="4">
        <v>0</v>
      </c>
      <c r="H581" s="4">
        <v>3500</v>
      </c>
      <c r="I581" s="4">
        <v>1</v>
      </c>
      <c r="J581" s="4">
        <v>0</v>
      </c>
      <c r="K581" s="16">
        <v>45752</v>
      </c>
      <c r="L581" s="16">
        <v>45836</v>
      </c>
      <c r="M581" s="0" t="inlineStr">
        <is>
          <t xml:space="preserve">apr25</t>
        </is>
      </c>
      <c r="N581" s="0" t="inlineStr">
        <is>
          <t xml:space="preserve">jun25</t>
        </is>
      </c>
      <c r="O581" s="4">
        <v>84</v>
      </c>
      <c r="P581" s="4">
        <v>1</v>
      </c>
      <c r="Q581" s="4">
        <v>0</v>
      </c>
      <c r="R581" s="4">
        <v>0</v>
      </c>
      <c r="S581" s="4">
        <f>(H581*INDEX('Stages'!$D$2:$D$7,MATCH(F581,'Stages'!$A$2:$A$7,0)))</f>
        <v>3500</v>
      </c>
      <c r="T581" s="4">
        <f>(H581*I581)</f>
        <v>3500</v>
      </c>
      <c r="U581" s="4">
        <f>(H581*(I581-1))</f>
        <v>0</v>
      </c>
      <c r="V581" s="0" t="str">
        <f>INDEX('Account executives'!$B$2:$B$25,MATCH(C581,'Account executives'!$A$2:$A$25,0))</f>
        <v>amer_west</v>
      </c>
      <c r="W581" s="0" t="str">
        <f>INDEX('Account executives'!$C$2:$C$25,MATCH(C581,'Account executives'!$A$2:$A$25,0))</f>
        <v>smb</v>
      </c>
      <c r="X581" s="0" t="str">
        <f>SUBSTITUTE(LOWER(INDEX('Periods'!$G$2:$G$22,MATCH(N581,'Periods'!$A$2:$A$22,0)))," ","_")</f>
        <v>q2_2025</v>
      </c>
    </row>
    <row r="582">
      <c r="A582" s="0" t="inlineStr">
        <is>
          <t xml:space="preserve">o0581</t>
        </is>
      </c>
      <c r="B582" s="0" t="inlineStr">
        <is>
          <t xml:space="preserve">a0387</t>
        </is>
      </c>
      <c r="C582" s="0" t="inlineStr">
        <is>
          <t xml:space="preserve">r09</t>
        </is>
      </c>
      <c r="D582" s="0" t="inlineStr">
        <is>
          <t xml:space="preserve">s_amer_west_out</t>
        </is>
      </c>
      <c r="E582" s="0" t="inlineStr">
        <is>
          <t xml:space="preserve">outbound</t>
        </is>
      </c>
      <c r="F582" s="0" t="inlineStr">
        <is>
          <t xml:space="preserve">closed_won</t>
        </is>
      </c>
      <c r="G582" s="4">
        <v>1</v>
      </c>
      <c r="H582" s="4">
        <v>40000</v>
      </c>
      <c r="I582" s="4">
        <v>1</v>
      </c>
      <c r="J582" s="4">
        <v>0</v>
      </c>
      <c r="K582" s="16">
        <v>45923</v>
      </c>
      <c r="L582" s="16">
        <v>45994</v>
      </c>
      <c r="M582" s="0" t="inlineStr">
        <is>
          <t xml:space="preserve">sep25</t>
        </is>
      </c>
      <c r="N582" s="0" t="inlineStr">
        <is>
          <t xml:space="preserve">dec25</t>
        </is>
      </c>
      <c r="O582" s="4">
        <v>71</v>
      </c>
      <c r="P582" s="4">
        <v>1</v>
      </c>
      <c r="Q582" s="4">
        <v>0</v>
      </c>
      <c r="R582" s="4">
        <v>0</v>
      </c>
      <c r="S582" s="4">
        <f>(H582*INDEX('Stages'!$D$2:$D$7,MATCH(F582,'Stages'!$A$2:$A$7,0)))</f>
        <v>40000</v>
      </c>
      <c r="T582" s="4">
        <f>(H582*I582)</f>
        <v>40000</v>
      </c>
      <c r="U582" s="4">
        <f>(H582*(I582-1))</f>
        <v>0</v>
      </c>
      <c r="V582" s="0" t="str">
        <f>INDEX('Account executives'!$B$2:$B$25,MATCH(C582,'Account executives'!$A$2:$A$25,0))</f>
        <v>amer_west</v>
      </c>
      <c r="W582" s="0" t="str">
        <f>INDEX('Account executives'!$C$2:$C$25,MATCH(C582,'Account executives'!$A$2:$A$25,0))</f>
        <v>mid_market</v>
      </c>
      <c r="X582" s="0" t="str">
        <f>SUBSTITUTE(LOWER(INDEX('Periods'!$G$2:$G$22,MATCH(N582,'Periods'!$A$2:$A$22,0)))," ","_")</f>
        <v>q4_2025</v>
      </c>
    </row>
    <row r="583">
      <c r="A583" s="0" t="inlineStr">
        <is>
          <t xml:space="preserve">o0582</t>
        </is>
      </c>
      <c r="B583" s="0" t="inlineStr">
        <is>
          <t xml:space="preserve">a1092</t>
        </is>
      </c>
      <c r="C583" s="0" t="inlineStr">
        <is>
          <t xml:space="preserve">r09</t>
        </is>
      </c>
      <c r="D583" s="0" t="inlineStr">
        <is>
          <t xml:space="preserve">s_amer_west_in</t>
        </is>
      </c>
      <c r="E583" s="0" t="inlineStr">
        <is>
          <t xml:space="preserve">inbound</t>
        </is>
      </c>
      <c r="F583" s="0" t="inlineStr">
        <is>
          <t xml:space="preserve">closed_lost</t>
        </is>
      </c>
      <c r="G583" s="4">
        <v>1</v>
      </c>
      <c r="H583" s="4">
        <v>73600</v>
      </c>
      <c r="I583" s="4">
        <v>2</v>
      </c>
      <c r="J583" s="4">
        <v>0</v>
      </c>
      <c r="K583" s="16">
        <v>46230</v>
      </c>
      <c r="L583" s="16">
        <v>46284</v>
      </c>
      <c r="M583" s="0" t="inlineStr">
        <is>
          <t xml:space="preserve">jul26</t>
        </is>
      </c>
      <c r="N583" s="0" t="inlineStr">
        <is>
          <t xml:space="preserve">sep26</t>
        </is>
      </c>
      <c r="O583" s="4">
        <v>54</v>
      </c>
      <c r="P583" s="4">
        <v>0</v>
      </c>
      <c r="Q583" s="4">
        <v>1</v>
      </c>
      <c r="R583" s="4">
        <v>0</v>
      </c>
      <c r="S583" s="4">
        <f>(H583*INDEX('Stages'!$D$2:$D$7,MATCH(F583,'Stages'!$A$2:$A$7,0)))</f>
        <v>0</v>
      </c>
      <c r="T583" s="4">
        <f>(H583*I583)</f>
        <v>147200</v>
      </c>
      <c r="U583" s="4">
        <f>(H583*(I583-1))</f>
        <v>73600</v>
      </c>
      <c r="V583" s="0" t="str">
        <f>INDEX('Account executives'!$B$2:$B$25,MATCH(C583,'Account executives'!$A$2:$A$25,0))</f>
        <v>amer_west</v>
      </c>
      <c r="W583" s="0" t="str">
        <f>INDEX('Account executives'!$C$2:$C$25,MATCH(C583,'Account executives'!$A$2:$A$25,0))</f>
        <v>mid_market</v>
      </c>
      <c r="X583" s="0" t="str">
        <f>SUBSTITUTE(LOWER(INDEX('Periods'!$G$2:$G$22,MATCH(N583,'Periods'!$A$2:$A$22,0)))," ","_")</f>
        <v>q3_2026</v>
      </c>
    </row>
    <row r="584">
      <c r="A584" s="0" t="inlineStr">
        <is>
          <t xml:space="preserve">o0583</t>
        </is>
      </c>
      <c r="B584" s="0" t="inlineStr">
        <is>
          <t xml:space="preserve">a0567</t>
        </is>
      </c>
      <c r="C584" s="0" t="inlineStr">
        <is>
          <t xml:space="preserve">r09</t>
        </is>
      </c>
      <c r="D584" s="0" t="inlineStr">
        <is>
          <t xml:space="preserve">s_amer_west_in</t>
        </is>
      </c>
      <c r="E584" s="0" t="inlineStr">
        <is>
          <t xml:space="preserve">paid</t>
        </is>
      </c>
      <c r="F584" s="0" t="inlineStr">
        <is>
          <t xml:space="preserve">closed_lost</t>
        </is>
      </c>
      <c r="G584" s="4">
        <v>1</v>
      </c>
      <c r="H584" s="4">
        <v>27300</v>
      </c>
      <c r="I584" s="4">
        <v>1</v>
      </c>
      <c r="J584" s="4">
        <v>1</v>
      </c>
      <c r="K584" s="16">
        <v>45999</v>
      </c>
      <c r="L584" s="16">
        <v>46054</v>
      </c>
      <c r="M584" s="0" t="inlineStr">
        <is>
          <t xml:space="preserve">dec25</t>
        </is>
      </c>
      <c r="N584" s="0" t="inlineStr">
        <is>
          <t xml:space="preserve">feb26</t>
        </is>
      </c>
      <c r="O584" s="4">
        <v>55</v>
      </c>
      <c r="P584" s="4">
        <v>0</v>
      </c>
      <c r="Q584" s="4">
        <v>1</v>
      </c>
      <c r="R584" s="4">
        <v>0</v>
      </c>
      <c r="S584" s="4">
        <f>(H584*INDEX('Stages'!$D$2:$D$7,MATCH(F584,'Stages'!$A$2:$A$7,0)))</f>
        <v>0</v>
      </c>
      <c r="T584" s="4">
        <f>(H584*I584)</f>
        <v>27300</v>
      </c>
      <c r="U584" s="4">
        <f>(H584*(I584-1))</f>
        <v>0</v>
      </c>
      <c r="V584" s="0" t="str">
        <f>INDEX('Account executives'!$B$2:$B$25,MATCH(C584,'Account executives'!$A$2:$A$25,0))</f>
        <v>amer_west</v>
      </c>
      <c r="W584" s="0" t="str">
        <f>INDEX('Account executives'!$C$2:$C$25,MATCH(C584,'Account executives'!$A$2:$A$25,0))</f>
        <v>mid_market</v>
      </c>
      <c r="X584" s="0" t="str">
        <f>SUBSTITUTE(LOWER(INDEX('Periods'!$G$2:$G$22,MATCH(N584,'Periods'!$A$2:$A$22,0)))," ","_")</f>
        <v>q1_2026</v>
      </c>
    </row>
    <row r="585">
      <c r="A585" s="0" t="inlineStr">
        <is>
          <t xml:space="preserve">o0584</t>
        </is>
      </c>
      <c r="B585" s="0" t="inlineStr">
        <is>
          <t xml:space="preserve">a0424</t>
        </is>
      </c>
      <c r="C585" s="0" t="inlineStr">
        <is>
          <t xml:space="preserve">r05</t>
        </is>
      </c>
      <c r="D585" s="0"/>
      <c r="E585" s="0" t="inlineStr">
        <is>
          <t xml:space="preserve">partner</t>
        </is>
      </c>
      <c r="F585" s="0" t="inlineStr">
        <is>
          <t xml:space="preserve">closed_won</t>
        </is>
      </c>
      <c r="G585" s="4">
        <v>1</v>
      </c>
      <c r="H585" s="4">
        <v>9900</v>
      </c>
      <c r="I585" s="4">
        <v>1</v>
      </c>
      <c r="J585" s="4">
        <v>0</v>
      </c>
      <c r="K585" s="16">
        <v>45945</v>
      </c>
      <c r="L585" s="16">
        <v>45957</v>
      </c>
      <c r="M585" s="0" t="inlineStr">
        <is>
          <t xml:space="preserve">oct25</t>
        </is>
      </c>
      <c r="N585" s="0" t="inlineStr">
        <is>
          <t xml:space="preserve">oct25</t>
        </is>
      </c>
      <c r="O585" s="4">
        <v>12</v>
      </c>
      <c r="P585" s="4">
        <v>1</v>
      </c>
      <c r="Q585" s="4">
        <v>0</v>
      </c>
      <c r="R585" s="4">
        <v>0</v>
      </c>
      <c r="S585" s="4">
        <f>(H585*INDEX('Stages'!$D$2:$D$7,MATCH(F585,'Stages'!$A$2:$A$7,0)))</f>
        <v>9900</v>
      </c>
      <c r="T585" s="4">
        <f>(H585*I585)</f>
        <v>9900</v>
      </c>
      <c r="U585" s="4">
        <f>(H585*(I585-1))</f>
        <v>0</v>
      </c>
      <c r="V585" s="0" t="str">
        <f>INDEX('Account executives'!$B$2:$B$25,MATCH(C585,'Account executives'!$A$2:$A$25,0))</f>
        <v>amer_east</v>
      </c>
      <c r="W585" s="0" t="str">
        <f>INDEX('Account executives'!$C$2:$C$25,MATCH(C585,'Account executives'!$A$2:$A$25,0))</f>
        <v>smb</v>
      </c>
      <c r="X585" s="0" t="str">
        <f>SUBSTITUTE(LOWER(INDEX('Periods'!$G$2:$G$22,MATCH(N585,'Periods'!$A$2:$A$22,0)))," ","_")</f>
        <v>q4_2025</v>
      </c>
    </row>
    <row r="586">
      <c r="A586" s="0" t="inlineStr">
        <is>
          <t xml:space="preserve">o0585</t>
        </is>
      </c>
      <c r="B586" s="0" t="inlineStr">
        <is>
          <t xml:space="preserve">a0671</t>
        </is>
      </c>
      <c r="C586" s="0" t="inlineStr">
        <is>
          <t xml:space="preserve">r03</t>
        </is>
      </c>
      <c r="D586" s="0" t="inlineStr">
        <is>
          <t xml:space="preserve">s_amer_east_out</t>
        </is>
      </c>
      <c r="E586" s="0" t="inlineStr">
        <is>
          <t xml:space="preserve">outbound</t>
        </is>
      </c>
      <c r="F586" s="0" t="inlineStr">
        <is>
          <t xml:space="preserve">closed_lost</t>
        </is>
      </c>
      <c r="G586" s="4">
        <v>1</v>
      </c>
      <c r="H586" s="4">
        <v>40300</v>
      </c>
      <c r="I586" s="4">
        <v>1</v>
      </c>
      <c r="J586" s="4">
        <v>1</v>
      </c>
      <c r="K586" s="16">
        <v>46064</v>
      </c>
      <c r="L586" s="16">
        <v>46106</v>
      </c>
      <c r="M586" s="0" t="inlineStr">
        <is>
          <t xml:space="preserve">feb26</t>
        </is>
      </c>
      <c r="N586" s="0" t="inlineStr">
        <is>
          <t xml:space="preserve">mar26</t>
        </is>
      </c>
      <c r="O586" s="4">
        <v>42</v>
      </c>
      <c r="P586" s="4">
        <v>0</v>
      </c>
      <c r="Q586" s="4">
        <v>1</v>
      </c>
      <c r="R586" s="4">
        <v>0</v>
      </c>
      <c r="S586" s="4">
        <f>(H586*INDEX('Stages'!$D$2:$D$7,MATCH(F586,'Stages'!$A$2:$A$7,0)))</f>
        <v>0</v>
      </c>
      <c r="T586" s="4">
        <f>(H586*I586)</f>
        <v>40300</v>
      </c>
      <c r="U586" s="4">
        <f>(H586*(I586-1))</f>
        <v>0</v>
      </c>
      <c r="V586" s="0" t="str">
        <f>INDEX('Account executives'!$B$2:$B$25,MATCH(C586,'Account executives'!$A$2:$A$25,0))</f>
        <v>amer_east</v>
      </c>
      <c r="W586" s="0" t="str">
        <f>INDEX('Account executives'!$C$2:$C$25,MATCH(C586,'Account executives'!$A$2:$A$25,0))</f>
        <v>mid_market</v>
      </c>
      <c r="X586" s="0" t="str">
        <f>SUBSTITUTE(LOWER(INDEX('Periods'!$G$2:$G$22,MATCH(N586,'Periods'!$A$2:$A$22,0)))," ","_")</f>
        <v>q1_2026</v>
      </c>
    </row>
    <row r="587">
      <c r="A587" s="0" t="inlineStr">
        <is>
          <t xml:space="preserve">o0586</t>
        </is>
      </c>
      <c r="B587" s="0" t="inlineStr">
        <is>
          <t xml:space="preserve">a0046</t>
        </is>
      </c>
      <c r="C587" s="0" t="inlineStr">
        <is>
          <t xml:space="preserve">r17</t>
        </is>
      </c>
      <c r="D587" s="0"/>
      <c r="E587" s="0" t="inlineStr">
        <is>
          <t xml:space="preserve">events</t>
        </is>
      </c>
      <c r="F587" s="0" t="inlineStr">
        <is>
          <t xml:space="preserve">closed_won</t>
        </is>
      </c>
      <c r="G587" s="4">
        <v>0</v>
      </c>
      <c r="H587" s="4">
        <v>6800</v>
      </c>
      <c r="I587" s="4">
        <v>1</v>
      </c>
      <c r="J587" s="4">
        <v>1</v>
      </c>
      <c r="K587" s="16">
        <v>45854</v>
      </c>
      <c r="L587" s="16">
        <v>45885</v>
      </c>
      <c r="M587" s="0" t="inlineStr">
        <is>
          <t xml:space="preserve">jul25</t>
        </is>
      </c>
      <c r="N587" s="0" t="inlineStr">
        <is>
          <t xml:space="preserve">aug25</t>
        </is>
      </c>
      <c r="O587" s="4">
        <v>31</v>
      </c>
      <c r="P587" s="4">
        <v>1</v>
      </c>
      <c r="Q587" s="4">
        <v>0</v>
      </c>
      <c r="R587" s="4">
        <v>0</v>
      </c>
      <c r="S587" s="4">
        <f>(H587*INDEX('Stages'!$D$2:$D$7,MATCH(F587,'Stages'!$A$2:$A$7,0)))</f>
        <v>6800</v>
      </c>
      <c r="T587" s="4">
        <f>(H587*I587)</f>
        <v>6800</v>
      </c>
      <c r="U587" s="4">
        <f>(H587*(I587-1))</f>
        <v>0</v>
      </c>
      <c r="V587" s="0" t="str">
        <f>INDEX('Account executives'!$B$2:$B$25,MATCH(C587,'Account executives'!$A$2:$A$25,0))</f>
        <v>emea</v>
      </c>
      <c r="W587" s="0" t="str">
        <f>INDEX('Account executives'!$C$2:$C$25,MATCH(C587,'Account executives'!$A$2:$A$25,0))</f>
        <v>smb</v>
      </c>
      <c r="X587" s="0" t="str">
        <f>SUBSTITUTE(LOWER(INDEX('Periods'!$G$2:$G$22,MATCH(N587,'Periods'!$A$2:$A$22,0)))," ","_")</f>
        <v>q3_2025</v>
      </c>
    </row>
    <row r="588">
      <c r="A588" s="0" t="inlineStr">
        <is>
          <t xml:space="preserve">o0587</t>
        </is>
      </c>
      <c r="B588" s="0" t="inlineStr">
        <is>
          <t xml:space="preserve">a1033</t>
        </is>
      </c>
      <c r="C588" s="0" t="inlineStr">
        <is>
          <t xml:space="preserve">r18</t>
        </is>
      </c>
      <c r="D588" s="0" t="inlineStr">
        <is>
          <t xml:space="preserve">s_emea_out</t>
        </is>
      </c>
      <c r="E588" s="0" t="inlineStr">
        <is>
          <t xml:space="preserve">outbound</t>
        </is>
      </c>
      <c r="F588" s="0" t="inlineStr">
        <is>
          <t xml:space="preserve">proposal</t>
        </is>
      </c>
      <c r="G588" s="4">
        <v>1</v>
      </c>
      <c r="H588" s="4">
        <v>6200</v>
      </c>
      <c r="I588" s="4">
        <v>1</v>
      </c>
      <c r="J588" s="4">
        <v>0</v>
      </c>
      <c r="K588" s="16">
        <v>46197</v>
      </c>
      <c r="L588" s="16">
        <v>46302</v>
      </c>
      <c r="M588" s="0" t="inlineStr">
        <is>
          <t xml:space="preserve">jun26</t>
        </is>
      </c>
      <c r="N588" s="0" t="inlineStr">
        <is>
          <t xml:space="preserve">oct26</t>
        </is>
      </c>
      <c r="O588" s="4">
        <v>96</v>
      </c>
      <c r="P588" s="4">
        <v>0</v>
      </c>
      <c r="Q588" s="4">
        <v>0</v>
      </c>
      <c r="R588" s="4">
        <v>1</v>
      </c>
      <c r="S588" s="4">
        <f>(H588*INDEX('Stages'!$D$2:$D$7,MATCH(F588,'Stages'!$A$2:$A$7,0)))</f>
        <v>3100</v>
      </c>
      <c r="T588" s="4">
        <f>(H588*I588)</f>
        <v>6200</v>
      </c>
      <c r="U588" s="4">
        <f>(H588*(I588-1))</f>
        <v>0</v>
      </c>
      <c r="V588" s="0" t="str">
        <f>INDEX('Account executives'!$B$2:$B$25,MATCH(C588,'Account executives'!$A$2:$A$25,0))</f>
        <v>emea</v>
      </c>
      <c r="W588" s="0" t="str">
        <f>INDEX('Account executives'!$C$2:$C$25,MATCH(C588,'Account executives'!$A$2:$A$25,0))</f>
        <v>smb</v>
      </c>
      <c r="X588" s="0" t="str">
        <f>SUBSTITUTE(LOWER(INDEX('Periods'!$G$2:$G$22,MATCH(N588,'Periods'!$A$2:$A$22,0)))," ","_")</f>
        <v>q4_2026</v>
      </c>
    </row>
    <row r="589">
      <c r="A589" s="0" t="inlineStr">
        <is>
          <t xml:space="preserve">o0588</t>
        </is>
      </c>
      <c r="B589" s="0" t="inlineStr">
        <is>
          <t xml:space="preserve">a0591</t>
        </is>
      </c>
      <c r="C589" s="0" t="inlineStr">
        <is>
          <t xml:space="preserve">r17</t>
        </is>
      </c>
      <c r="D589" s="0"/>
      <c r="E589" s="0" t="inlineStr">
        <is>
          <t xml:space="preserve">partner</t>
        </is>
      </c>
      <c r="F589" s="0" t="inlineStr">
        <is>
          <t xml:space="preserve">closed_lost</t>
        </is>
      </c>
      <c r="G589" s="4">
        <v>1</v>
      </c>
      <c r="H589" s="4">
        <v>22200</v>
      </c>
      <c r="I589" s="4">
        <v>1</v>
      </c>
      <c r="J589" s="4">
        <v>0</v>
      </c>
      <c r="K589" s="16">
        <v>46013</v>
      </c>
      <c r="L589" s="16">
        <v>46038</v>
      </c>
      <c r="M589" s="0" t="inlineStr">
        <is>
          <t xml:space="preserve">dec25</t>
        </is>
      </c>
      <c r="N589" s="0" t="inlineStr">
        <is>
          <t xml:space="preserve">jan26</t>
        </is>
      </c>
      <c r="O589" s="4">
        <v>25</v>
      </c>
      <c r="P589" s="4">
        <v>0</v>
      </c>
      <c r="Q589" s="4">
        <v>1</v>
      </c>
      <c r="R589" s="4">
        <v>0</v>
      </c>
      <c r="S589" s="4">
        <f>(H589*INDEX('Stages'!$D$2:$D$7,MATCH(F589,'Stages'!$A$2:$A$7,0)))</f>
        <v>0</v>
      </c>
      <c r="T589" s="4">
        <f>(H589*I589)</f>
        <v>22200</v>
      </c>
      <c r="U589" s="4">
        <f>(H589*(I589-1))</f>
        <v>0</v>
      </c>
      <c r="V589" s="0" t="str">
        <f>INDEX('Account executives'!$B$2:$B$25,MATCH(C589,'Account executives'!$A$2:$A$25,0))</f>
        <v>emea</v>
      </c>
      <c r="W589" s="0" t="str">
        <f>INDEX('Account executives'!$C$2:$C$25,MATCH(C589,'Account executives'!$A$2:$A$25,0))</f>
        <v>smb</v>
      </c>
      <c r="X589" s="0" t="str">
        <f>SUBSTITUTE(LOWER(INDEX('Periods'!$G$2:$G$22,MATCH(N589,'Periods'!$A$2:$A$22,0)))," ","_")</f>
        <v>q1_2026</v>
      </c>
    </row>
    <row r="590">
      <c r="A590" s="0" t="inlineStr">
        <is>
          <t xml:space="preserve">o0589</t>
        </is>
      </c>
      <c r="B590" s="0" t="inlineStr">
        <is>
          <t xml:space="preserve">a0366</t>
        </is>
      </c>
      <c r="C590" s="0" t="inlineStr">
        <is>
          <t xml:space="preserve">r04</t>
        </is>
      </c>
      <c r="D590" s="0"/>
      <c r="E590" s="0" t="inlineStr">
        <is>
          <t xml:space="preserve">events</t>
        </is>
      </c>
      <c r="F590" s="0" t="inlineStr">
        <is>
          <t xml:space="preserve">closed_lost</t>
        </is>
      </c>
      <c r="G590" s="4">
        <v>0</v>
      </c>
      <c r="H590" s="4">
        <v>12200</v>
      </c>
      <c r="I590" s="4">
        <v>1</v>
      </c>
      <c r="J590" s="4">
        <v>0</v>
      </c>
      <c r="K590" s="16">
        <v>45945</v>
      </c>
      <c r="L590" s="16">
        <v>46000</v>
      </c>
      <c r="M590" s="0" t="inlineStr">
        <is>
          <t xml:space="preserve">oct25</t>
        </is>
      </c>
      <c r="N590" s="0" t="inlineStr">
        <is>
          <t xml:space="preserve">dec25</t>
        </is>
      </c>
      <c r="O590" s="4">
        <v>55</v>
      </c>
      <c r="P590" s="4">
        <v>0</v>
      </c>
      <c r="Q590" s="4">
        <v>1</v>
      </c>
      <c r="R590" s="4">
        <v>0</v>
      </c>
      <c r="S590" s="4">
        <f>(H590*INDEX('Stages'!$D$2:$D$7,MATCH(F590,'Stages'!$A$2:$A$7,0)))</f>
        <v>0</v>
      </c>
      <c r="T590" s="4">
        <f>(H590*I590)</f>
        <v>12200</v>
      </c>
      <c r="U590" s="4">
        <f>(H590*(I590-1))</f>
        <v>0</v>
      </c>
      <c r="V590" s="0" t="str">
        <f>INDEX('Account executives'!$B$2:$B$25,MATCH(C590,'Account executives'!$A$2:$A$25,0))</f>
        <v>amer_east</v>
      </c>
      <c r="W590" s="0" t="str">
        <f>INDEX('Account executives'!$C$2:$C$25,MATCH(C590,'Account executives'!$A$2:$A$25,0))</f>
        <v>mid_market</v>
      </c>
      <c r="X590" s="0" t="str">
        <f>SUBSTITUTE(LOWER(INDEX('Periods'!$G$2:$G$22,MATCH(N590,'Periods'!$A$2:$A$22,0)))," ","_")</f>
        <v>q4_2025</v>
      </c>
    </row>
    <row r="591">
      <c r="A591" s="0" t="inlineStr">
        <is>
          <t xml:space="preserve">o0590</t>
        </is>
      </c>
      <c r="B591" s="0" t="inlineStr">
        <is>
          <t xml:space="preserve">a0716</t>
        </is>
      </c>
      <c r="C591" s="0" t="inlineStr">
        <is>
          <t xml:space="preserve">r21</t>
        </is>
      </c>
      <c r="D591" s="0" t="inlineStr">
        <is>
          <t xml:space="preserve">s_apac_in</t>
        </is>
      </c>
      <c r="E591" s="0" t="inlineStr">
        <is>
          <t xml:space="preserve">paid</t>
        </is>
      </c>
      <c r="F591" s="0" t="inlineStr">
        <is>
          <t xml:space="preserve">closed_lost</t>
        </is>
      </c>
      <c r="G591" s="4">
        <v>1</v>
      </c>
      <c r="H591" s="4">
        <v>98500</v>
      </c>
      <c r="I591" s="4">
        <v>1</v>
      </c>
      <c r="J591" s="4">
        <v>1</v>
      </c>
      <c r="K591" s="16">
        <v>46065</v>
      </c>
      <c r="L591" s="16">
        <v>46201</v>
      </c>
      <c r="M591" s="0" t="inlineStr">
        <is>
          <t xml:space="preserve">feb26</t>
        </is>
      </c>
      <c r="N591" s="0" t="inlineStr">
        <is>
          <t xml:space="preserve">jun26</t>
        </is>
      </c>
      <c r="O591" s="4">
        <v>136</v>
      </c>
      <c r="P591" s="4">
        <v>0</v>
      </c>
      <c r="Q591" s="4">
        <v>1</v>
      </c>
      <c r="R591" s="4">
        <v>0</v>
      </c>
      <c r="S591" s="4">
        <f>(H591*INDEX('Stages'!$D$2:$D$7,MATCH(F591,'Stages'!$A$2:$A$7,0)))</f>
        <v>0</v>
      </c>
      <c r="T591" s="4">
        <f>(H591*I591)</f>
        <v>98500</v>
      </c>
      <c r="U591" s="4">
        <f>(H591*(I591-1))</f>
        <v>0</v>
      </c>
      <c r="V591" s="0" t="str">
        <f>INDEX('Account executives'!$B$2:$B$25,MATCH(C591,'Account executives'!$A$2:$A$25,0))</f>
        <v>apac</v>
      </c>
      <c r="W591" s="0" t="str">
        <f>INDEX('Account executives'!$C$2:$C$25,MATCH(C591,'Account executives'!$A$2:$A$25,0))</f>
        <v>mid_market</v>
      </c>
      <c r="X591" s="0" t="str">
        <f>SUBSTITUTE(LOWER(INDEX('Periods'!$G$2:$G$22,MATCH(N591,'Periods'!$A$2:$A$22,0)))," ","_")</f>
        <v>q2_2026</v>
      </c>
    </row>
    <row r="592">
      <c r="A592" s="0" t="inlineStr">
        <is>
          <t xml:space="preserve">o0591</t>
        </is>
      </c>
      <c r="B592" s="0" t="inlineStr">
        <is>
          <t xml:space="preserve">a0967</t>
        </is>
      </c>
      <c r="C592" s="0" t="inlineStr">
        <is>
          <t xml:space="preserve">r03</t>
        </is>
      </c>
      <c r="D592" s="0"/>
      <c r="E592" s="0" t="inlineStr">
        <is>
          <t xml:space="preserve">events</t>
        </is>
      </c>
      <c r="F592" s="0" t="inlineStr">
        <is>
          <t xml:space="preserve">proposal</t>
        </is>
      </c>
      <c r="G592" s="4">
        <v>1</v>
      </c>
      <c r="H592" s="4">
        <v>73700</v>
      </c>
      <c r="I592" s="4">
        <v>2</v>
      </c>
      <c r="J592" s="4">
        <v>0</v>
      </c>
      <c r="K592" s="16">
        <v>46178</v>
      </c>
      <c r="L592" s="16">
        <v>46293</v>
      </c>
      <c r="M592" s="0" t="inlineStr">
        <is>
          <t xml:space="preserve">jun26</t>
        </is>
      </c>
      <c r="N592" s="0" t="inlineStr">
        <is>
          <t xml:space="preserve">sep26</t>
        </is>
      </c>
      <c r="O592" s="4">
        <v>115</v>
      </c>
      <c r="P592" s="4">
        <v>0</v>
      </c>
      <c r="Q592" s="4">
        <v>0</v>
      </c>
      <c r="R592" s="4">
        <v>1</v>
      </c>
      <c r="S592" s="4">
        <f>(H592*INDEX('Stages'!$D$2:$D$7,MATCH(F592,'Stages'!$A$2:$A$7,0)))</f>
        <v>36850</v>
      </c>
      <c r="T592" s="4">
        <f>(H592*I592)</f>
        <v>147400</v>
      </c>
      <c r="U592" s="4">
        <f>(H592*(I592-1))</f>
        <v>73700</v>
      </c>
      <c r="V592" s="0" t="str">
        <f>INDEX('Account executives'!$B$2:$B$25,MATCH(C592,'Account executives'!$A$2:$A$25,0))</f>
        <v>amer_east</v>
      </c>
      <c r="W592" s="0" t="str">
        <f>INDEX('Account executives'!$C$2:$C$25,MATCH(C592,'Account executives'!$A$2:$A$25,0))</f>
        <v>mid_market</v>
      </c>
      <c r="X592" s="0" t="str">
        <f>SUBSTITUTE(LOWER(INDEX('Periods'!$G$2:$G$22,MATCH(N592,'Periods'!$A$2:$A$22,0)))," ","_")</f>
        <v>q3_2026</v>
      </c>
    </row>
    <row r="593">
      <c r="A593" s="0" t="inlineStr">
        <is>
          <t xml:space="preserve">o0592</t>
        </is>
      </c>
      <c r="B593" s="0" t="inlineStr">
        <is>
          <t xml:space="preserve">a1163</t>
        </is>
      </c>
      <c r="C593" s="0" t="inlineStr">
        <is>
          <t xml:space="preserve">r06</t>
        </is>
      </c>
      <c r="D593" s="0" t="inlineStr">
        <is>
          <t xml:space="preserve">s_amer_east_out</t>
        </is>
      </c>
      <c r="E593" s="0" t="inlineStr">
        <is>
          <t xml:space="preserve">outbound</t>
        </is>
      </c>
      <c r="F593" s="0" t="inlineStr">
        <is>
          <t xml:space="preserve">closed_lost</t>
        </is>
      </c>
      <c r="G593" s="4">
        <v>1</v>
      </c>
      <c r="H593" s="4">
        <v>10900</v>
      </c>
      <c r="I593" s="4">
        <v>1</v>
      </c>
      <c r="J593" s="4">
        <v>0</v>
      </c>
      <c r="K593" s="16">
        <v>46252</v>
      </c>
      <c r="L593" s="16">
        <v>46268</v>
      </c>
      <c r="M593" s="0" t="inlineStr">
        <is>
          <t xml:space="preserve">aug26</t>
        </is>
      </c>
      <c r="N593" s="0" t="inlineStr">
        <is>
          <t xml:space="preserve">sep26</t>
        </is>
      </c>
      <c r="O593" s="4">
        <v>16</v>
      </c>
      <c r="P593" s="4">
        <v>0</v>
      </c>
      <c r="Q593" s="4">
        <v>1</v>
      </c>
      <c r="R593" s="4">
        <v>0</v>
      </c>
      <c r="S593" s="4">
        <f>(H593*INDEX('Stages'!$D$2:$D$7,MATCH(F593,'Stages'!$A$2:$A$7,0)))</f>
        <v>0</v>
      </c>
      <c r="T593" s="4">
        <f>(H593*I593)</f>
        <v>10900</v>
      </c>
      <c r="U593" s="4">
        <f>(H593*(I593-1))</f>
        <v>0</v>
      </c>
      <c r="V593" s="0" t="str">
        <f>INDEX('Account executives'!$B$2:$B$25,MATCH(C593,'Account executives'!$A$2:$A$25,0))</f>
        <v>amer_east</v>
      </c>
      <c r="W593" s="0" t="str">
        <f>INDEX('Account executives'!$C$2:$C$25,MATCH(C593,'Account executives'!$A$2:$A$25,0))</f>
        <v>smb</v>
      </c>
      <c r="X593" s="0" t="str">
        <f>SUBSTITUTE(LOWER(INDEX('Periods'!$G$2:$G$22,MATCH(N593,'Periods'!$A$2:$A$22,0)))," ","_")</f>
        <v>q3_2026</v>
      </c>
    </row>
    <row r="594">
      <c r="A594" s="0" t="inlineStr">
        <is>
          <t xml:space="preserve">o0593</t>
        </is>
      </c>
      <c r="B594" s="0" t="inlineStr">
        <is>
          <t xml:space="preserve">a0024</t>
        </is>
      </c>
      <c r="C594" s="0" t="inlineStr">
        <is>
          <t xml:space="preserve">r12</t>
        </is>
      </c>
      <c r="D594" s="0"/>
      <c r="E594" s="0" t="inlineStr">
        <is>
          <t xml:space="preserve">referral</t>
        </is>
      </c>
      <c r="F594" s="0" t="inlineStr">
        <is>
          <t xml:space="preserve">closed_lost</t>
        </is>
      </c>
      <c r="G594" s="4">
        <v>0</v>
      </c>
      <c r="H594" s="4">
        <v>15000</v>
      </c>
      <c r="I594" s="4">
        <v>1</v>
      </c>
      <c r="J594" s="4">
        <v>0</v>
      </c>
      <c r="K594" s="16">
        <v>45794</v>
      </c>
      <c r="L594" s="16">
        <v>45820</v>
      </c>
      <c r="M594" s="0" t="inlineStr">
        <is>
          <t xml:space="preserve">may25</t>
        </is>
      </c>
      <c r="N594" s="0" t="inlineStr">
        <is>
          <t xml:space="preserve">jun25</t>
        </is>
      </c>
      <c r="O594" s="4">
        <v>26</v>
      </c>
      <c r="P594" s="4">
        <v>0</v>
      </c>
      <c r="Q594" s="4">
        <v>1</v>
      </c>
      <c r="R594" s="4">
        <v>0</v>
      </c>
      <c r="S594" s="4">
        <f>(H594*INDEX('Stages'!$D$2:$D$7,MATCH(F594,'Stages'!$A$2:$A$7,0)))</f>
        <v>0</v>
      </c>
      <c r="T594" s="4">
        <f>(H594*I594)</f>
        <v>15000</v>
      </c>
      <c r="U594" s="4">
        <f>(H594*(I594-1))</f>
        <v>0</v>
      </c>
      <c r="V594" s="0" t="str">
        <f>INDEX('Account executives'!$B$2:$B$25,MATCH(C594,'Account executives'!$A$2:$A$25,0))</f>
        <v>amer_west</v>
      </c>
      <c r="W594" s="0" t="str">
        <f>INDEX('Account executives'!$C$2:$C$25,MATCH(C594,'Account executives'!$A$2:$A$25,0))</f>
        <v>smb</v>
      </c>
      <c r="X594" s="0" t="str">
        <f>SUBSTITUTE(LOWER(INDEX('Periods'!$G$2:$G$22,MATCH(N594,'Periods'!$A$2:$A$22,0)))," ","_")</f>
        <v>q2_2025</v>
      </c>
    </row>
    <row r="595">
      <c r="A595" s="0" t="inlineStr">
        <is>
          <t xml:space="preserve">o0594</t>
        </is>
      </c>
      <c r="B595" s="0" t="inlineStr">
        <is>
          <t xml:space="preserve">a0371</t>
        </is>
      </c>
      <c r="C595" s="0" t="inlineStr">
        <is>
          <t xml:space="preserve">r01</t>
        </is>
      </c>
      <c r="D595" s="0" t="inlineStr">
        <is>
          <t xml:space="preserve">s_amer_east_out</t>
        </is>
      </c>
      <c r="E595" s="0" t="inlineStr">
        <is>
          <t xml:space="preserve">outbound</t>
        </is>
      </c>
      <c r="F595" s="0" t="inlineStr">
        <is>
          <t xml:space="preserve">closed_lost</t>
        </is>
      </c>
      <c r="G595" s="4">
        <v>1</v>
      </c>
      <c r="H595" s="4">
        <v>87600</v>
      </c>
      <c r="I595" s="4">
        <v>1</v>
      </c>
      <c r="J595" s="4">
        <v>0</v>
      </c>
      <c r="K595" s="16">
        <v>45918</v>
      </c>
      <c r="L595" s="16">
        <v>45989</v>
      </c>
      <c r="M595" s="0" t="inlineStr">
        <is>
          <t xml:space="preserve">sep25</t>
        </is>
      </c>
      <c r="N595" s="0" t="inlineStr">
        <is>
          <t xml:space="preserve">nov25</t>
        </is>
      </c>
      <c r="O595" s="4">
        <v>71</v>
      </c>
      <c r="P595" s="4">
        <v>0</v>
      </c>
      <c r="Q595" s="4">
        <v>1</v>
      </c>
      <c r="R595" s="4">
        <v>0</v>
      </c>
      <c r="S595" s="4">
        <f>(H595*INDEX('Stages'!$D$2:$D$7,MATCH(F595,'Stages'!$A$2:$A$7,0)))</f>
        <v>0</v>
      </c>
      <c r="T595" s="4">
        <f>(H595*I595)</f>
        <v>87600</v>
      </c>
      <c r="U595" s="4">
        <f>(H595*(I595-1))</f>
        <v>0</v>
      </c>
      <c r="V595" s="0" t="str">
        <f>INDEX('Account executives'!$B$2:$B$25,MATCH(C595,'Account executives'!$A$2:$A$25,0))</f>
        <v>amer_east</v>
      </c>
      <c r="W595" s="0" t="str">
        <f>INDEX('Account executives'!$C$2:$C$25,MATCH(C595,'Account executives'!$A$2:$A$25,0))</f>
        <v>enterprise</v>
      </c>
      <c r="X595" s="0" t="str">
        <f>SUBSTITUTE(LOWER(INDEX('Periods'!$G$2:$G$22,MATCH(N595,'Periods'!$A$2:$A$22,0)))," ","_")</f>
        <v>q4_2025</v>
      </c>
    </row>
    <row r="596">
      <c r="A596" s="0" t="inlineStr">
        <is>
          <t xml:space="preserve">o0595</t>
        </is>
      </c>
      <c r="B596" s="0" t="inlineStr">
        <is>
          <t xml:space="preserve">a0978</t>
        </is>
      </c>
      <c r="C596" s="0" t="inlineStr">
        <is>
          <t xml:space="preserve">r01</t>
        </is>
      </c>
      <c r="D596" s="0" t="inlineStr">
        <is>
          <t xml:space="preserve">s_amer_east_out</t>
        </is>
      </c>
      <c r="E596" s="0" t="inlineStr">
        <is>
          <t xml:space="preserve">outbound</t>
        </is>
      </c>
      <c r="F596" s="0" t="inlineStr">
        <is>
          <t xml:space="preserve">discovery</t>
        </is>
      </c>
      <c r="G596" s="4">
        <v>1</v>
      </c>
      <c r="H596" s="4">
        <v>231300</v>
      </c>
      <c r="I596" s="4">
        <v>2</v>
      </c>
      <c r="J596" s="4">
        <v>0</v>
      </c>
      <c r="K596" s="16">
        <v>46186</v>
      </c>
      <c r="L596" s="16">
        <v>46371</v>
      </c>
      <c r="M596" s="0" t="inlineStr">
        <is>
          <t xml:space="preserve">jun26</t>
        </is>
      </c>
      <c r="N596" s="0" t="inlineStr">
        <is>
          <t xml:space="preserve">dec26</t>
        </is>
      </c>
      <c r="O596" s="4">
        <v>198</v>
      </c>
      <c r="P596" s="4">
        <v>0</v>
      </c>
      <c r="Q596" s="4">
        <v>0</v>
      </c>
      <c r="R596" s="4">
        <v>1</v>
      </c>
      <c r="S596" s="4">
        <f>(H596*INDEX('Stages'!$D$2:$D$7,MATCH(F596,'Stages'!$A$2:$A$7,0)))</f>
        <v>23130</v>
      </c>
      <c r="T596" s="4">
        <f>(H596*I596)</f>
        <v>462600</v>
      </c>
      <c r="U596" s="4">
        <f>(H596*(I596-1))</f>
        <v>231300</v>
      </c>
      <c r="V596" s="0" t="str">
        <f>INDEX('Account executives'!$B$2:$B$25,MATCH(C596,'Account executives'!$A$2:$A$25,0))</f>
        <v>amer_east</v>
      </c>
      <c r="W596" s="0" t="str">
        <f>INDEX('Account executives'!$C$2:$C$25,MATCH(C596,'Account executives'!$A$2:$A$25,0))</f>
        <v>enterprise</v>
      </c>
      <c r="X596" s="0" t="str">
        <f>SUBSTITUTE(LOWER(INDEX('Periods'!$G$2:$G$22,MATCH(N596,'Periods'!$A$2:$A$22,0)))," ","_")</f>
        <v>q4_2026</v>
      </c>
    </row>
    <row r="597">
      <c r="A597" s="0" t="inlineStr">
        <is>
          <t xml:space="preserve">o0596</t>
        </is>
      </c>
      <c r="B597" s="0" t="inlineStr">
        <is>
          <t xml:space="preserve">a0724</t>
        </is>
      </c>
      <c r="C597" s="0" t="inlineStr">
        <is>
          <t xml:space="preserve">r03</t>
        </is>
      </c>
      <c r="D597" s="0" t="inlineStr">
        <is>
          <t xml:space="preserve">s_amer_east_in</t>
        </is>
      </c>
      <c r="E597" s="0" t="inlineStr">
        <is>
          <t xml:space="preserve">inbound</t>
        </is>
      </c>
      <c r="F597" s="0" t="inlineStr">
        <is>
          <t xml:space="preserve">closed_lost</t>
        </is>
      </c>
      <c r="G597" s="4">
        <v>1</v>
      </c>
      <c r="H597" s="4">
        <v>103800</v>
      </c>
      <c r="I597" s="4">
        <v>1</v>
      </c>
      <c r="J597" s="4">
        <v>0</v>
      </c>
      <c r="K597" s="16">
        <v>46106</v>
      </c>
      <c r="L597" s="16">
        <v>46180</v>
      </c>
      <c r="M597" s="0" t="inlineStr">
        <is>
          <t xml:space="preserve">mar26</t>
        </is>
      </c>
      <c r="N597" s="0" t="inlineStr">
        <is>
          <t xml:space="preserve">jun26</t>
        </is>
      </c>
      <c r="O597" s="4">
        <v>74</v>
      </c>
      <c r="P597" s="4">
        <v>0</v>
      </c>
      <c r="Q597" s="4">
        <v>1</v>
      </c>
      <c r="R597" s="4">
        <v>0</v>
      </c>
      <c r="S597" s="4">
        <f>(H597*INDEX('Stages'!$D$2:$D$7,MATCH(F597,'Stages'!$A$2:$A$7,0)))</f>
        <v>0</v>
      </c>
      <c r="T597" s="4">
        <f>(H597*I597)</f>
        <v>103800</v>
      </c>
      <c r="U597" s="4">
        <f>(H597*(I597-1))</f>
        <v>0</v>
      </c>
      <c r="V597" s="0" t="str">
        <f>INDEX('Account executives'!$B$2:$B$25,MATCH(C597,'Account executives'!$A$2:$A$25,0))</f>
        <v>amer_east</v>
      </c>
      <c r="W597" s="0" t="str">
        <f>INDEX('Account executives'!$C$2:$C$25,MATCH(C597,'Account executives'!$A$2:$A$25,0))</f>
        <v>mid_market</v>
      </c>
      <c r="X597" s="0" t="str">
        <f>SUBSTITUTE(LOWER(INDEX('Periods'!$G$2:$G$22,MATCH(N597,'Periods'!$A$2:$A$22,0)))," ","_")</f>
        <v>q2_2026</v>
      </c>
    </row>
    <row r="598">
      <c r="A598" s="0" t="inlineStr">
        <is>
          <t xml:space="preserve">o0597</t>
        </is>
      </c>
      <c r="B598" s="0" t="inlineStr">
        <is>
          <t xml:space="preserve">a1187</t>
        </is>
      </c>
      <c r="C598" s="0" t="inlineStr">
        <is>
          <t xml:space="preserve">r18</t>
        </is>
      </c>
      <c r="D598" s="0" t="inlineStr">
        <is>
          <t xml:space="preserve">s_emea_in</t>
        </is>
      </c>
      <c r="E598" s="0" t="inlineStr">
        <is>
          <t xml:space="preserve">inbound</t>
        </is>
      </c>
      <c r="F598" s="0" t="inlineStr">
        <is>
          <t xml:space="preserve">closed_won</t>
        </is>
      </c>
      <c r="G598" s="4">
        <v>1</v>
      </c>
      <c r="H598" s="4">
        <v>11500</v>
      </c>
      <c r="I598" s="4">
        <v>1</v>
      </c>
      <c r="J598" s="4">
        <v>0</v>
      </c>
      <c r="K598" s="16">
        <v>46236</v>
      </c>
      <c r="L598" s="16">
        <v>46246</v>
      </c>
      <c r="M598" s="0" t="inlineStr">
        <is>
          <t xml:space="preserve">aug26</t>
        </is>
      </c>
      <c r="N598" s="0" t="inlineStr">
        <is>
          <t xml:space="preserve">aug26</t>
        </is>
      </c>
      <c r="O598" s="4">
        <v>10</v>
      </c>
      <c r="P598" s="4">
        <v>1</v>
      </c>
      <c r="Q598" s="4">
        <v>0</v>
      </c>
      <c r="R598" s="4">
        <v>0</v>
      </c>
      <c r="S598" s="4">
        <f>(H598*INDEX('Stages'!$D$2:$D$7,MATCH(F598,'Stages'!$A$2:$A$7,0)))</f>
        <v>11500</v>
      </c>
      <c r="T598" s="4">
        <f>(H598*I598)</f>
        <v>11500</v>
      </c>
      <c r="U598" s="4">
        <f>(H598*(I598-1))</f>
        <v>0</v>
      </c>
      <c r="V598" s="0" t="str">
        <f>INDEX('Account executives'!$B$2:$B$25,MATCH(C598,'Account executives'!$A$2:$A$25,0))</f>
        <v>emea</v>
      </c>
      <c r="W598" s="0" t="str">
        <f>INDEX('Account executives'!$C$2:$C$25,MATCH(C598,'Account executives'!$A$2:$A$25,0))</f>
        <v>smb</v>
      </c>
      <c r="X598" s="0" t="str">
        <f>SUBSTITUTE(LOWER(INDEX('Periods'!$G$2:$G$22,MATCH(N598,'Periods'!$A$2:$A$22,0)))," ","_")</f>
        <v>q3_2026</v>
      </c>
    </row>
    <row r="599">
      <c r="A599" s="0" t="inlineStr">
        <is>
          <t xml:space="preserve">o0598</t>
        </is>
      </c>
      <c r="B599" s="0" t="inlineStr">
        <is>
          <t xml:space="preserve">a0304</t>
        </is>
      </c>
      <c r="C599" s="0" t="inlineStr">
        <is>
          <t xml:space="preserve">r22</t>
        </is>
      </c>
      <c r="D599" s="0" t="inlineStr">
        <is>
          <t xml:space="preserve">s_apac_out</t>
        </is>
      </c>
      <c r="E599" s="0" t="inlineStr">
        <is>
          <t xml:space="preserve">outbound</t>
        </is>
      </c>
      <c r="F599" s="0" t="inlineStr">
        <is>
          <t xml:space="preserve">closed_lost</t>
        </is>
      </c>
      <c r="G599" s="4">
        <v>1</v>
      </c>
      <c r="H599" s="4">
        <v>40700</v>
      </c>
      <c r="I599" s="4">
        <v>1</v>
      </c>
      <c r="J599" s="4">
        <v>0</v>
      </c>
      <c r="K599" s="16">
        <v>45859</v>
      </c>
      <c r="L599" s="16">
        <v>45899</v>
      </c>
      <c r="M599" s="0" t="inlineStr">
        <is>
          <t xml:space="preserve">jul25</t>
        </is>
      </c>
      <c r="N599" s="0" t="inlineStr">
        <is>
          <t xml:space="preserve">aug25</t>
        </is>
      </c>
      <c r="O599" s="4">
        <v>40</v>
      </c>
      <c r="P599" s="4">
        <v>0</v>
      </c>
      <c r="Q599" s="4">
        <v>1</v>
      </c>
      <c r="R599" s="4">
        <v>0</v>
      </c>
      <c r="S599" s="4">
        <f>(H599*INDEX('Stages'!$D$2:$D$7,MATCH(F599,'Stages'!$A$2:$A$7,0)))</f>
        <v>0</v>
      </c>
      <c r="T599" s="4">
        <f>(H599*I599)</f>
        <v>40700</v>
      </c>
      <c r="U599" s="4">
        <f>(H599*(I599-1))</f>
        <v>0</v>
      </c>
      <c r="V599" s="0" t="str">
        <f>INDEX('Account executives'!$B$2:$B$25,MATCH(C599,'Account executives'!$A$2:$A$25,0))</f>
        <v>apac</v>
      </c>
      <c r="W599" s="0" t="str">
        <f>INDEX('Account executives'!$C$2:$C$25,MATCH(C599,'Account executives'!$A$2:$A$25,0))</f>
        <v>mid_market</v>
      </c>
      <c r="X599" s="0" t="str">
        <f>SUBSTITUTE(LOWER(INDEX('Periods'!$G$2:$G$22,MATCH(N599,'Periods'!$A$2:$A$22,0)))," ","_")</f>
        <v>q3_2025</v>
      </c>
    </row>
    <row r="600">
      <c r="A600" s="0" t="inlineStr">
        <is>
          <t xml:space="preserve">o0599</t>
        </is>
      </c>
      <c r="B600" s="0" t="inlineStr">
        <is>
          <t xml:space="preserve">a0200</t>
        </is>
      </c>
      <c r="C600" s="0" t="inlineStr">
        <is>
          <t xml:space="preserve">r09</t>
        </is>
      </c>
      <c r="D600" s="0" t="inlineStr">
        <is>
          <t xml:space="preserve">s_amer_west_in</t>
        </is>
      </c>
      <c r="E600" s="0" t="inlineStr">
        <is>
          <t xml:space="preserve">inbound</t>
        </is>
      </c>
      <c r="F600" s="0" t="inlineStr">
        <is>
          <t xml:space="preserve">closed_won</t>
        </is>
      </c>
      <c r="G600" s="4">
        <v>0</v>
      </c>
      <c r="H600" s="4">
        <v>11600</v>
      </c>
      <c r="I600" s="4">
        <v>2</v>
      </c>
      <c r="J600" s="4">
        <v>1</v>
      </c>
      <c r="K600" s="16">
        <v>46002</v>
      </c>
      <c r="L600" s="16">
        <v>46047</v>
      </c>
      <c r="M600" s="0" t="inlineStr">
        <is>
          <t xml:space="preserve">dec25</t>
        </is>
      </c>
      <c r="N600" s="0" t="inlineStr">
        <is>
          <t xml:space="preserve">jan26</t>
        </is>
      </c>
      <c r="O600" s="4">
        <v>45</v>
      </c>
      <c r="P600" s="4">
        <v>1</v>
      </c>
      <c r="Q600" s="4">
        <v>0</v>
      </c>
      <c r="R600" s="4">
        <v>0</v>
      </c>
      <c r="S600" s="4">
        <f>(H600*INDEX('Stages'!$D$2:$D$7,MATCH(F600,'Stages'!$A$2:$A$7,0)))</f>
        <v>11600</v>
      </c>
      <c r="T600" s="4">
        <f>(H600*I600)</f>
        <v>23200</v>
      </c>
      <c r="U600" s="4">
        <f>(H600*(I600-1))</f>
        <v>11600</v>
      </c>
      <c r="V600" s="0" t="str">
        <f>INDEX('Account executives'!$B$2:$B$25,MATCH(C600,'Account executives'!$A$2:$A$25,0))</f>
        <v>amer_west</v>
      </c>
      <c r="W600" s="0" t="str">
        <f>INDEX('Account executives'!$C$2:$C$25,MATCH(C600,'Account executives'!$A$2:$A$25,0))</f>
        <v>mid_market</v>
      </c>
      <c r="X600" s="0" t="str">
        <f>SUBSTITUTE(LOWER(INDEX('Periods'!$G$2:$G$22,MATCH(N600,'Periods'!$A$2:$A$22,0)))," ","_")</f>
        <v>q1_2026</v>
      </c>
    </row>
    <row r="601">
      <c r="A601" s="0" t="inlineStr">
        <is>
          <t xml:space="preserve">o0600</t>
        </is>
      </c>
      <c r="B601" s="0" t="inlineStr">
        <is>
          <t xml:space="preserve">a0491</t>
        </is>
      </c>
      <c r="C601" s="0" t="inlineStr">
        <is>
          <t xml:space="preserve">r04</t>
        </is>
      </c>
      <c r="D601" s="0"/>
      <c r="E601" s="0" t="inlineStr">
        <is>
          <t xml:space="preserve">referral</t>
        </is>
      </c>
      <c r="F601" s="0" t="inlineStr">
        <is>
          <t xml:space="preserve">closed_lost</t>
        </is>
      </c>
      <c r="G601" s="4">
        <v>1</v>
      </c>
      <c r="H601" s="4">
        <v>37800</v>
      </c>
      <c r="I601" s="4">
        <v>1</v>
      </c>
      <c r="J601" s="4">
        <v>0</v>
      </c>
      <c r="K601" s="16">
        <v>45965</v>
      </c>
      <c r="L601" s="16">
        <v>46037</v>
      </c>
      <c r="M601" s="0" t="inlineStr">
        <is>
          <t xml:space="preserve">nov25</t>
        </is>
      </c>
      <c r="N601" s="0" t="inlineStr">
        <is>
          <t xml:space="preserve">jan26</t>
        </is>
      </c>
      <c r="O601" s="4">
        <v>72</v>
      </c>
      <c r="P601" s="4">
        <v>0</v>
      </c>
      <c r="Q601" s="4">
        <v>1</v>
      </c>
      <c r="R601" s="4">
        <v>0</v>
      </c>
      <c r="S601" s="4">
        <f>(H601*INDEX('Stages'!$D$2:$D$7,MATCH(F601,'Stages'!$A$2:$A$7,0)))</f>
        <v>0</v>
      </c>
      <c r="T601" s="4">
        <f>(H601*I601)</f>
        <v>37800</v>
      </c>
      <c r="U601" s="4">
        <f>(H601*(I601-1))</f>
        <v>0</v>
      </c>
      <c r="V601" s="0" t="str">
        <f>INDEX('Account executives'!$B$2:$B$25,MATCH(C601,'Account executives'!$A$2:$A$25,0))</f>
        <v>amer_east</v>
      </c>
      <c r="W601" s="0" t="str">
        <f>INDEX('Account executives'!$C$2:$C$25,MATCH(C601,'Account executives'!$A$2:$A$25,0))</f>
        <v>mid_market</v>
      </c>
      <c r="X601" s="0" t="str">
        <f>SUBSTITUTE(LOWER(INDEX('Periods'!$G$2:$G$22,MATCH(N601,'Periods'!$A$2:$A$22,0)))," ","_")</f>
        <v>q1_2026</v>
      </c>
    </row>
    <row r="602">
      <c r="A602" s="0" t="inlineStr">
        <is>
          <t xml:space="preserve">o0601</t>
        </is>
      </c>
      <c r="B602" s="0" t="inlineStr">
        <is>
          <t xml:space="preserve">a0255</t>
        </is>
      </c>
      <c r="C602" s="0" t="inlineStr">
        <is>
          <t xml:space="preserve">r12</t>
        </is>
      </c>
      <c r="D602" s="0" t="inlineStr">
        <is>
          <t xml:space="preserve">s_amer_west_in</t>
        </is>
      </c>
      <c r="E602" s="0" t="inlineStr">
        <is>
          <t xml:space="preserve">inbound</t>
        </is>
      </c>
      <c r="F602" s="0" t="inlineStr">
        <is>
          <t xml:space="preserve">closed_won</t>
        </is>
      </c>
      <c r="G602" s="4">
        <v>1</v>
      </c>
      <c r="H602" s="4">
        <v>6400</v>
      </c>
      <c r="I602" s="4">
        <v>1</v>
      </c>
      <c r="J602" s="4">
        <v>0</v>
      </c>
      <c r="K602" s="16">
        <v>45852</v>
      </c>
      <c r="L602" s="16">
        <v>45876</v>
      </c>
      <c r="M602" s="0" t="inlineStr">
        <is>
          <t xml:space="preserve">jul25</t>
        </is>
      </c>
      <c r="N602" s="0" t="inlineStr">
        <is>
          <t xml:space="preserve">aug25</t>
        </is>
      </c>
      <c r="O602" s="4">
        <v>24</v>
      </c>
      <c r="P602" s="4">
        <v>1</v>
      </c>
      <c r="Q602" s="4">
        <v>0</v>
      </c>
      <c r="R602" s="4">
        <v>0</v>
      </c>
      <c r="S602" s="4">
        <f>(H602*INDEX('Stages'!$D$2:$D$7,MATCH(F602,'Stages'!$A$2:$A$7,0)))</f>
        <v>6400</v>
      </c>
      <c r="T602" s="4">
        <f>(H602*I602)</f>
        <v>6400</v>
      </c>
      <c r="U602" s="4">
        <f>(H602*(I602-1))</f>
        <v>0</v>
      </c>
      <c r="V602" s="0" t="str">
        <f>INDEX('Account executives'!$B$2:$B$25,MATCH(C602,'Account executives'!$A$2:$A$25,0))</f>
        <v>amer_west</v>
      </c>
      <c r="W602" s="0" t="str">
        <f>INDEX('Account executives'!$C$2:$C$25,MATCH(C602,'Account executives'!$A$2:$A$25,0))</f>
        <v>smb</v>
      </c>
      <c r="X602" s="0" t="str">
        <f>SUBSTITUTE(LOWER(INDEX('Periods'!$G$2:$G$22,MATCH(N602,'Periods'!$A$2:$A$22,0)))," ","_")</f>
        <v>q3_2025</v>
      </c>
    </row>
    <row r="603">
      <c r="A603" s="0" t="inlineStr">
        <is>
          <t xml:space="preserve">o0602</t>
        </is>
      </c>
      <c r="B603" s="0" t="inlineStr">
        <is>
          <t xml:space="preserve">a1070</t>
        </is>
      </c>
      <c r="C603" s="0" t="inlineStr">
        <is>
          <t xml:space="preserve">r06</t>
        </is>
      </c>
      <c r="D603" s="0" t="inlineStr">
        <is>
          <t xml:space="preserve">s_amer_east_in</t>
        </is>
      </c>
      <c r="E603" s="0" t="inlineStr">
        <is>
          <t xml:space="preserve">inbound</t>
        </is>
      </c>
      <c r="F603" s="0" t="inlineStr">
        <is>
          <t xml:space="preserve">proposal</t>
        </is>
      </c>
      <c r="G603" s="4">
        <v>1</v>
      </c>
      <c r="H603" s="4">
        <v>19000</v>
      </c>
      <c r="I603" s="4">
        <v>1</v>
      </c>
      <c r="J603" s="4">
        <v>0</v>
      </c>
      <c r="K603" s="16">
        <v>46212</v>
      </c>
      <c r="L603" s="16">
        <v>46296</v>
      </c>
      <c r="M603" s="0" t="inlineStr">
        <is>
          <t xml:space="preserve">jul26</t>
        </is>
      </c>
      <c r="N603" s="0" t="inlineStr">
        <is>
          <t xml:space="preserve">oct26</t>
        </is>
      </c>
      <c r="O603" s="4">
        <v>81</v>
      </c>
      <c r="P603" s="4">
        <v>0</v>
      </c>
      <c r="Q603" s="4">
        <v>0</v>
      </c>
      <c r="R603" s="4">
        <v>1</v>
      </c>
      <c r="S603" s="4">
        <f>(H603*INDEX('Stages'!$D$2:$D$7,MATCH(F603,'Stages'!$A$2:$A$7,0)))</f>
        <v>9500</v>
      </c>
      <c r="T603" s="4">
        <f>(H603*I603)</f>
        <v>19000</v>
      </c>
      <c r="U603" s="4">
        <f>(H603*(I603-1))</f>
        <v>0</v>
      </c>
      <c r="V603" s="0" t="str">
        <f>INDEX('Account executives'!$B$2:$B$25,MATCH(C603,'Account executives'!$A$2:$A$25,0))</f>
        <v>amer_east</v>
      </c>
      <c r="W603" s="0" t="str">
        <f>INDEX('Account executives'!$C$2:$C$25,MATCH(C603,'Account executives'!$A$2:$A$25,0))</f>
        <v>smb</v>
      </c>
      <c r="X603" s="0" t="str">
        <f>SUBSTITUTE(LOWER(INDEX('Periods'!$G$2:$G$22,MATCH(N603,'Periods'!$A$2:$A$22,0)))," ","_")</f>
        <v>q4_2026</v>
      </c>
    </row>
    <row r="604">
      <c r="A604" s="0" t="inlineStr">
        <is>
          <t xml:space="preserve">o0603</t>
        </is>
      </c>
      <c r="B604" s="0" t="inlineStr">
        <is>
          <t xml:space="preserve">a0662</t>
        </is>
      </c>
      <c r="C604" s="0" t="inlineStr">
        <is>
          <t xml:space="preserve">r01</t>
        </is>
      </c>
      <c r="D604" s="0" t="inlineStr">
        <is>
          <t xml:space="preserve">s_amer_east_in</t>
        </is>
      </c>
      <c r="E604" s="0" t="inlineStr">
        <is>
          <t xml:space="preserve">paid</t>
        </is>
      </c>
      <c r="F604" s="0" t="inlineStr">
        <is>
          <t xml:space="preserve">closed_lost</t>
        </is>
      </c>
      <c r="G604" s="4">
        <v>1</v>
      </c>
      <c r="H604" s="4">
        <v>106400</v>
      </c>
      <c r="I604" s="4">
        <v>3</v>
      </c>
      <c r="J604" s="4">
        <v>0</v>
      </c>
      <c r="K604" s="16">
        <v>46076</v>
      </c>
      <c r="L604" s="16">
        <v>46276</v>
      </c>
      <c r="M604" s="0" t="inlineStr">
        <is>
          <t xml:space="preserve">feb26</t>
        </is>
      </c>
      <c r="N604" s="0" t="inlineStr">
        <is>
          <t xml:space="preserve">sep26</t>
        </is>
      </c>
      <c r="O604" s="4">
        <v>200</v>
      </c>
      <c r="P604" s="4">
        <v>0</v>
      </c>
      <c r="Q604" s="4">
        <v>1</v>
      </c>
      <c r="R604" s="4">
        <v>0</v>
      </c>
      <c r="S604" s="4">
        <f>(H604*INDEX('Stages'!$D$2:$D$7,MATCH(F604,'Stages'!$A$2:$A$7,0)))</f>
        <v>0</v>
      </c>
      <c r="T604" s="4">
        <f>(H604*I604)</f>
        <v>319200</v>
      </c>
      <c r="U604" s="4">
        <f>(H604*(I604-1))</f>
        <v>212800</v>
      </c>
      <c r="V604" s="0" t="str">
        <f>INDEX('Account executives'!$B$2:$B$25,MATCH(C604,'Account executives'!$A$2:$A$25,0))</f>
        <v>amer_east</v>
      </c>
      <c r="W604" s="0" t="str">
        <f>INDEX('Account executives'!$C$2:$C$25,MATCH(C604,'Account executives'!$A$2:$A$25,0))</f>
        <v>enterprise</v>
      </c>
      <c r="X604" s="0" t="str">
        <f>SUBSTITUTE(LOWER(INDEX('Periods'!$G$2:$G$22,MATCH(N604,'Periods'!$A$2:$A$22,0)))," ","_")</f>
        <v>q3_2026</v>
      </c>
    </row>
    <row r="605">
      <c r="A605" s="0" t="inlineStr">
        <is>
          <t xml:space="preserve">o0604</t>
        </is>
      </c>
      <c r="B605" s="0" t="inlineStr">
        <is>
          <t xml:space="preserve">a0451</t>
        </is>
      </c>
      <c r="C605" s="0" t="inlineStr">
        <is>
          <t xml:space="preserve">r17</t>
        </is>
      </c>
      <c r="D605" s="0" t="inlineStr">
        <is>
          <t xml:space="preserve">s_emea_in</t>
        </is>
      </c>
      <c r="E605" s="0" t="inlineStr">
        <is>
          <t xml:space="preserve">paid</t>
        </is>
      </c>
      <c r="F605" s="0" t="inlineStr">
        <is>
          <t xml:space="preserve">closed_lost</t>
        </is>
      </c>
      <c r="G605" s="4">
        <v>1</v>
      </c>
      <c r="H605" s="4">
        <v>14400</v>
      </c>
      <c r="I605" s="4">
        <v>1</v>
      </c>
      <c r="J605" s="4">
        <v>0</v>
      </c>
      <c r="K605" s="16">
        <v>45948</v>
      </c>
      <c r="L605" s="16">
        <v>45977</v>
      </c>
      <c r="M605" s="0" t="inlineStr">
        <is>
          <t xml:space="preserve">oct25</t>
        </is>
      </c>
      <c r="N605" s="0" t="inlineStr">
        <is>
          <t xml:space="preserve">nov25</t>
        </is>
      </c>
      <c r="O605" s="4">
        <v>29</v>
      </c>
      <c r="P605" s="4">
        <v>0</v>
      </c>
      <c r="Q605" s="4">
        <v>1</v>
      </c>
      <c r="R605" s="4">
        <v>0</v>
      </c>
      <c r="S605" s="4">
        <f>(H605*INDEX('Stages'!$D$2:$D$7,MATCH(F605,'Stages'!$A$2:$A$7,0)))</f>
        <v>0</v>
      </c>
      <c r="T605" s="4">
        <f>(H605*I605)</f>
        <v>14400</v>
      </c>
      <c r="U605" s="4">
        <f>(H605*(I605-1))</f>
        <v>0</v>
      </c>
      <c r="V605" s="0" t="str">
        <f>INDEX('Account executives'!$B$2:$B$25,MATCH(C605,'Account executives'!$A$2:$A$25,0))</f>
        <v>emea</v>
      </c>
      <c r="W605" s="0" t="str">
        <f>INDEX('Account executives'!$C$2:$C$25,MATCH(C605,'Account executives'!$A$2:$A$25,0))</f>
        <v>smb</v>
      </c>
      <c r="X605" s="0" t="str">
        <f>SUBSTITUTE(LOWER(INDEX('Periods'!$G$2:$G$22,MATCH(N605,'Periods'!$A$2:$A$22,0)))," ","_")</f>
        <v>q4_2025</v>
      </c>
    </row>
    <row r="606">
      <c r="A606" s="0" t="inlineStr">
        <is>
          <t xml:space="preserve">o0605</t>
        </is>
      </c>
      <c r="B606" s="0" t="inlineStr">
        <is>
          <t xml:space="preserve">a0574</t>
        </is>
      </c>
      <c r="C606" s="0" t="inlineStr">
        <is>
          <t xml:space="preserve">r09</t>
        </is>
      </c>
      <c r="D606" s="0" t="inlineStr">
        <is>
          <t xml:space="preserve">s_amer_west_out</t>
        </is>
      </c>
      <c r="E606" s="0" t="inlineStr">
        <is>
          <t xml:space="preserve">outbound</t>
        </is>
      </c>
      <c r="F606" s="0" t="inlineStr">
        <is>
          <t xml:space="preserve">closed_lost</t>
        </is>
      </c>
      <c r="G606" s="4">
        <v>1</v>
      </c>
      <c r="H606" s="4">
        <v>60200</v>
      </c>
      <c r="I606" s="4">
        <v>1</v>
      </c>
      <c r="J606" s="4">
        <v>1</v>
      </c>
      <c r="K606" s="16">
        <v>46013</v>
      </c>
      <c r="L606" s="16">
        <v>46076</v>
      </c>
      <c r="M606" s="0" t="inlineStr">
        <is>
          <t xml:space="preserve">dec25</t>
        </is>
      </c>
      <c r="N606" s="0" t="inlineStr">
        <is>
          <t xml:space="preserve">feb26</t>
        </is>
      </c>
      <c r="O606" s="4">
        <v>63</v>
      </c>
      <c r="P606" s="4">
        <v>0</v>
      </c>
      <c r="Q606" s="4">
        <v>1</v>
      </c>
      <c r="R606" s="4">
        <v>0</v>
      </c>
      <c r="S606" s="4">
        <f>(H606*INDEX('Stages'!$D$2:$D$7,MATCH(F606,'Stages'!$A$2:$A$7,0)))</f>
        <v>0</v>
      </c>
      <c r="T606" s="4">
        <f>(H606*I606)</f>
        <v>60200</v>
      </c>
      <c r="U606" s="4">
        <f>(H606*(I606-1))</f>
        <v>0</v>
      </c>
      <c r="V606" s="0" t="str">
        <f>INDEX('Account executives'!$B$2:$B$25,MATCH(C606,'Account executives'!$A$2:$A$25,0))</f>
        <v>amer_west</v>
      </c>
      <c r="W606" s="0" t="str">
        <f>INDEX('Account executives'!$C$2:$C$25,MATCH(C606,'Account executives'!$A$2:$A$25,0))</f>
        <v>mid_market</v>
      </c>
      <c r="X606" s="0" t="str">
        <f>SUBSTITUTE(LOWER(INDEX('Periods'!$G$2:$G$22,MATCH(N606,'Periods'!$A$2:$A$22,0)))," ","_")</f>
        <v>q1_2026</v>
      </c>
    </row>
    <row r="607">
      <c r="A607" s="0" t="inlineStr">
        <is>
          <t xml:space="preserve">o0606</t>
        </is>
      </c>
      <c r="B607" s="0" t="inlineStr">
        <is>
          <t xml:space="preserve">a0648</t>
        </is>
      </c>
      <c r="C607" s="0" t="inlineStr">
        <is>
          <t xml:space="preserve">r16</t>
        </is>
      </c>
      <c r="D607" s="0" t="inlineStr">
        <is>
          <t xml:space="preserve">s_emea_out</t>
        </is>
      </c>
      <c r="E607" s="0" t="inlineStr">
        <is>
          <t xml:space="preserve">outbound</t>
        </is>
      </c>
      <c r="F607" s="0" t="inlineStr">
        <is>
          <t xml:space="preserve">closed_lost</t>
        </is>
      </c>
      <c r="G607" s="4">
        <v>1</v>
      </c>
      <c r="H607" s="4">
        <v>46300</v>
      </c>
      <c r="I607" s="4">
        <v>2</v>
      </c>
      <c r="J607" s="4">
        <v>1</v>
      </c>
      <c r="K607" s="16">
        <v>46037</v>
      </c>
      <c r="L607" s="16">
        <v>46201</v>
      </c>
      <c r="M607" s="0" t="inlineStr">
        <is>
          <t xml:space="preserve">jan26</t>
        </is>
      </c>
      <c r="N607" s="0" t="inlineStr">
        <is>
          <t xml:space="preserve">jun26</t>
        </is>
      </c>
      <c r="O607" s="4">
        <v>164</v>
      </c>
      <c r="P607" s="4">
        <v>0</v>
      </c>
      <c r="Q607" s="4">
        <v>1</v>
      </c>
      <c r="R607" s="4">
        <v>0</v>
      </c>
      <c r="S607" s="4">
        <f>(H607*INDEX('Stages'!$D$2:$D$7,MATCH(F607,'Stages'!$A$2:$A$7,0)))</f>
        <v>0</v>
      </c>
      <c r="T607" s="4">
        <f>(H607*I607)</f>
        <v>92600</v>
      </c>
      <c r="U607" s="4">
        <f>(H607*(I607-1))</f>
        <v>46300</v>
      </c>
      <c r="V607" s="0" t="str">
        <f>INDEX('Account executives'!$B$2:$B$25,MATCH(C607,'Account executives'!$A$2:$A$25,0))</f>
        <v>emea</v>
      </c>
      <c r="W607" s="0" t="str">
        <f>INDEX('Account executives'!$C$2:$C$25,MATCH(C607,'Account executives'!$A$2:$A$25,0))</f>
        <v>mid_market</v>
      </c>
      <c r="X607" s="0" t="str">
        <f>SUBSTITUTE(LOWER(INDEX('Periods'!$G$2:$G$22,MATCH(N607,'Periods'!$A$2:$A$22,0)))," ","_")</f>
        <v>q2_2026</v>
      </c>
    </row>
    <row r="608">
      <c r="A608" s="0" t="inlineStr">
        <is>
          <t xml:space="preserve">o0607</t>
        </is>
      </c>
      <c r="B608" s="0" t="inlineStr">
        <is>
          <t xml:space="preserve">a0711</t>
        </is>
      </c>
      <c r="C608" s="0" t="inlineStr">
        <is>
          <t xml:space="preserve">r21</t>
        </is>
      </c>
      <c r="D608" s="0" t="inlineStr">
        <is>
          <t xml:space="preserve">s_apac_in</t>
        </is>
      </c>
      <c r="E608" s="0" t="inlineStr">
        <is>
          <t xml:space="preserve">inbound</t>
        </is>
      </c>
      <c r="F608" s="0" t="inlineStr">
        <is>
          <t xml:space="preserve">closed_won</t>
        </is>
      </c>
      <c r="G608" s="4">
        <v>1</v>
      </c>
      <c r="H608" s="4">
        <v>12600</v>
      </c>
      <c r="I608" s="4">
        <v>1</v>
      </c>
      <c r="J608" s="4">
        <v>0</v>
      </c>
      <c r="K608" s="16">
        <v>46073</v>
      </c>
      <c r="L608" s="16">
        <v>46118</v>
      </c>
      <c r="M608" s="0" t="inlineStr">
        <is>
          <t xml:space="preserve">feb26</t>
        </is>
      </c>
      <c r="N608" s="0" t="inlineStr">
        <is>
          <t xml:space="preserve">apr26</t>
        </is>
      </c>
      <c r="O608" s="4">
        <v>45</v>
      </c>
      <c r="P608" s="4">
        <v>1</v>
      </c>
      <c r="Q608" s="4">
        <v>0</v>
      </c>
      <c r="R608" s="4">
        <v>0</v>
      </c>
      <c r="S608" s="4">
        <f>(H608*INDEX('Stages'!$D$2:$D$7,MATCH(F608,'Stages'!$A$2:$A$7,0)))</f>
        <v>12600</v>
      </c>
      <c r="T608" s="4">
        <f>(H608*I608)</f>
        <v>12600</v>
      </c>
      <c r="U608" s="4">
        <f>(H608*(I608-1))</f>
        <v>0</v>
      </c>
      <c r="V608" s="0" t="str">
        <f>INDEX('Account executives'!$B$2:$B$25,MATCH(C608,'Account executives'!$A$2:$A$25,0))</f>
        <v>apac</v>
      </c>
      <c r="W608" s="0" t="str">
        <f>INDEX('Account executives'!$C$2:$C$25,MATCH(C608,'Account executives'!$A$2:$A$25,0))</f>
        <v>mid_market</v>
      </c>
      <c r="X608" s="0" t="str">
        <f>SUBSTITUTE(LOWER(INDEX('Periods'!$G$2:$G$22,MATCH(N608,'Periods'!$A$2:$A$22,0)))," ","_")</f>
        <v>q2_2026</v>
      </c>
    </row>
    <row r="609">
      <c r="A609" s="0" t="inlineStr">
        <is>
          <t xml:space="preserve">o0608</t>
        </is>
      </c>
      <c r="B609" s="0" t="inlineStr">
        <is>
          <t xml:space="preserve">a1234</t>
        </is>
      </c>
      <c r="C609" s="0" t="inlineStr">
        <is>
          <t xml:space="preserve">r04</t>
        </is>
      </c>
      <c r="D609" s="0"/>
      <c r="E609" s="0" t="inlineStr">
        <is>
          <t xml:space="preserve">referral</t>
        </is>
      </c>
      <c r="F609" s="0" t="inlineStr">
        <is>
          <t xml:space="preserve">discovery</t>
        </is>
      </c>
      <c r="G609" s="4">
        <v>1</v>
      </c>
      <c r="H609" s="4">
        <v>52500</v>
      </c>
      <c r="I609" s="4">
        <v>1</v>
      </c>
      <c r="J609" s="4">
        <v>0</v>
      </c>
      <c r="K609" s="16">
        <v>46281</v>
      </c>
      <c r="L609" s="16">
        <v>46371</v>
      </c>
      <c r="M609" s="0" t="inlineStr">
        <is>
          <t xml:space="preserve">sep26</t>
        </is>
      </c>
      <c r="N609" s="0" t="inlineStr">
        <is>
          <t xml:space="preserve">dec26</t>
        </is>
      </c>
      <c r="O609" s="4">
        <v>80</v>
      </c>
      <c r="P609" s="4">
        <v>0</v>
      </c>
      <c r="Q609" s="4">
        <v>0</v>
      </c>
      <c r="R609" s="4">
        <v>1</v>
      </c>
      <c r="S609" s="4">
        <f>(H609*INDEX('Stages'!$D$2:$D$7,MATCH(F609,'Stages'!$A$2:$A$7,0)))</f>
        <v>5250</v>
      </c>
      <c r="T609" s="4">
        <f>(H609*I609)</f>
        <v>52500</v>
      </c>
      <c r="U609" s="4">
        <f>(H609*(I609-1))</f>
        <v>0</v>
      </c>
      <c r="V609" s="0" t="str">
        <f>INDEX('Account executives'!$B$2:$B$25,MATCH(C609,'Account executives'!$A$2:$A$25,0))</f>
        <v>amer_east</v>
      </c>
      <c r="W609" s="0" t="str">
        <f>INDEX('Account executives'!$C$2:$C$25,MATCH(C609,'Account executives'!$A$2:$A$25,0))</f>
        <v>mid_market</v>
      </c>
      <c r="X609" s="0" t="str">
        <f>SUBSTITUTE(LOWER(INDEX('Periods'!$G$2:$G$22,MATCH(N609,'Periods'!$A$2:$A$22,0)))," ","_")</f>
        <v>q4_2026</v>
      </c>
    </row>
    <row r="610">
      <c r="A610" s="0" t="inlineStr">
        <is>
          <t xml:space="preserve">o0609</t>
        </is>
      </c>
      <c r="B610" s="0" t="inlineStr">
        <is>
          <t xml:space="preserve">a0092</t>
        </is>
      </c>
      <c r="C610" s="0" t="inlineStr">
        <is>
          <t xml:space="preserve">r09</t>
        </is>
      </c>
      <c r="D610" s="0" t="inlineStr">
        <is>
          <t xml:space="preserve">s_amer_west_in</t>
        </is>
      </c>
      <c r="E610" s="0" t="inlineStr">
        <is>
          <t xml:space="preserve">inbound</t>
        </is>
      </c>
      <c r="F610" s="0" t="inlineStr">
        <is>
          <t xml:space="preserve">closed_lost</t>
        </is>
      </c>
      <c r="G610" s="4">
        <v>1</v>
      </c>
      <c r="H610" s="4">
        <v>47400</v>
      </c>
      <c r="I610" s="4">
        <v>1</v>
      </c>
      <c r="J610" s="4">
        <v>0</v>
      </c>
      <c r="K610" s="16">
        <v>45793</v>
      </c>
      <c r="L610" s="16">
        <v>45846</v>
      </c>
      <c r="M610" s="0" t="inlineStr">
        <is>
          <t xml:space="preserve">may25</t>
        </is>
      </c>
      <c r="N610" s="0" t="inlineStr">
        <is>
          <t xml:space="preserve">jul25</t>
        </is>
      </c>
      <c r="O610" s="4">
        <v>53</v>
      </c>
      <c r="P610" s="4">
        <v>0</v>
      </c>
      <c r="Q610" s="4">
        <v>1</v>
      </c>
      <c r="R610" s="4">
        <v>0</v>
      </c>
      <c r="S610" s="4">
        <f>(H610*INDEX('Stages'!$D$2:$D$7,MATCH(F610,'Stages'!$A$2:$A$7,0)))</f>
        <v>0</v>
      </c>
      <c r="T610" s="4">
        <f>(H610*I610)</f>
        <v>47400</v>
      </c>
      <c r="U610" s="4">
        <f>(H610*(I610-1))</f>
        <v>0</v>
      </c>
      <c r="V610" s="0" t="str">
        <f>INDEX('Account executives'!$B$2:$B$25,MATCH(C610,'Account executives'!$A$2:$A$25,0))</f>
        <v>amer_west</v>
      </c>
      <c r="W610" s="0" t="str">
        <f>INDEX('Account executives'!$C$2:$C$25,MATCH(C610,'Account executives'!$A$2:$A$25,0))</f>
        <v>mid_market</v>
      </c>
      <c r="X610" s="0" t="str">
        <f>SUBSTITUTE(LOWER(INDEX('Periods'!$G$2:$G$22,MATCH(N610,'Periods'!$A$2:$A$22,0)))," ","_")</f>
        <v>q3_2025</v>
      </c>
    </row>
    <row r="611">
      <c r="A611" s="0" t="inlineStr">
        <is>
          <t xml:space="preserve">o0610</t>
        </is>
      </c>
      <c r="B611" s="0" t="inlineStr">
        <is>
          <t xml:space="preserve">a1014</t>
        </is>
      </c>
      <c r="C611" s="0" t="inlineStr">
        <is>
          <t xml:space="preserve">r14</t>
        </is>
      </c>
      <c r="D611" s="0" t="inlineStr">
        <is>
          <t xml:space="preserve">s_emea_in</t>
        </is>
      </c>
      <c r="E611" s="0" t="inlineStr">
        <is>
          <t xml:space="preserve">inbound</t>
        </is>
      </c>
      <c r="F611" s="0" t="inlineStr">
        <is>
          <t xml:space="preserve">closed_won</t>
        </is>
      </c>
      <c r="G611" s="4">
        <v>1</v>
      </c>
      <c r="H611" s="4">
        <v>92900</v>
      </c>
      <c r="I611" s="4">
        <v>1</v>
      </c>
      <c r="J611" s="4">
        <v>1</v>
      </c>
      <c r="K611" s="16">
        <v>46197</v>
      </c>
      <c r="L611" s="16">
        <v>46259</v>
      </c>
      <c r="M611" s="0" t="inlineStr">
        <is>
          <t xml:space="preserve">jun26</t>
        </is>
      </c>
      <c r="N611" s="0" t="inlineStr">
        <is>
          <t xml:space="preserve">aug26</t>
        </is>
      </c>
      <c r="O611" s="4">
        <v>62</v>
      </c>
      <c r="P611" s="4">
        <v>1</v>
      </c>
      <c r="Q611" s="4">
        <v>0</v>
      </c>
      <c r="R611" s="4">
        <v>0</v>
      </c>
      <c r="S611" s="4">
        <f>(H611*INDEX('Stages'!$D$2:$D$7,MATCH(F611,'Stages'!$A$2:$A$7,0)))</f>
        <v>92900</v>
      </c>
      <c r="T611" s="4">
        <f>(H611*I611)</f>
        <v>92900</v>
      </c>
      <c r="U611" s="4">
        <f>(H611*(I611-1))</f>
        <v>0</v>
      </c>
      <c r="V611" s="0" t="str">
        <f>INDEX('Account executives'!$B$2:$B$25,MATCH(C611,'Account executives'!$A$2:$A$25,0))</f>
        <v>emea</v>
      </c>
      <c r="W611" s="0" t="str">
        <f>INDEX('Account executives'!$C$2:$C$25,MATCH(C611,'Account executives'!$A$2:$A$25,0))</f>
        <v>enterprise</v>
      </c>
      <c r="X611" s="0" t="str">
        <f>SUBSTITUTE(LOWER(INDEX('Periods'!$G$2:$G$22,MATCH(N611,'Periods'!$A$2:$A$22,0)))," ","_")</f>
        <v>q3_2026</v>
      </c>
    </row>
    <row r="612">
      <c r="A612" s="0" t="inlineStr">
        <is>
          <t xml:space="preserve">o0611</t>
        </is>
      </c>
      <c r="B612" s="0" t="inlineStr">
        <is>
          <t xml:space="preserve">a0007</t>
        </is>
      </c>
      <c r="C612" s="0" t="inlineStr">
        <is>
          <t xml:space="preserve">r09</t>
        </is>
      </c>
      <c r="D612" s="0" t="inlineStr">
        <is>
          <t xml:space="preserve">s_amer_west_in</t>
        </is>
      </c>
      <c r="E612" s="0" t="inlineStr">
        <is>
          <t xml:space="preserve">inbound</t>
        </is>
      </c>
      <c r="F612" s="0" t="inlineStr">
        <is>
          <t xml:space="preserve">closed_won</t>
        </is>
      </c>
      <c r="G612" s="4">
        <v>0</v>
      </c>
      <c r="H612" s="4">
        <v>19800</v>
      </c>
      <c r="I612" s="4">
        <v>2</v>
      </c>
      <c r="J612" s="4">
        <v>0</v>
      </c>
      <c r="K612" s="16">
        <v>45769</v>
      </c>
      <c r="L612" s="16">
        <v>45816</v>
      </c>
      <c r="M612" s="0" t="inlineStr">
        <is>
          <t xml:space="preserve">apr25</t>
        </is>
      </c>
      <c r="N612" s="0" t="inlineStr">
        <is>
          <t xml:space="preserve">jun25</t>
        </is>
      </c>
      <c r="O612" s="4">
        <v>47</v>
      </c>
      <c r="P612" s="4">
        <v>1</v>
      </c>
      <c r="Q612" s="4">
        <v>0</v>
      </c>
      <c r="R612" s="4">
        <v>0</v>
      </c>
      <c r="S612" s="4">
        <f>(H612*INDEX('Stages'!$D$2:$D$7,MATCH(F612,'Stages'!$A$2:$A$7,0)))</f>
        <v>19800</v>
      </c>
      <c r="T612" s="4">
        <f>(H612*I612)</f>
        <v>39600</v>
      </c>
      <c r="U612" s="4">
        <f>(H612*(I612-1))</f>
        <v>19800</v>
      </c>
      <c r="V612" s="0" t="str">
        <f>INDEX('Account executives'!$B$2:$B$25,MATCH(C612,'Account executives'!$A$2:$A$25,0))</f>
        <v>amer_west</v>
      </c>
      <c r="W612" s="0" t="str">
        <f>INDEX('Account executives'!$C$2:$C$25,MATCH(C612,'Account executives'!$A$2:$A$25,0))</f>
        <v>mid_market</v>
      </c>
      <c r="X612" s="0" t="str">
        <f>SUBSTITUTE(LOWER(INDEX('Periods'!$G$2:$G$22,MATCH(N612,'Periods'!$A$2:$A$22,0)))," ","_")</f>
        <v>q2_2025</v>
      </c>
    </row>
    <row r="613">
      <c r="A613" s="0" t="inlineStr">
        <is>
          <t xml:space="preserve">o0612</t>
        </is>
      </c>
      <c r="B613" s="0" t="inlineStr">
        <is>
          <t xml:space="preserve">a0971</t>
        </is>
      </c>
      <c r="C613" s="0" t="inlineStr">
        <is>
          <t xml:space="preserve">r06</t>
        </is>
      </c>
      <c r="D613" s="0"/>
      <c r="E613" s="0" t="inlineStr">
        <is>
          <t xml:space="preserve">events</t>
        </is>
      </c>
      <c r="F613" s="0" t="inlineStr">
        <is>
          <t xml:space="preserve">negotiation</t>
        </is>
      </c>
      <c r="G613" s="4">
        <v>1</v>
      </c>
      <c r="H613" s="4">
        <v>12400</v>
      </c>
      <c r="I613" s="4">
        <v>1</v>
      </c>
      <c r="J613" s="4">
        <v>0</v>
      </c>
      <c r="K613" s="16">
        <v>46191</v>
      </c>
      <c r="L613" s="16">
        <v>46293</v>
      </c>
      <c r="M613" s="0" t="inlineStr">
        <is>
          <t xml:space="preserve">jun26</t>
        </is>
      </c>
      <c r="N613" s="0" t="inlineStr">
        <is>
          <t xml:space="preserve">sep26</t>
        </is>
      </c>
      <c r="O613" s="4">
        <v>102</v>
      </c>
      <c r="P613" s="4">
        <v>0</v>
      </c>
      <c r="Q613" s="4">
        <v>0</v>
      </c>
      <c r="R613" s="4">
        <v>1</v>
      </c>
      <c r="S613" s="4">
        <f>(H613*INDEX('Stages'!$D$2:$D$7,MATCH(F613,'Stages'!$A$2:$A$7,0)))</f>
        <v>9300</v>
      </c>
      <c r="T613" s="4">
        <f>(H613*I613)</f>
        <v>12400</v>
      </c>
      <c r="U613" s="4">
        <f>(H613*(I613-1))</f>
        <v>0</v>
      </c>
      <c r="V613" s="0" t="str">
        <f>INDEX('Account executives'!$B$2:$B$25,MATCH(C613,'Account executives'!$A$2:$A$25,0))</f>
        <v>amer_east</v>
      </c>
      <c r="W613" s="0" t="str">
        <f>INDEX('Account executives'!$C$2:$C$25,MATCH(C613,'Account executives'!$A$2:$A$25,0))</f>
        <v>smb</v>
      </c>
      <c r="X613" s="0" t="str">
        <f>SUBSTITUTE(LOWER(INDEX('Periods'!$G$2:$G$22,MATCH(N613,'Periods'!$A$2:$A$22,0)))," ","_")</f>
        <v>q3_2026</v>
      </c>
    </row>
    <row r="614">
      <c r="A614" s="0" t="inlineStr">
        <is>
          <t xml:space="preserve">o0613</t>
        </is>
      </c>
      <c r="B614" s="0" t="inlineStr">
        <is>
          <t xml:space="preserve">a0987</t>
        </is>
      </c>
      <c r="C614" s="0" t="inlineStr">
        <is>
          <t xml:space="preserve">r11</t>
        </is>
      </c>
      <c r="D614" s="0" t="inlineStr">
        <is>
          <t xml:space="preserve">s_amer_west_in</t>
        </is>
      </c>
      <c r="E614" s="0" t="inlineStr">
        <is>
          <t xml:space="preserve">paid</t>
        </is>
      </c>
      <c r="F614" s="0" t="inlineStr">
        <is>
          <t xml:space="preserve">closed_won</t>
        </is>
      </c>
      <c r="G614" s="4">
        <v>1</v>
      </c>
      <c r="H614" s="4">
        <v>5800</v>
      </c>
      <c r="I614" s="4">
        <v>1</v>
      </c>
      <c r="J614" s="4">
        <v>1</v>
      </c>
      <c r="K614" s="16">
        <v>46190</v>
      </c>
      <c r="L614" s="16">
        <v>46209</v>
      </c>
      <c r="M614" s="0" t="inlineStr">
        <is>
          <t xml:space="preserve">jun26</t>
        </is>
      </c>
      <c r="N614" s="0" t="inlineStr">
        <is>
          <t xml:space="preserve">jul26</t>
        </is>
      </c>
      <c r="O614" s="4">
        <v>19</v>
      </c>
      <c r="P614" s="4">
        <v>1</v>
      </c>
      <c r="Q614" s="4">
        <v>0</v>
      </c>
      <c r="R614" s="4">
        <v>0</v>
      </c>
      <c r="S614" s="4">
        <f>(H614*INDEX('Stages'!$D$2:$D$7,MATCH(F614,'Stages'!$A$2:$A$7,0)))</f>
        <v>5800</v>
      </c>
      <c r="T614" s="4">
        <f>(H614*I614)</f>
        <v>5800</v>
      </c>
      <c r="U614" s="4">
        <f>(H614*(I614-1))</f>
        <v>0</v>
      </c>
      <c r="V614" s="0" t="str">
        <f>INDEX('Account executives'!$B$2:$B$25,MATCH(C614,'Account executives'!$A$2:$A$25,0))</f>
        <v>amer_west</v>
      </c>
      <c r="W614" s="0" t="str">
        <f>INDEX('Account executives'!$C$2:$C$25,MATCH(C614,'Account executives'!$A$2:$A$25,0))</f>
        <v>smb</v>
      </c>
      <c r="X614" s="0" t="str">
        <f>SUBSTITUTE(LOWER(INDEX('Periods'!$G$2:$G$22,MATCH(N614,'Periods'!$A$2:$A$22,0)))," ","_")</f>
        <v>q3_2026</v>
      </c>
    </row>
    <row r="615">
      <c r="A615" s="0" t="inlineStr">
        <is>
          <t xml:space="preserve">o0614</t>
        </is>
      </c>
      <c r="B615" s="0" t="inlineStr">
        <is>
          <t xml:space="preserve">a0675</t>
        </is>
      </c>
      <c r="C615" s="0" t="inlineStr">
        <is>
          <t xml:space="preserve">r08</t>
        </is>
      </c>
      <c r="D615" s="0" t="inlineStr">
        <is>
          <t xml:space="preserve">s_amer_west_in</t>
        </is>
      </c>
      <c r="E615" s="0" t="inlineStr">
        <is>
          <t xml:space="preserve">inbound</t>
        </is>
      </c>
      <c r="F615" s="0" t="inlineStr">
        <is>
          <t xml:space="preserve">closed_won</t>
        </is>
      </c>
      <c r="G615" s="4">
        <v>1</v>
      </c>
      <c r="H615" s="4">
        <v>117400</v>
      </c>
      <c r="I615" s="4">
        <v>3</v>
      </c>
      <c r="J615" s="4">
        <v>1</v>
      </c>
      <c r="K615" s="16">
        <v>46065</v>
      </c>
      <c r="L615" s="16">
        <v>46232</v>
      </c>
      <c r="M615" s="0" t="inlineStr">
        <is>
          <t xml:space="preserve">feb26</t>
        </is>
      </c>
      <c r="N615" s="0" t="inlineStr">
        <is>
          <t xml:space="preserve">jul26</t>
        </is>
      </c>
      <c r="O615" s="4">
        <v>167</v>
      </c>
      <c r="P615" s="4">
        <v>1</v>
      </c>
      <c r="Q615" s="4">
        <v>0</v>
      </c>
      <c r="R615" s="4">
        <v>0</v>
      </c>
      <c r="S615" s="4">
        <f>(H615*INDEX('Stages'!$D$2:$D$7,MATCH(F615,'Stages'!$A$2:$A$7,0)))</f>
        <v>117400</v>
      </c>
      <c r="T615" s="4">
        <f>(H615*I615)</f>
        <v>352200</v>
      </c>
      <c r="U615" s="4">
        <f>(H615*(I615-1))</f>
        <v>234800</v>
      </c>
      <c r="V615" s="0" t="str">
        <f>INDEX('Account executives'!$B$2:$B$25,MATCH(C615,'Account executives'!$A$2:$A$25,0))</f>
        <v>amer_west</v>
      </c>
      <c r="W615" s="0" t="str">
        <f>INDEX('Account executives'!$C$2:$C$25,MATCH(C615,'Account executives'!$A$2:$A$25,0))</f>
        <v>enterprise</v>
      </c>
      <c r="X615" s="0" t="str">
        <f>SUBSTITUTE(LOWER(INDEX('Periods'!$G$2:$G$22,MATCH(N615,'Periods'!$A$2:$A$22,0)))," ","_")</f>
        <v>q3_2026</v>
      </c>
    </row>
    <row r="616">
      <c r="A616" s="0" t="inlineStr">
        <is>
          <t xml:space="preserve">o0615</t>
        </is>
      </c>
      <c r="B616" s="0" t="inlineStr">
        <is>
          <t xml:space="preserve">a1129</t>
        </is>
      </c>
      <c r="C616" s="0" t="inlineStr">
        <is>
          <t xml:space="preserve">r17</t>
        </is>
      </c>
      <c r="D616" s="0" t="inlineStr">
        <is>
          <t xml:space="preserve">s_emea_out</t>
        </is>
      </c>
      <c r="E616" s="0" t="inlineStr">
        <is>
          <t xml:space="preserve">outbound</t>
        </is>
      </c>
      <c r="F616" s="0" t="inlineStr">
        <is>
          <t xml:space="preserve">closed_won</t>
        </is>
      </c>
      <c r="G616" s="4">
        <v>1</v>
      </c>
      <c r="H616" s="4">
        <v>9700</v>
      </c>
      <c r="I616" s="4">
        <v>1</v>
      </c>
      <c r="J616" s="4">
        <v>1</v>
      </c>
      <c r="K616" s="16">
        <v>46221</v>
      </c>
      <c r="L616" s="16">
        <v>46250</v>
      </c>
      <c r="M616" s="0" t="inlineStr">
        <is>
          <t xml:space="preserve">jul26</t>
        </is>
      </c>
      <c r="N616" s="0" t="inlineStr">
        <is>
          <t xml:space="preserve">aug26</t>
        </is>
      </c>
      <c r="O616" s="4">
        <v>29</v>
      </c>
      <c r="P616" s="4">
        <v>1</v>
      </c>
      <c r="Q616" s="4">
        <v>0</v>
      </c>
      <c r="R616" s="4">
        <v>0</v>
      </c>
      <c r="S616" s="4">
        <f>(H616*INDEX('Stages'!$D$2:$D$7,MATCH(F616,'Stages'!$A$2:$A$7,0)))</f>
        <v>9700</v>
      </c>
      <c r="T616" s="4">
        <f>(H616*I616)</f>
        <v>9700</v>
      </c>
      <c r="U616" s="4">
        <f>(H616*(I616-1))</f>
        <v>0</v>
      </c>
      <c r="V616" s="0" t="str">
        <f>INDEX('Account executives'!$B$2:$B$25,MATCH(C616,'Account executives'!$A$2:$A$25,0))</f>
        <v>emea</v>
      </c>
      <c r="W616" s="0" t="str">
        <f>INDEX('Account executives'!$C$2:$C$25,MATCH(C616,'Account executives'!$A$2:$A$25,0))</f>
        <v>smb</v>
      </c>
      <c r="X616" s="0" t="str">
        <f>SUBSTITUTE(LOWER(INDEX('Periods'!$G$2:$G$22,MATCH(N616,'Periods'!$A$2:$A$22,0)))," ","_")</f>
        <v>q3_2026</v>
      </c>
    </row>
    <row r="617">
      <c r="A617" s="0" t="inlineStr">
        <is>
          <t xml:space="preserve">o0616</t>
        </is>
      </c>
      <c r="B617" s="0" t="inlineStr">
        <is>
          <t xml:space="preserve">a0997</t>
        </is>
      </c>
      <c r="C617" s="0" t="inlineStr">
        <is>
          <t xml:space="preserve">r12</t>
        </is>
      </c>
      <c r="D617" s="0"/>
      <c r="E617" s="0" t="inlineStr">
        <is>
          <t xml:space="preserve">events</t>
        </is>
      </c>
      <c r="F617" s="0" t="inlineStr">
        <is>
          <t xml:space="preserve">closed_lost</t>
        </is>
      </c>
      <c r="G617" s="4">
        <v>1</v>
      </c>
      <c r="H617" s="4">
        <v>12000</v>
      </c>
      <c r="I617" s="4">
        <v>1</v>
      </c>
      <c r="J617" s="4">
        <v>1</v>
      </c>
      <c r="K617" s="16">
        <v>46190</v>
      </c>
      <c r="L617" s="16">
        <v>46223</v>
      </c>
      <c r="M617" s="0" t="inlineStr">
        <is>
          <t xml:space="preserve">jun26</t>
        </is>
      </c>
      <c r="N617" s="0" t="inlineStr">
        <is>
          <t xml:space="preserve">jul26</t>
        </is>
      </c>
      <c r="O617" s="4">
        <v>33</v>
      </c>
      <c r="P617" s="4">
        <v>0</v>
      </c>
      <c r="Q617" s="4">
        <v>1</v>
      </c>
      <c r="R617" s="4">
        <v>0</v>
      </c>
      <c r="S617" s="4">
        <f>(H617*INDEX('Stages'!$D$2:$D$7,MATCH(F617,'Stages'!$A$2:$A$7,0)))</f>
        <v>0</v>
      </c>
      <c r="T617" s="4">
        <f>(H617*I617)</f>
        <v>12000</v>
      </c>
      <c r="U617" s="4">
        <f>(H617*(I617-1))</f>
        <v>0</v>
      </c>
      <c r="V617" s="0" t="str">
        <f>INDEX('Account executives'!$B$2:$B$25,MATCH(C617,'Account executives'!$A$2:$A$25,0))</f>
        <v>amer_west</v>
      </c>
      <c r="W617" s="0" t="str">
        <f>INDEX('Account executives'!$C$2:$C$25,MATCH(C617,'Account executives'!$A$2:$A$25,0))</f>
        <v>smb</v>
      </c>
      <c r="X617" s="0" t="str">
        <f>SUBSTITUTE(LOWER(INDEX('Periods'!$G$2:$G$22,MATCH(N617,'Periods'!$A$2:$A$22,0)))," ","_")</f>
        <v>q3_2026</v>
      </c>
    </row>
    <row r="618">
      <c r="A618" s="0" t="inlineStr">
        <is>
          <t xml:space="preserve">o0617</t>
        </is>
      </c>
      <c r="B618" s="0" t="inlineStr">
        <is>
          <t xml:space="preserve">a0539</t>
        </is>
      </c>
      <c r="C618" s="0" t="inlineStr">
        <is>
          <t xml:space="preserve">r06</t>
        </is>
      </c>
      <c r="D618" s="0" t="inlineStr">
        <is>
          <t xml:space="preserve">s_amer_east_in</t>
        </is>
      </c>
      <c r="E618" s="0" t="inlineStr">
        <is>
          <t xml:space="preserve">paid</t>
        </is>
      </c>
      <c r="F618" s="0" t="inlineStr">
        <is>
          <t xml:space="preserve">closed_lost</t>
        </is>
      </c>
      <c r="G618" s="4">
        <v>0</v>
      </c>
      <c r="H618" s="4">
        <v>2600</v>
      </c>
      <c r="I618" s="4">
        <v>1</v>
      </c>
      <c r="J618" s="4">
        <v>1</v>
      </c>
      <c r="K618" s="16">
        <v>46097</v>
      </c>
      <c r="L618" s="16">
        <v>46118</v>
      </c>
      <c r="M618" s="0" t="inlineStr">
        <is>
          <t xml:space="preserve">mar26</t>
        </is>
      </c>
      <c r="N618" s="0" t="inlineStr">
        <is>
          <t xml:space="preserve">apr26</t>
        </is>
      </c>
      <c r="O618" s="4">
        <v>21</v>
      </c>
      <c r="P618" s="4">
        <v>0</v>
      </c>
      <c r="Q618" s="4">
        <v>1</v>
      </c>
      <c r="R618" s="4">
        <v>0</v>
      </c>
      <c r="S618" s="4">
        <f>(H618*INDEX('Stages'!$D$2:$D$7,MATCH(F618,'Stages'!$A$2:$A$7,0)))</f>
        <v>0</v>
      </c>
      <c r="T618" s="4">
        <f>(H618*I618)</f>
        <v>2600</v>
      </c>
      <c r="U618" s="4">
        <f>(H618*(I618-1))</f>
        <v>0</v>
      </c>
      <c r="V618" s="0" t="str">
        <f>INDEX('Account executives'!$B$2:$B$25,MATCH(C618,'Account executives'!$A$2:$A$25,0))</f>
        <v>amer_east</v>
      </c>
      <c r="W618" s="0" t="str">
        <f>INDEX('Account executives'!$C$2:$C$25,MATCH(C618,'Account executives'!$A$2:$A$25,0))</f>
        <v>smb</v>
      </c>
      <c r="X618" s="0" t="str">
        <f>SUBSTITUTE(LOWER(INDEX('Periods'!$G$2:$G$22,MATCH(N618,'Periods'!$A$2:$A$22,0)))," ","_")</f>
        <v>q2_2026</v>
      </c>
    </row>
    <row r="619">
      <c r="A619" s="0" t="inlineStr">
        <is>
          <t xml:space="preserve">o0618</t>
        </is>
      </c>
      <c r="B619" s="0" t="inlineStr">
        <is>
          <t xml:space="preserve">a0437</t>
        </is>
      </c>
      <c r="C619" s="0" t="inlineStr">
        <is>
          <t xml:space="preserve">r09</t>
        </is>
      </c>
      <c r="D619" s="0"/>
      <c r="E619" s="0" t="inlineStr">
        <is>
          <t xml:space="preserve">events</t>
        </is>
      </c>
      <c r="F619" s="0" t="inlineStr">
        <is>
          <t xml:space="preserve">closed_won</t>
        </is>
      </c>
      <c r="G619" s="4">
        <v>1</v>
      </c>
      <c r="H619" s="4">
        <v>55200</v>
      </c>
      <c r="I619" s="4">
        <v>2</v>
      </c>
      <c r="J619" s="4">
        <v>0</v>
      </c>
      <c r="K619" s="16">
        <v>45931</v>
      </c>
      <c r="L619" s="16">
        <v>46004</v>
      </c>
      <c r="M619" s="0" t="inlineStr">
        <is>
          <t xml:space="preserve">oct25</t>
        </is>
      </c>
      <c r="N619" s="0" t="inlineStr">
        <is>
          <t xml:space="preserve">dec25</t>
        </is>
      </c>
      <c r="O619" s="4">
        <v>73</v>
      </c>
      <c r="P619" s="4">
        <v>1</v>
      </c>
      <c r="Q619" s="4">
        <v>0</v>
      </c>
      <c r="R619" s="4">
        <v>0</v>
      </c>
      <c r="S619" s="4">
        <f>(H619*INDEX('Stages'!$D$2:$D$7,MATCH(F619,'Stages'!$A$2:$A$7,0)))</f>
        <v>55200</v>
      </c>
      <c r="T619" s="4">
        <f>(H619*I619)</f>
        <v>110400</v>
      </c>
      <c r="U619" s="4">
        <f>(H619*(I619-1))</f>
        <v>55200</v>
      </c>
      <c r="V619" s="0" t="str">
        <f>INDEX('Account executives'!$B$2:$B$25,MATCH(C619,'Account executives'!$A$2:$A$25,0))</f>
        <v>amer_west</v>
      </c>
      <c r="W619" s="0" t="str">
        <f>INDEX('Account executives'!$C$2:$C$25,MATCH(C619,'Account executives'!$A$2:$A$25,0))</f>
        <v>mid_market</v>
      </c>
      <c r="X619" s="0" t="str">
        <f>SUBSTITUTE(LOWER(INDEX('Periods'!$G$2:$G$22,MATCH(N619,'Periods'!$A$2:$A$22,0)))," ","_")</f>
        <v>q4_2025</v>
      </c>
    </row>
    <row r="620">
      <c r="A620" s="0" t="inlineStr">
        <is>
          <t xml:space="preserve">o0619</t>
        </is>
      </c>
      <c r="B620" s="0" t="inlineStr">
        <is>
          <t xml:space="preserve">a0766</t>
        </is>
      </c>
      <c r="C620" s="0" t="inlineStr">
        <is>
          <t xml:space="preserve">r12</t>
        </is>
      </c>
      <c r="D620" s="0" t="inlineStr">
        <is>
          <t xml:space="preserve">s_amer_west_in</t>
        </is>
      </c>
      <c r="E620" s="0" t="inlineStr">
        <is>
          <t xml:space="preserve">inbound</t>
        </is>
      </c>
      <c r="F620" s="0" t="inlineStr">
        <is>
          <t xml:space="preserve">proposal</t>
        </is>
      </c>
      <c r="G620" s="4">
        <v>0</v>
      </c>
      <c r="H620" s="4">
        <v>3100</v>
      </c>
      <c r="I620" s="4">
        <v>1</v>
      </c>
      <c r="J620" s="4">
        <v>0</v>
      </c>
      <c r="K620" s="16">
        <v>46269</v>
      </c>
      <c r="L620" s="16">
        <v>46293</v>
      </c>
      <c r="M620" s="0" t="inlineStr">
        <is>
          <t xml:space="preserve">sep26</t>
        </is>
      </c>
      <c r="N620" s="0" t="inlineStr">
        <is>
          <t xml:space="preserve">sep26</t>
        </is>
      </c>
      <c r="O620" s="4">
        <v>25</v>
      </c>
      <c r="P620" s="4">
        <v>0</v>
      </c>
      <c r="Q620" s="4">
        <v>0</v>
      </c>
      <c r="R620" s="4">
        <v>1</v>
      </c>
      <c r="S620" s="4">
        <f>(H620*INDEX('Stages'!$D$2:$D$7,MATCH(F620,'Stages'!$A$2:$A$7,0)))</f>
        <v>1550</v>
      </c>
      <c r="T620" s="4">
        <f>(H620*I620)</f>
        <v>3100</v>
      </c>
      <c r="U620" s="4">
        <f>(H620*(I620-1))</f>
        <v>0</v>
      </c>
      <c r="V620" s="0" t="str">
        <f>INDEX('Account executives'!$B$2:$B$25,MATCH(C620,'Account executives'!$A$2:$A$25,0))</f>
        <v>amer_west</v>
      </c>
      <c r="W620" s="0" t="str">
        <f>INDEX('Account executives'!$C$2:$C$25,MATCH(C620,'Account executives'!$A$2:$A$25,0))</f>
        <v>smb</v>
      </c>
      <c r="X620" s="0" t="str">
        <f>SUBSTITUTE(LOWER(INDEX('Periods'!$G$2:$G$22,MATCH(N620,'Periods'!$A$2:$A$22,0)))," ","_")</f>
        <v>q3_2026</v>
      </c>
    </row>
    <row r="621">
      <c r="A621" s="0" t="inlineStr">
        <is>
          <t xml:space="preserve">o0620</t>
        </is>
      </c>
      <c r="B621" s="0" t="inlineStr">
        <is>
          <t xml:space="preserve">a0034</t>
        </is>
      </c>
      <c r="C621" s="0" t="inlineStr">
        <is>
          <t xml:space="preserve">r12</t>
        </is>
      </c>
      <c r="D621" s="0"/>
      <c r="E621" s="0" t="inlineStr">
        <is>
          <t xml:space="preserve">events</t>
        </is>
      </c>
      <c r="F621" s="0" t="inlineStr">
        <is>
          <t xml:space="preserve">closed_lost</t>
        </is>
      </c>
      <c r="G621" s="4">
        <v>0</v>
      </c>
      <c r="H621" s="4">
        <v>2500</v>
      </c>
      <c r="I621" s="4">
        <v>2</v>
      </c>
      <c r="J621" s="4">
        <v>0</v>
      </c>
      <c r="K621" s="16">
        <v>45797</v>
      </c>
      <c r="L621" s="16">
        <v>45816</v>
      </c>
      <c r="M621" s="0" t="inlineStr">
        <is>
          <t xml:space="preserve">may25</t>
        </is>
      </c>
      <c r="N621" s="0" t="inlineStr">
        <is>
          <t xml:space="preserve">jun25</t>
        </is>
      </c>
      <c r="O621" s="4">
        <v>19</v>
      </c>
      <c r="P621" s="4">
        <v>0</v>
      </c>
      <c r="Q621" s="4">
        <v>1</v>
      </c>
      <c r="R621" s="4">
        <v>0</v>
      </c>
      <c r="S621" s="4">
        <f>(H621*INDEX('Stages'!$D$2:$D$7,MATCH(F621,'Stages'!$A$2:$A$7,0)))</f>
        <v>0</v>
      </c>
      <c r="T621" s="4">
        <f>(H621*I621)</f>
        <v>5000</v>
      </c>
      <c r="U621" s="4">
        <f>(H621*(I621-1))</f>
        <v>2500</v>
      </c>
      <c r="V621" s="0" t="str">
        <f>INDEX('Account executives'!$B$2:$B$25,MATCH(C621,'Account executives'!$A$2:$A$25,0))</f>
        <v>amer_west</v>
      </c>
      <c r="W621" s="0" t="str">
        <f>INDEX('Account executives'!$C$2:$C$25,MATCH(C621,'Account executives'!$A$2:$A$25,0))</f>
        <v>smb</v>
      </c>
      <c r="X621" s="0" t="str">
        <f>SUBSTITUTE(LOWER(INDEX('Periods'!$G$2:$G$22,MATCH(N621,'Periods'!$A$2:$A$22,0)))," ","_")</f>
        <v>q2_2025</v>
      </c>
    </row>
    <row r="622">
      <c r="A622" s="0" t="inlineStr">
        <is>
          <t xml:space="preserve">o0621</t>
        </is>
      </c>
      <c r="B622" s="0" t="inlineStr">
        <is>
          <t xml:space="preserve">a0218</t>
        </is>
      </c>
      <c r="C622" s="0" t="inlineStr">
        <is>
          <t xml:space="preserve">r13</t>
        </is>
      </c>
      <c r="D622" s="0" t="inlineStr">
        <is>
          <t xml:space="preserve">s_emea_out</t>
        </is>
      </c>
      <c r="E622" s="0" t="inlineStr">
        <is>
          <t xml:space="preserve">outbound</t>
        </is>
      </c>
      <c r="F622" s="0" t="inlineStr">
        <is>
          <t xml:space="preserve">closed_lost</t>
        </is>
      </c>
      <c r="G622" s="4">
        <v>1</v>
      </c>
      <c r="H622" s="4">
        <v>223200</v>
      </c>
      <c r="I622" s="4">
        <v>1</v>
      </c>
      <c r="J622" s="4">
        <v>1</v>
      </c>
      <c r="K622" s="16">
        <v>45828</v>
      </c>
      <c r="L622" s="16">
        <v>45863</v>
      </c>
      <c r="M622" s="0" t="inlineStr">
        <is>
          <t xml:space="preserve">jun25</t>
        </is>
      </c>
      <c r="N622" s="0" t="inlineStr">
        <is>
          <t xml:space="preserve">jul25</t>
        </is>
      </c>
      <c r="O622" s="4">
        <v>35</v>
      </c>
      <c r="P622" s="4">
        <v>0</v>
      </c>
      <c r="Q622" s="4">
        <v>1</v>
      </c>
      <c r="R622" s="4">
        <v>0</v>
      </c>
      <c r="S622" s="4">
        <f>(H622*INDEX('Stages'!$D$2:$D$7,MATCH(F622,'Stages'!$A$2:$A$7,0)))</f>
        <v>0</v>
      </c>
      <c r="T622" s="4">
        <f>(H622*I622)</f>
        <v>223200</v>
      </c>
      <c r="U622" s="4">
        <f>(H622*(I622-1))</f>
        <v>0</v>
      </c>
      <c r="V622" s="0" t="str">
        <f>INDEX('Account executives'!$B$2:$B$25,MATCH(C622,'Account executives'!$A$2:$A$25,0))</f>
        <v>emea</v>
      </c>
      <c r="W622" s="0" t="str">
        <f>INDEX('Account executives'!$C$2:$C$25,MATCH(C622,'Account executives'!$A$2:$A$25,0))</f>
        <v>enterprise</v>
      </c>
      <c r="X622" s="0" t="str">
        <f>SUBSTITUTE(LOWER(INDEX('Periods'!$G$2:$G$22,MATCH(N622,'Periods'!$A$2:$A$22,0)))," ","_")</f>
        <v>q3_2025</v>
      </c>
    </row>
    <row r="623">
      <c r="A623" s="0" t="inlineStr">
        <is>
          <t xml:space="preserve">o0622</t>
        </is>
      </c>
      <c r="B623" s="0" t="inlineStr">
        <is>
          <t xml:space="preserve">a0271</t>
        </is>
      </c>
      <c r="C623" s="0" t="inlineStr">
        <is>
          <t xml:space="preserve">r12</t>
        </is>
      </c>
      <c r="D623" s="0"/>
      <c r="E623" s="0" t="inlineStr">
        <is>
          <t xml:space="preserve">referral</t>
        </is>
      </c>
      <c r="F623" s="0" t="inlineStr">
        <is>
          <t xml:space="preserve">closed_won</t>
        </is>
      </c>
      <c r="G623" s="4">
        <v>1</v>
      </c>
      <c r="H623" s="4">
        <v>37400</v>
      </c>
      <c r="I623" s="4">
        <v>1</v>
      </c>
      <c r="J623" s="4">
        <v>0</v>
      </c>
      <c r="K623" s="16">
        <v>45840</v>
      </c>
      <c r="L623" s="16">
        <v>45928</v>
      </c>
      <c r="M623" s="0" t="inlineStr">
        <is>
          <t xml:space="preserve">jul25</t>
        </is>
      </c>
      <c r="N623" s="0" t="inlineStr">
        <is>
          <t xml:space="preserve">sep25</t>
        </is>
      </c>
      <c r="O623" s="4">
        <v>88</v>
      </c>
      <c r="P623" s="4">
        <v>1</v>
      </c>
      <c r="Q623" s="4">
        <v>0</v>
      </c>
      <c r="R623" s="4">
        <v>0</v>
      </c>
      <c r="S623" s="4">
        <f>(H623*INDEX('Stages'!$D$2:$D$7,MATCH(F623,'Stages'!$A$2:$A$7,0)))</f>
        <v>37400</v>
      </c>
      <c r="T623" s="4">
        <f>(H623*I623)</f>
        <v>37400</v>
      </c>
      <c r="U623" s="4">
        <f>(H623*(I623-1))</f>
        <v>0</v>
      </c>
      <c r="V623" s="0" t="str">
        <f>INDEX('Account executives'!$B$2:$B$25,MATCH(C623,'Account executives'!$A$2:$A$25,0))</f>
        <v>amer_west</v>
      </c>
      <c r="W623" s="0" t="str">
        <f>INDEX('Account executives'!$C$2:$C$25,MATCH(C623,'Account executives'!$A$2:$A$25,0))</f>
        <v>smb</v>
      </c>
      <c r="X623" s="0" t="str">
        <f>SUBSTITUTE(LOWER(INDEX('Periods'!$G$2:$G$22,MATCH(N623,'Periods'!$A$2:$A$22,0)))," ","_")</f>
        <v>q3_2025</v>
      </c>
    </row>
    <row r="624">
      <c r="A624" s="0" t="inlineStr">
        <is>
          <t xml:space="preserve">o0623</t>
        </is>
      </c>
      <c r="B624" s="0" t="inlineStr">
        <is>
          <t xml:space="preserve">a1036</t>
        </is>
      </c>
      <c r="C624" s="0" t="inlineStr">
        <is>
          <t xml:space="preserve">r18</t>
        </is>
      </c>
      <c r="D624" s="0"/>
      <c r="E624" s="0" t="inlineStr">
        <is>
          <t xml:space="preserve">referral</t>
        </is>
      </c>
      <c r="F624" s="0" t="inlineStr">
        <is>
          <t xml:space="preserve">closed_lost</t>
        </is>
      </c>
      <c r="G624" s="4">
        <v>1</v>
      </c>
      <c r="H624" s="4">
        <v>22300</v>
      </c>
      <c r="I624" s="4">
        <v>1</v>
      </c>
      <c r="J624" s="4">
        <v>0</v>
      </c>
      <c r="K624" s="16">
        <v>46177</v>
      </c>
      <c r="L624" s="16">
        <v>46211</v>
      </c>
      <c r="M624" s="0" t="inlineStr">
        <is>
          <t xml:space="preserve">jun26</t>
        </is>
      </c>
      <c r="N624" s="0" t="inlineStr">
        <is>
          <t xml:space="preserve">jul26</t>
        </is>
      </c>
      <c r="O624" s="4">
        <v>34</v>
      </c>
      <c r="P624" s="4">
        <v>0</v>
      </c>
      <c r="Q624" s="4">
        <v>1</v>
      </c>
      <c r="R624" s="4">
        <v>0</v>
      </c>
      <c r="S624" s="4">
        <f>(H624*INDEX('Stages'!$D$2:$D$7,MATCH(F624,'Stages'!$A$2:$A$7,0)))</f>
        <v>0</v>
      </c>
      <c r="T624" s="4">
        <f>(H624*I624)</f>
        <v>22300</v>
      </c>
      <c r="U624" s="4">
        <f>(H624*(I624-1))</f>
        <v>0</v>
      </c>
      <c r="V624" s="0" t="str">
        <f>INDEX('Account executives'!$B$2:$B$25,MATCH(C624,'Account executives'!$A$2:$A$25,0))</f>
        <v>emea</v>
      </c>
      <c r="W624" s="0" t="str">
        <f>INDEX('Account executives'!$C$2:$C$25,MATCH(C624,'Account executives'!$A$2:$A$25,0))</f>
        <v>smb</v>
      </c>
      <c r="X624" s="0" t="str">
        <f>SUBSTITUTE(LOWER(INDEX('Periods'!$G$2:$G$22,MATCH(N624,'Periods'!$A$2:$A$22,0)))," ","_")</f>
        <v>q3_2026</v>
      </c>
    </row>
    <row r="625">
      <c r="A625" s="0" t="inlineStr">
        <is>
          <t xml:space="preserve">o0624</t>
        </is>
      </c>
      <c r="B625" s="0" t="inlineStr">
        <is>
          <t xml:space="preserve">a0279</t>
        </is>
      </c>
      <c r="C625" s="0" t="inlineStr">
        <is>
          <t xml:space="preserve">r18</t>
        </is>
      </c>
      <c r="D625" s="0" t="inlineStr">
        <is>
          <t xml:space="preserve">s_emea_in</t>
        </is>
      </c>
      <c r="E625" s="0" t="inlineStr">
        <is>
          <t xml:space="preserve">inbound</t>
        </is>
      </c>
      <c r="F625" s="0" t="inlineStr">
        <is>
          <t xml:space="preserve">closed_won</t>
        </is>
      </c>
      <c r="G625" s="4">
        <v>1</v>
      </c>
      <c r="H625" s="4">
        <v>44300</v>
      </c>
      <c r="I625" s="4">
        <v>1</v>
      </c>
      <c r="J625" s="4">
        <v>0</v>
      </c>
      <c r="K625" s="16">
        <v>45850</v>
      </c>
      <c r="L625" s="16">
        <v>45865</v>
      </c>
      <c r="M625" s="0" t="inlineStr">
        <is>
          <t xml:space="preserve">jul25</t>
        </is>
      </c>
      <c r="N625" s="0" t="inlineStr">
        <is>
          <t xml:space="preserve">jul25</t>
        </is>
      </c>
      <c r="O625" s="4">
        <v>15</v>
      </c>
      <c r="P625" s="4">
        <v>1</v>
      </c>
      <c r="Q625" s="4">
        <v>0</v>
      </c>
      <c r="R625" s="4">
        <v>0</v>
      </c>
      <c r="S625" s="4">
        <f>(H625*INDEX('Stages'!$D$2:$D$7,MATCH(F625,'Stages'!$A$2:$A$7,0)))</f>
        <v>44300</v>
      </c>
      <c r="T625" s="4">
        <f>(H625*I625)</f>
        <v>44300</v>
      </c>
      <c r="U625" s="4">
        <f>(H625*(I625-1))</f>
        <v>0</v>
      </c>
      <c r="V625" s="0" t="str">
        <f>INDEX('Account executives'!$B$2:$B$25,MATCH(C625,'Account executives'!$A$2:$A$25,0))</f>
        <v>emea</v>
      </c>
      <c r="W625" s="0" t="str">
        <f>INDEX('Account executives'!$C$2:$C$25,MATCH(C625,'Account executives'!$A$2:$A$25,0))</f>
        <v>smb</v>
      </c>
      <c r="X625" s="0" t="str">
        <f>SUBSTITUTE(LOWER(INDEX('Periods'!$G$2:$G$22,MATCH(N625,'Periods'!$A$2:$A$22,0)))," ","_")</f>
        <v>q3_2025</v>
      </c>
    </row>
    <row r="626">
      <c r="A626" s="0" t="inlineStr">
        <is>
          <t xml:space="preserve">o0625</t>
        </is>
      </c>
      <c r="B626" s="0" t="inlineStr">
        <is>
          <t xml:space="preserve">a0434</t>
        </is>
      </c>
      <c r="C626" s="0" t="inlineStr">
        <is>
          <t xml:space="preserve">r11</t>
        </is>
      </c>
      <c r="D626" s="0" t="inlineStr">
        <is>
          <t xml:space="preserve">s_amer_west_in</t>
        </is>
      </c>
      <c r="E626" s="0" t="inlineStr">
        <is>
          <t xml:space="preserve">paid</t>
        </is>
      </c>
      <c r="F626" s="0" t="inlineStr">
        <is>
          <t xml:space="preserve">closed_lost</t>
        </is>
      </c>
      <c r="G626" s="4">
        <v>0</v>
      </c>
      <c r="H626" s="4">
        <v>12500</v>
      </c>
      <c r="I626" s="4">
        <v>1</v>
      </c>
      <c r="J626" s="4">
        <v>0</v>
      </c>
      <c r="K626" s="16">
        <v>46016</v>
      </c>
      <c r="L626" s="16">
        <v>46059</v>
      </c>
      <c r="M626" s="0" t="inlineStr">
        <is>
          <t xml:space="preserve">dec25</t>
        </is>
      </c>
      <c r="N626" s="0" t="inlineStr">
        <is>
          <t xml:space="preserve">feb26</t>
        </is>
      </c>
      <c r="O626" s="4">
        <v>43</v>
      </c>
      <c r="P626" s="4">
        <v>0</v>
      </c>
      <c r="Q626" s="4">
        <v>1</v>
      </c>
      <c r="R626" s="4">
        <v>0</v>
      </c>
      <c r="S626" s="4">
        <f>(H626*INDEX('Stages'!$D$2:$D$7,MATCH(F626,'Stages'!$A$2:$A$7,0)))</f>
        <v>0</v>
      </c>
      <c r="T626" s="4">
        <f>(H626*I626)</f>
        <v>12500</v>
      </c>
      <c r="U626" s="4">
        <f>(H626*(I626-1))</f>
        <v>0</v>
      </c>
      <c r="V626" s="0" t="str">
        <f>INDEX('Account executives'!$B$2:$B$25,MATCH(C626,'Account executives'!$A$2:$A$25,0))</f>
        <v>amer_west</v>
      </c>
      <c r="W626" s="0" t="str">
        <f>INDEX('Account executives'!$C$2:$C$25,MATCH(C626,'Account executives'!$A$2:$A$25,0))</f>
        <v>smb</v>
      </c>
      <c r="X626" s="0" t="str">
        <f>SUBSTITUTE(LOWER(INDEX('Periods'!$G$2:$G$22,MATCH(N626,'Periods'!$A$2:$A$22,0)))," ","_")</f>
        <v>q1_2026</v>
      </c>
    </row>
    <row r="627">
      <c r="A627" s="0" t="inlineStr">
        <is>
          <t xml:space="preserve">o0626</t>
        </is>
      </c>
      <c r="B627" s="0" t="inlineStr">
        <is>
          <t xml:space="preserve">a0464</t>
        </is>
      </c>
      <c r="C627" s="0" t="inlineStr">
        <is>
          <t xml:space="preserve">r17</t>
        </is>
      </c>
      <c r="D627" s="0" t="inlineStr">
        <is>
          <t xml:space="preserve">s_emea_out</t>
        </is>
      </c>
      <c r="E627" s="0" t="inlineStr">
        <is>
          <t xml:space="preserve">outbound</t>
        </is>
      </c>
      <c r="F627" s="0" t="inlineStr">
        <is>
          <t xml:space="preserve">closed_won</t>
        </is>
      </c>
      <c r="G627" s="4">
        <v>1</v>
      </c>
      <c r="H627" s="4">
        <v>4100</v>
      </c>
      <c r="I627" s="4">
        <v>1</v>
      </c>
      <c r="J627" s="4">
        <v>0</v>
      </c>
      <c r="K627" s="16">
        <v>45957</v>
      </c>
      <c r="L627" s="16">
        <v>45990</v>
      </c>
      <c r="M627" s="0" t="inlineStr">
        <is>
          <t xml:space="preserve">oct25</t>
        </is>
      </c>
      <c r="N627" s="0" t="inlineStr">
        <is>
          <t xml:space="preserve">nov25</t>
        </is>
      </c>
      <c r="O627" s="4">
        <v>33</v>
      </c>
      <c r="P627" s="4">
        <v>1</v>
      </c>
      <c r="Q627" s="4">
        <v>0</v>
      </c>
      <c r="R627" s="4">
        <v>0</v>
      </c>
      <c r="S627" s="4">
        <f>(H627*INDEX('Stages'!$D$2:$D$7,MATCH(F627,'Stages'!$A$2:$A$7,0)))</f>
        <v>4100</v>
      </c>
      <c r="T627" s="4">
        <f>(H627*I627)</f>
        <v>4100</v>
      </c>
      <c r="U627" s="4">
        <f>(H627*(I627-1))</f>
        <v>0</v>
      </c>
      <c r="V627" s="0" t="str">
        <f>INDEX('Account executives'!$B$2:$B$25,MATCH(C627,'Account executives'!$A$2:$A$25,0))</f>
        <v>emea</v>
      </c>
      <c r="W627" s="0" t="str">
        <f>INDEX('Account executives'!$C$2:$C$25,MATCH(C627,'Account executives'!$A$2:$A$25,0))</f>
        <v>smb</v>
      </c>
      <c r="X627" s="0" t="str">
        <f>SUBSTITUTE(LOWER(INDEX('Periods'!$G$2:$G$22,MATCH(N627,'Periods'!$A$2:$A$22,0)))," ","_")</f>
        <v>q4_2025</v>
      </c>
    </row>
    <row r="628">
      <c r="A628" s="0" t="inlineStr">
        <is>
          <t xml:space="preserve">o0627</t>
        </is>
      </c>
      <c r="B628" s="0" t="inlineStr">
        <is>
          <t xml:space="preserve">a0581</t>
        </is>
      </c>
      <c r="C628" s="0" t="inlineStr">
        <is>
          <t xml:space="preserve">r15</t>
        </is>
      </c>
      <c r="D628" s="0" t="inlineStr">
        <is>
          <t xml:space="preserve">s_emea_in</t>
        </is>
      </c>
      <c r="E628" s="0" t="inlineStr">
        <is>
          <t xml:space="preserve">inbound</t>
        </is>
      </c>
      <c r="F628" s="0" t="inlineStr">
        <is>
          <t xml:space="preserve">closed_lost</t>
        </is>
      </c>
      <c r="G628" s="4">
        <v>1</v>
      </c>
      <c r="H628" s="4">
        <v>56100</v>
      </c>
      <c r="I628" s="4">
        <v>3</v>
      </c>
      <c r="J628" s="4">
        <v>0</v>
      </c>
      <c r="K628" s="16">
        <v>46001</v>
      </c>
      <c r="L628" s="16">
        <v>46040</v>
      </c>
      <c r="M628" s="0" t="inlineStr">
        <is>
          <t xml:space="preserve">dec25</t>
        </is>
      </c>
      <c r="N628" s="0" t="inlineStr">
        <is>
          <t xml:space="preserve">jan26</t>
        </is>
      </c>
      <c r="O628" s="4">
        <v>39</v>
      </c>
      <c r="P628" s="4">
        <v>0</v>
      </c>
      <c r="Q628" s="4">
        <v>1</v>
      </c>
      <c r="R628" s="4">
        <v>0</v>
      </c>
      <c r="S628" s="4">
        <f>(H628*INDEX('Stages'!$D$2:$D$7,MATCH(F628,'Stages'!$A$2:$A$7,0)))</f>
        <v>0</v>
      </c>
      <c r="T628" s="4">
        <f>(H628*I628)</f>
        <v>168300</v>
      </c>
      <c r="U628" s="4">
        <f>(H628*(I628-1))</f>
        <v>112200</v>
      </c>
      <c r="V628" s="0" t="str">
        <f>INDEX('Account executives'!$B$2:$B$25,MATCH(C628,'Account executives'!$A$2:$A$25,0))</f>
        <v>emea</v>
      </c>
      <c r="W628" s="0" t="str">
        <f>INDEX('Account executives'!$C$2:$C$25,MATCH(C628,'Account executives'!$A$2:$A$25,0))</f>
        <v>mid_market</v>
      </c>
      <c r="X628" s="0" t="str">
        <f>SUBSTITUTE(LOWER(INDEX('Periods'!$G$2:$G$22,MATCH(N628,'Periods'!$A$2:$A$22,0)))," ","_")</f>
        <v>q1_2026</v>
      </c>
    </row>
    <row r="629">
      <c r="A629" s="0" t="inlineStr">
        <is>
          <t xml:space="preserve">o0628</t>
        </is>
      </c>
      <c r="B629" s="0" t="inlineStr">
        <is>
          <t xml:space="preserve">a0376</t>
        </is>
      </c>
      <c r="C629" s="0" t="inlineStr">
        <is>
          <t xml:space="preserve">r09</t>
        </is>
      </c>
      <c r="D629" s="0" t="inlineStr">
        <is>
          <t xml:space="preserve">s_amer_west_in</t>
        </is>
      </c>
      <c r="E629" s="0" t="inlineStr">
        <is>
          <t xml:space="preserve">inbound</t>
        </is>
      </c>
      <c r="F629" s="0" t="inlineStr">
        <is>
          <t xml:space="preserve">closed_lost</t>
        </is>
      </c>
      <c r="G629" s="4">
        <v>1</v>
      </c>
      <c r="H629" s="4">
        <v>19900</v>
      </c>
      <c r="I629" s="4">
        <v>1</v>
      </c>
      <c r="J629" s="4">
        <v>0</v>
      </c>
      <c r="K629" s="16">
        <v>45904</v>
      </c>
      <c r="L629" s="16">
        <v>46019</v>
      </c>
      <c r="M629" s="0" t="inlineStr">
        <is>
          <t xml:space="preserve">sep25</t>
        </is>
      </c>
      <c r="N629" s="0" t="inlineStr">
        <is>
          <t xml:space="preserve">dec25</t>
        </is>
      </c>
      <c r="O629" s="4">
        <v>115</v>
      </c>
      <c r="P629" s="4">
        <v>0</v>
      </c>
      <c r="Q629" s="4">
        <v>1</v>
      </c>
      <c r="R629" s="4">
        <v>0</v>
      </c>
      <c r="S629" s="4">
        <f>(H629*INDEX('Stages'!$D$2:$D$7,MATCH(F629,'Stages'!$A$2:$A$7,0)))</f>
        <v>0</v>
      </c>
      <c r="T629" s="4">
        <f>(H629*I629)</f>
        <v>19900</v>
      </c>
      <c r="U629" s="4">
        <f>(H629*(I629-1))</f>
        <v>0</v>
      </c>
      <c r="V629" s="0" t="str">
        <f>INDEX('Account executives'!$B$2:$B$25,MATCH(C629,'Account executives'!$A$2:$A$25,0))</f>
        <v>amer_west</v>
      </c>
      <c r="W629" s="0" t="str">
        <f>INDEX('Account executives'!$C$2:$C$25,MATCH(C629,'Account executives'!$A$2:$A$25,0))</f>
        <v>mid_market</v>
      </c>
      <c r="X629" s="0" t="str">
        <f>SUBSTITUTE(LOWER(INDEX('Periods'!$G$2:$G$22,MATCH(N629,'Periods'!$A$2:$A$22,0)))," ","_")</f>
        <v>q4_2025</v>
      </c>
    </row>
    <row r="630">
      <c r="A630" s="0" t="inlineStr">
        <is>
          <t xml:space="preserve">o0629</t>
        </is>
      </c>
      <c r="B630" s="0" t="inlineStr">
        <is>
          <t xml:space="preserve">a0112</t>
        </is>
      </c>
      <c r="C630" s="0" t="inlineStr">
        <is>
          <t xml:space="preserve">r09</t>
        </is>
      </c>
      <c r="D630" s="0" t="inlineStr">
        <is>
          <t xml:space="preserve">s_amer_west_out</t>
        </is>
      </c>
      <c r="E630" s="0" t="inlineStr">
        <is>
          <t xml:space="preserve">outbound</t>
        </is>
      </c>
      <c r="F630" s="0" t="inlineStr">
        <is>
          <t xml:space="preserve">closed_lost</t>
        </is>
      </c>
      <c r="G630" s="4">
        <v>1</v>
      </c>
      <c r="H630" s="4">
        <v>81800</v>
      </c>
      <c r="I630" s="4">
        <v>2</v>
      </c>
      <c r="J630" s="4">
        <v>1</v>
      </c>
      <c r="K630" s="16">
        <v>45797</v>
      </c>
      <c r="L630" s="16">
        <v>45859</v>
      </c>
      <c r="M630" s="0" t="inlineStr">
        <is>
          <t xml:space="preserve">may25</t>
        </is>
      </c>
      <c r="N630" s="0" t="inlineStr">
        <is>
          <t xml:space="preserve">jul25</t>
        </is>
      </c>
      <c r="O630" s="4">
        <v>62</v>
      </c>
      <c r="P630" s="4">
        <v>0</v>
      </c>
      <c r="Q630" s="4">
        <v>1</v>
      </c>
      <c r="R630" s="4">
        <v>0</v>
      </c>
      <c r="S630" s="4">
        <f>(H630*INDEX('Stages'!$D$2:$D$7,MATCH(F630,'Stages'!$A$2:$A$7,0)))</f>
        <v>0</v>
      </c>
      <c r="T630" s="4">
        <f>(H630*I630)</f>
        <v>163600</v>
      </c>
      <c r="U630" s="4">
        <f>(H630*(I630-1))</f>
        <v>81800</v>
      </c>
      <c r="V630" s="0" t="str">
        <f>INDEX('Account executives'!$B$2:$B$25,MATCH(C630,'Account executives'!$A$2:$A$25,0))</f>
        <v>amer_west</v>
      </c>
      <c r="W630" s="0" t="str">
        <f>INDEX('Account executives'!$C$2:$C$25,MATCH(C630,'Account executives'!$A$2:$A$25,0))</f>
        <v>mid_market</v>
      </c>
      <c r="X630" s="0" t="str">
        <f>SUBSTITUTE(LOWER(INDEX('Periods'!$G$2:$G$22,MATCH(N630,'Periods'!$A$2:$A$22,0)))," ","_")</f>
        <v>q3_2025</v>
      </c>
    </row>
    <row r="631">
      <c r="A631" s="0" t="inlineStr">
        <is>
          <t xml:space="preserve">o0630</t>
        </is>
      </c>
      <c r="B631" s="0" t="inlineStr">
        <is>
          <t xml:space="preserve">a0829</t>
        </is>
      </c>
      <c r="C631" s="0" t="inlineStr">
        <is>
          <t xml:space="preserve">r01</t>
        </is>
      </c>
      <c r="D631" s="0" t="inlineStr">
        <is>
          <t xml:space="preserve">s_amer_east_in</t>
        </is>
      </c>
      <c r="E631" s="0" t="inlineStr">
        <is>
          <t xml:space="preserve">paid</t>
        </is>
      </c>
      <c r="F631" s="0" t="inlineStr">
        <is>
          <t xml:space="preserve">closed_lost</t>
        </is>
      </c>
      <c r="G631" s="4">
        <v>1</v>
      </c>
      <c r="H631" s="4">
        <v>80600</v>
      </c>
      <c r="I631" s="4">
        <v>2</v>
      </c>
      <c r="J631" s="4">
        <v>0</v>
      </c>
      <c r="K631" s="16">
        <v>46126</v>
      </c>
      <c r="L631" s="16">
        <v>46272</v>
      </c>
      <c r="M631" s="0" t="inlineStr">
        <is>
          <t xml:space="preserve">apr26</t>
        </is>
      </c>
      <c r="N631" s="0" t="inlineStr">
        <is>
          <t xml:space="preserve">sep26</t>
        </is>
      </c>
      <c r="O631" s="4">
        <v>146</v>
      </c>
      <c r="P631" s="4">
        <v>0</v>
      </c>
      <c r="Q631" s="4">
        <v>1</v>
      </c>
      <c r="R631" s="4">
        <v>0</v>
      </c>
      <c r="S631" s="4">
        <f>(H631*INDEX('Stages'!$D$2:$D$7,MATCH(F631,'Stages'!$A$2:$A$7,0)))</f>
        <v>0</v>
      </c>
      <c r="T631" s="4">
        <f>(H631*I631)</f>
        <v>161200</v>
      </c>
      <c r="U631" s="4">
        <f>(H631*(I631-1))</f>
        <v>80600</v>
      </c>
      <c r="V631" s="0" t="str">
        <f>INDEX('Account executives'!$B$2:$B$25,MATCH(C631,'Account executives'!$A$2:$A$25,0))</f>
        <v>amer_east</v>
      </c>
      <c r="W631" s="0" t="str">
        <f>INDEX('Account executives'!$C$2:$C$25,MATCH(C631,'Account executives'!$A$2:$A$25,0))</f>
        <v>enterprise</v>
      </c>
      <c r="X631" s="0" t="str">
        <f>SUBSTITUTE(LOWER(INDEX('Periods'!$G$2:$G$22,MATCH(N631,'Periods'!$A$2:$A$22,0)))," ","_")</f>
        <v>q3_2026</v>
      </c>
    </row>
    <row r="632">
      <c r="A632" s="0" t="inlineStr">
        <is>
          <t xml:space="preserve">o0631</t>
        </is>
      </c>
      <c r="B632" s="0" t="inlineStr">
        <is>
          <t xml:space="preserve">a0002</t>
        </is>
      </c>
      <c r="C632" s="0" t="inlineStr">
        <is>
          <t xml:space="preserve">r01</t>
        </is>
      </c>
      <c r="D632" s="0" t="inlineStr">
        <is>
          <t xml:space="preserve">s_amer_east_in</t>
        </is>
      </c>
      <c r="E632" s="0" t="inlineStr">
        <is>
          <t xml:space="preserve">inbound</t>
        </is>
      </c>
      <c r="F632" s="0" t="inlineStr">
        <is>
          <t xml:space="preserve">closed_lost</t>
        </is>
      </c>
      <c r="G632" s="4">
        <v>1</v>
      </c>
      <c r="H632" s="4">
        <v>252700</v>
      </c>
      <c r="I632" s="4">
        <v>2</v>
      </c>
      <c r="J632" s="4">
        <v>0</v>
      </c>
      <c r="K632" s="16">
        <v>45770</v>
      </c>
      <c r="L632" s="16">
        <v>45893</v>
      </c>
      <c r="M632" s="0" t="inlineStr">
        <is>
          <t xml:space="preserve">apr25</t>
        </is>
      </c>
      <c r="N632" s="0" t="inlineStr">
        <is>
          <t xml:space="preserve">aug25</t>
        </is>
      </c>
      <c r="O632" s="4">
        <v>123</v>
      </c>
      <c r="P632" s="4">
        <v>0</v>
      </c>
      <c r="Q632" s="4">
        <v>1</v>
      </c>
      <c r="R632" s="4">
        <v>0</v>
      </c>
      <c r="S632" s="4">
        <f>(H632*INDEX('Stages'!$D$2:$D$7,MATCH(F632,'Stages'!$A$2:$A$7,0)))</f>
        <v>0</v>
      </c>
      <c r="T632" s="4">
        <f>(H632*I632)</f>
        <v>505400</v>
      </c>
      <c r="U632" s="4">
        <f>(H632*(I632-1))</f>
        <v>252700</v>
      </c>
      <c r="V632" s="0" t="str">
        <f>INDEX('Account executives'!$B$2:$B$25,MATCH(C632,'Account executives'!$A$2:$A$25,0))</f>
        <v>amer_east</v>
      </c>
      <c r="W632" s="0" t="str">
        <f>INDEX('Account executives'!$C$2:$C$25,MATCH(C632,'Account executives'!$A$2:$A$25,0))</f>
        <v>enterprise</v>
      </c>
      <c r="X632" s="0" t="str">
        <f>SUBSTITUTE(LOWER(INDEX('Periods'!$G$2:$G$22,MATCH(N632,'Periods'!$A$2:$A$22,0)))," ","_")</f>
        <v>q3_2025</v>
      </c>
    </row>
    <row r="633">
      <c r="A633" s="0" t="inlineStr">
        <is>
          <t xml:space="preserve">o0632</t>
        </is>
      </c>
      <c r="B633" s="0" t="inlineStr">
        <is>
          <t xml:space="preserve">a0046</t>
        </is>
      </c>
      <c r="C633" s="0" t="inlineStr">
        <is>
          <t xml:space="preserve">r18</t>
        </is>
      </c>
      <c r="D633" s="0"/>
      <c r="E633" s="0" t="inlineStr">
        <is>
          <t xml:space="preserve">referral</t>
        </is>
      </c>
      <c r="F633" s="0" t="inlineStr">
        <is>
          <t xml:space="preserve">closed_won</t>
        </is>
      </c>
      <c r="G633" s="4">
        <v>0</v>
      </c>
      <c r="H633" s="4">
        <v>16900</v>
      </c>
      <c r="I633" s="4">
        <v>1</v>
      </c>
      <c r="J633" s="4">
        <v>0</v>
      </c>
      <c r="K633" s="16">
        <v>45758</v>
      </c>
      <c r="L633" s="16">
        <v>45790</v>
      </c>
      <c r="M633" s="0" t="inlineStr">
        <is>
          <t xml:space="preserve">apr25</t>
        </is>
      </c>
      <c r="N633" s="0" t="inlineStr">
        <is>
          <t xml:space="preserve">may25</t>
        </is>
      </c>
      <c r="O633" s="4">
        <v>32</v>
      </c>
      <c r="P633" s="4">
        <v>1</v>
      </c>
      <c r="Q633" s="4">
        <v>0</v>
      </c>
      <c r="R633" s="4">
        <v>0</v>
      </c>
      <c r="S633" s="4">
        <f>(H633*INDEX('Stages'!$D$2:$D$7,MATCH(F633,'Stages'!$A$2:$A$7,0)))</f>
        <v>16900</v>
      </c>
      <c r="T633" s="4">
        <f>(H633*I633)</f>
        <v>16900</v>
      </c>
      <c r="U633" s="4">
        <f>(H633*(I633-1))</f>
        <v>0</v>
      </c>
      <c r="V633" s="0" t="str">
        <f>INDEX('Account executives'!$B$2:$B$25,MATCH(C633,'Account executives'!$A$2:$A$25,0))</f>
        <v>emea</v>
      </c>
      <c r="W633" s="0" t="str">
        <f>INDEX('Account executives'!$C$2:$C$25,MATCH(C633,'Account executives'!$A$2:$A$25,0))</f>
        <v>smb</v>
      </c>
      <c r="X633" s="0" t="str">
        <f>SUBSTITUTE(LOWER(INDEX('Periods'!$G$2:$G$22,MATCH(N633,'Periods'!$A$2:$A$22,0)))," ","_")</f>
        <v>q2_2025</v>
      </c>
    </row>
    <row r="634">
      <c r="A634" s="0" t="inlineStr">
        <is>
          <t xml:space="preserve">o0633</t>
        </is>
      </c>
      <c r="B634" s="0" t="inlineStr">
        <is>
          <t xml:space="preserve">a0547</t>
        </is>
      </c>
      <c r="C634" s="0" t="inlineStr">
        <is>
          <t xml:space="preserve">r06</t>
        </is>
      </c>
      <c r="D634" s="0" t="inlineStr">
        <is>
          <t xml:space="preserve">s_amer_east_in</t>
        </is>
      </c>
      <c r="E634" s="0" t="inlineStr">
        <is>
          <t xml:space="preserve">paid</t>
        </is>
      </c>
      <c r="F634" s="0" t="inlineStr">
        <is>
          <t xml:space="preserve">closed_lost</t>
        </is>
      </c>
      <c r="G634" s="4">
        <v>1</v>
      </c>
      <c r="H634" s="4">
        <v>6800</v>
      </c>
      <c r="I634" s="4">
        <v>1</v>
      </c>
      <c r="J634" s="4">
        <v>0</v>
      </c>
      <c r="K634" s="16">
        <v>45992</v>
      </c>
      <c r="L634" s="16">
        <v>46018</v>
      </c>
      <c r="M634" s="0" t="inlineStr">
        <is>
          <t xml:space="preserve">dec25</t>
        </is>
      </c>
      <c r="N634" s="0" t="inlineStr">
        <is>
          <t xml:space="preserve">dec25</t>
        </is>
      </c>
      <c r="O634" s="4">
        <v>26</v>
      </c>
      <c r="P634" s="4">
        <v>0</v>
      </c>
      <c r="Q634" s="4">
        <v>1</v>
      </c>
      <c r="R634" s="4">
        <v>0</v>
      </c>
      <c r="S634" s="4">
        <f>(H634*INDEX('Stages'!$D$2:$D$7,MATCH(F634,'Stages'!$A$2:$A$7,0)))</f>
        <v>0</v>
      </c>
      <c r="T634" s="4">
        <f>(H634*I634)</f>
        <v>6800</v>
      </c>
      <c r="U634" s="4">
        <f>(H634*(I634-1))</f>
        <v>0</v>
      </c>
      <c r="V634" s="0" t="str">
        <f>INDEX('Account executives'!$B$2:$B$25,MATCH(C634,'Account executives'!$A$2:$A$25,0))</f>
        <v>amer_east</v>
      </c>
      <c r="W634" s="0" t="str">
        <f>INDEX('Account executives'!$C$2:$C$25,MATCH(C634,'Account executives'!$A$2:$A$25,0))</f>
        <v>smb</v>
      </c>
      <c r="X634" s="0" t="str">
        <f>SUBSTITUTE(LOWER(INDEX('Periods'!$G$2:$G$22,MATCH(N634,'Periods'!$A$2:$A$22,0)))," ","_")</f>
        <v>q4_2025</v>
      </c>
    </row>
    <row r="635">
      <c r="A635" s="0" t="inlineStr">
        <is>
          <t xml:space="preserve">o0634</t>
        </is>
      </c>
      <c r="B635" s="0" t="inlineStr">
        <is>
          <t xml:space="preserve">a0768</t>
        </is>
      </c>
      <c r="C635" s="0" t="inlineStr">
        <is>
          <t xml:space="preserve">r07</t>
        </is>
      </c>
      <c r="D635" s="0" t="inlineStr">
        <is>
          <t xml:space="preserve">s_amer_west_in</t>
        </is>
      </c>
      <c r="E635" s="0" t="inlineStr">
        <is>
          <t xml:space="preserve">paid</t>
        </is>
      </c>
      <c r="F635" s="0" t="inlineStr">
        <is>
          <t xml:space="preserve">discovery</t>
        </is>
      </c>
      <c r="G635" s="4">
        <v>0</v>
      </c>
      <c r="H635" s="4">
        <v>96100</v>
      </c>
      <c r="I635" s="4">
        <v>1</v>
      </c>
      <c r="J635" s="4">
        <v>0</v>
      </c>
      <c r="K635" s="16">
        <v>46276</v>
      </c>
      <c r="L635" s="16">
        <v>46341</v>
      </c>
      <c r="M635" s="0" t="inlineStr">
        <is>
          <t xml:space="preserve">sep26</t>
        </is>
      </c>
      <c r="N635" s="0" t="inlineStr">
        <is>
          <t xml:space="preserve">nov26</t>
        </is>
      </c>
      <c r="O635" s="4">
        <v>95</v>
      </c>
      <c r="P635" s="4">
        <v>0</v>
      </c>
      <c r="Q635" s="4">
        <v>0</v>
      </c>
      <c r="R635" s="4">
        <v>1</v>
      </c>
      <c r="S635" s="4">
        <f>(H635*INDEX('Stages'!$D$2:$D$7,MATCH(F635,'Stages'!$A$2:$A$7,0)))</f>
        <v>9610</v>
      </c>
      <c r="T635" s="4">
        <f>(H635*I635)</f>
        <v>96100</v>
      </c>
      <c r="U635" s="4">
        <f>(H635*(I635-1))</f>
        <v>0</v>
      </c>
      <c r="V635" s="0" t="str">
        <f>INDEX('Account executives'!$B$2:$B$25,MATCH(C635,'Account executives'!$A$2:$A$25,0))</f>
        <v>amer_west</v>
      </c>
      <c r="W635" s="0" t="str">
        <f>INDEX('Account executives'!$C$2:$C$25,MATCH(C635,'Account executives'!$A$2:$A$25,0))</f>
        <v>enterprise</v>
      </c>
      <c r="X635" s="0" t="str">
        <f>SUBSTITUTE(LOWER(INDEX('Periods'!$G$2:$G$22,MATCH(N635,'Periods'!$A$2:$A$22,0)))," ","_")</f>
        <v>q4_2026</v>
      </c>
    </row>
    <row r="636">
      <c r="A636" s="0" t="inlineStr">
        <is>
          <t xml:space="preserve">o0635</t>
        </is>
      </c>
      <c r="B636" s="0" t="inlineStr">
        <is>
          <t xml:space="preserve">a0143</t>
        </is>
      </c>
      <c r="C636" s="0" t="inlineStr">
        <is>
          <t xml:space="preserve">r20</t>
        </is>
      </c>
      <c r="D636" s="0" t="inlineStr">
        <is>
          <t xml:space="preserve">s_apac_out</t>
        </is>
      </c>
      <c r="E636" s="0" t="inlineStr">
        <is>
          <t xml:space="preserve">outbound</t>
        </is>
      </c>
      <c r="F636" s="0" t="inlineStr">
        <is>
          <t xml:space="preserve">closed_won</t>
        </is>
      </c>
      <c r="G636" s="4">
        <v>0</v>
      </c>
      <c r="H636" s="4">
        <v>139700</v>
      </c>
      <c r="I636" s="4">
        <v>2</v>
      </c>
      <c r="J636" s="4">
        <v>0</v>
      </c>
      <c r="K636" s="16">
        <v>45828</v>
      </c>
      <c r="L636" s="16">
        <v>45913</v>
      </c>
      <c r="M636" s="0" t="inlineStr">
        <is>
          <t xml:space="preserve">jun25</t>
        </is>
      </c>
      <c r="N636" s="0" t="inlineStr">
        <is>
          <t xml:space="preserve">sep25</t>
        </is>
      </c>
      <c r="O636" s="4">
        <v>85</v>
      </c>
      <c r="P636" s="4">
        <v>1</v>
      </c>
      <c r="Q636" s="4">
        <v>0</v>
      </c>
      <c r="R636" s="4">
        <v>0</v>
      </c>
      <c r="S636" s="4">
        <f>(H636*INDEX('Stages'!$D$2:$D$7,MATCH(F636,'Stages'!$A$2:$A$7,0)))</f>
        <v>139700</v>
      </c>
      <c r="T636" s="4">
        <f>(H636*I636)</f>
        <v>279400</v>
      </c>
      <c r="U636" s="4">
        <f>(H636*(I636-1))</f>
        <v>139700</v>
      </c>
      <c r="V636" s="0" t="str">
        <f>INDEX('Account executives'!$B$2:$B$25,MATCH(C636,'Account executives'!$A$2:$A$25,0))</f>
        <v>apac</v>
      </c>
      <c r="W636" s="0" t="str">
        <f>INDEX('Account executives'!$C$2:$C$25,MATCH(C636,'Account executives'!$A$2:$A$25,0))</f>
        <v>enterprise</v>
      </c>
      <c r="X636" s="0" t="str">
        <f>SUBSTITUTE(LOWER(INDEX('Periods'!$G$2:$G$22,MATCH(N636,'Periods'!$A$2:$A$22,0)))," ","_")</f>
        <v>q3_2025</v>
      </c>
    </row>
    <row r="637">
      <c r="A637" s="0" t="inlineStr">
        <is>
          <t xml:space="preserve">o0636</t>
        </is>
      </c>
      <c r="B637" s="0" t="inlineStr">
        <is>
          <t xml:space="preserve">a0046</t>
        </is>
      </c>
      <c r="C637" s="0" t="inlineStr">
        <is>
          <t xml:space="preserve">r17</t>
        </is>
      </c>
      <c r="D637" s="0" t="inlineStr">
        <is>
          <t xml:space="preserve">s_emea_in</t>
        </is>
      </c>
      <c r="E637" s="0" t="inlineStr">
        <is>
          <t xml:space="preserve">inbound</t>
        </is>
      </c>
      <c r="F637" s="0" t="inlineStr">
        <is>
          <t xml:space="preserve">closed_lost</t>
        </is>
      </c>
      <c r="G637" s="4">
        <v>0</v>
      </c>
      <c r="H637" s="4">
        <v>6700</v>
      </c>
      <c r="I637" s="4">
        <v>1</v>
      </c>
      <c r="J637" s="4">
        <v>1</v>
      </c>
      <c r="K637" s="16">
        <v>46082</v>
      </c>
      <c r="L637" s="16">
        <v>46201</v>
      </c>
      <c r="M637" s="0" t="inlineStr">
        <is>
          <t xml:space="preserve">mar26</t>
        </is>
      </c>
      <c r="N637" s="0" t="inlineStr">
        <is>
          <t xml:space="preserve">jun26</t>
        </is>
      </c>
      <c r="O637" s="4">
        <v>119</v>
      </c>
      <c r="P637" s="4">
        <v>0</v>
      </c>
      <c r="Q637" s="4">
        <v>1</v>
      </c>
      <c r="R637" s="4">
        <v>0</v>
      </c>
      <c r="S637" s="4">
        <f>(H637*INDEX('Stages'!$D$2:$D$7,MATCH(F637,'Stages'!$A$2:$A$7,0)))</f>
        <v>0</v>
      </c>
      <c r="T637" s="4">
        <f>(H637*I637)</f>
        <v>6700</v>
      </c>
      <c r="U637" s="4">
        <f>(H637*(I637-1))</f>
        <v>0</v>
      </c>
      <c r="V637" s="0" t="str">
        <f>INDEX('Account executives'!$B$2:$B$25,MATCH(C637,'Account executives'!$A$2:$A$25,0))</f>
        <v>emea</v>
      </c>
      <c r="W637" s="0" t="str">
        <f>INDEX('Account executives'!$C$2:$C$25,MATCH(C637,'Account executives'!$A$2:$A$25,0))</f>
        <v>smb</v>
      </c>
      <c r="X637" s="0" t="str">
        <f>SUBSTITUTE(LOWER(INDEX('Periods'!$G$2:$G$22,MATCH(N637,'Periods'!$A$2:$A$22,0)))," ","_")</f>
        <v>q2_2026</v>
      </c>
    </row>
    <row r="638">
      <c r="A638" s="0" t="inlineStr">
        <is>
          <t xml:space="preserve">o0637</t>
        </is>
      </c>
      <c r="B638" s="0" t="inlineStr">
        <is>
          <t xml:space="preserve">a0741</t>
        </is>
      </c>
      <c r="C638" s="0" t="inlineStr">
        <is>
          <t xml:space="preserve">r03</t>
        </is>
      </c>
      <c r="D638" s="0"/>
      <c r="E638" s="0" t="inlineStr">
        <is>
          <t xml:space="preserve">events</t>
        </is>
      </c>
      <c r="F638" s="0" t="inlineStr">
        <is>
          <t xml:space="preserve">closed_lost</t>
        </is>
      </c>
      <c r="G638" s="4">
        <v>1</v>
      </c>
      <c r="H638" s="4">
        <v>37500</v>
      </c>
      <c r="I638" s="4">
        <v>1</v>
      </c>
      <c r="J638" s="4">
        <v>0</v>
      </c>
      <c r="K638" s="16">
        <v>46091</v>
      </c>
      <c r="L638" s="16">
        <v>46166</v>
      </c>
      <c r="M638" s="0" t="inlineStr">
        <is>
          <t xml:space="preserve">mar26</t>
        </is>
      </c>
      <c r="N638" s="0" t="inlineStr">
        <is>
          <t xml:space="preserve">may26</t>
        </is>
      </c>
      <c r="O638" s="4">
        <v>75</v>
      </c>
      <c r="P638" s="4">
        <v>0</v>
      </c>
      <c r="Q638" s="4">
        <v>1</v>
      </c>
      <c r="R638" s="4">
        <v>0</v>
      </c>
      <c r="S638" s="4">
        <f>(H638*INDEX('Stages'!$D$2:$D$7,MATCH(F638,'Stages'!$A$2:$A$7,0)))</f>
        <v>0</v>
      </c>
      <c r="T638" s="4">
        <f>(H638*I638)</f>
        <v>37500</v>
      </c>
      <c r="U638" s="4">
        <f>(H638*(I638-1))</f>
        <v>0</v>
      </c>
      <c r="V638" s="0" t="str">
        <f>INDEX('Account executives'!$B$2:$B$25,MATCH(C638,'Account executives'!$A$2:$A$25,0))</f>
        <v>amer_east</v>
      </c>
      <c r="W638" s="0" t="str">
        <f>INDEX('Account executives'!$C$2:$C$25,MATCH(C638,'Account executives'!$A$2:$A$25,0))</f>
        <v>mid_market</v>
      </c>
      <c r="X638" s="0" t="str">
        <f>SUBSTITUTE(LOWER(INDEX('Periods'!$G$2:$G$22,MATCH(N638,'Periods'!$A$2:$A$22,0)))," ","_")</f>
        <v>q2_2026</v>
      </c>
    </row>
    <row r="639">
      <c r="A639" s="0" t="inlineStr">
        <is>
          <t xml:space="preserve">o0638</t>
        </is>
      </c>
      <c r="B639" s="0" t="inlineStr">
        <is>
          <t xml:space="preserve">a0373</t>
        </is>
      </c>
      <c r="C639" s="0" t="inlineStr">
        <is>
          <t xml:space="preserve">r11</t>
        </is>
      </c>
      <c r="D639" s="0"/>
      <c r="E639" s="0" t="inlineStr">
        <is>
          <t xml:space="preserve">events</t>
        </is>
      </c>
      <c r="F639" s="0" t="inlineStr">
        <is>
          <t xml:space="preserve">closed_won</t>
        </is>
      </c>
      <c r="G639" s="4">
        <v>0</v>
      </c>
      <c r="H639" s="4">
        <v>8800</v>
      </c>
      <c r="I639" s="4">
        <v>1</v>
      </c>
      <c r="J639" s="4">
        <v>0</v>
      </c>
      <c r="K639" s="16">
        <v>46041</v>
      </c>
      <c r="L639" s="16">
        <v>46065</v>
      </c>
      <c r="M639" s="0" t="inlineStr">
        <is>
          <t xml:space="preserve">jan26</t>
        </is>
      </c>
      <c r="N639" s="0" t="inlineStr">
        <is>
          <t xml:space="preserve">feb26</t>
        </is>
      </c>
      <c r="O639" s="4">
        <v>24</v>
      </c>
      <c r="P639" s="4">
        <v>1</v>
      </c>
      <c r="Q639" s="4">
        <v>0</v>
      </c>
      <c r="R639" s="4">
        <v>0</v>
      </c>
      <c r="S639" s="4">
        <f>(H639*INDEX('Stages'!$D$2:$D$7,MATCH(F639,'Stages'!$A$2:$A$7,0)))</f>
        <v>8800</v>
      </c>
      <c r="T639" s="4">
        <f>(H639*I639)</f>
        <v>8800</v>
      </c>
      <c r="U639" s="4">
        <f>(H639*(I639-1))</f>
        <v>0</v>
      </c>
      <c r="V639" s="0" t="str">
        <f>INDEX('Account executives'!$B$2:$B$25,MATCH(C639,'Account executives'!$A$2:$A$25,0))</f>
        <v>amer_west</v>
      </c>
      <c r="W639" s="0" t="str">
        <f>INDEX('Account executives'!$C$2:$C$25,MATCH(C639,'Account executives'!$A$2:$A$25,0))</f>
        <v>smb</v>
      </c>
      <c r="X639" s="0" t="str">
        <f>SUBSTITUTE(LOWER(INDEX('Periods'!$G$2:$G$22,MATCH(N639,'Periods'!$A$2:$A$22,0)))," ","_")</f>
        <v>q1_2026</v>
      </c>
    </row>
    <row r="640">
      <c r="A640" s="0" t="inlineStr">
        <is>
          <t xml:space="preserve">o0639</t>
        </is>
      </c>
      <c r="B640" s="0" t="inlineStr">
        <is>
          <t xml:space="preserve">a0740</t>
        </is>
      </c>
      <c r="C640" s="0" t="inlineStr">
        <is>
          <t xml:space="preserve">r06</t>
        </is>
      </c>
      <c r="D640" s="0"/>
      <c r="E640" s="0" t="inlineStr">
        <is>
          <t xml:space="preserve">events</t>
        </is>
      </c>
      <c r="F640" s="0" t="inlineStr">
        <is>
          <t xml:space="preserve">closed_won</t>
        </is>
      </c>
      <c r="G640" s="4">
        <v>1</v>
      </c>
      <c r="H640" s="4">
        <v>6900</v>
      </c>
      <c r="I640" s="4">
        <v>1</v>
      </c>
      <c r="J640" s="4">
        <v>0</v>
      </c>
      <c r="K640" s="16">
        <v>46087</v>
      </c>
      <c r="L640" s="16">
        <v>46201</v>
      </c>
      <c r="M640" s="0" t="inlineStr">
        <is>
          <t xml:space="preserve">mar26</t>
        </is>
      </c>
      <c r="N640" s="0" t="inlineStr">
        <is>
          <t xml:space="preserve">jun26</t>
        </is>
      </c>
      <c r="O640" s="4">
        <v>114</v>
      </c>
      <c r="P640" s="4">
        <v>1</v>
      </c>
      <c r="Q640" s="4">
        <v>0</v>
      </c>
      <c r="R640" s="4">
        <v>0</v>
      </c>
      <c r="S640" s="4">
        <f>(H640*INDEX('Stages'!$D$2:$D$7,MATCH(F640,'Stages'!$A$2:$A$7,0)))</f>
        <v>6900</v>
      </c>
      <c r="T640" s="4">
        <f>(H640*I640)</f>
        <v>6900</v>
      </c>
      <c r="U640" s="4">
        <f>(H640*(I640-1))</f>
        <v>0</v>
      </c>
      <c r="V640" s="0" t="str">
        <f>INDEX('Account executives'!$B$2:$B$25,MATCH(C640,'Account executives'!$A$2:$A$25,0))</f>
        <v>amer_east</v>
      </c>
      <c r="W640" s="0" t="str">
        <f>INDEX('Account executives'!$C$2:$C$25,MATCH(C640,'Account executives'!$A$2:$A$25,0))</f>
        <v>smb</v>
      </c>
      <c r="X640" s="0" t="str">
        <f>SUBSTITUTE(LOWER(INDEX('Periods'!$G$2:$G$22,MATCH(N640,'Periods'!$A$2:$A$22,0)))," ","_")</f>
        <v>q2_2026</v>
      </c>
    </row>
    <row r="641">
      <c r="A641" s="0" t="inlineStr">
        <is>
          <t xml:space="preserve">o0640</t>
        </is>
      </c>
      <c r="B641" s="0" t="inlineStr">
        <is>
          <t xml:space="preserve">a0458</t>
        </is>
      </c>
      <c r="C641" s="0" t="inlineStr">
        <is>
          <t xml:space="preserve">r18</t>
        </is>
      </c>
      <c r="D641" s="0"/>
      <c r="E641" s="0" t="inlineStr">
        <is>
          <t xml:space="preserve">events</t>
        </is>
      </c>
      <c r="F641" s="0" t="inlineStr">
        <is>
          <t xml:space="preserve">closed_lost</t>
        </is>
      </c>
      <c r="G641" s="4">
        <v>1</v>
      </c>
      <c r="H641" s="4">
        <v>17400</v>
      </c>
      <c r="I641" s="4">
        <v>1</v>
      </c>
      <c r="J641" s="4">
        <v>1</v>
      </c>
      <c r="K641" s="16">
        <v>45955</v>
      </c>
      <c r="L641" s="16">
        <v>45977</v>
      </c>
      <c r="M641" s="0" t="inlineStr">
        <is>
          <t xml:space="preserve">oct25</t>
        </is>
      </c>
      <c r="N641" s="0" t="inlineStr">
        <is>
          <t xml:space="preserve">nov25</t>
        </is>
      </c>
      <c r="O641" s="4">
        <v>22</v>
      </c>
      <c r="P641" s="4">
        <v>0</v>
      </c>
      <c r="Q641" s="4">
        <v>1</v>
      </c>
      <c r="R641" s="4">
        <v>0</v>
      </c>
      <c r="S641" s="4">
        <f>(H641*INDEX('Stages'!$D$2:$D$7,MATCH(F641,'Stages'!$A$2:$A$7,0)))</f>
        <v>0</v>
      </c>
      <c r="T641" s="4">
        <f>(H641*I641)</f>
        <v>17400</v>
      </c>
      <c r="U641" s="4">
        <f>(H641*(I641-1))</f>
        <v>0</v>
      </c>
      <c r="V641" s="0" t="str">
        <f>INDEX('Account executives'!$B$2:$B$25,MATCH(C641,'Account executives'!$A$2:$A$25,0))</f>
        <v>emea</v>
      </c>
      <c r="W641" s="0" t="str">
        <f>INDEX('Account executives'!$C$2:$C$25,MATCH(C641,'Account executives'!$A$2:$A$25,0))</f>
        <v>smb</v>
      </c>
      <c r="X641" s="0" t="str">
        <f>SUBSTITUTE(LOWER(INDEX('Periods'!$G$2:$G$22,MATCH(N641,'Periods'!$A$2:$A$22,0)))," ","_")</f>
        <v>q4_2025</v>
      </c>
    </row>
    <row r="642">
      <c r="A642" s="0" t="inlineStr">
        <is>
          <t xml:space="preserve">o0641</t>
        </is>
      </c>
      <c r="B642" s="0" t="inlineStr">
        <is>
          <t xml:space="preserve">a0972</t>
        </is>
      </c>
      <c r="C642" s="0" t="inlineStr">
        <is>
          <t xml:space="preserve">r06</t>
        </is>
      </c>
      <c r="D642" s="0"/>
      <c r="E642" s="0" t="inlineStr">
        <is>
          <t xml:space="preserve">events</t>
        </is>
      </c>
      <c r="F642" s="0" t="inlineStr">
        <is>
          <t xml:space="preserve">closed_won</t>
        </is>
      </c>
      <c r="G642" s="4">
        <v>1</v>
      </c>
      <c r="H642" s="4">
        <v>11900</v>
      </c>
      <c r="I642" s="4">
        <v>1</v>
      </c>
      <c r="J642" s="4">
        <v>0</v>
      </c>
      <c r="K642" s="16">
        <v>46199</v>
      </c>
      <c r="L642" s="16">
        <v>46234</v>
      </c>
      <c r="M642" s="0" t="inlineStr">
        <is>
          <t xml:space="preserve">jun26</t>
        </is>
      </c>
      <c r="N642" s="0" t="inlineStr">
        <is>
          <t xml:space="preserve">jul26</t>
        </is>
      </c>
      <c r="O642" s="4">
        <v>35</v>
      </c>
      <c r="P642" s="4">
        <v>1</v>
      </c>
      <c r="Q642" s="4">
        <v>0</v>
      </c>
      <c r="R642" s="4">
        <v>0</v>
      </c>
      <c r="S642" s="4">
        <f>(H642*INDEX('Stages'!$D$2:$D$7,MATCH(F642,'Stages'!$A$2:$A$7,0)))</f>
        <v>11900</v>
      </c>
      <c r="T642" s="4">
        <f>(H642*I642)</f>
        <v>11900</v>
      </c>
      <c r="U642" s="4">
        <f>(H642*(I642-1))</f>
        <v>0</v>
      </c>
      <c r="V642" s="0" t="str">
        <f>INDEX('Account executives'!$B$2:$B$25,MATCH(C642,'Account executives'!$A$2:$A$25,0))</f>
        <v>amer_east</v>
      </c>
      <c r="W642" s="0" t="str">
        <f>INDEX('Account executives'!$C$2:$C$25,MATCH(C642,'Account executives'!$A$2:$A$25,0))</f>
        <v>smb</v>
      </c>
      <c r="X642" s="0" t="str">
        <f>SUBSTITUTE(LOWER(INDEX('Periods'!$G$2:$G$22,MATCH(N642,'Periods'!$A$2:$A$22,0)))," ","_")</f>
        <v>q3_2026</v>
      </c>
    </row>
    <row r="643">
      <c r="A643" s="0" t="inlineStr">
        <is>
          <t xml:space="preserve">o0642</t>
        </is>
      </c>
      <c r="B643" s="0" t="inlineStr">
        <is>
          <t xml:space="preserve">a0119</t>
        </is>
      </c>
      <c r="C643" s="0" t="inlineStr">
        <is>
          <t xml:space="preserve">r16</t>
        </is>
      </c>
      <c r="D643" s="0"/>
      <c r="E643" s="0" t="inlineStr">
        <is>
          <t xml:space="preserve">partner</t>
        </is>
      </c>
      <c r="F643" s="0" t="inlineStr">
        <is>
          <t xml:space="preserve">closed_lost</t>
        </is>
      </c>
      <c r="G643" s="4">
        <v>0</v>
      </c>
      <c r="H643" s="4">
        <v>5500</v>
      </c>
      <c r="I643" s="4">
        <v>1</v>
      </c>
      <c r="J643" s="4">
        <v>1</v>
      </c>
      <c r="K643" s="16">
        <v>45820</v>
      </c>
      <c r="L643" s="16">
        <v>45928</v>
      </c>
      <c r="M643" s="0" t="inlineStr">
        <is>
          <t xml:space="preserve">jun25</t>
        </is>
      </c>
      <c r="N643" s="0" t="inlineStr">
        <is>
          <t xml:space="preserve">sep25</t>
        </is>
      </c>
      <c r="O643" s="4">
        <v>108</v>
      </c>
      <c r="P643" s="4">
        <v>0</v>
      </c>
      <c r="Q643" s="4">
        <v>1</v>
      </c>
      <c r="R643" s="4">
        <v>0</v>
      </c>
      <c r="S643" s="4">
        <f>(H643*INDEX('Stages'!$D$2:$D$7,MATCH(F643,'Stages'!$A$2:$A$7,0)))</f>
        <v>0</v>
      </c>
      <c r="T643" s="4">
        <f>(H643*I643)</f>
        <v>5500</v>
      </c>
      <c r="U643" s="4">
        <f>(H643*(I643-1))</f>
        <v>0</v>
      </c>
      <c r="V643" s="0" t="str">
        <f>INDEX('Account executives'!$B$2:$B$25,MATCH(C643,'Account executives'!$A$2:$A$25,0))</f>
        <v>emea</v>
      </c>
      <c r="W643" s="0" t="str">
        <f>INDEX('Account executives'!$C$2:$C$25,MATCH(C643,'Account executives'!$A$2:$A$25,0))</f>
        <v>mid_market</v>
      </c>
      <c r="X643" s="0" t="str">
        <f>SUBSTITUTE(LOWER(INDEX('Periods'!$G$2:$G$22,MATCH(N643,'Periods'!$A$2:$A$22,0)))," ","_")</f>
        <v>q3_2025</v>
      </c>
    </row>
    <row r="644">
      <c r="A644" s="0" t="inlineStr">
        <is>
          <t xml:space="preserve">o0643</t>
        </is>
      </c>
      <c r="B644" s="0" t="inlineStr">
        <is>
          <t xml:space="preserve">a0347</t>
        </is>
      </c>
      <c r="C644" s="0" t="inlineStr">
        <is>
          <t xml:space="preserve">r16</t>
        </is>
      </c>
      <c r="D644" s="0"/>
      <c r="E644" s="0" t="inlineStr">
        <is>
          <t xml:space="preserve">referral</t>
        </is>
      </c>
      <c r="F644" s="0" t="inlineStr">
        <is>
          <t xml:space="preserve">closed_lost</t>
        </is>
      </c>
      <c r="G644" s="4">
        <v>1</v>
      </c>
      <c r="H644" s="4">
        <v>49200</v>
      </c>
      <c r="I644" s="4">
        <v>1</v>
      </c>
      <c r="J644" s="4">
        <v>1</v>
      </c>
      <c r="K644" s="16">
        <v>45894</v>
      </c>
      <c r="L644" s="16">
        <v>45930</v>
      </c>
      <c r="M644" s="0" t="inlineStr">
        <is>
          <t xml:space="preserve">aug25</t>
        </is>
      </c>
      <c r="N644" s="0" t="inlineStr">
        <is>
          <t xml:space="preserve">sep25</t>
        </is>
      </c>
      <c r="O644" s="4">
        <v>36</v>
      </c>
      <c r="P644" s="4">
        <v>0</v>
      </c>
      <c r="Q644" s="4">
        <v>1</v>
      </c>
      <c r="R644" s="4">
        <v>0</v>
      </c>
      <c r="S644" s="4">
        <f>(H644*INDEX('Stages'!$D$2:$D$7,MATCH(F644,'Stages'!$A$2:$A$7,0)))</f>
        <v>0</v>
      </c>
      <c r="T644" s="4">
        <f>(H644*I644)</f>
        <v>49200</v>
      </c>
      <c r="U644" s="4">
        <f>(H644*(I644-1))</f>
        <v>0</v>
      </c>
      <c r="V644" s="0" t="str">
        <f>INDEX('Account executives'!$B$2:$B$25,MATCH(C644,'Account executives'!$A$2:$A$25,0))</f>
        <v>emea</v>
      </c>
      <c r="W644" s="0" t="str">
        <f>INDEX('Account executives'!$C$2:$C$25,MATCH(C644,'Account executives'!$A$2:$A$25,0))</f>
        <v>mid_market</v>
      </c>
      <c r="X644" s="0" t="str">
        <f>SUBSTITUTE(LOWER(INDEX('Periods'!$G$2:$G$22,MATCH(N644,'Periods'!$A$2:$A$22,0)))," ","_")</f>
        <v>q3_2025</v>
      </c>
    </row>
    <row r="645">
      <c r="A645" s="0" t="inlineStr">
        <is>
          <t xml:space="preserve">o0644</t>
        </is>
      </c>
      <c r="B645" s="0" t="inlineStr">
        <is>
          <t xml:space="preserve">a1256</t>
        </is>
      </c>
      <c r="C645" s="0" t="inlineStr">
        <is>
          <t xml:space="preserve">r23</t>
        </is>
      </c>
      <c r="D645" s="0" t="inlineStr">
        <is>
          <t xml:space="preserve">s_apac_in</t>
        </is>
      </c>
      <c r="E645" s="0" t="inlineStr">
        <is>
          <t xml:space="preserve">inbound</t>
        </is>
      </c>
      <c r="F645" s="0" t="inlineStr">
        <is>
          <t xml:space="preserve">discovery</t>
        </is>
      </c>
      <c r="G645" s="4">
        <v>1</v>
      </c>
      <c r="H645" s="4">
        <v>17200</v>
      </c>
      <c r="I645" s="4">
        <v>2</v>
      </c>
      <c r="J645" s="4">
        <v>0</v>
      </c>
      <c r="K645" s="16">
        <v>46278</v>
      </c>
      <c r="L645" s="16">
        <v>46371</v>
      </c>
      <c r="M645" s="0" t="inlineStr">
        <is>
          <t xml:space="preserve">sep26</t>
        </is>
      </c>
      <c r="N645" s="0" t="inlineStr">
        <is>
          <t xml:space="preserve">dec26</t>
        </is>
      </c>
      <c r="O645" s="4">
        <v>27</v>
      </c>
      <c r="P645" s="4">
        <v>0</v>
      </c>
      <c r="Q645" s="4">
        <v>0</v>
      </c>
      <c r="R645" s="4">
        <v>1</v>
      </c>
      <c r="S645" s="4">
        <f>(H645*INDEX('Stages'!$D$2:$D$7,MATCH(F645,'Stages'!$A$2:$A$7,0)))</f>
        <v>1720</v>
      </c>
      <c r="T645" s="4">
        <f>(H645*I645)</f>
        <v>34400</v>
      </c>
      <c r="U645" s="4">
        <f>(H645*(I645-1))</f>
        <v>17200</v>
      </c>
      <c r="V645" s="0" t="str">
        <f>INDEX('Account executives'!$B$2:$B$25,MATCH(C645,'Account executives'!$A$2:$A$25,0))</f>
        <v>apac</v>
      </c>
      <c r="W645" s="0" t="str">
        <f>INDEX('Account executives'!$C$2:$C$25,MATCH(C645,'Account executives'!$A$2:$A$25,0))</f>
        <v>smb</v>
      </c>
      <c r="X645" s="0" t="str">
        <f>SUBSTITUTE(LOWER(INDEX('Periods'!$G$2:$G$22,MATCH(N645,'Periods'!$A$2:$A$22,0)))," ","_")</f>
        <v>q4_2026</v>
      </c>
    </row>
    <row r="646">
      <c r="A646" s="0" t="inlineStr">
        <is>
          <t xml:space="preserve">o0645</t>
        </is>
      </c>
      <c r="B646" s="0" t="inlineStr">
        <is>
          <t xml:space="preserve">a0509</t>
        </is>
      </c>
      <c r="C646" s="0" t="inlineStr">
        <is>
          <t xml:space="preserve">r15</t>
        </is>
      </c>
      <c r="D646" s="0" t="inlineStr">
        <is>
          <t xml:space="preserve">s_emea_in</t>
        </is>
      </c>
      <c r="E646" s="0" t="inlineStr">
        <is>
          <t xml:space="preserve">inbound</t>
        </is>
      </c>
      <c r="F646" s="0" t="inlineStr">
        <is>
          <t xml:space="preserve">closed_lost</t>
        </is>
      </c>
      <c r="G646" s="4">
        <v>1</v>
      </c>
      <c r="H646" s="4">
        <v>50400</v>
      </c>
      <c r="I646" s="4">
        <v>1</v>
      </c>
      <c r="J646" s="4">
        <v>1</v>
      </c>
      <c r="K646" s="16">
        <v>45978</v>
      </c>
      <c r="L646" s="16">
        <v>46109</v>
      </c>
      <c r="M646" s="0" t="inlineStr">
        <is>
          <t xml:space="preserve">nov25</t>
        </is>
      </c>
      <c r="N646" s="0" t="inlineStr">
        <is>
          <t xml:space="preserve">mar26</t>
        </is>
      </c>
      <c r="O646" s="4">
        <v>131</v>
      </c>
      <c r="P646" s="4">
        <v>0</v>
      </c>
      <c r="Q646" s="4">
        <v>1</v>
      </c>
      <c r="R646" s="4">
        <v>0</v>
      </c>
      <c r="S646" s="4">
        <f>(H646*INDEX('Stages'!$D$2:$D$7,MATCH(F646,'Stages'!$A$2:$A$7,0)))</f>
        <v>0</v>
      </c>
      <c r="T646" s="4">
        <f>(H646*I646)</f>
        <v>50400</v>
      </c>
      <c r="U646" s="4">
        <f>(H646*(I646-1))</f>
        <v>0</v>
      </c>
      <c r="V646" s="0" t="str">
        <f>INDEX('Account executives'!$B$2:$B$25,MATCH(C646,'Account executives'!$A$2:$A$25,0))</f>
        <v>emea</v>
      </c>
      <c r="W646" s="0" t="str">
        <f>INDEX('Account executives'!$C$2:$C$25,MATCH(C646,'Account executives'!$A$2:$A$25,0))</f>
        <v>mid_market</v>
      </c>
      <c r="X646" s="0" t="str">
        <f>SUBSTITUTE(LOWER(INDEX('Periods'!$G$2:$G$22,MATCH(N646,'Periods'!$A$2:$A$22,0)))," ","_")</f>
        <v>q1_2026</v>
      </c>
    </row>
    <row r="647">
      <c r="A647" s="0" t="inlineStr">
        <is>
          <t xml:space="preserve">o0646</t>
        </is>
      </c>
      <c r="B647" s="0" t="inlineStr">
        <is>
          <t xml:space="preserve">a0120</t>
        </is>
      </c>
      <c r="C647" s="0" t="inlineStr">
        <is>
          <t xml:space="preserve">r13</t>
        </is>
      </c>
      <c r="D647" s="0" t="inlineStr">
        <is>
          <t xml:space="preserve">s_emea_in</t>
        </is>
      </c>
      <c r="E647" s="0" t="inlineStr">
        <is>
          <t xml:space="preserve">inbound</t>
        </is>
      </c>
      <c r="F647" s="0" t="inlineStr">
        <is>
          <t xml:space="preserve">closed_lost</t>
        </is>
      </c>
      <c r="G647" s="4">
        <v>1</v>
      </c>
      <c r="H647" s="4">
        <v>185900</v>
      </c>
      <c r="I647" s="4">
        <v>1</v>
      </c>
      <c r="J647" s="4">
        <v>0</v>
      </c>
      <c r="K647" s="16">
        <v>45801</v>
      </c>
      <c r="L647" s="16">
        <v>45931</v>
      </c>
      <c r="M647" s="0" t="inlineStr">
        <is>
          <t xml:space="preserve">may25</t>
        </is>
      </c>
      <c r="N647" s="0" t="inlineStr">
        <is>
          <t xml:space="preserve">oct25</t>
        </is>
      </c>
      <c r="O647" s="4">
        <v>130</v>
      </c>
      <c r="P647" s="4">
        <v>0</v>
      </c>
      <c r="Q647" s="4">
        <v>1</v>
      </c>
      <c r="R647" s="4">
        <v>0</v>
      </c>
      <c r="S647" s="4">
        <f>(H647*INDEX('Stages'!$D$2:$D$7,MATCH(F647,'Stages'!$A$2:$A$7,0)))</f>
        <v>0</v>
      </c>
      <c r="T647" s="4">
        <f>(H647*I647)</f>
        <v>185900</v>
      </c>
      <c r="U647" s="4">
        <f>(H647*(I647-1))</f>
        <v>0</v>
      </c>
      <c r="V647" s="0" t="str">
        <f>INDEX('Account executives'!$B$2:$B$25,MATCH(C647,'Account executives'!$A$2:$A$25,0))</f>
        <v>emea</v>
      </c>
      <c r="W647" s="0" t="str">
        <f>INDEX('Account executives'!$C$2:$C$25,MATCH(C647,'Account executives'!$A$2:$A$25,0))</f>
        <v>enterprise</v>
      </c>
      <c r="X647" s="0" t="str">
        <f>SUBSTITUTE(LOWER(INDEX('Periods'!$G$2:$G$22,MATCH(N647,'Periods'!$A$2:$A$22,0)))," ","_")</f>
        <v>q4_2025</v>
      </c>
    </row>
    <row r="648">
      <c r="A648" s="0" t="inlineStr">
        <is>
          <t xml:space="preserve">o0647</t>
        </is>
      </c>
      <c r="B648" s="0" t="inlineStr">
        <is>
          <t xml:space="preserve">a0093</t>
        </is>
      </c>
      <c r="C648" s="0" t="inlineStr">
        <is>
          <t xml:space="preserve">r11</t>
        </is>
      </c>
      <c r="D648" s="0" t="inlineStr">
        <is>
          <t xml:space="preserve">s_amer_west_in</t>
        </is>
      </c>
      <c r="E648" s="0" t="inlineStr">
        <is>
          <t xml:space="preserve">inbound</t>
        </is>
      </c>
      <c r="F648" s="0" t="inlineStr">
        <is>
          <t xml:space="preserve">closed_lost</t>
        </is>
      </c>
      <c r="G648" s="4">
        <v>1</v>
      </c>
      <c r="H648" s="4">
        <v>34800</v>
      </c>
      <c r="I648" s="4">
        <v>1</v>
      </c>
      <c r="J648" s="4">
        <v>1</v>
      </c>
      <c r="K648" s="16">
        <v>45802</v>
      </c>
      <c r="L648" s="16">
        <v>45813</v>
      </c>
      <c r="M648" s="0" t="inlineStr">
        <is>
          <t xml:space="preserve">may25</t>
        </is>
      </c>
      <c r="N648" s="0" t="inlineStr">
        <is>
          <t xml:space="preserve">jun25</t>
        </is>
      </c>
      <c r="O648" s="4">
        <v>11</v>
      </c>
      <c r="P648" s="4">
        <v>0</v>
      </c>
      <c r="Q648" s="4">
        <v>1</v>
      </c>
      <c r="R648" s="4">
        <v>0</v>
      </c>
      <c r="S648" s="4">
        <f>(H648*INDEX('Stages'!$D$2:$D$7,MATCH(F648,'Stages'!$A$2:$A$7,0)))</f>
        <v>0</v>
      </c>
      <c r="T648" s="4">
        <f>(H648*I648)</f>
        <v>34800</v>
      </c>
      <c r="U648" s="4">
        <f>(H648*(I648-1))</f>
        <v>0</v>
      </c>
      <c r="V648" s="0" t="str">
        <f>INDEX('Account executives'!$B$2:$B$25,MATCH(C648,'Account executives'!$A$2:$A$25,0))</f>
        <v>amer_west</v>
      </c>
      <c r="W648" s="0" t="str">
        <f>INDEX('Account executives'!$C$2:$C$25,MATCH(C648,'Account executives'!$A$2:$A$25,0))</f>
        <v>smb</v>
      </c>
      <c r="X648" s="0" t="str">
        <f>SUBSTITUTE(LOWER(INDEX('Periods'!$G$2:$G$22,MATCH(N648,'Periods'!$A$2:$A$22,0)))," ","_")</f>
        <v>q2_2025</v>
      </c>
    </row>
    <row r="649">
      <c r="A649" s="0" t="inlineStr">
        <is>
          <t xml:space="preserve">o0648</t>
        </is>
      </c>
      <c r="B649" s="0" t="inlineStr">
        <is>
          <t xml:space="preserve">a1184</t>
        </is>
      </c>
      <c r="C649" s="0" t="inlineStr">
        <is>
          <t xml:space="preserve">r15</t>
        </is>
      </c>
      <c r="D649" s="0" t="inlineStr">
        <is>
          <t xml:space="preserve">s_emea_in</t>
        </is>
      </c>
      <c r="E649" s="0" t="inlineStr">
        <is>
          <t xml:space="preserve">inbound</t>
        </is>
      </c>
      <c r="F649" s="0" t="inlineStr">
        <is>
          <t xml:space="preserve">discovery</t>
        </is>
      </c>
      <c r="G649" s="4">
        <v>1</v>
      </c>
      <c r="H649" s="4">
        <v>62800</v>
      </c>
      <c r="I649" s="4">
        <v>1</v>
      </c>
      <c r="J649" s="4">
        <v>0</v>
      </c>
      <c r="K649" s="16">
        <v>46261</v>
      </c>
      <c r="L649" s="16">
        <v>46321</v>
      </c>
      <c r="M649" s="0" t="inlineStr">
        <is>
          <t xml:space="preserve">aug26</t>
        </is>
      </c>
      <c r="N649" s="0" t="inlineStr">
        <is>
          <t xml:space="preserve">oct26</t>
        </is>
      </c>
      <c r="O649" s="4">
        <v>83</v>
      </c>
      <c r="P649" s="4">
        <v>0</v>
      </c>
      <c r="Q649" s="4">
        <v>0</v>
      </c>
      <c r="R649" s="4">
        <v>1</v>
      </c>
      <c r="S649" s="4">
        <f>(H649*INDEX('Stages'!$D$2:$D$7,MATCH(F649,'Stages'!$A$2:$A$7,0)))</f>
        <v>6280</v>
      </c>
      <c r="T649" s="4">
        <f>(H649*I649)</f>
        <v>62800</v>
      </c>
      <c r="U649" s="4">
        <f>(H649*(I649-1))</f>
        <v>0</v>
      </c>
      <c r="V649" s="0" t="str">
        <f>INDEX('Account executives'!$B$2:$B$25,MATCH(C649,'Account executives'!$A$2:$A$25,0))</f>
        <v>emea</v>
      </c>
      <c r="W649" s="0" t="str">
        <f>INDEX('Account executives'!$C$2:$C$25,MATCH(C649,'Account executives'!$A$2:$A$25,0))</f>
        <v>mid_market</v>
      </c>
      <c r="X649" s="0" t="str">
        <f>SUBSTITUTE(LOWER(INDEX('Periods'!$G$2:$G$22,MATCH(N649,'Periods'!$A$2:$A$22,0)))," ","_")</f>
        <v>q4_2026</v>
      </c>
    </row>
    <row r="650">
      <c r="A650" s="0" t="inlineStr">
        <is>
          <t xml:space="preserve">o0649</t>
        </is>
      </c>
      <c r="B650" s="0" t="inlineStr">
        <is>
          <t xml:space="preserve">a0196</t>
        </is>
      </c>
      <c r="C650" s="0" t="inlineStr">
        <is>
          <t xml:space="preserve">r12</t>
        </is>
      </c>
      <c r="D650" s="0"/>
      <c r="E650" s="0" t="inlineStr">
        <is>
          <t xml:space="preserve">partner</t>
        </is>
      </c>
      <c r="F650" s="0" t="inlineStr">
        <is>
          <t xml:space="preserve">closed_lost</t>
        </is>
      </c>
      <c r="G650" s="4">
        <v>1</v>
      </c>
      <c r="H650" s="4">
        <v>16000</v>
      </c>
      <c r="I650" s="4">
        <v>1</v>
      </c>
      <c r="J650" s="4">
        <v>0</v>
      </c>
      <c r="K650" s="16">
        <v>45810</v>
      </c>
      <c r="L650" s="16">
        <v>45844</v>
      </c>
      <c r="M650" s="0" t="inlineStr">
        <is>
          <t xml:space="preserve">jun25</t>
        </is>
      </c>
      <c r="N650" s="0" t="inlineStr">
        <is>
          <t xml:space="preserve">jul25</t>
        </is>
      </c>
      <c r="O650" s="4">
        <v>34</v>
      </c>
      <c r="P650" s="4">
        <v>0</v>
      </c>
      <c r="Q650" s="4">
        <v>1</v>
      </c>
      <c r="R650" s="4">
        <v>0</v>
      </c>
      <c r="S650" s="4">
        <f>(H650*INDEX('Stages'!$D$2:$D$7,MATCH(F650,'Stages'!$A$2:$A$7,0)))</f>
        <v>0</v>
      </c>
      <c r="T650" s="4">
        <f>(H650*I650)</f>
        <v>16000</v>
      </c>
      <c r="U650" s="4">
        <f>(H650*(I650-1))</f>
        <v>0</v>
      </c>
      <c r="V650" s="0" t="str">
        <f>INDEX('Account executives'!$B$2:$B$25,MATCH(C650,'Account executives'!$A$2:$A$25,0))</f>
        <v>amer_west</v>
      </c>
      <c r="W650" s="0" t="str">
        <f>INDEX('Account executives'!$C$2:$C$25,MATCH(C650,'Account executives'!$A$2:$A$25,0))</f>
        <v>smb</v>
      </c>
      <c r="X650" s="0" t="str">
        <f>SUBSTITUTE(LOWER(INDEX('Periods'!$G$2:$G$22,MATCH(N650,'Periods'!$A$2:$A$22,0)))," ","_")</f>
        <v>q3_2025</v>
      </c>
    </row>
    <row r="651">
      <c r="A651" s="0" t="inlineStr">
        <is>
          <t xml:space="preserve">o0650</t>
        </is>
      </c>
      <c r="B651" s="0" t="inlineStr">
        <is>
          <t xml:space="preserve">a0551</t>
        </is>
      </c>
      <c r="C651" s="0" t="inlineStr">
        <is>
          <t xml:space="preserve">r01</t>
        </is>
      </c>
      <c r="D651" s="0" t="inlineStr">
        <is>
          <t xml:space="preserve">s_amer_east_out</t>
        </is>
      </c>
      <c r="E651" s="0" t="inlineStr">
        <is>
          <t xml:space="preserve">outbound</t>
        </is>
      </c>
      <c r="F651" s="0" t="inlineStr">
        <is>
          <t xml:space="preserve">closed_lost</t>
        </is>
      </c>
      <c r="G651" s="4">
        <v>1</v>
      </c>
      <c r="H651" s="4">
        <v>198200</v>
      </c>
      <c r="I651" s="4">
        <v>2</v>
      </c>
      <c r="J651" s="4">
        <v>0</v>
      </c>
      <c r="K651" s="16">
        <v>46011</v>
      </c>
      <c r="L651" s="16">
        <v>46060</v>
      </c>
      <c r="M651" s="0" t="inlineStr">
        <is>
          <t xml:space="preserve">dec25</t>
        </is>
      </c>
      <c r="N651" s="0" t="inlineStr">
        <is>
          <t xml:space="preserve">feb26</t>
        </is>
      </c>
      <c r="O651" s="4">
        <v>49</v>
      </c>
      <c r="P651" s="4">
        <v>0</v>
      </c>
      <c r="Q651" s="4">
        <v>1</v>
      </c>
      <c r="R651" s="4">
        <v>0</v>
      </c>
      <c r="S651" s="4">
        <f>(H651*INDEX('Stages'!$D$2:$D$7,MATCH(F651,'Stages'!$A$2:$A$7,0)))</f>
        <v>0</v>
      </c>
      <c r="T651" s="4">
        <f>(H651*I651)</f>
        <v>396400</v>
      </c>
      <c r="U651" s="4">
        <f>(H651*(I651-1))</f>
        <v>198200</v>
      </c>
      <c r="V651" s="0" t="str">
        <f>INDEX('Account executives'!$B$2:$B$25,MATCH(C651,'Account executives'!$A$2:$A$25,0))</f>
        <v>amer_east</v>
      </c>
      <c r="W651" s="0" t="str">
        <f>INDEX('Account executives'!$C$2:$C$25,MATCH(C651,'Account executives'!$A$2:$A$25,0))</f>
        <v>enterprise</v>
      </c>
      <c r="X651" s="0" t="str">
        <f>SUBSTITUTE(LOWER(INDEX('Periods'!$G$2:$G$22,MATCH(N651,'Periods'!$A$2:$A$22,0)))," ","_")</f>
        <v>q1_2026</v>
      </c>
    </row>
    <row r="652">
      <c r="A652" s="0" t="inlineStr">
        <is>
          <t xml:space="preserve">o0651</t>
        </is>
      </c>
      <c r="B652" s="0" t="inlineStr">
        <is>
          <t xml:space="preserve">a0040</t>
        </is>
      </c>
      <c r="C652" s="0" t="inlineStr">
        <is>
          <t xml:space="preserve">r18</t>
        </is>
      </c>
      <c r="D652" s="0" t="inlineStr">
        <is>
          <t xml:space="preserve">s_emea_in</t>
        </is>
      </c>
      <c r="E652" s="0" t="inlineStr">
        <is>
          <t xml:space="preserve">inbound</t>
        </is>
      </c>
      <c r="F652" s="0" t="inlineStr">
        <is>
          <t xml:space="preserve">closed_lost</t>
        </is>
      </c>
      <c r="G652" s="4">
        <v>1</v>
      </c>
      <c r="H652" s="4">
        <v>19100</v>
      </c>
      <c r="I652" s="4">
        <v>1</v>
      </c>
      <c r="J652" s="4">
        <v>0</v>
      </c>
      <c r="K652" s="16">
        <v>45759</v>
      </c>
      <c r="L652" s="16">
        <v>45778</v>
      </c>
      <c r="M652" s="0" t="inlineStr">
        <is>
          <t xml:space="preserve">apr25</t>
        </is>
      </c>
      <c r="N652" s="0" t="inlineStr">
        <is>
          <t xml:space="preserve">may25</t>
        </is>
      </c>
      <c r="O652" s="4">
        <v>19</v>
      </c>
      <c r="P652" s="4">
        <v>0</v>
      </c>
      <c r="Q652" s="4">
        <v>1</v>
      </c>
      <c r="R652" s="4">
        <v>0</v>
      </c>
      <c r="S652" s="4">
        <f>(H652*INDEX('Stages'!$D$2:$D$7,MATCH(F652,'Stages'!$A$2:$A$7,0)))</f>
        <v>0</v>
      </c>
      <c r="T652" s="4">
        <f>(H652*I652)</f>
        <v>19100</v>
      </c>
      <c r="U652" s="4">
        <f>(H652*(I652-1))</f>
        <v>0</v>
      </c>
      <c r="V652" s="0" t="str">
        <f>INDEX('Account executives'!$B$2:$B$25,MATCH(C652,'Account executives'!$A$2:$A$25,0))</f>
        <v>emea</v>
      </c>
      <c r="W652" s="0" t="str">
        <f>INDEX('Account executives'!$C$2:$C$25,MATCH(C652,'Account executives'!$A$2:$A$25,0))</f>
        <v>smb</v>
      </c>
      <c r="X652" s="0" t="str">
        <f>SUBSTITUTE(LOWER(INDEX('Periods'!$G$2:$G$22,MATCH(N652,'Periods'!$A$2:$A$22,0)))," ","_")</f>
        <v>q2_2025</v>
      </c>
    </row>
    <row r="653">
      <c r="A653" s="0" t="inlineStr">
        <is>
          <t xml:space="preserve">o0652</t>
        </is>
      </c>
      <c r="B653" s="0" t="inlineStr">
        <is>
          <t xml:space="preserve">a0894</t>
        </is>
      </c>
      <c r="C653" s="0" t="inlineStr">
        <is>
          <t xml:space="preserve">r03</t>
        </is>
      </c>
      <c r="D653" s="0" t="inlineStr">
        <is>
          <t xml:space="preserve">s_amer_east_in</t>
        </is>
      </c>
      <c r="E653" s="0" t="inlineStr">
        <is>
          <t xml:space="preserve">paid</t>
        </is>
      </c>
      <c r="F653" s="0" t="inlineStr">
        <is>
          <t xml:space="preserve">closed_lost</t>
        </is>
      </c>
      <c r="G653" s="4">
        <v>1</v>
      </c>
      <c r="H653" s="4">
        <v>104300</v>
      </c>
      <c r="I653" s="4">
        <v>1</v>
      </c>
      <c r="J653" s="4">
        <v>1</v>
      </c>
      <c r="K653" s="16">
        <v>46165</v>
      </c>
      <c r="L653" s="16">
        <v>46211</v>
      </c>
      <c r="M653" s="0" t="inlineStr">
        <is>
          <t xml:space="preserve">may26</t>
        </is>
      </c>
      <c r="N653" s="0" t="inlineStr">
        <is>
          <t xml:space="preserve">jul26</t>
        </is>
      </c>
      <c r="O653" s="4">
        <v>46</v>
      </c>
      <c r="P653" s="4">
        <v>0</v>
      </c>
      <c r="Q653" s="4">
        <v>1</v>
      </c>
      <c r="R653" s="4">
        <v>0</v>
      </c>
      <c r="S653" s="4">
        <f>(H653*INDEX('Stages'!$D$2:$D$7,MATCH(F653,'Stages'!$A$2:$A$7,0)))</f>
        <v>0</v>
      </c>
      <c r="T653" s="4">
        <f>(H653*I653)</f>
        <v>104300</v>
      </c>
      <c r="U653" s="4">
        <f>(H653*(I653-1))</f>
        <v>0</v>
      </c>
      <c r="V653" s="0" t="str">
        <f>INDEX('Account executives'!$B$2:$B$25,MATCH(C653,'Account executives'!$A$2:$A$25,0))</f>
        <v>amer_east</v>
      </c>
      <c r="W653" s="0" t="str">
        <f>INDEX('Account executives'!$C$2:$C$25,MATCH(C653,'Account executives'!$A$2:$A$25,0))</f>
        <v>mid_market</v>
      </c>
      <c r="X653" s="0" t="str">
        <f>SUBSTITUTE(LOWER(INDEX('Periods'!$G$2:$G$22,MATCH(N653,'Periods'!$A$2:$A$22,0)))," ","_")</f>
        <v>q3_2026</v>
      </c>
    </row>
    <row r="654">
      <c r="A654" s="0" t="inlineStr">
        <is>
          <t xml:space="preserve">o0653</t>
        </is>
      </c>
      <c r="B654" s="0" t="inlineStr">
        <is>
          <t xml:space="preserve">a0075</t>
        </is>
      </c>
      <c r="C654" s="0" t="inlineStr">
        <is>
          <t xml:space="preserve">r05</t>
        </is>
      </c>
      <c r="D654" s="0" t="inlineStr">
        <is>
          <t xml:space="preserve">s_amer_east_in</t>
        </is>
      </c>
      <c r="E654" s="0" t="inlineStr">
        <is>
          <t xml:space="preserve">inbound</t>
        </is>
      </c>
      <c r="F654" s="0" t="inlineStr">
        <is>
          <t xml:space="preserve">closed_lost</t>
        </is>
      </c>
      <c r="G654" s="4">
        <v>0</v>
      </c>
      <c r="H654" s="4">
        <v>3000</v>
      </c>
      <c r="I654" s="4">
        <v>1</v>
      </c>
      <c r="J654" s="4">
        <v>1</v>
      </c>
      <c r="K654" s="16">
        <v>45811</v>
      </c>
      <c r="L654" s="16">
        <v>45832</v>
      </c>
      <c r="M654" s="0" t="inlineStr">
        <is>
          <t xml:space="preserve">jun25</t>
        </is>
      </c>
      <c r="N654" s="0" t="inlineStr">
        <is>
          <t xml:space="preserve">jun25</t>
        </is>
      </c>
      <c r="O654" s="4">
        <v>21</v>
      </c>
      <c r="P654" s="4">
        <v>0</v>
      </c>
      <c r="Q654" s="4">
        <v>1</v>
      </c>
      <c r="R654" s="4">
        <v>0</v>
      </c>
      <c r="S654" s="4">
        <f>(H654*INDEX('Stages'!$D$2:$D$7,MATCH(F654,'Stages'!$A$2:$A$7,0)))</f>
        <v>0</v>
      </c>
      <c r="T654" s="4">
        <f>(H654*I654)</f>
        <v>3000</v>
      </c>
      <c r="U654" s="4">
        <f>(H654*(I654-1))</f>
        <v>0</v>
      </c>
      <c r="V654" s="0" t="str">
        <f>INDEX('Account executives'!$B$2:$B$25,MATCH(C654,'Account executives'!$A$2:$A$25,0))</f>
        <v>amer_east</v>
      </c>
      <c r="W654" s="0" t="str">
        <f>INDEX('Account executives'!$C$2:$C$25,MATCH(C654,'Account executives'!$A$2:$A$25,0))</f>
        <v>smb</v>
      </c>
      <c r="X654" s="0" t="str">
        <f>SUBSTITUTE(LOWER(INDEX('Periods'!$G$2:$G$22,MATCH(N654,'Periods'!$A$2:$A$22,0)))," ","_")</f>
        <v>q2_2025</v>
      </c>
    </row>
    <row r="655">
      <c r="A655" s="0" t="inlineStr">
        <is>
          <t xml:space="preserve">o0654</t>
        </is>
      </c>
      <c r="B655" s="0" t="inlineStr">
        <is>
          <t xml:space="preserve">a0089</t>
        </is>
      </c>
      <c r="C655" s="0" t="inlineStr">
        <is>
          <t xml:space="preserve">r05</t>
        </is>
      </c>
      <c r="D655" s="0" t="inlineStr">
        <is>
          <t xml:space="preserve">s_amer_east_out</t>
        </is>
      </c>
      <c r="E655" s="0" t="inlineStr">
        <is>
          <t xml:space="preserve">outbound</t>
        </is>
      </c>
      <c r="F655" s="0" t="inlineStr">
        <is>
          <t xml:space="preserve">closed_lost</t>
        </is>
      </c>
      <c r="G655" s="4">
        <v>1</v>
      </c>
      <c r="H655" s="4">
        <v>13300</v>
      </c>
      <c r="I655" s="4">
        <v>1</v>
      </c>
      <c r="J655" s="4">
        <v>1</v>
      </c>
      <c r="K655" s="16">
        <v>45789</v>
      </c>
      <c r="L655" s="16">
        <v>45837</v>
      </c>
      <c r="M655" s="0" t="inlineStr">
        <is>
          <t xml:space="preserve">may25</t>
        </is>
      </c>
      <c r="N655" s="0" t="inlineStr">
        <is>
          <t xml:space="preserve">jun25</t>
        </is>
      </c>
      <c r="O655" s="4">
        <v>48</v>
      </c>
      <c r="P655" s="4">
        <v>0</v>
      </c>
      <c r="Q655" s="4">
        <v>1</v>
      </c>
      <c r="R655" s="4">
        <v>0</v>
      </c>
      <c r="S655" s="4">
        <f>(H655*INDEX('Stages'!$D$2:$D$7,MATCH(F655,'Stages'!$A$2:$A$7,0)))</f>
        <v>0</v>
      </c>
      <c r="T655" s="4">
        <f>(H655*I655)</f>
        <v>13300</v>
      </c>
      <c r="U655" s="4">
        <f>(H655*(I655-1))</f>
        <v>0</v>
      </c>
      <c r="V655" s="0" t="str">
        <f>INDEX('Account executives'!$B$2:$B$25,MATCH(C655,'Account executives'!$A$2:$A$25,0))</f>
        <v>amer_east</v>
      </c>
      <c r="W655" s="0" t="str">
        <f>INDEX('Account executives'!$C$2:$C$25,MATCH(C655,'Account executives'!$A$2:$A$25,0))</f>
        <v>smb</v>
      </c>
      <c r="X655" s="0" t="str">
        <f>SUBSTITUTE(LOWER(INDEX('Periods'!$G$2:$G$22,MATCH(N655,'Periods'!$A$2:$A$22,0)))," ","_")</f>
        <v>q2_2025</v>
      </c>
    </row>
    <row r="656">
      <c r="A656" s="0" t="inlineStr">
        <is>
          <t xml:space="preserve">o0655</t>
        </is>
      </c>
      <c r="B656" s="0" t="inlineStr">
        <is>
          <t xml:space="preserve">a0552</t>
        </is>
      </c>
      <c r="C656" s="0" t="inlineStr">
        <is>
          <t xml:space="preserve">r04</t>
        </is>
      </c>
      <c r="D656" s="0" t="inlineStr">
        <is>
          <t xml:space="preserve">s_amer_east_out</t>
        </is>
      </c>
      <c r="E656" s="0" t="inlineStr">
        <is>
          <t xml:space="preserve">outbound</t>
        </is>
      </c>
      <c r="F656" s="0" t="inlineStr">
        <is>
          <t xml:space="preserve">closed_lost</t>
        </is>
      </c>
      <c r="G656" s="4">
        <v>1</v>
      </c>
      <c r="H656" s="4">
        <v>53600</v>
      </c>
      <c r="I656" s="4">
        <v>1</v>
      </c>
      <c r="J656" s="4">
        <v>1</v>
      </c>
      <c r="K656" s="16">
        <v>46001</v>
      </c>
      <c r="L656" s="16">
        <v>46087</v>
      </c>
      <c r="M656" s="0" t="inlineStr">
        <is>
          <t xml:space="preserve">dec25</t>
        </is>
      </c>
      <c r="N656" s="0" t="inlineStr">
        <is>
          <t xml:space="preserve">mar26</t>
        </is>
      </c>
      <c r="O656" s="4">
        <v>86</v>
      </c>
      <c r="P656" s="4">
        <v>0</v>
      </c>
      <c r="Q656" s="4">
        <v>1</v>
      </c>
      <c r="R656" s="4">
        <v>0</v>
      </c>
      <c r="S656" s="4">
        <f>(H656*INDEX('Stages'!$D$2:$D$7,MATCH(F656,'Stages'!$A$2:$A$7,0)))</f>
        <v>0</v>
      </c>
      <c r="T656" s="4">
        <f>(H656*I656)</f>
        <v>53600</v>
      </c>
      <c r="U656" s="4">
        <f>(H656*(I656-1))</f>
        <v>0</v>
      </c>
      <c r="V656" s="0" t="str">
        <f>INDEX('Account executives'!$B$2:$B$25,MATCH(C656,'Account executives'!$A$2:$A$25,0))</f>
        <v>amer_east</v>
      </c>
      <c r="W656" s="0" t="str">
        <f>INDEX('Account executives'!$C$2:$C$25,MATCH(C656,'Account executives'!$A$2:$A$25,0))</f>
        <v>mid_market</v>
      </c>
      <c r="X656" s="0" t="str">
        <f>SUBSTITUTE(LOWER(INDEX('Periods'!$G$2:$G$22,MATCH(N656,'Periods'!$A$2:$A$22,0)))," ","_")</f>
        <v>q1_2026</v>
      </c>
    </row>
    <row r="657">
      <c r="A657" s="0" t="inlineStr">
        <is>
          <t xml:space="preserve">o0656</t>
        </is>
      </c>
      <c r="B657" s="0" t="inlineStr">
        <is>
          <t xml:space="preserve">a0179</t>
        </is>
      </c>
      <c r="C657" s="0" t="inlineStr">
        <is>
          <t xml:space="preserve">r06</t>
        </is>
      </c>
      <c r="D657" s="0" t="inlineStr">
        <is>
          <t xml:space="preserve">s_amer_east_out</t>
        </is>
      </c>
      <c r="E657" s="0" t="inlineStr">
        <is>
          <t xml:space="preserve">outbound</t>
        </is>
      </c>
      <c r="F657" s="0" t="inlineStr">
        <is>
          <t xml:space="preserve">closed_lost</t>
        </is>
      </c>
      <c r="G657" s="4">
        <v>0</v>
      </c>
      <c r="H657" s="4">
        <v>5300</v>
      </c>
      <c r="I657" s="4">
        <v>1</v>
      </c>
      <c r="J657" s="4">
        <v>0</v>
      </c>
      <c r="K657" s="16">
        <v>45866</v>
      </c>
      <c r="L657" s="16">
        <v>45877</v>
      </c>
      <c r="M657" s="0" t="inlineStr">
        <is>
          <t xml:space="preserve">jul25</t>
        </is>
      </c>
      <c r="N657" s="0" t="inlineStr">
        <is>
          <t xml:space="preserve">aug25</t>
        </is>
      </c>
      <c r="O657" s="4">
        <v>11</v>
      </c>
      <c r="P657" s="4">
        <v>0</v>
      </c>
      <c r="Q657" s="4">
        <v>1</v>
      </c>
      <c r="R657" s="4">
        <v>0</v>
      </c>
      <c r="S657" s="4">
        <f>(H657*INDEX('Stages'!$D$2:$D$7,MATCH(F657,'Stages'!$A$2:$A$7,0)))</f>
        <v>0</v>
      </c>
      <c r="T657" s="4">
        <f>(H657*I657)</f>
        <v>5300</v>
      </c>
      <c r="U657" s="4">
        <f>(H657*(I657-1))</f>
        <v>0</v>
      </c>
      <c r="V657" s="0" t="str">
        <f>INDEX('Account executives'!$B$2:$B$25,MATCH(C657,'Account executives'!$A$2:$A$25,0))</f>
        <v>amer_east</v>
      </c>
      <c r="W657" s="0" t="str">
        <f>INDEX('Account executives'!$C$2:$C$25,MATCH(C657,'Account executives'!$A$2:$A$25,0))</f>
        <v>smb</v>
      </c>
      <c r="X657" s="0" t="str">
        <f>SUBSTITUTE(LOWER(INDEX('Periods'!$G$2:$G$22,MATCH(N657,'Periods'!$A$2:$A$22,0)))," ","_")</f>
        <v>q3_2025</v>
      </c>
    </row>
    <row r="658">
      <c r="A658" s="0" t="inlineStr">
        <is>
          <t xml:space="preserve">o0657</t>
        </is>
      </c>
      <c r="B658" s="0" t="inlineStr">
        <is>
          <t xml:space="preserve">a0622</t>
        </is>
      </c>
      <c r="C658" s="0" t="inlineStr">
        <is>
          <t xml:space="preserve">r09</t>
        </is>
      </c>
      <c r="D658" s="0" t="inlineStr">
        <is>
          <t xml:space="preserve">s_amer_west_in</t>
        </is>
      </c>
      <c r="E658" s="0" t="inlineStr">
        <is>
          <t xml:space="preserve">inbound</t>
        </is>
      </c>
      <c r="F658" s="0" t="inlineStr">
        <is>
          <t xml:space="preserve">closed_lost</t>
        </is>
      </c>
      <c r="G658" s="4">
        <v>1</v>
      </c>
      <c r="H658" s="4">
        <v>44500</v>
      </c>
      <c r="I658" s="4">
        <v>1</v>
      </c>
      <c r="J658" s="4">
        <v>1</v>
      </c>
      <c r="K658" s="16">
        <v>46026</v>
      </c>
      <c r="L658" s="16">
        <v>46064</v>
      </c>
      <c r="M658" s="0" t="inlineStr">
        <is>
          <t xml:space="preserve">jan26</t>
        </is>
      </c>
      <c r="N658" s="0" t="inlineStr">
        <is>
          <t xml:space="preserve">feb26</t>
        </is>
      </c>
      <c r="O658" s="4">
        <v>38</v>
      </c>
      <c r="P658" s="4">
        <v>0</v>
      </c>
      <c r="Q658" s="4">
        <v>1</v>
      </c>
      <c r="R658" s="4">
        <v>0</v>
      </c>
      <c r="S658" s="4">
        <f>(H658*INDEX('Stages'!$D$2:$D$7,MATCH(F658,'Stages'!$A$2:$A$7,0)))</f>
        <v>0</v>
      </c>
      <c r="T658" s="4">
        <f>(H658*I658)</f>
        <v>44500</v>
      </c>
      <c r="U658" s="4">
        <f>(H658*(I658-1))</f>
        <v>0</v>
      </c>
      <c r="V658" s="0" t="str">
        <f>INDEX('Account executives'!$B$2:$B$25,MATCH(C658,'Account executives'!$A$2:$A$25,0))</f>
        <v>amer_west</v>
      </c>
      <c r="W658" s="0" t="str">
        <f>INDEX('Account executives'!$C$2:$C$25,MATCH(C658,'Account executives'!$A$2:$A$25,0))</f>
        <v>mid_market</v>
      </c>
      <c r="X658" s="0" t="str">
        <f>SUBSTITUTE(LOWER(INDEX('Periods'!$G$2:$G$22,MATCH(N658,'Periods'!$A$2:$A$22,0)))," ","_")</f>
        <v>q1_2026</v>
      </c>
    </row>
    <row r="659">
      <c r="A659" s="0" t="inlineStr">
        <is>
          <t xml:space="preserve">o0658</t>
        </is>
      </c>
      <c r="B659" s="0" t="inlineStr">
        <is>
          <t xml:space="preserve">a0415</t>
        </is>
      </c>
      <c r="C659" s="0" t="inlineStr">
        <is>
          <t xml:space="preserve">r01</t>
        </is>
      </c>
      <c r="D659" s="0" t="inlineStr">
        <is>
          <t xml:space="preserve">s_amer_east_in</t>
        </is>
      </c>
      <c r="E659" s="0" t="inlineStr">
        <is>
          <t xml:space="preserve">inbound</t>
        </is>
      </c>
      <c r="F659" s="0" t="inlineStr">
        <is>
          <t xml:space="preserve">closed_lost</t>
        </is>
      </c>
      <c r="G659" s="4">
        <v>1</v>
      </c>
      <c r="H659" s="4">
        <v>369900</v>
      </c>
      <c r="I659" s="4">
        <v>2</v>
      </c>
      <c r="J659" s="4">
        <v>1</v>
      </c>
      <c r="K659" s="16">
        <v>45944</v>
      </c>
      <c r="L659" s="16">
        <v>46055</v>
      </c>
      <c r="M659" s="0" t="inlineStr">
        <is>
          <t xml:space="preserve">oct25</t>
        </is>
      </c>
      <c r="N659" s="0" t="inlineStr">
        <is>
          <t xml:space="preserve">feb26</t>
        </is>
      </c>
      <c r="O659" s="4">
        <v>111</v>
      </c>
      <c r="P659" s="4">
        <v>0</v>
      </c>
      <c r="Q659" s="4">
        <v>1</v>
      </c>
      <c r="R659" s="4">
        <v>0</v>
      </c>
      <c r="S659" s="4">
        <f>(H659*INDEX('Stages'!$D$2:$D$7,MATCH(F659,'Stages'!$A$2:$A$7,0)))</f>
        <v>0</v>
      </c>
      <c r="T659" s="4">
        <f>(H659*I659)</f>
        <v>739800</v>
      </c>
      <c r="U659" s="4">
        <f>(H659*(I659-1))</f>
        <v>369900</v>
      </c>
      <c r="V659" s="0" t="str">
        <f>INDEX('Account executives'!$B$2:$B$25,MATCH(C659,'Account executives'!$A$2:$A$25,0))</f>
        <v>amer_east</v>
      </c>
      <c r="W659" s="0" t="str">
        <f>INDEX('Account executives'!$C$2:$C$25,MATCH(C659,'Account executives'!$A$2:$A$25,0))</f>
        <v>enterprise</v>
      </c>
      <c r="X659" s="0" t="str">
        <f>SUBSTITUTE(LOWER(INDEX('Periods'!$G$2:$G$22,MATCH(N659,'Periods'!$A$2:$A$22,0)))," ","_")</f>
        <v>q1_2026</v>
      </c>
    </row>
    <row r="660">
      <c r="A660" s="0" t="inlineStr">
        <is>
          <t xml:space="preserve">o0659</t>
        </is>
      </c>
      <c r="B660" s="0" t="inlineStr">
        <is>
          <t xml:space="preserve">a0033</t>
        </is>
      </c>
      <c r="C660" s="0" t="inlineStr">
        <is>
          <t xml:space="preserve">r09</t>
        </is>
      </c>
      <c r="D660" s="0" t="inlineStr">
        <is>
          <t xml:space="preserve">s_amer_west_in</t>
        </is>
      </c>
      <c r="E660" s="0" t="inlineStr">
        <is>
          <t xml:space="preserve">paid</t>
        </is>
      </c>
      <c r="F660" s="0" t="inlineStr">
        <is>
          <t xml:space="preserve">closed_lost</t>
        </is>
      </c>
      <c r="G660" s="4">
        <v>0</v>
      </c>
      <c r="H660" s="4">
        <v>23500</v>
      </c>
      <c r="I660" s="4">
        <v>1</v>
      </c>
      <c r="J660" s="4">
        <v>0</v>
      </c>
      <c r="K660" s="16">
        <v>45827</v>
      </c>
      <c r="L660" s="16">
        <v>45928</v>
      </c>
      <c r="M660" s="0" t="inlineStr">
        <is>
          <t xml:space="preserve">jun25</t>
        </is>
      </c>
      <c r="N660" s="0" t="inlineStr">
        <is>
          <t xml:space="preserve">sep25</t>
        </is>
      </c>
      <c r="O660" s="4">
        <v>101</v>
      </c>
      <c r="P660" s="4">
        <v>0</v>
      </c>
      <c r="Q660" s="4">
        <v>1</v>
      </c>
      <c r="R660" s="4">
        <v>0</v>
      </c>
      <c r="S660" s="4">
        <f>(H660*INDEX('Stages'!$D$2:$D$7,MATCH(F660,'Stages'!$A$2:$A$7,0)))</f>
        <v>0</v>
      </c>
      <c r="T660" s="4">
        <f>(H660*I660)</f>
        <v>23500</v>
      </c>
      <c r="U660" s="4">
        <f>(H660*(I660-1))</f>
        <v>0</v>
      </c>
      <c r="V660" s="0" t="str">
        <f>INDEX('Account executives'!$B$2:$B$25,MATCH(C660,'Account executives'!$A$2:$A$25,0))</f>
        <v>amer_west</v>
      </c>
      <c r="W660" s="0" t="str">
        <f>INDEX('Account executives'!$C$2:$C$25,MATCH(C660,'Account executives'!$A$2:$A$25,0))</f>
        <v>mid_market</v>
      </c>
      <c r="X660" s="0" t="str">
        <f>SUBSTITUTE(LOWER(INDEX('Periods'!$G$2:$G$22,MATCH(N660,'Periods'!$A$2:$A$22,0)))," ","_")</f>
        <v>q3_2025</v>
      </c>
    </row>
    <row r="661">
      <c r="A661" s="0" t="inlineStr">
        <is>
          <t xml:space="preserve">o0660</t>
        </is>
      </c>
      <c r="B661" s="0" t="inlineStr">
        <is>
          <t xml:space="preserve">a0916</t>
        </is>
      </c>
      <c r="C661" s="0" t="inlineStr">
        <is>
          <t xml:space="preserve">r12</t>
        </is>
      </c>
      <c r="D661" s="0" t="inlineStr">
        <is>
          <t xml:space="preserve">s_amer_west_in</t>
        </is>
      </c>
      <c r="E661" s="0" t="inlineStr">
        <is>
          <t xml:space="preserve">paid</t>
        </is>
      </c>
      <c r="F661" s="0" t="inlineStr">
        <is>
          <t xml:space="preserve">closed_won</t>
        </is>
      </c>
      <c r="G661" s="4">
        <v>1</v>
      </c>
      <c r="H661" s="4">
        <v>8200</v>
      </c>
      <c r="I661" s="4">
        <v>1</v>
      </c>
      <c r="J661" s="4">
        <v>0</v>
      </c>
      <c r="K661" s="16">
        <v>46161</v>
      </c>
      <c r="L661" s="16">
        <v>46177</v>
      </c>
      <c r="M661" s="0" t="inlineStr">
        <is>
          <t xml:space="preserve">may26</t>
        </is>
      </c>
      <c r="N661" s="0" t="inlineStr">
        <is>
          <t xml:space="preserve">jun26</t>
        </is>
      </c>
      <c r="O661" s="4">
        <v>16</v>
      </c>
      <c r="P661" s="4">
        <v>1</v>
      </c>
      <c r="Q661" s="4">
        <v>0</v>
      </c>
      <c r="R661" s="4">
        <v>0</v>
      </c>
      <c r="S661" s="4">
        <f>(H661*INDEX('Stages'!$D$2:$D$7,MATCH(F661,'Stages'!$A$2:$A$7,0)))</f>
        <v>8200</v>
      </c>
      <c r="T661" s="4">
        <f>(H661*I661)</f>
        <v>8200</v>
      </c>
      <c r="U661" s="4">
        <f>(H661*(I661-1))</f>
        <v>0</v>
      </c>
      <c r="V661" s="0" t="str">
        <f>INDEX('Account executives'!$B$2:$B$25,MATCH(C661,'Account executives'!$A$2:$A$25,0))</f>
        <v>amer_west</v>
      </c>
      <c r="W661" s="0" t="str">
        <f>INDEX('Account executives'!$C$2:$C$25,MATCH(C661,'Account executives'!$A$2:$A$25,0))</f>
        <v>smb</v>
      </c>
      <c r="X661" s="0" t="str">
        <f>SUBSTITUTE(LOWER(INDEX('Periods'!$G$2:$G$22,MATCH(N661,'Periods'!$A$2:$A$22,0)))," ","_")</f>
        <v>q2_2026</v>
      </c>
    </row>
    <row r="662">
      <c r="A662" s="0" t="inlineStr">
        <is>
          <t xml:space="preserve">o0661</t>
        </is>
      </c>
      <c r="B662" s="0" t="inlineStr">
        <is>
          <t xml:space="preserve">a0764</t>
        </is>
      </c>
      <c r="C662" s="0" t="inlineStr">
        <is>
          <t xml:space="preserve">r12</t>
        </is>
      </c>
      <c r="D662" s="0"/>
      <c r="E662" s="0" t="inlineStr">
        <is>
          <t xml:space="preserve">events</t>
        </is>
      </c>
      <c r="F662" s="0" t="inlineStr">
        <is>
          <t xml:space="preserve">closed_won</t>
        </is>
      </c>
      <c r="G662" s="4">
        <v>1</v>
      </c>
      <c r="H662" s="4">
        <v>19900</v>
      </c>
      <c r="I662" s="4">
        <v>1</v>
      </c>
      <c r="J662" s="4">
        <v>0</v>
      </c>
      <c r="K662" s="16">
        <v>46101</v>
      </c>
      <c r="L662" s="16">
        <v>46142</v>
      </c>
      <c r="M662" s="0" t="inlineStr">
        <is>
          <t xml:space="preserve">mar26</t>
        </is>
      </c>
      <c r="N662" s="0" t="inlineStr">
        <is>
          <t xml:space="preserve">apr26</t>
        </is>
      </c>
      <c r="O662" s="4">
        <v>41</v>
      </c>
      <c r="P662" s="4">
        <v>1</v>
      </c>
      <c r="Q662" s="4">
        <v>0</v>
      </c>
      <c r="R662" s="4">
        <v>0</v>
      </c>
      <c r="S662" s="4">
        <f>(H662*INDEX('Stages'!$D$2:$D$7,MATCH(F662,'Stages'!$A$2:$A$7,0)))</f>
        <v>19900</v>
      </c>
      <c r="T662" s="4">
        <f>(H662*I662)</f>
        <v>19900</v>
      </c>
      <c r="U662" s="4">
        <f>(H662*(I662-1))</f>
        <v>0</v>
      </c>
      <c r="V662" s="0" t="str">
        <f>INDEX('Account executives'!$B$2:$B$25,MATCH(C662,'Account executives'!$A$2:$A$25,0))</f>
        <v>amer_west</v>
      </c>
      <c r="W662" s="0" t="str">
        <f>INDEX('Account executives'!$C$2:$C$25,MATCH(C662,'Account executives'!$A$2:$A$25,0))</f>
        <v>smb</v>
      </c>
      <c r="X662" s="0" t="str">
        <f>SUBSTITUTE(LOWER(INDEX('Periods'!$G$2:$G$22,MATCH(N662,'Periods'!$A$2:$A$22,0)))," ","_")</f>
        <v>q2_2026</v>
      </c>
    </row>
    <row r="663">
      <c r="A663" s="0" t="inlineStr">
        <is>
          <t xml:space="preserve">o0662</t>
        </is>
      </c>
      <c r="B663" s="0" t="inlineStr">
        <is>
          <t xml:space="preserve">a1087</t>
        </is>
      </c>
      <c r="C663" s="0" t="inlineStr">
        <is>
          <t xml:space="preserve">r05</t>
        </is>
      </c>
      <c r="D663" s="0"/>
      <c r="E663" s="0" t="inlineStr">
        <is>
          <t xml:space="preserve">referral</t>
        </is>
      </c>
      <c r="F663" s="0" t="inlineStr">
        <is>
          <t xml:space="preserve">proposal</t>
        </is>
      </c>
      <c r="G663" s="4">
        <v>1</v>
      </c>
      <c r="H663" s="4">
        <v>5900</v>
      </c>
      <c r="I663" s="4">
        <v>1</v>
      </c>
      <c r="J663" s="4">
        <v>0</v>
      </c>
      <c r="K663" s="16">
        <v>46209</v>
      </c>
      <c r="L663" s="16">
        <v>46371</v>
      </c>
      <c r="M663" s="0" t="inlineStr">
        <is>
          <t xml:space="preserve">jul26</t>
        </is>
      </c>
      <c r="N663" s="0" t="inlineStr">
        <is>
          <t xml:space="preserve">dec26</t>
        </is>
      </c>
      <c r="O663" s="4">
        <v>84</v>
      </c>
      <c r="P663" s="4">
        <v>0</v>
      </c>
      <c r="Q663" s="4">
        <v>0</v>
      </c>
      <c r="R663" s="4">
        <v>1</v>
      </c>
      <c r="S663" s="4">
        <f>(H663*INDEX('Stages'!$D$2:$D$7,MATCH(F663,'Stages'!$A$2:$A$7,0)))</f>
        <v>2950</v>
      </c>
      <c r="T663" s="4">
        <f>(H663*I663)</f>
        <v>5900</v>
      </c>
      <c r="U663" s="4">
        <f>(H663*(I663-1))</f>
        <v>0</v>
      </c>
      <c r="V663" s="0" t="str">
        <f>INDEX('Account executives'!$B$2:$B$25,MATCH(C663,'Account executives'!$A$2:$A$25,0))</f>
        <v>amer_east</v>
      </c>
      <c r="W663" s="0" t="str">
        <f>INDEX('Account executives'!$C$2:$C$25,MATCH(C663,'Account executives'!$A$2:$A$25,0))</f>
        <v>smb</v>
      </c>
      <c r="X663" s="0" t="str">
        <f>SUBSTITUTE(LOWER(INDEX('Periods'!$G$2:$G$22,MATCH(N663,'Periods'!$A$2:$A$22,0)))," ","_")</f>
        <v>q4_2026</v>
      </c>
    </row>
    <row r="664">
      <c r="A664" s="0" t="inlineStr">
        <is>
          <t xml:space="preserve">o0663</t>
        </is>
      </c>
      <c r="B664" s="0" t="inlineStr">
        <is>
          <t xml:space="preserve">a1060</t>
        </is>
      </c>
      <c r="C664" s="0" t="inlineStr">
        <is>
          <t xml:space="preserve">r22</t>
        </is>
      </c>
      <c r="D664" s="0" t="inlineStr">
        <is>
          <t xml:space="preserve">s_apac_out</t>
        </is>
      </c>
      <c r="E664" s="0" t="inlineStr">
        <is>
          <t xml:space="preserve">outbound</t>
        </is>
      </c>
      <c r="F664" s="0" t="inlineStr">
        <is>
          <t xml:space="preserve">negotiation</t>
        </is>
      </c>
      <c r="G664" s="4">
        <v>0</v>
      </c>
      <c r="H664" s="4">
        <v>34700</v>
      </c>
      <c r="I664" s="4">
        <v>1</v>
      </c>
      <c r="J664" s="4">
        <v>0</v>
      </c>
      <c r="K664" s="16">
        <v>46224</v>
      </c>
      <c r="L664" s="16">
        <v>46371</v>
      </c>
      <c r="M664" s="0" t="inlineStr">
        <is>
          <t xml:space="preserve">jul26</t>
        </is>
      </c>
      <c r="N664" s="0" t="inlineStr">
        <is>
          <t xml:space="preserve">dec26</t>
        </is>
      </c>
      <c r="O664" s="4">
        <v>67</v>
      </c>
      <c r="P664" s="4">
        <v>0</v>
      </c>
      <c r="Q664" s="4">
        <v>0</v>
      </c>
      <c r="R664" s="4">
        <v>1</v>
      </c>
      <c r="S664" s="4">
        <f>(H664*INDEX('Stages'!$D$2:$D$7,MATCH(F664,'Stages'!$A$2:$A$7,0)))</f>
        <v>26025</v>
      </c>
      <c r="T664" s="4">
        <f>(H664*I664)</f>
        <v>34700</v>
      </c>
      <c r="U664" s="4">
        <f>(H664*(I664-1))</f>
        <v>0</v>
      </c>
      <c r="V664" s="0" t="str">
        <f>INDEX('Account executives'!$B$2:$B$25,MATCH(C664,'Account executives'!$A$2:$A$25,0))</f>
        <v>apac</v>
      </c>
      <c r="W664" s="0" t="str">
        <f>INDEX('Account executives'!$C$2:$C$25,MATCH(C664,'Account executives'!$A$2:$A$25,0))</f>
        <v>mid_market</v>
      </c>
      <c r="X664" s="0" t="str">
        <f>SUBSTITUTE(LOWER(INDEX('Periods'!$G$2:$G$22,MATCH(N664,'Periods'!$A$2:$A$22,0)))," ","_")</f>
        <v>q4_2026</v>
      </c>
    </row>
    <row r="665">
      <c r="A665" s="0" t="inlineStr">
        <is>
          <t xml:space="preserve">o0664</t>
        </is>
      </c>
      <c r="B665" s="0" t="inlineStr">
        <is>
          <t xml:space="preserve">a0176</t>
        </is>
      </c>
      <c r="C665" s="0" t="inlineStr">
        <is>
          <t xml:space="preserve">r06</t>
        </is>
      </c>
      <c r="D665" s="0"/>
      <c r="E665" s="0" t="inlineStr">
        <is>
          <t xml:space="preserve">events</t>
        </is>
      </c>
      <c r="F665" s="0" t="inlineStr">
        <is>
          <t xml:space="preserve">closed_won</t>
        </is>
      </c>
      <c r="G665" s="4">
        <v>1</v>
      </c>
      <c r="H665" s="4">
        <v>13900</v>
      </c>
      <c r="I665" s="4">
        <v>1</v>
      </c>
      <c r="J665" s="4">
        <v>0</v>
      </c>
      <c r="K665" s="16">
        <v>45833</v>
      </c>
      <c r="L665" s="16">
        <v>45861</v>
      </c>
      <c r="M665" s="0" t="inlineStr">
        <is>
          <t xml:space="preserve">jun25</t>
        </is>
      </c>
      <c r="N665" s="0" t="inlineStr">
        <is>
          <t xml:space="preserve">jul25</t>
        </is>
      </c>
      <c r="O665" s="4">
        <v>28</v>
      </c>
      <c r="P665" s="4">
        <v>1</v>
      </c>
      <c r="Q665" s="4">
        <v>0</v>
      </c>
      <c r="R665" s="4">
        <v>0</v>
      </c>
      <c r="S665" s="4">
        <f>(H665*INDEX('Stages'!$D$2:$D$7,MATCH(F665,'Stages'!$A$2:$A$7,0)))</f>
        <v>13900</v>
      </c>
      <c r="T665" s="4">
        <f>(H665*I665)</f>
        <v>13900</v>
      </c>
      <c r="U665" s="4">
        <f>(H665*(I665-1))</f>
        <v>0</v>
      </c>
      <c r="V665" s="0" t="str">
        <f>INDEX('Account executives'!$B$2:$B$25,MATCH(C665,'Account executives'!$A$2:$A$25,0))</f>
        <v>amer_east</v>
      </c>
      <c r="W665" s="0" t="str">
        <f>INDEX('Account executives'!$C$2:$C$25,MATCH(C665,'Account executives'!$A$2:$A$25,0))</f>
        <v>smb</v>
      </c>
      <c r="X665" s="0" t="str">
        <f>SUBSTITUTE(LOWER(INDEX('Periods'!$G$2:$G$22,MATCH(N665,'Periods'!$A$2:$A$22,0)))," ","_")</f>
        <v>q3_2025</v>
      </c>
    </row>
    <row r="666">
      <c r="A666" s="0" t="inlineStr">
        <is>
          <t xml:space="preserve">o0665</t>
        </is>
      </c>
      <c r="B666" s="0" t="inlineStr">
        <is>
          <t xml:space="preserve">a0211</t>
        </is>
      </c>
      <c r="C666" s="0" t="inlineStr">
        <is>
          <t xml:space="preserve">r18</t>
        </is>
      </c>
      <c r="D666" s="0" t="inlineStr">
        <is>
          <t xml:space="preserve">s_emea_in</t>
        </is>
      </c>
      <c r="E666" s="0" t="inlineStr">
        <is>
          <t xml:space="preserve">paid</t>
        </is>
      </c>
      <c r="F666" s="0" t="inlineStr">
        <is>
          <t xml:space="preserve">closed_lost</t>
        </is>
      </c>
      <c r="G666" s="4">
        <v>0</v>
      </c>
      <c r="H666" s="4">
        <v>11000</v>
      </c>
      <c r="I666" s="4">
        <v>1</v>
      </c>
      <c r="J666" s="4">
        <v>0</v>
      </c>
      <c r="K666" s="16">
        <v>45815</v>
      </c>
      <c r="L666" s="16">
        <v>45830</v>
      </c>
      <c r="M666" s="0" t="inlineStr">
        <is>
          <t xml:space="preserve">jun25</t>
        </is>
      </c>
      <c r="N666" s="0" t="inlineStr">
        <is>
          <t xml:space="preserve">jun25</t>
        </is>
      </c>
      <c r="O666" s="4">
        <v>15</v>
      </c>
      <c r="P666" s="4">
        <v>0</v>
      </c>
      <c r="Q666" s="4">
        <v>1</v>
      </c>
      <c r="R666" s="4">
        <v>0</v>
      </c>
      <c r="S666" s="4">
        <f>(H666*INDEX('Stages'!$D$2:$D$7,MATCH(F666,'Stages'!$A$2:$A$7,0)))</f>
        <v>0</v>
      </c>
      <c r="T666" s="4">
        <f>(H666*I666)</f>
        <v>11000</v>
      </c>
      <c r="U666" s="4">
        <f>(H666*(I666-1))</f>
        <v>0</v>
      </c>
      <c r="V666" s="0" t="str">
        <f>INDEX('Account executives'!$B$2:$B$25,MATCH(C666,'Account executives'!$A$2:$A$25,0))</f>
        <v>emea</v>
      </c>
      <c r="W666" s="0" t="str">
        <f>INDEX('Account executives'!$C$2:$C$25,MATCH(C666,'Account executives'!$A$2:$A$25,0))</f>
        <v>smb</v>
      </c>
      <c r="X666" s="0" t="str">
        <f>SUBSTITUTE(LOWER(INDEX('Periods'!$G$2:$G$22,MATCH(N666,'Periods'!$A$2:$A$22,0)))," ","_")</f>
        <v>q2_2025</v>
      </c>
    </row>
    <row r="667">
      <c r="A667" s="0" t="inlineStr">
        <is>
          <t xml:space="preserve">o0666</t>
        </is>
      </c>
      <c r="B667" s="0" t="inlineStr">
        <is>
          <t xml:space="preserve">a0705</t>
        </is>
      </c>
      <c r="C667" s="0" t="inlineStr">
        <is>
          <t xml:space="preserve">r17</t>
        </is>
      </c>
      <c r="D667" s="0" t="inlineStr">
        <is>
          <t xml:space="preserve">s_emea_in</t>
        </is>
      </c>
      <c r="E667" s="0" t="inlineStr">
        <is>
          <t xml:space="preserve">inbound</t>
        </is>
      </c>
      <c r="F667" s="0" t="inlineStr">
        <is>
          <t xml:space="preserve">negotiation</t>
        </is>
      </c>
      <c r="G667" s="4">
        <v>0</v>
      </c>
      <c r="H667" s="4">
        <v>11900</v>
      </c>
      <c r="I667" s="4">
        <v>1</v>
      </c>
      <c r="J667" s="4">
        <v>0</v>
      </c>
      <c r="K667" s="16">
        <v>46261</v>
      </c>
      <c r="L667" s="16">
        <v>46326</v>
      </c>
      <c r="M667" s="0" t="inlineStr">
        <is>
          <t xml:space="preserve">aug26</t>
        </is>
      </c>
      <c r="N667" s="0" t="inlineStr">
        <is>
          <t xml:space="preserve">oct26</t>
        </is>
      </c>
      <c r="O667" s="4">
        <v>27</v>
      </c>
      <c r="P667" s="4">
        <v>0</v>
      </c>
      <c r="Q667" s="4">
        <v>0</v>
      </c>
      <c r="R667" s="4">
        <v>1</v>
      </c>
      <c r="S667" s="4">
        <f>(H667*INDEX('Stages'!$D$2:$D$7,MATCH(F667,'Stages'!$A$2:$A$7,0)))</f>
        <v>8925</v>
      </c>
      <c r="T667" s="4">
        <f>(H667*I667)</f>
        <v>11900</v>
      </c>
      <c r="U667" s="4">
        <f>(H667*(I667-1))</f>
        <v>0</v>
      </c>
      <c r="V667" s="0" t="str">
        <f>INDEX('Account executives'!$B$2:$B$25,MATCH(C667,'Account executives'!$A$2:$A$25,0))</f>
        <v>emea</v>
      </c>
      <c r="W667" s="0" t="str">
        <f>INDEX('Account executives'!$C$2:$C$25,MATCH(C667,'Account executives'!$A$2:$A$25,0))</f>
        <v>smb</v>
      </c>
      <c r="X667" s="0" t="str">
        <f>SUBSTITUTE(LOWER(INDEX('Periods'!$G$2:$G$22,MATCH(N667,'Periods'!$A$2:$A$22,0)))," ","_")</f>
        <v>q4_2026</v>
      </c>
    </row>
    <row r="668">
      <c r="A668" s="0" t="inlineStr">
        <is>
          <t xml:space="preserve">o0667</t>
        </is>
      </c>
      <c r="B668" s="0" t="inlineStr">
        <is>
          <t xml:space="preserve">a0133</t>
        </is>
      </c>
      <c r="C668" s="0" t="inlineStr">
        <is>
          <t xml:space="preserve">r16</t>
        </is>
      </c>
      <c r="D668" s="0" t="inlineStr">
        <is>
          <t xml:space="preserve">s_emea_in</t>
        </is>
      </c>
      <c r="E668" s="0" t="inlineStr">
        <is>
          <t xml:space="preserve">inbound</t>
        </is>
      </c>
      <c r="F668" s="0" t="inlineStr">
        <is>
          <t xml:space="preserve">closed_lost</t>
        </is>
      </c>
      <c r="G668" s="4">
        <v>0</v>
      </c>
      <c r="H668" s="4">
        <v>13700</v>
      </c>
      <c r="I668" s="4">
        <v>1</v>
      </c>
      <c r="J668" s="4">
        <v>0</v>
      </c>
      <c r="K668" s="16">
        <v>45983</v>
      </c>
      <c r="L668" s="16">
        <v>46044</v>
      </c>
      <c r="M668" s="0" t="inlineStr">
        <is>
          <t xml:space="preserve">nov25</t>
        </is>
      </c>
      <c r="N668" s="0" t="inlineStr">
        <is>
          <t xml:space="preserve">jan26</t>
        </is>
      </c>
      <c r="O668" s="4">
        <v>61</v>
      </c>
      <c r="P668" s="4">
        <v>0</v>
      </c>
      <c r="Q668" s="4">
        <v>1</v>
      </c>
      <c r="R668" s="4">
        <v>0</v>
      </c>
      <c r="S668" s="4">
        <f>(H668*INDEX('Stages'!$D$2:$D$7,MATCH(F668,'Stages'!$A$2:$A$7,0)))</f>
        <v>0</v>
      </c>
      <c r="T668" s="4">
        <f>(H668*I668)</f>
        <v>13700</v>
      </c>
      <c r="U668" s="4">
        <f>(H668*(I668-1))</f>
        <v>0</v>
      </c>
      <c r="V668" s="0" t="str">
        <f>INDEX('Account executives'!$B$2:$B$25,MATCH(C668,'Account executives'!$A$2:$A$25,0))</f>
        <v>emea</v>
      </c>
      <c r="W668" s="0" t="str">
        <f>INDEX('Account executives'!$C$2:$C$25,MATCH(C668,'Account executives'!$A$2:$A$25,0))</f>
        <v>mid_market</v>
      </c>
      <c r="X668" s="0" t="str">
        <f>SUBSTITUTE(LOWER(INDEX('Periods'!$G$2:$G$22,MATCH(N668,'Periods'!$A$2:$A$22,0)))," ","_")</f>
        <v>q1_2026</v>
      </c>
    </row>
    <row r="669">
      <c r="A669" s="0" t="inlineStr">
        <is>
          <t xml:space="preserve">o0668</t>
        </is>
      </c>
      <c r="B669" s="0" t="inlineStr">
        <is>
          <t xml:space="preserve">a0027</t>
        </is>
      </c>
      <c r="C669" s="0" t="inlineStr">
        <is>
          <t xml:space="preserve">r09</t>
        </is>
      </c>
      <c r="D669" s="0"/>
      <c r="E669" s="0" t="inlineStr">
        <is>
          <t xml:space="preserve">referral</t>
        </is>
      </c>
      <c r="F669" s="0" t="inlineStr">
        <is>
          <t xml:space="preserve">closed_lost</t>
        </is>
      </c>
      <c r="G669" s="4">
        <v>0</v>
      </c>
      <c r="H669" s="4">
        <v>44100</v>
      </c>
      <c r="I669" s="4">
        <v>1</v>
      </c>
      <c r="J669" s="4">
        <v>0</v>
      </c>
      <c r="K669" s="16">
        <v>45755</v>
      </c>
      <c r="L669" s="16">
        <v>45852</v>
      </c>
      <c r="M669" s="0" t="inlineStr">
        <is>
          <t xml:space="preserve">apr25</t>
        </is>
      </c>
      <c r="N669" s="0" t="inlineStr">
        <is>
          <t xml:space="preserve">jul25</t>
        </is>
      </c>
      <c r="O669" s="4">
        <v>97</v>
      </c>
      <c r="P669" s="4">
        <v>0</v>
      </c>
      <c r="Q669" s="4">
        <v>1</v>
      </c>
      <c r="R669" s="4">
        <v>0</v>
      </c>
      <c r="S669" s="4">
        <f>(H669*INDEX('Stages'!$D$2:$D$7,MATCH(F669,'Stages'!$A$2:$A$7,0)))</f>
        <v>0</v>
      </c>
      <c r="T669" s="4">
        <f>(H669*I669)</f>
        <v>44100</v>
      </c>
      <c r="U669" s="4">
        <f>(H669*(I669-1))</f>
        <v>0</v>
      </c>
      <c r="V669" s="0" t="str">
        <f>INDEX('Account executives'!$B$2:$B$25,MATCH(C669,'Account executives'!$A$2:$A$25,0))</f>
        <v>amer_west</v>
      </c>
      <c r="W669" s="0" t="str">
        <f>INDEX('Account executives'!$C$2:$C$25,MATCH(C669,'Account executives'!$A$2:$A$25,0))</f>
        <v>mid_market</v>
      </c>
      <c r="X669" s="0" t="str">
        <f>SUBSTITUTE(LOWER(INDEX('Periods'!$G$2:$G$22,MATCH(N669,'Periods'!$A$2:$A$22,0)))," ","_")</f>
        <v>q3_2025</v>
      </c>
    </row>
    <row r="670">
      <c r="A670" s="0" t="inlineStr">
        <is>
          <t xml:space="preserve">o0669</t>
        </is>
      </c>
      <c r="B670" s="0" t="inlineStr">
        <is>
          <t xml:space="preserve">a0048</t>
        </is>
      </c>
      <c r="C670" s="0" t="inlineStr">
        <is>
          <t xml:space="preserve">r13</t>
        </is>
      </c>
      <c r="D670" s="0" t="inlineStr">
        <is>
          <t xml:space="preserve">s_emea_in</t>
        </is>
      </c>
      <c r="E670" s="0" t="inlineStr">
        <is>
          <t xml:space="preserve">inbound</t>
        </is>
      </c>
      <c r="F670" s="0" t="inlineStr">
        <is>
          <t xml:space="preserve">closed_won</t>
        </is>
      </c>
      <c r="G670" s="4">
        <v>0</v>
      </c>
      <c r="H670" s="4">
        <v>32700</v>
      </c>
      <c r="I670" s="4">
        <v>1</v>
      </c>
      <c r="J670" s="4">
        <v>0</v>
      </c>
      <c r="K670" s="16">
        <v>45802</v>
      </c>
      <c r="L670" s="16">
        <v>45914</v>
      </c>
      <c r="M670" s="0" t="inlineStr">
        <is>
          <t xml:space="preserve">may25</t>
        </is>
      </c>
      <c r="N670" s="0" t="inlineStr">
        <is>
          <t xml:space="preserve">sep25</t>
        </is>
      </c>
      <c r="O670" s="4">
        <v>112</v>
      </c>
      <c r="P670" s="4">
        <v>1</v>
      </c>
      <c r="Q670" s="4">
        <v>0</v>
      </c>
      <c r="R670" s="4">
        <v>0</v>
      </c>
      <c r="S670" s="4">
        <f>(H670*INDEX('Stages'!$D$2:$D$7,MATCH(F670,'Stages'!$A$2:$A$7,0)))</f>
        <v>32700</v>
      </c>
      <c r="T670" s="4">
        <f>(H670*I670)</f>
        <v>32700</v>
      </c>
      <c r="U670" s="4">
        <f>(H670*(I670-1))</f>
        <v>0</v>
      </c>
      <c r="V670" s="0" t="str">
        <f>INDEX('Account executives'!$B$2:$B$25,MATCH(C670,'Account executives'!$A$2:$A$25,0))</f>
        <v>emea</v>
      </c>
      <c r="W670" s="0" t="str">
        <f>INDEX('Account executives'!$C$2:$C$25,MATCH(C670,'Account executives'!$A$2:$A$25,0))</f>
        <v>enterprise</v>
      </c>
      <c r="X670" s="0" t="str">
        <f>SUBSTITUTE(LOWER(INDEX('Periods'!$G$2:$G$22,MATCH(N670,'Periods'!$A$2:$A$22,0)))," ","_")</f>
        <v>q3_2025</v>
      </c>
    </row>
    <row r="671">
      <c r="A671" s="0" t="inlineStr">
        <is>
          <t xml:space="preserve">o0670</t>
        </is>
      </c>
      <c r="B671" s="0" t="inlineStr">
        <is>
          <t xml:space="preserve">a0011</t>
        </is>
      </c>
      <c r="C671" s="0" t="inlineStr">
        <is>
          <t xml:space="preserve">r03</t>
        </is>
      </c>
      <c r="D671" s="0"/>
      <c r="E671" s="0" t="inlineStr">
        <is>
          <t xml:space="preserve">events</t>
        </is>
      </c>
      <c r="F671" s="0" t="inlineStr">
        <is>
          <t xml:space="preserve">closed_won</t>
        </is>
      </c>
      <c r="G671" s="4">
        <v>0</v>
      </c>
      <c r="H671" s="4">
        <v>16400</v>
      </c>
      <c r="I671" s="4">
        <v>2</v>
      </c>
      <c r="J671" s="4">
        <v>0</v>
      </c>
      <c r="K671" s="16">
        <v>46019</v>
      </c>
      <c r="L671" s="16">
        <v>46103</v>
      </c>
      <c r="M671" s="0" t="inlineStr">
        <is>
          <t xml:space="preserve">dec25</t>
        </is>
      </c>
      <c r="N671" s="0" t="inlineStr">
        <is>
          <t xml:space="preserve">mar26</t>
        </is>
      </c>
      <c r="O671" s="4">
        <v>84</v>
      </c>
      <c r="P671" s="4">
        <v>1</v>
      </c>
      <c r="Q671" s="4">
        <v>0</v>
      </c>
      <c r="R671" s="4">
        <v>0</v>
      </c>
      <c r="S671" s="4">
        <f>(H671*INDEX('Stages'!$D$2:$D$7,MATCH(F671,'Stages'!$A$2:$A$7,0)))</f>
        <v>16400</v>
      </c>
      <c r="T671" s="4">
        <f>(H671*I671)</f>
        <v>32800</v>
      </c>
      <c r="U671" s="4">
        <f>(H671*(I671-1))</f>
        <v>16400</v>
      </c>
      <c r="V671" s="0" t="str">
        <f>INDEX('Account executives'!$B$2:$B$25,MATCH(C671,'Account executives'!$A$2:$A$25,0))</f>
        <v>amer_east</v>
      </c>
      <c r="W671" s="0" t="str">
        <f>INDEX('Account executives'!$C$2:$C$25,MATCH(C671,'Account executives'!$A$2:$A$25,0))</f>
        <v>mid_market</v>
      </c>
      <c r="X671" s="0" t="str">
        <f>SUBSTITUTE(LOWER(INDEX('Periods'!$G$2:$G$22,MATCH(N671,'Periods'!$A$2:$A$22,0)))," ","_")</f>
        <v>q1_2026</v>
      </c>
    </row>
    <row r="672">
      <c r="A672" s="0" t="inlineStr">
        <is>
          <t xml:space="preserve">o0671</t>
        </is>
      </c>
      <c r="B672" s="0" t="inlineStr">
        <is>
          <t xml:space="preserve">a0732</t>
        </is>
      </c>
      <c r="C672" s="0" t="inlineStr">
        <is>
          <t xml:space="preserve">r06</t>
        </is>
      </c>
      <c r="D672" s="0"/>
      <c r="E672" s="0" t="inlineStr">
        <is>
          <t xml:space="preserve">events</t>
        </is>
      </c>
      <c r="F672" s="0" t="inlineStr">
        <is>
          <t xml:space="preserve">closed_lost</t>
        </is>
      </c>
      <c r="G672" s="4">
        <v>1</v>
      </c>
      <c r="H672" s="4">
        <v>23300</v>
      </c>
      <c r="I672" s="4">
        <v>1</v>
      </c>
      <c r="J672" s="4">
        <v>0</v>
      </c>
      <c r="K672" s="16">
        <v>46086</v>
      </c>
      <c r="L672" s="16">
        <v>46112</v>
      </c>
      <c r="M672" s="0" t="inlineStr">
        <is>
          <t xml:space="preserve">mar26</t>
        </is>
      </c>
      <c r="N672" s="0" t="inlineStr">
        <is>
          <t xml:space="preserve">mar26</t>
        </is>
      </c>
      <c r="O672" s="4">
        <v>26</v>
      </c>
      <c r="P672" s="4">
        <v>0</v>
      </c>
      <c r="Q672" s="4">
        <v>1</v>
      </c>
      <c r="R672" s="4">
        <v>0</v>
      </c>
      <c r="S672" s="4">
        <f>(H672*INDEX('Stages'!$D$2:$D$7,MATCH(F672,'Stages'!$A$2:$A$7,0)))</f>
        <v>0</v>
      </c>
      <c r="T672" s="4">
        <f>(H672*I672)</f>
        <v>23300</v>
      </c>
      <c r="U672" s="4">
        <f>(H672*(I672-1))</f>
        <v>0</v>
      </c>
      <c r="V672" s="0" t="str">
        <f>INDEX('Account executives'!$B$2:$B$25,MATCH(C672,'Account executives'!$A$2:$A$25,0))</f>
        <v>amer_east</v>
      </c>
      <c r="W672" s="0" t="str">
        <f>INDEX('Account executives'!$C$2:$C$25,MATCH(C672,'Account executives'!$A$2:$A$25,0))</f>
        <v>smb</v>
      </c>
      <c r="X672" s="0" t="str">
        <f>SUBSTITUTE(LOWER(INDEX('Periods'!$G$2:$G$22,MATCH(N672,'Periods'!$A$2:$A$22,0)))," ","_")</f>
        <v>q1_2026</v>
      </c>
    </row>
    <row r="673">
      <c r="A673" s="0" t="inlineStr">
        <is>
          <t xml:space="preserve">o0672</t>
        </is>
      </c>
      <c r="B673" s="0" t="inlineStr">
        <is>
          <t xml:space="preserve">a0375</t>
        </is>
      </c>
      <c r="C673" s="0" t="inlineStr">
        <is>
          <t xml:space="preserve">r11</t>
        </is>
      </c>
      <c r="D673" s="0"/>
      <c r="E673" s="0" t="inlineStr">
        <is>
          <t xml:space="preserve">events</t>
        </is>
      </c>
      <c r="F673" s="0" t="inlineStr">
        <is>
          <t xml:space="preserve">closed_lost</t>
        </is>
      </c>
      <c r="G673" s="4">
        <v>0</v>
      </c>
      <c r="H673" s="4">
        <v>7100</v>
      </c>
      <c r="I673" s="4">
        <v>1</v>
      </c>
      <c r="J673" s="4">
        <v>0</v>
      </c>
      <c r="K673" s="16">
        <v>46255</v>
      </c>
      <c r="L673" s="16">
        <v>46271</v>
      </c>
      <c r="M673" s="0" t="inlineStr">
        <is>
          <t xml:space="preserve">aug26</t>
        </is>
      </c>
      <c r="N673" s="0" t="inlineStr">
        <is>
          <t xml:space="preserve">sep26</t>
        </is>
      </c>
      <c r="O673" s="4">
        <v>16</v>
      </c>
      <c r="P673" s="4">
        <v>0</v>
      </c>
      <c r="Q673" s="4">
        <v>1</v>
      </c>
      <c r="R673" s="4">
        <v>0</v>
      </c>
      <c r="S673" s="4">
        <f>(H673*INDEX('Stages'!$D$2:$D$7,MATCH(F673,'Stages'!$A$2:$A$7,0)))</f>
        <v>0</v>
      </c>
      <c r="T673" s="4">
        <f>(H673*I673)</f>
        <v>7100</v>
      </c>
      <c r="U673" s="4">
        <f>(H673*(I673-1))</f>
        <v>0</v>
      </c>
      <c r="V673" s="0" t="str">
        <f>INDEX('Account executives'!$B$2:$B$25,MATCH(C673,'Account executives'!$A$2:$A$25,0))</f>
        <v>amer_west</v>
      </c>
      <c r="W673" s="0" t="str">
        <f>INDEX('Account executives'!$C$2:$C$25,MATCH(C673,'Account executives'!$A$2:$A$25,0))</f>
        <v>smb</v>
      </c>
      <c r="X673" s="0" t="str">
        <f>SUBSTITUTE(LOWER(INDEX('Periods'!$G$2:$G$22,MATCH(N673,'Periods'!$A$2:$A$22,0)))," ","_")</f>
        <v>q3_2026</v>
      </c>
    </row>
    <row r="674">
      <c r="A674" s="0" t="inlineStr">
        <is>
          <t xml:space="preserve">o0673</t>
        </is>
      </c>
      <c r="B674" s="0" t="inlineStr">
        <is>
          <t xml:space="preserve">a0275</t>
        </is>
      </c>
      <c r="C674" s="0" t="inlineStr">
        <is>
          <t xml:space="preserve">r17</t>
        </is>
      </c>
      <c r="D674" s="0" t="inlineStr">
        <is>
          <t xml:space="preserve">s_emea_in</t>
        </is>
      </c>
      <c r="E674" s="0" t="inlineStr">
        <is>
          <t xml:space="preserve">inbound</t>
        </is>
      </c>
      <c r="F674" s="0" t="inlineStr">
        <is>
          <t xml:space="preserve">closed_won</t>
        </is>
      </c>
      <c r="G674" s="4">
        <v>1</v>
      </c>
      <c r="H674" s="4">
        <v>8800</v>
      </c>
      <c r="I674" s="4">
        <v>1</v>
      </c>
      <c r="J674" s="4">
        <v>0</v>
      </c>
      <c r="K674" s="16">
        <v>45851</v>
      </c>
      <c r="L674" s="16">
        <v>45889</v>
      </c>
      <c r="M674" s="0" t="inlineStr">
        <is>
          <t xml:space="preserve">jul25</t>
        </is>
      </c>
      <c r="N674" s="0" t="inlineStr">
        <is>
          <t xml:space="preserve">aug25</t>
        </is>
      </c>
      <c r="O674" s="4">
        <v>38</v>
      </c>
      <c r="P674" s="4">
        <v>1</v>
      </c>
      <c r="Q674" s="4">
        <v>0</v>
      </c>
      <c r="R674" s="4">
        <v>0</v>
      </c>
      <c r="S674" s="4">
        <f>(H674*INDEX('Stages'!$D$2:$D$7,MATCH(F674,'Stages'!$A$2:$A$7,0)))</f>
        <v>8800</v>
      </c>
      <c r="T674" s="4">
        <f>(H674*I674)</f>
        <v>8800</v>
      </c>
      <c r="U674" s="4">
        <f>(H674*(I674-1))</f>
        <v>0</v>
      </c>
      <c r="V674" s="0" t="str">
        <f>INDEX('Account executives'!$B$2:$B$25,MATCH(C674,'Account executives'!$A$2:$A$25,0))</f>
        <v>emea</v>
      </c>
      <c r="W674" s="0" t="str">
        <f>INDEX('Account executives'!$C$2:$C$25,MATCH(C674,'Account executives'!$A$2:$A$25,0))</f>
        <v>smb</v>
      </c>
      <c r="X674" s="0" t="str">
        <f>SUBSTITUTE(LOWER(INDEX('Periods'!$G$2:$G$22,MATCH(N674,'Periods'!$A$2:$A$22,0)))," ","_")</f>
        <v>q3_2025</v>
      </c>
    </row>
    <row r="675">
      <c r="A675" s="0" t="inlineStr">
        <is>
          <t xml:space="preserve">o0674</t>
        </is>
      </c>
      <c r="B675" s="0" t="inlineStr">
        <is>
          <t xml:space="preserve">a0421</t>
        </is>
      </c>
      <c r="C675" s="0" t="inlineStr">
        <is>
          <t xml:space="preserve">r06</t>
        </is>
      </c>
      <c r="D675" s="0" t="inlineStr">
        <is>
          <t xml:space="preserve">s_amer_east_in</t>
        </is>
      </c>
      <c r="E675" s="0" t="inlineStr">
        <is>
          <t xml:space="preserve">paid</t>
        </is>
      </c>
      <c r="F675" s="0" t="inlineStr">
        <is>
          <t xml:space="preserve">closed_lost</t>
        </is>
      </c>
      <c r="G675" s="4">
        <v>1</v>
      </c>
      <c r="H675" s="4">
        <v>6700</v>
      </c>
      <c r="I675" s="4">
        <v>1</v>
      </c>
      <c r="J675" s="4">
        <v>1</v>
      </c>
      <c r="K675" s="16">
        <v>45947</v>
      </c>
      <c r="L675" s="16">
        <v>45954</v>
      </c>
      <c r="M675" s="0" t="inlineStr">
        <is>
          <t xml:space="preserve">oct25</t>
        </is>
      </c>
      <c r="N675" s="0" t="inlineStr">
        <is>
          <t xml:space="preserve">oct25</t>
        </is>
      </c>
      <c r="O675" s="4">
        <v>7</v>
      </c>
      <c r="P675" s="4">
        <v>0</v>
      </c>
      <c r="Q675" s="4">
        <v>1</v>
      </c>
      <c r="R675" s="4">
        <v>0</v>
      </c>
      <c r="S675" s="4">
        <f>(H675*INDEX('Stages'!$D$2:$D$7,MATCH(F675,'Stages'!$A$2:$A$7,0)))</f>
        <v>0</v>
      </c>
      <c r="T675" s="4">
        <f>(H675*I675)</f>
        <v>6700</v>
      </c>
      <c r="U675" s="4">
        <f>(H675*(I675-1))</f>
        <v>0</v>
      </c>
      <c r="V675" s="0" t="str">
        <f>INDEX('Account executives'!$B$2:$B$25,MATCH(C675,'Account executives'!$A$2:$A$25,0))</f>
        <v>amer_east</v>
      </c>
      <c r="W675" s="0" t="str">
        <f>INDEX('Account executives'!$C$2:$C$25,MATCH(C675,'Account executives'!$A$2:$A$25,0))</f>
        <v>smb</v>
      </c>
      <c r="X675" s="0" t="str">
        <f>SUBSTITUTE(LOWER(INDEX('Periods'!$G$2:$G$22,MATCH(N675,'Periods'!$A$2:$A$22,0)))," ","_")</f>
        <v>q4_2025</v>
      </c>
    </row>
    <row r="676">
      <c r="A676" s="0" t="inlineStr">
        <is>
          <t xml:space="preserve">o0675</t>
        </is>
      </c>
      <c r="B676" s="0" t="inlineStr">
        <is>
          <t xml:space="preserve">a0272</t>
        </is>
      </c>
      <c r="C676" s="0" t="inlineStr">
        <is>
          <t xml:space="preserve">r18</t>
        </is>
      </c>
      <c r="D676" s="0" t="inlineStr">
        <is>
          <t xml:space="preserve">s_emea_in</t>
        </is>
      </c>
      <c r="E676" s="0" t="inlineStr">
        <is>
          <t xml:space="preserve">inbound</t>
        </is>
      </c>
      <c r="F676" s="0" t="inlineStr">
        <is>
          <t xml:space="preserve">closed_lost</t>
        </is>
      </c>
      <c r="G676" s="4">
        <v>1</v>
      </c>
      <c r="H676" s="4">
        <v>20900</v>
      </c>
      <c r="I676" s="4">
        <v>1</v>
      </c>
      <c r="J676" s="4">
        <v>0</v>
      </c>
      <c r="K676" s="16">
        <v>45843</v>
      </c>
      <c r="L676" s="16">
        <v>45867</v>
      </c>
      <c r="M676" s="0" t="inlineStr">
        <is>
          <t xml:space="preserve">jul25</t>
        </is>
      </c>
      <c r="N676" s="0" t="inlineStr">
        <is>
          <t xml:space="preserve">jul25</t>
        </is>
      </c>
      <c r="O676" s="4">
        <v>24</v>
      </c>
      <c r="P676" s="4">
        <v>0</v>
      </c>
      <c r="Q676" s="4">
        <v>1</v>
      </c>
      <c r="R676" s="4">
        <v>0</v>
      </c>
      <c r="S676" s="4">
        <f>(H676*INDEX('Stages'!$D$2:$D$7,MATCH(F676,'Stages'!$A$2:$A$7,0)))</f>
        <v>0</v>
      </c>
      <c r="T676" s="4">
        <f>(H676*I676)</f>
        <v>20900</v>
      </c>
      <c r="U676" s="4">
        <f>(H676*(I676-1))</f>
        <v>0</v>
      </c>
      <c r="V676" s="0" t="str">
        <f>INDEX('Account executives'!$B$2:$B$25,MATCH(C676,'Account executives'!$A$2:$A$25,0))</f>
        <v>emea</v>
      </c>
      <c r="W676" s="0" t="str">
        <f>INDEX('Account executives'!$C$2:$C$25,MATCH(C676,'Account executives'!$A$2:$A$25,0))</f>
        <v>smb</v>
      </c>
      <c r="X676" s="0" t="str">
        <f>SUBSTITUTE(LOWER(INDEX('Periods'!$G$2:$G$22,MATCH(N676,'Periods'!$A$2:$A$22,0)))," ","_")</f>
        <v>q3_2025</v>
      </c>
    </row>
    <row r="677">
      <c r="A677" s="0" t="inlineStr">
        <is>
          <t xml:space="preserve">o0676</t>
        </is>
      </c>
      <c r="B677" s="0" t="inlineStr">
        <is>
          <t xml:space="preserve">a0267</t>
        </is>
      </c>
      <c r="C677" s="0" t="inlineStr">
        <is>
          <t xml:space="preserve">r08</t>
        </is>
      </c>
      <c r="D677" s="0" t="inlineStr">
        <is>
          <t xml:space="preserve">s_amer_west_out</t>
        </is>
      </c>
      <c r="E677" s="0" t="inlineStr">
        <is>
          <t xml:space="preserve">outbound</t>
        </is>
      </c>
      <c r="F677" s="0" t="inlineStr">
        <is>
          <t xml:space="preserve">closed_lost</t>
        </is>
      </c>
      <c r="G677" s="4">
        <v>1</v>
      </c>
      <c r="H677" s="4">
        <v>55900</v>
      </c>
      <c r="I677" s="4">
        <v>2</v>
      </c>
      <c r="J677" s="4">
        <v>0</v>
      </c>
      <c r="K677" s="16">
        <v>45851</v>
      </c>
      <c r="L677" s="16">
        <v>46019</v>
      </c>
      <c r="M677" s="0" t="inlineStr">
        <is>
          <t xml:space="preserve">jul25</t>
        </is>
      </c>
      <c r="N677" s="0" t="inlineStr">
        <is>
          <t xml:space="preserve">dec25</t>
        </is>
      </c>
      <c r="O677" s="4">
        <v>168</v>
      </c>
      <c r="P677" s="4">
        <v>0</v>
      </c>
      <c r="Q677" s="4">
        <v>1</v>
      </c>
      <c r="R677" s="4">
        <v>0</v>
      </c>
      <c r="S677" s="4">
        <f>(H677*INDEX('Stages'!$D$2:$D$7,MATCH(F677,'Stages'!$A$2:$A$7,0)))</f>
        <v>0</v>
      </c>
      <c r="T677" s="4">
        <f>(H677*I677)</f>
        <v>111800</v>
      </c>
      <c r="U677" s="4">
        <f>(H677*(I677-1))</f>
        <v>55900</v>
      </c>
      <c r="V677" s="0" t="str">
        <f>INDEX('Account executives'!$B$2:$B$25,MATCH(C677,'Account executives'!$A$2:$A$25,0))</f>
        <v>amer_west</v>
      </c>
      <c r="W677" s="0" t="str">
        <f>INDEX('Account executives'!$C$2:$C$25,MATCH(C677,'Account executives'!$A$2:$A$25,0))</f>
        <v>enterprise</v>
      </c>
      <c r="X677" s="0" t="str">
        <f>SUBSTITUTE(LOWER(INDEX('Periods'!$G$2:$G$22,MATCH(N677,'Periods'!$A$2:$A$22,0)))," ","_")</f>
        <v>q4_2025</v>
      </c>
    </row>
    <row r="678">
      <c r="A678" s="0" t="inlineStr">
        <is>
          <t xml:space="preserve">o0677</t>
        </is>
      </c>
      <c r="B678" s="0" t="inlineStr">
        <is>
          <t xml:space="preserve">a0448</t>
        </is>
      </c>
      <c r="C678" s="0" t="inlineStr">
        <is>
          <t xml:space="preserve">r14</t>
        </is>
      </c>
      <c r="D678" s="0" t="inlineStr">
        <is>
          <t xml:space="preserve">s_emea_out</t>
        </is>
      </c>
      <c r="E678" s="0" t="inlineStr">
        <is>
          <t xml:space="preserve">outbound</t>
        </is>
      </c>
      <c r="F678" s="0" t="inlineStr">
        <is>
          <t xml:space="preserve">closed_won</t>
        </is>
      </c>
      <c r="G678" s="4">
        <v>0</v>
      </c>
      <c r="H678" s="4">
        <v>22800</v>
      </c>
      <c r="I678" s="4">
        <v>3</v>
      </c>
      <c r="J678" s="4">
        <v>0</v>
      </c>
      <c r="K678" s="16">
        <v>45962</v>
      </c>
      <c r="L678" s="16">
        <v>46091</v>
      </c>
      <c r="M678" s="0" t="inlineStr">
        <is>
          <t xml:space="preserve">nov25</t>
        </is>
      </c>
      <c r="N678" s="0" t="inlineStr">
        <is>
          <t xml:space="preserve">mar26</t>
        </is>
      </c>
      <c r="O678" s="4">
        <v>129</v>
      </c>
      <c r="P678" s="4">
        <v>1</v>
      </c>
      <c r="Q678" s="4">
        <v>0</v>
      </c>
      <c r="R678" s="4">
        <v>0</v>
      </c>
      <c r="S678" s="4">
        <f>(H678*INDEX('Stages'!$D$2:$D$7,MATCH(F678,'Stages'!$A$2:$A$7,0)))</f>
        <v>22800</v>
      </c>
      <c r="T678" s="4">
        <f>(H678*I678)</f>
        <v>68400</v>
      </c>
      <c r="U678" s="4">
        <f>(H678*(I678-1))</f>
        <v>45600</v>
      </c>
      <c r="V678" s="0" t="str">
        <f>INDEX('Account executives'!$B$2:$B$25,MATCH(C678,'Account executives'!$A$2:$A$25,0))</f>
        <v>emea</v>
      </c>
      <c r="W678" s="0" t="str">
        <f>INDEX('Account executives'!$C$2:$C$25,MATCH(C678,'Account executives'!$A$2:$A$25,0))</f>
        <v>enterprise</v>
      </c>
      <c r="X678" s="0" t="str">
        <f>SUBSTITUTE(LOWER(INDEX('Periods'!$G$2:$G$22,MATCH(N678,'Periods'!$A$2:$A$22,0)))," ","_")</f>
        <v>q1_2026</v>
      </c>
    </row>
    <row r="679">
      <c r="A679" s="0" t="inlineStr">
        <is>
          <t xml:space="preserve">o0678</t>
        </is>
      </c>
      <c r="B679" s="0" t="inlineStr">
        <is>
          <t xml:space="preserve">a0192</t>
        </is>
      </c>
      <c r="C679" s="0" t="inlineStr">
        <is>
          <t xml:space="preserve">r09</t>
        </is>
      </c>
      <c r="D679" s="0" t="inlineStr">
        <is>
          <t xml:space="preserve">s_amer_west_in</t>
        </is>
      </c>
      <c r="E679" s="0" t="inlineStr">
        <is>
          <t xml:space="preserve">paid</t>
        </is>
      </c>
      <c r="F679" s="0" t="inlineStr">
        <is>
          <t xml:space="preserve">closed_lost</t>
        </is>
      </c>
      <c r="G679" s="4">
        <v>1</v>
      </c>
      <c r="H679" s="4">
        <v>99200</v>
      </c>
      <c r="I679" s="4">
        <v>1</v>
      </c>
      <c r="J679" s="4">
        <v>1</v>
      </c>
      <c r="K679" s="16">
        <v>45819</v>
      </c>
      <c r="L679" s="16">
        <v>45928</v>
      </c>
      <c r="M679" s="0" t="inlineStr">
        <is>
          <t xml:space="preserve">jun25</t>
        </is>
      </c>
      <c r="N679" s="0" t="inlineStr">
        <is>
          <t xml:space="preserve">sep25</t>
        </is>
      </c>
      <c r="O679" s="4">
        <v>109</v>
      </c>
      <c r="P679" s="4">
        <v>0</v>
      </c>
      <c r="Q679" s="4">
        <v>1</v>
      </c>
      <c r="R679" s="4">
        <v>0</v>
      </c>
      <c r="S679" s="4">
        <f>(H679*INDEX('Stages'!$D$2:$D$7,MATCH(F679,'Stages'!$A$2:$A$7,0)))</f>
        <v>0</v>
      </c>
      <c r="T679" s="4">
        <f>(H679*I679)</f>
        <v>99200</v>
      </c>
      <c r="U679" s="4">
        <f>(H679*(I679-1))</f>
        <v>0</v>
      </c>
      <c r="V679" s="0" t="str">
        <f>INDEX('Account executives'!$B$2:$B$25,MATCH(C679,'Account executives'!$A$2:$A$25,0))</f>
        <v>amer_west</v>
      </c>
      <c r="W679" s="0" t="str">
        <f>INDEX('Account executives'!$C$2:$C$25,MATCH(C679,'Account executives'!$A$2:$A$25,0))</f>
        <v>mid_market</v>
      </c>
      <c r="X679" s="0" t="str">
        <f>SUBSTITUTE(LOWER(INDEX('Periods'!$G$2:$G$22,MATCH(N679,'Periods'!$A$2:$A$22,0)))," ","_")</f>
        <v>q3_2025</v>
      </c>
    </row>
    <row r="680">
      <c r="A680" s="0" t="inlineStr">
        <is>
          <t xml:space="preserve">o0679</t>
        </is>
      </c>
      <c r="B680" s="0" t="inlineStr">
        <is>
          <t xml:space="preserve">a0111</t>
        </is>
      </c>
      <c r="C680" s="0" t="inlineStr">
        <is>
          <t xml:space="preserve">r11</t>
        </is>
      </c>
      <c r="D680" s="0" t="inlineStr">
        <is>
          <t xml:space="preserve">s_amer_west_out</t>
        </is>
      </c>
      <c r="E680" s="0" t="inlineStr">
        <is>
          <t xml:space="preserve">outbound</t>
        </is>
      </c>
      <c r="F680" s="0" t="inlineStr">
        <is>
          <t xml:space="preserve">closed_lost</t>
        </is>
      </c>
      <c r="G680" s="4">
        <v>1</v>
      </c>
      <c r="H680" s="4">
        <v>16700</v>
      </c>
      <c r="I680" s="4">
        <v>1</v>
      </c>
      <c r="J680" s="4">
        <v>0</v>
      </c>
      <c r="K680" s="16">
        <v>45786</v>
      </c>
      <c r="L680" s="16">
        <v>45816</v>
      </c>
      <c r="M680" s="0" t="inlineStr">
        <is>
          <t xml:space="preserve">may25</t>
        </is>
      </c>
      <c r="N680" s="0" t="inlineStr">
        <is>
          <t xml:space="preserve">jun25</t>
        </is>
      </c>
      <c r="O680" s="4">
        <v>30</v>
      </c>
      <c r="P680" s="4">
        <v>0</v>
      </c>
      <c r="Q680" s="4">
        <v>1</v>
      </c>
      <c r="R680" s="4">
        <v>0</v>
      </c>
      <c r="S680" s="4">
        <f>(H680*INDEX('Stages'!$D$2:$D$7,MATCH(F680,'Stages'!$A$2:$A$7,0)))</f>
        <v>0</v>
      </c>
      <c r="T680" s="4">
        <f>(H680*I680)</f>
        <v>16700</v>
      </c>
      <c r="U680" s="4">
        <f>(H680*(I680-1))</f>
        <v>0</v>
      </c>
      <c r="V680" s="0" t="str">
        <f>INDEX('Account executives'!$B$2:$B$25,MATCH(C680,'Account executives'!$A$2:$A$25,0))</f>
        <v>amer_west</v>
      </c>
      <c r="W680" s="0" t="str">
        <f>INDEX('Account executives'!$C$2:$C$25,MATCH(C680,'Account executives'!$A$2:$A$25,0))</f>
        <v>smb</v>
      </c>
      <c r="X680" s="0" t="str">
        <f>SUBSTITUTE(LOWER(INDEX('Periods'!$G$2:$G$22,MATCH(N680,'Periods'!$A$2:$A$22,0)))," ","_")</f>
        <v>q2_2025</v>
      </c>
    </row>
    <row r="681">
      <c r="A681" s="0" t="inlineStr">
        <is>
          <t xml:space="preserve">o0680</t>
        </is>
      </c>
      <c r="B681" s="0" t="inlineStr">
        <is>
          <t xml:space="preserve">a0288</t>
        </is>
      </c>
      <c r="C681" s="0" t="inlineStr">
        <is>
          <t xml:space="preserve">r18</t>
        </is>
      </c>
      <c r="D681" s="0"/>
      <c r="E681" s="0" t="inlineStr">
        <is>
          <t xml:space="preserve">partner</t>
        </is>
      </c>
      <c r="F681" s="0" t="inlineStr">
        <is>
          <t xml:space="preserve">closed_won</t>
        </is>
      </c>
      <c r="G681" s="4">
        <v>1</v>
      </c>
      <c r="H681" s="4">
        <v>7000</v>
      </c>
      <c r="I681" s="4">
        <v>1</v>
      </c>
      <c r="J681" s="4">
        <v>0</v>
      </c>
      <c r="K681" s="16">
        <v>45842</v>
      </c>
      <c r="L681" s="16">
        <v>45928</v>
      </c>
      <c r="M681" s="0" t="inlineStr">
        <is>
          <t xml:space="preserve">jul25</t>
        </is>
      </c>
      <c r="N681" s="0" t="inlineStr">
        <is>
          <t xml:space="preserve">sep25</t>
        </is>
      </c>
      <c r="O681" s="4">
        <v>86</v>
      </c>
      <c r="P681" s="4">
        <v>1</v>
      </c>
      <c r="Q681" s="4">
        <v>0</v>
      </c>
      <c r="R681" s="4">
        <v>0</v>
      </c>
      <c r="S681" s="4">
        <f>(H681*INDEX('Stages'!$D$2:$D$7,MATCH(F681,'Stages'!$A$2:$A$7,0)))</f>
        <v>7000</v>
      </c>
      <c r="T681" s="4">
        <f>(H681*I681)</f>
        <v>7000</v>
      </c>
      <c r="U681" s="4">
        <f>(H681*(I681-1))</f>
        <v>0</v>
      </c>
      <c r="V681" s="0" t="str">
        <f>INDEX('Account executives'!$B$2:$B$25,MATCH(C681,'Account executives'!$A$2:$A$25,0))</f>
        <v>emea</v>
      </c>
      <c r="W681" s="0" t="str">
        <f>INDEX('Account executives'!$C$2:$C$25,MATCH(C681,'Account executives'!$A$2:$A$25,0))</f>
        <v>smb</v>
      </c>
      <c r="X681" s="0" t="str">
        <f>SUBSTITUTE(LOWER(INDEX('Periods'!$G$2:$G$22,MATCH(N681,'Periods'!$A$2:$A$22,0)))," ","_")</f>
        <v>q3_2025</v>
      </c>
    </row>
    <row r="682">
      <c r="A682" s="0" t="inlineStr">
        <is>
          <t xml:space="preserve">o0681</t>
        </is>
      </c>
      <c r="B682" s="0" t="inlineStr">
        <is>
          <t xml:space="preserve">a1128</t>
        </is>
      </c>
      <c r="C682" s="0" t="inlineStr">
        <is>
          <t xml:space="preserve">r17</t>
        </is>
      </c>
      <c r="D682" s="0" t="inlineStr">
        <is>
          <t xml:space="preserve">s_emea_out</t>
        </is>
      </c>
      <c r="E682" s="0" t="inlineStr">
        <is>
          <t xml:space="preserve">outbound</t>
        </is>
      </c>
      <c r="F682" s="0" t="inlineStr">
        <is>
          <t xml:space="preserve">proposal</t>
        </is>
      </c>
      <c r="G682" s="4">
        <v>1</v>
      </c>
      <c r="H682" s="4">
        <v>6700</v>
      </c>
      <c r="I682" s="4">
        <v>1</v>
      </c>
      <c r="J682" s="4">
        <v>0</v>
      </c>
      <c r="K682" s="16">
        <v>46217</v>
      </c>
      <c r="L682" s="16">
        <v>46293</v>
      </c>
      <c r="M682" s="0" t="inlineStr">
        <is>
          <t xml:space="preserve">jul26</t>
        </is>
      </c>
      <c r="N682" s="0" t="inlineStr">
        <is>
          <t xml:space="preserve">sep26</t>
        </is>
      </c>
      <c r="O682" s="4">
        <v>76</v>
      </c>
      <c r="P682" s="4">
        <v>0</v>
      </c>
      <c r="Q682" s="4">
        <v>0</v>
      </c>
      <c r="R682" s="4">
        <v>1</v>
      </c>
      <c r="S682" s="4">
        <f>(H682*INDEX('Stages'!$D$2:$D$7,MATCH(F682,'Stages'!$A$2:$A$7,0)))</f>
        <v>3350</v>
      </c>
      <c r="T682" s="4">
        <f>(H682*I682)</f>
        <v>6700</v>
      </c>
      <c r="U682" s="4">
        <f>(H682*(I682-1))</f>
        <v>0</v>
      </c>
      <c r="V682" s="0" t="str">
        <f>INDEX('Account executives'!$B$2:$B$25,MATCH(C682,'Account executives'!$A$2:$A$25,0))</f>
        <v>emea</v>
      </c>
      <c r="W682" s="0" t="str">
        <f>INDEX('Account executives'!$C$2:$C$25,MATCH(C682,'Account executives'!$A$2:$A$25,0))</f>
        <v>smb</v>
      </c>
      <c r="X682" s="0" t="str">
        <f>SUBSTITUTE(LOWER(INDEX('Periods'!$G$2:$G$22,MATCH(N682,'Periods'!$A$2:$A$22,0)))," ","_")</f>
        <v>q3_2026</v>
      </c>
    </row>
    <row r="683">
      <c r="A683" s="0" t="inlineStr">
        <is>
          <t xml:space="preserve">o0682</t>
        </is>
      </c>
      <c r="B683" s="0" t="inlineStr">
        <is>
          <t xml:space="preserve">a0975</t>
        </is>
      </c>
      <c r="C683" s="0" t="inlineStr">
        <is>
          <t xml:space="preserve">r01</t>
        </is>
      </c>
      <c r="D683" s="0"/>
      <c r="E683" s="0" t="inlineStr">
        <is>
          <t xml:space="preserve">events</t>
        </is>
      </c>
      <c r="F683" s="0" t="inlineStr">
        <is>
          <t xml:space="preserve">negotiation</t>
        </is>
      </c>
      <c r="G683" s="4">
        <v>1</v>
      </c>
      <c r="H683" s="4">
        <v>156300</v>
      </c>
      <c r="I683" s="4">
        <v>2</v>
      </c>
      <c r="J683" s="4">
        <v>0</v>
      </c>
      <c r="K683" s="16">
        <v>46189</v>
      </c>
      <c r="L683" s="16">
        <v>46371</v>
      </c>
      <c r="M683" s="0" t="inlineStr">
        <is>
          <t xml:space="preserve">jun26</t>
        </is>
      </c>
      <c r="N683" s="0" t="inlineStr">
        <is>
          <t xml:space="preserve">dec26</t>
        </is>
      </c>
      <c r="O683" s="4">
        <v>108</v>
      </c>
      <c r="P683" s="4">
        <v>0</v>
      </c>
      <c r="Q683" s="4">
        <v>0</v>
      </c>
      <c r="R683" s="4">
        <v>1</v>
      </c>
      <c r="S683" s="4">
        <f>(H683*INDEX('Stages'!$D$2:$D$7,MATCH(F683,'Stages'!$A$2:$A$7,0)))</f>
        <v>117225</v>
      </c>
      <c r="T683" s="4">
        <f>(H683*I683)</f>
        <v>312600</v>
      </c>
      <c r="U683" s="4">
        <f>(H683*(I683-1))</f>
        <v>156300</v>
      </c>
      <c r="V683" s="0" t="str">
        <f>INDEX('Account executives'!$B$2:$B$25,MATCH(C683,'Account executives'!$A$2:$A$25,0))</f>
        <v>amer_east</v>
      </c>
      <c r="W683" s="0" t="str">
        <f>INDEX('Account executives'!$C$2:$C$25,MATCH(C683,'Account executives'!$A$2:$A$25,0))</f>
        <v>enterprise</v>
      </c>
      <c r="X683" s="0" t="str">
        <f>SUBSTITUTE(LOWER(INDEX('Periods'!$G$2:$G$22,MATCH(N683,'Periods'!$A$2:$A$22,0)))," ","_")</f>
        <v>q4_2026</v>
      </c>
    </row>
    <row r="684">
      <c r="A684" s="0" t="inlineStr">
        <is>
          <t xml:space="preserve">o0683</t>
        </is>
      </c>
      <c r="B684" s="0" t="inlineStr">
        <is>
          <t xml:space="preserve">a0244</t>
        </is>
      </c>
      <c r="C684" s="0" t="inlineStr">
        <is>
          <t xml:space="preserve">r05</t>
        </is>
      </c>
      <c r="D684" s="0"/>
      <c r="E684" s="0" t="inlineStr">
        <is>
          <t xml:space="preserve">events</t>
        </is>
      </c>
      <c r="F684" s="0" t="inlineStr">
        <is>
          <t xml:space="preserve">closed_won</t>
        </is>
      </c>
      <c r="G684" s="4">
        <v>1</v>
      </c>
      <c r="H684" s="4">
        <v>12900</v>
      </c>
      <c r="I684" s="4">
        <v>1</v>
      </c>
      <c r="J684" s="4">
        <v>1</v>
      </c>
      <c r="K684" s="16">
        <v>45850</v>
      </c>
      <c r="L684" s="16">
        <v>45878</v>
      </c>
      <c r="M684" s="0" t="inlineStr">
        <is>
          <t xml:space="preserve">jul25</t>
        </is>
      </c>
      <c r="N684" s="0" t="inlineStr">
        <is>
          <t xml:space="preserve">aug25</t>
        </is>
      </c>
      <c r="O684" s="4">
        <v>28</v>
      </c>
      <c r="P684" s="4">
        <v>1</v>
      </c>
      <c r="Q684" s="4">
        <v>0</v>
      </c>
      <c r="R684" s="4">
        <v>0</v>
      </c>
      <c r="S684" s="4">
        <f>(H684*INDEX('Stages'!$D$2:$D$7,MATCH(F684,'Stages'!$A$2:$A$7,0)))</f>
        <v>12900</v>
      </c>
      <c r="T684" s="4">
        <f>(H684*I684)</f>
        <v>12900</v>
      </c>
      <c r="U684" s="4">
        <f>(H684*(I684-1))</f>
        <v>0</v>
      </c>
      <c r="V684" s="0" t="str">
        <f>INDEX('Account executives'!$B$2:$B$25,MATCH(C684,'Account executives'!$A$2:$A$25,0))</f>
        <v>amer_east</v>
      </c>
      <c r="W684" s="0" t="str">
        <f>INDEX('Account executives'!$C$2:$C$25,MATCH(C684,'Account executives'!$A$2:$A$25,0))</f>
        <v>smb</v>
      </c>
      <c r="X684" s="0" t="str">
        <f>SUBSTITUTE(LOWER(INDEX('Periods'!$G$2:$G$22,MATCH(N684,'Periods'!$A$2:$A$22,0)))," ","_")</f>
        <v>q3_2025</v>
      </c>
    </row>
    <row r="685">
      <c r="A685" s="0" t="inlineStr">
        <is>
          <t xml:space="preserve">o0684</t>
        </is>
      </c>
      <c r="B685" s="0" t="inlineStr">
        <is>
          <t xml:space="preserve">a0518</t>
        </is>
      </c>
      <c r="C685" s="0" t="inlineStr">
        <is>
          <t xml:space="preserve">r16</t>
        </is>
      </c>
      <c r="D685" s="0" t="inlineStr">
        <is>
          <t xml:space="preserve">s_emea_in</t>
        </is>
      </c>
      <c r="E685" s="0" t="inlineStr">
        <is>
          <t xml:space="preserve">inbound</t>
        </is>
      </c>
      <c r="F685" s="0" t="inlineStr">
        <is>
          <t xml:space="preserve">closed_lost</t>
        </is>
      </c>
      <c r="G685" s="4">
        <v>1</v>
      </c>
      <c r="H685" s="4">
        <v>99000</v>
      </c>
      <c r="I685" s="4">
        <v>3</v>
      </c>
      <c r="J685" s="4">
        <v>0</v>
      </c>
      <c r="K685" s="16">
        <v>45964</v>
      </c>
      <c r="L685" s="16">
        <v>46012</v>
      </c>
      <c r="M685" s="0" t="inlineStr">
        <is>
          <t xml:space="preserve">nov25</t>
        </is>
      </c>
      <c r="N685" s="0" t="inlineStr">
        <is>
          <t xml:space="preserve">dec25</t>
        </is>
      </c>
      <c r="O685" s="4">
        <v>48</v>
      </c>
      <c r="P685" s="4">
        <v>0</v>
      </c>
      <c r="Q685" s="4">
        <v>1</v>
      </c>
      <c r="R685" s="4">
        <v>0</v>
      </c>
      <c r="S685" s="4">
        <f>(H685*INDEX('Stages'!$D$2:$D$7,MATCH(F685,'Stages'!$A$2:$A$7,0)))</f>
        <v>0</v>
      </c>
      <c r="T685" s="4">
        <f>(H685*I685)</f>
        <v>297000</v>
      </c>
      <c r="U685" s="4">
        <f>(H685*(I685-1))</f>
        <v>198000</v>
      </c>
      <c r="V685" s="0" t="str">
        <f>INDEX('Account executives'!$B$2:$B$25,MATCH(C685,'Account executives'!$A$2:$A$25,0))</f>
        <v>emea</v>
      </c>
      <c r="W685" s="0" t="str">
        <f>INDEX('Account executives'!$C$2:$C$25,MATCH(C685,'Account executives'!$A$2:$A$25,0))</f>
        <v>mid_market</v>
      </c>
      <c r="X685" s="0" t="str">
        <f>SUBSTITUTE(LOWER(INDEX('Periods'!$G$2:$G$22,MATCH(N685,'Periods'!$A$2:$A$22,0)))," ","_")</f>
        <v>q4_2025</v>
      </c>
    </row>
    <row r="686">
      <c r="A686" s="0" t="inlineStr">
        <is>
          <t xml:space="preserve">o0685</t>
        </is>
      </c>
      <c r="B686" s="0" t="inlineStr">
        <is>
          <t xml:space="preserve">a0730</t>
        </is>
      </c>
      <c r="C686" s="0" t="inlineStr">
        <is>
          <t xml:space="preserve">r05</t>
        </is>
      </c>
      <c r="D686" s="0"/>
      <c r="E686" s="0" t="inlineStr">
        <is>
          <t xml:space="preserve">partner</t>
        </is>
      </c>
      <c r="F686" s="0" t="inlineStr">
        <is>
          <t xml:space="preserve">closed_lost</t>
        </is>
      </c>
      <c r="G686" s="4">
        <v>0</v>
      </c>
      <c r="H686" s="4">
        <v>12400</v>
      </c>
      <c r="I686" s="4">
        <v>1</v>
      </c>
      <c r="J686" s="4">
        <v>0</v>
      </c>
      <c r="K686" s="16">
        <v>46180</v>
      </c>
      <c r="L686" s="16">
        <v>46211</v>
      </c>
      <c r="M686" s="0" t="inlineStr">
        <is>
          <t xml:space="preserve">jun26</t>
        </is>
      </c>
      <c r="N686" s="0" t="inlineStr">
        <is>
          <t xml:space="preserve">jul26</t>
        </is>
      </c>
      <c r="O686" s="4">
        <v>31</v>
      </c>
      <c r="P686" s="4">
        <v>0</v>
      </c>
      <c r="Q686" s="4">
        <v>1</v>
      </c>
      <c r="R686" s="4">
        <v>0</v>
      </c>
      <c r="S686" s="4">
        <f>(H686*INDEX('Stages'!$D$2:$D$7,MATCH(F686,'Stages'!$A$2:$A$7,0)))</f>
        <v>0</v>
      </c>
      <c r="T686" s="4">
        <f>(H686*I686)</f>
        <v>12400</v>
      </c>
      <c r="U686" s="4">
        <f>(H686*(I686-1))</f>
        <v>0</v>
      </c>
      <c r="V686" s="0" t="str">
        <f>INDEX('Account executives'!$B$2:$B$25,MATCH(C686,'Account executives'!$A$2:$A$25,0))</f>
        <v>amer_east</v>
      </c>
      <c r="W686" s="0" t="str">
        <f>INDEX('Account executives'!$C$2:$C$25,MATCH(C686,'Account executives'!$A$2:$A$25,0))</f>
        <v>smb</v>
      </c>
      <c r="X686" s="0" t="str">
        <f>SUBSTITUTE(LOWER(INDEX('Periods'!$G$2:$G$22,MATCH(N686,'Periods'!$A$2:$A$22,0)))," ","_")</f>
        <v>q3_2026</v>
      </c>
    </row>
    <row r="687">
      <c r="A687" s="0" t="inlineStr">
        <is>
          <t xml:space="preserve">o0686</t>
        </is>
      </c>
      <c r="B687" s="0" t="inlineStr">
        <is>
          <t xml:space="preserve">a0030</t>
        </is>
      </c>
      <c r="C687" s="0" t="inlineStr">
        <is>
          <t xml:space="preserve">r12</t>
        </is>
      </c>
      <c r="D687" s="0" t="inlineStr">
        <is>
          <t xml:space="preserve">s_amer_west_in</t>
        </is>
      </c>
      <c r="E687" s="0" t="inlineStr">
        <is>
          <t xml:space="preserve">inbound</t>
        </is>
      </c>
      <c r="F687" s="0" t="inlineStr">
        <is>
          <t xml:space="preserve">closed_won</t>
        </is>
      </c>
      <c r="G687" s="4">
        <v>0</v>
      </c>
      <c r="H687" s="4">
        <v>4700</v>
      </c>
      <c r="I687" s="4">
        <v>1</v>
      </c>
      <c r="J687" s="4">
        <v>0</v>
      </c>
      <c r="K687" s="16">
        <v>45888</v>
      </c>
      <c r="L687" s="16">
        <v>45917</v>
      </c>
      <c r="M687" s="0" t="inlineStr">
        <is>
          <t xml:space="preserve">aug25</t>
        </is>
      </c>
      <c r="N687" s="0" t="inlineStr">
        <is>
          <t xml:space="preserve">sep25</t>
        </is>
      </c>
      <c r="O687" s="4">
        <v>29</v>
      </c>
      <c r="P687" s="4">
        <v>1</v>
      </c>
      <c r="Q687" s="4">
        <v>0</v>
      </c>
      <c r="R687" s="4">
        <v>0</v>
      </c>
      <c r="S687" s="4">
        <f>(H687*INDEX('Stages'!$D$2:$D$7,MATCH(F687,'Stages'!$A$2:$A$7,0)))</f>
        <v>4700</v>
      </c>
      <c r="T687" s="4">
        <f>(H687*I687)</f>
        <v>4700</v>
      </c>
      <c r="U687" s="4">
        <f>(H687*(I687-1))</f>
        <v>0</v>
      </c>
      <c r="V687" s="0" t="str">
        <f>INDEX('Account executives'!$B$2:$B$25,MATCH(C687,'Account executives'!$A$2:$A$25,0))</f>
        <v>amer_west</v>
      </c>
      <c r="W687" s="0" t="str">
        <f>INDEX('Account executives'!$C$2:$C$25,MATCH(C687,'Account executives'!$A$2:$A$25,0))</f>
        <v>smb</v>
      </c>
      <c r="X687" s="0" t="str">
        <f>SUBSTITUTE(LOWER(INDEX('Periods'!$G$2:$G$22,MATCH(N687,'Periods'!$A$2:$A$22,0)))," ","_")</f>
        <v>q3_2025</v>
      </c>
    </row>
    <row r="688">
      <c r="A688" s="0" t="inlineStr">
        <is>
          <t xml:space="preserve">o0687</t>
        </is>
      </c>
      <c r="B688" s="0" t="inlineStr">
        <is>
          <t xml:space="preserve">a0350</t>
        </is>
      </c>
      <c r="C688" s="0" t="inlineStr">
        <is>
          <t xml:space="preserve">r22</t>
        </is>
      </c>
      <c r="D688" s="0" t="inlineStr">
        <is>
          <t xml:space="preserve">s_apac_in</t>
        </is>
      </c>
      <c r="E688" s="0" t="inlineStr">
        <is>
          <t xml:space="preserve">inbound</t>
        </is>
      </c>
      <c r="F688" s="0" t="inlineStr">
        <is>
          <t xml:space="preserve">closed_lost</t>
        </is>
      </c>
      <c r="G688" s="4">
        <v>1</v>
      </c>
      <c r="H688" s="4">
        <v>41900</v>
      </c>
      <c r="I688" s="4">
        <v>1</v>
      </c>
      <c r="J688" s="4">
        <v>0</v>
      </c>
      <c r="K688" s="16">
        <v>45879</v>
      </c>
      <c r="L688" s="16">
        <v>46019</v>
      </c>
      <c r="M688" s="0" t="inlineStr">
        <is>
          <t xml:space="preserve">aug25</t>
        </is>
      </c>
      <c r="N688" s="0" t="inlineStr">
        <is>
          <t xml:space="preserve">dec25</t>
        </is>
      </c>
      <c r="O688" s="4">
        <v>140</v>
      </c>
      <c r="P688" s="4">
        <v>0</v>
      </c>
      <c r="Q688" s="4">
        <v>1</v>
      </c>
      <c r="R688" s="4">
        <v>0</v>
      </c>
      <c r="S688" s="4">
        <f>(H688*INDEX('Stages'!$D$2:$D$7,MATCH(F688,'Stages'!$A$2:$A$7,0)))</f>
        <v>0</v>
      </c>
      <c r="T688" s="4">
        <f>(H688*I688)</f>
        <v>41900</v>
      </c>
      <c r="U688" s="4">
        <f>(H688*(I688-1))</f>
        <v>0</v>
      </c>
      <c r="V688" s="0" t="str">
        <f>INDEX('Account executives'!$B$2:$B$25,MATCH(C688,'Account executives'!$A$2:$A$25,0))</f>
        <v>apac</v>
      </c>
      <c r="W688" s="0" t="str">
        <f>INDEX('Account executives'!$C$2:$C$25,MATCH(C688,'Account executives'!$A$2:$A$25,0))</f>
        <v>mid_market</v>
      </c>
      <c r="X688" s="0" t="str">
        <f>SUBSTITUTE(LOWER(INDEX('Periods'!$G$2:$G$22,MATCH(N688,'Periods'!$A$2:$A$22,0)))," ","_")</f>
        <v>q4_2025</v>
      </c>
    </row>
    <row r="689">
      <c r="A689" s="0" t="inlineStr">
        <is>
          <t xml:space="preserve">o0688</t>
        </is>
      </c>
      <c r="B689" s="0" t="inlineStr">
        <is>
          <t xml:space="preserve">a0495</t>
        </is>
      </c>
      <c r="C689" s="0" t="inlineStr">
        <is>
          <t xml:space="preserve">r07</t>
        </is>
      </c>
      <c r="D689" s="0" t="inlineStr">
        <is>
          <t xml:space="preserve">s_amer_west_in</t>
        </is>
      </c>
      <c r="E689" s="0" t="inlineStr">
        <is>
          <t xml:space="preserve">inbound</t>
        </is>
      </c>
      <c r="F689" s="0" t="inlineStr">
        <is>
          <t xml:space="preserve">closed_won</t>
        </is>
      </c>
      <c r="G689" s="4">
        <v>1</v>
      </c>
      <c r="H689" s="4">
        <v>368800</v>
      </c>
      <c r="I689" s="4">
        <v>1</v>
      </c>
      <c r="J689" s="4">
        <v>0</v>
      </c>
      <c r="K689" s="16">
        <v>45968</v>
      </c>
      <c r="L689" s="16">
        <v>46111</v>
      </c>
      <c r="M689" s="0" t="inlineStr">
        <is>
          <t xml:space="preserve">nov25</t>
        </is>
      </c>
      <c r="N689" s="0" t="inlineStr">
        <is>
          <t xml:space="preserve">mar26</t>
        </is>
      </c>
      <c r="O689" s="4">
        <v>143</v>
      </c>
      <c r="P689" s="4">
        <v>1</v>
      </c>
      <c r="Q689" s="4">
        <v>0</v>
      </c>
      <c r="R689" s="4">
        <v>0</v>
      </c>
      <c r="S689" s="4">
        <f>(H689*INDEX('Stages'!$D$2:$D$7,MATCH(F689,'Stages'!$A$2:$A$7,0)))</f>
        <v>368800</v>
      </c>
      <c r="T689" s="4">
        <f>(H689*I689)</f>
        <v>368800</v>
      </c>
      <c r="U689" s="4">
        <f>(H689*(I689-1))</f>
        <v>0</v>
      </c>
      <c r="V689" s="0" t="str">
        <f>INDEX('Account executives'!$B$2:$B$25,MATCH(C689,'Account executives'!$A$2:$A$25,0))</f>
        <v>amer_west</v>
      </c>
      <c r="W689" s="0" t="str">
        <f>INDEX('Account executives'!$C$2:$C$25,MATCH(C689,'Account executives'!$A$2:$A$25,0))</f>
        <v>enterprise</v>
      </c>
      <c r="X689" s="0" t="str">
        <f>SUBSTITUTE(LOWER(INDEX('Periods'!$G$2:$G$22,MATCH(N689,'Periods'!$A$2:$A$22,0)))," ","_")</f>
        <v>q1_2026</v>
      </c>
    </row>
    <row r="690">
      <c r="A690" s="0" t="inlineStr">
        <is>
          <t xml:space="preserve">o0689</t>
        </is>
      </c>
      <c r="B690" s="0" t="inlineStr">
        <is>
          <t xml:space="preserve">a0110</t>
        </is>
      </c>
      <c r="C690" s="0" t="inlineStr">
        <is>
          <t xml:space="preserve">r09</t>
        </is>
      </c>
      <c r="D690" s="0" t="inlineStr">
        <is>
          <t xml:space="preserve">s_amer_west_out</t>
        </is>
      </c>
      <c r="E690" s="0" t="inlineStr">
        <is>
          <t xml:space="preserve">outbound</t>
        </is>
      </c>
      <c r="F690" s="0" t="inlineStr">
        <is>
          <t xml:space="preserve">closed_lost</t>
        </is>
      </c>
      <c r="G690" s="4">
        <v>1</v>
      </c>
      <c r="H690" s="4">
        <v>25200</v>
      </c>
      <c r="I690" s="4">
        <v>2</v>
      </c>
      <c r="J690" s="4">
        <v>1</v>
      </c>
      <c r="K690" s="16">
        <v>45798</v>
      </c>
      <c r="L690" s="16">
        <v>45877</v>
      </c>
      <c r="M690" s="0" t="inlineStr">
        <is>
          <t xml:space="preserve">may25</t>
        </is>
      </c>
      <c r="N690" s="0" t="inlineStr">
        <is>
          <t xml:space="preserve">aug25</t>
        </is>
      </c>
      <c r="O690" s="4">
        <v>79</v>
      </c>
      <c r="P690" s="4">
        <v>0</v>
      </c>
      <c r="Q690" s="4">
        <v>1</v>
      </c>
      <c r="R690" s="4">
        <v>0</v>
      </c>
      <c r="S690" s="4">
        <f>(H690*INDEX('Stages'!$D$2:$D$7,MATCH(F690,'Stages'!$A$2:$A$7,0)))</f>
        <v>0</v>
      </c>
      <c r="T690" s="4">
        <f>(H690*I690)</f>
        <v>50400</v>
      </c>
      <c r="U690" s="4">
        <f>(H690*(I690-1))</f>
        <v>25200</v>
      </c>
      <c r="V690" s="0" t="str">
        <f>INDEX('Account executives'!$B$2:$B$25,MATCH(C690,'Account executives'!$A$2:$A$25,0))</f>
        <v>amer_west</v>
      </c>
      <c r="W690" s="0" t="str">
        <f>INDEX('Account executives'!$C$2:$C$25,MATCH(C690,'Account executives'!$A$2:$A$25,0))</f>
        <v>mid_market</v>
      </c>
      <c r="X690" s="0" t="str">
        <f>SUBSTITUTE(LOWER(INDEX('Periods'!$G$2:$G$22,MATCH(N690,'Periods'!$A$2:$A$22,0)))," ","_")</f>
        <v>q3_2025</v>
      </c>
    </row>
    <row r="691">
      <c r="A691" s="0" t="inlineStr">
        <is>
          <t xml:space="preserve">o0690</t>
        </is>
      </c>
      <c r="B691" s="0" t="inlineStr">
        <is>
          <t xml:space="preserve">a0563</t>
        </is>
      </c>
      <c r="C691" s="0" t="inlineStr">
        <is>
          <t xml:space="preserve">r09</t>
        </is>
      </c>
      <c r="D691" s="0" t="inlineStr">
        <is>
          <t xml:space="preserve">s_amer_west_in</t>
        </is>
      </c>
      <c r="E691" s="0" t="inlineStr">
        <is>
          <t xml:space="preserve">inbound</t>
        </is>
      </c>
      <c r="F691" s="0" t="inlineStr">
        <is>
          <t xml:space="preserve">closed_lost</t>
        </is>
      </c>
      <c r="G691" s="4">
        <v>1</v>
      </c>
      <c r="H691" s="4">
        <v>63200</v>
      </c>
      <c r="I691" s="4">
        <v>1</v>
      </c>
      <c r="J691" s="4">
        <v>0</v>
      </c>
      <c r="K691" s="16">
        <v>46019</v>
      </c>
      <c r="L691" s="16">
        <v>46109</v>
      </c>
      <c r="M691" s="0" t="inlineStr">
        <is>
          <t xml:space="preserve">dec25</t>
        </is>
      </c>
      <c r="N691" s="0" t="inlineStr">
        <is>
          <t xml:space="preserve">mar26</t>
        </is>
      </c>
      <c r="O691" s="4">
        <v>90</v>
      </c>
      <c r="P691" s="4">
        <v>0</v>
      </c>
      <c r="Q691" s="4">
        <v>1</v>
      </c>
      <c r="R691" s="4">
        <v>0</v>
      </c>
      <c r="S691" s="4">
        <f>(H691*INDEX('Stages'!$D$2:$D$7,MATCH(F691,'Stages'!$A$2:$A$7,0)))</f>
        <v>0</v>
      </c>
      <c r="T691" s="4">
        <f>(H691*I691)</f>
        <v>63200</v>
      </c>
      <c r="U691" s="4">
        <f>(H691*(I691-1))</f>
        <v>0</v>
      </c>
      <c r="V691" s="0" t="str">
        <f>INDEX('Account executives'!$B$2:$B$25,MATCH(C691,'Account executives'!$A$2:$A$25,0))</f>
        <v>amer_west</v>
      </c>
      <c r="W691" s="0" t="str">
        <f>INDEX('Account executives'!$C$2:$C$25,MATCH(C691,'Account executives'!$A$2:$A$25,0))</f>
        <v>mid_market</v>
      </c>
      <c r="X691" s="0" t="str">
        <f>SUBSTITUTE(LOWER(INDEX('Periods'!$G$2:$G$22,MATCH(N691,'Periods'!$A$2:$A$22,0)))," ","_")</f>
        <v>q1_2026</v>
      </c>
    </row>
    <row r="692">
      <c r="A692" s="0" t="inlineStr">
        <is>
          <t xml:space="preserve">o0691</t>
        </is>
      </c>
      <c r="B692" s="0" t="inlineStr">
        <is>
          <t xml:space="preserve">a0153</t>
        </is>
      </c>
      <c r="C692" s="0" t="inlineStr">
        <is>
          <t xml:space="preserve">r22</t>
        </is>
      </c>
      <c r="D692" s="0" t="inlineStr">
        <is>
          <t xml:space="preserve">s_apac_out</t>
        </is>
      </c>
      <c r="E692" s="0" t="inlineStr">
        <is>
          <t xml:space="preserve">outbound</t>
        </is>
      </c>
      <c r="F692" s="0" t="inlineStr">
        <is>
          <t xml:space="preserve">closed_lost</t>
        </is>
      </c>
      <c r="G692" s="4">
        <v>1</v>
      </c>
      <c r="H692" s="4">
        <v>45600</v>
      </c>
      <c r="I692" s="4">
        <v>2</v>
      </c>
      <c r="J692" s="4">
        <v>0</v>
      </c>
      <c r="K692" s="16">
        <v>45784</v>
      </c>
      <c r="L692" s="16">
        <v>45857</v>
      </c>
      <c r="M692" s="0" t="inlineStr">
        <is>
          <t xml:space="preserve">may25</t>
        </is>
      </c>
      <c r="N692" s="0" t="inlineStr">
        <is>
          <t xml:space="preserve">jul25</t>
        </is>
      </c>
      <c r="O692" s="4">
        <v>73</v>
      </c>
      <c r="P692" s="4">
        <v>0</v>
      </c>
      <c r="Q692" s="4">
        <v>1</v>
      </c>
      <c r="R692" s="4">
        <v>0</v>
      </c>
      <c r="S692" s="4">
        <f>(H692*INDEX('Stages'!$D$2:$D$7,MATCH(F692,'Stages'!$A$2:$A$7,0)))</f>
        <v>0</v>
      </c>
      <c r="T692" s="4">
        <f>(H692*I692)</f>
        <v>91200</v>
      </c>
      <c r="U692" s="4">
        <f>(H692*(I692-1))</f>
        <v>45600</v>
      </c>
      <c r="V692" s="0" t="str">
        <f>INDEX('Account executives'!$B$2:$B$25,MATCH(C692,'Account executives'!$A$2:$A$25,0))</f>
        <v>apac</v>
      </c>
      <c r="W692" s="0" t="str">
        <f>INDEX('Account executives'!$C$2:$C$25,MATCH(C692,'Account executives'!$A$2:$A$25,0))</f>
        <v>mid_market</v>
      </c>
      <c r="X692" s="0" t="str">
        <f>SUBSTITUTE(LOWER(INDEX('Periods'!$G$2:$G$22,MATCH(N692,'Periods'!$A$2:$A$22,0)))," ","_")</f>
        <v>q3_2025</v>
      </c>
    </row>
    <row r="693">
      <c r="A693" s="0" t="inlineStr">
        <is>
          <t xml:space="preserve">o0692</t>
        </is>
      </c>
      <c r="B693" s="0" t="inlineStr">
        <is>
          <t xml:space="preserve">a0788</t>
        </is>
      </c>
      <c r="C693" s="0" t="inlineStr">
        <is>
          <t xml:space="preserve">r24</t>
        </is>
      </c>
      <c r="D693" s="0"/>
      <c r="E693" s="0" t="inlineStr">
        <is>
          <t xml:space="preserve">events</t>
        </is>
      </c>
      <c r="F693" s="0" t="inlineStr">
        <is>
          <t xml:space="preserve">closed_lost</t>
        </is>
      </c>
      <c r="G693" s="4">
        <v>0</v>
      </c>
      <c r="H693" s="4">
        <v>6500</v>
      </c>
      <c r="I693" s="4">
        <v>1</v>
      </c>
      <c r="J693" s="4">
        <v>1</v>
      </c>
      <c r="K693" s="16">
        <v>46129</v>
      </c>
      <c r="L693" s="16">
        <v>46170</v>
      </c>
      <c r="M693" s="0" t="inlineStr">
        <is>
          <t xml:space="preserve">apr26</t>
        </is>
      </c>
      <c r="N693" s="0" t="inlineStr">
        <is>
          <t xml:space="preserve">may26</t>
        </is>
      </c>
      <c r="O693" s="4">
        <v>41</v>
      </c>
      <c r="P693" s="4">
        <v>0</v>
      </c>
      <c r="Q693" s="4">
        <v>1</v>
      </c>
      <c r="R693" s="4">
        <v>0</v>
      </c>
      <c r="S693" s="4">
        <f>(H693*INDEX('Stages'!$D$2:$D$7,MATCH(F693,'Stages'!$A$2:$A$7,0)))</f>
        <v>0</v>
      </c>
      <c r="T693" s="4">
        <f>(H693*I693)</f>
        <v>6500</v>
      </c>
      <c r="U693" s="4">
        <f>(H693*(I693-1))</f>
        <v>0</v>
      </c>
      <c r="V693" s="0" t="str">
        <f>INDEX('Account executives'!$B$2:$B$25,MATCH(C693,'Account executives'!$A$2:$A$25,0))</f>
        <v>apac</v>
      </c>
      <c r="W693" s="0" t="str">
        <f>INDEX('Account executives'!$C$2:$C$25,MATCH(C693,'Account executives'!$A$2:$A$25,0))</f>
        <v>smb</v>
      </c>
      <c r="X693" s="0" t="str">
        <f>SUBSTITUTE(LOWER(INDEX('Periods'!$G$2:$G$22,MATCH(N693,'Periods'!$A$2:$A$22,0)))," ","_")</f>
        <v>q2_2026</v>
      </c>
    </row>
    <row r="694">
      <c r="A694" s="0" t="inlineStr">
        <is>
          <t xml:space="preserve">o0693</t>
        </is>
      </c>
      <c r="B694" s="0" t="inlineStr">
        <is>
          <t xml:space="preserve">a0531</t>
        </is>
      </c>
      <c r="C694" s="0" t="inlineStr">
        <is>
          <t xml:space="preserve">r24</t>
        </is>
      </c>
      <c r="D694" s="0" t="inlineStr">
        <is>
          <t xml:space="preserve">s_apac_out</t>
        </is>
      </c>
      <c r="E694" s="0" t="inlineStr">
        <is>
          <t xml:space="preserve">outbound</t>
        </is>
      </c>
      <c r="F694" s="0" t="inlineStr">
        <is>
          <t xml:space="preserve">closed_won</t>
        </is>
      </c>
      <c r="G694" s="4">
        <v>1</v>
      </c>
      <c r="H694" s="4">
        <v>19600</v>
      </c>
      <c r="I694" s="4">
        <v>1</v>
      </c>
      <c r="J694" s="4">
        <v>0</v>
      </c>
      <c r="K694" s="16">
        <v>45979</v>
      </c>
      <c r="L694" s="16">
        <v>45997</v>
      </c>
      <c r="M694" s="0" t="inlineStr">
        <is>
          <t xml:space="preserve">nov25</t>
        </is>
      </c>
      <c r="N694" s="0" t="inlineStr">
        <is>
          <t xml:space="preserve">dec25</t>
        </is>
      </c>
      <c r="O694" s="4">
        <v>18</v>
      </c>
      <c r="P694" s="4">
        <v>1</v>
      </c>
      <c r="Q694" s="4">
        <v>0</v>
      </c>
      <c r="R694" s="4">
        <v>0</v>
      </c>
      <c r="S694" s="4">
        <f>(H694*INDEX('Stages'!$D$2:$D$7,MATCH(F694,'Stages'!$A$2:$A$7,0)))</f>
        <v>19600</v>
      </c>
      <c r="T694" s="4">
        <f>(H694*I694)</f>
        <v>19600</v>
      </c>
      <c r="U694" s="4">
        <f>(H694*(I694-1))</f>
        <v>0</v>
      </c>
      <c r="V694" s="0" t="str">
        <f>INDEX('Account executives'!$B$2:$B$25,MATCH(C694,'Account executives'!$A$2:$A$25,0))</f>
        <v>apac</v>
      </c>
      <c r="W694" s="0" t="str">
        <f>INDEX('Account executives'!$C$2:$C$25,MATCH(C694,'Account executives'!$A$2:$A$25,0))</f>
        <v>smb</v>
      </c>
      <c r="X694" s="0" t="str">
        <f>SUBSTITUTE(LOWER(INDEX('Periods'!$G$2:$G$22,MATCH(N694,'Periods'!$A$2:$A$22,0)))," ","_")</f>
        <v>q4_2025</v>
      </c>
    </row>
    <row r="695">
      <c r="A695" s="0" t="inlineStr">
        <is>
          <t xml:space="preserve">o0694</t>
        </is>
      </c>
      <c r="B695" s="0" t="inlineStr">
        <is>
          <t xml:space="preserve">a0703</t>
        </is>
      </c>
      <c r="C695" s="0" t="inlineStr">
        <is>
          <t xml:space="preserve">r16</t>
        </is>
      </c>
      <c r="D695" s="0" t="inlineStr">
        <is>
          <t xml:space="preserve">s_emea_out</t>
        </is>
      </c>
      <c r="E695" s="0" t="inlineStr">
        <is>
          <t xml:space="preserve">outbound</t>
        </is>
      </c>
      <c r="F695" s="0" t="inlineStr">
        <is>
          <t xml:space="preserve">closed_lost</t>
        </is>
      </c>
      <c r="G695" s="4">
        <v>1</v>
      </c>
      <c r="H695" s="4">
        <v>115100</v>
      </c>
      <c r="I695" s="4">
        <v>2</v>
      </c>
      <c r="J695" s="4">
        <v>0</v>
      </c>
      <c r="K695" s="16">
        <v>46081</v>
      </c>
      <c r="L695" s="16">
        <v>46137</v>
      </c>
      <c r="M695" s="0" t="inlineStr">
        <is>
          <t xml:space="preserve">feb26</t>
        </is>
      </c>
      <c r="N695" s="0" t="inlineStr">
        <is>
          <t xml:space="preserve">apr26</t>
        </is>
      </c>
      <c r="O695" s="4">
        <v>56</v>
      </c>
      <c r="P695" s="4">
        <v>0</v>
      </c>
      <c r="Q695" s="4">
        <v>1</v>
      </c>
      <c r="R695" s="4">
        <v>0</v>
      </c>
      <c r="S695" s="4">
        <f>(H695*INDEX('Stages'!$D$2:$D$7,MATCH(F695,'Stages'!$A$2:$A$7,0)))</f>
        <v>0</v>
      </c>
      <c r="T695" s="4">
        <f>(H695*I695)</f>
        <v>230200</v>
      </c>
      <c r="U695" s="4">
        <f>(H695*(I695-1))</f>
        <v>115100</v>
      </c>
      <c r="V695" s="0" t="str">
        <f>INDEX('Account executives'!$B$2:$B$25,MATCH(C695,'Account executives'!$A$2:$A$25,0))</f>
        <v>emea</v>
      </c>
      <c r="W695" s="0" t="str">
        <f>INDEX('Account executives'!$C$2:$C$25,MATCH(C695,'Account executives'!$A$2:$A$25,0))</f>
        <v>mid_market</v>
      </c>
      <c r="X695" s="0" t="str">
        <f>SUBSTITUTE(LOWER(INDEX('Periods'!$G$2:$G$22,MATCH(N695,'Periods'!$A$2:$A$22,0)))," ","_")</f>
        <v>q2_2026</v>
      </c>
    </row>
    <row r="696">
      <c r="A696" s="0" t="inlineStr">
        <is>
          <t xml:space="preserve">o0695</t>
        </is>
      </c>
      <c r="B696" s="0" t="inlineStr">
        <is>
          <t xml:space="preserve">a0354</t>
        </is>
      </c>
      <c r="C696" s="0" t="inlineStr">
        <is>
          <t xml:space="preserve">r21</t>
        </is>
      </c>
      <c r="D696" s="0" t="inlineStr">
        <is>
          <t xml:space="preserve">s_apac_in</t>
        </is>
      </c>
      <c r="E696" s="0" t="inlineStr">
        <is>
          <t xml:space="preserve">inbound</t>
        </is>
      </c>
      <c r="F696" s="0" t="inlineStr">
        <is>
          <t xml:space="preserve">closed_won</t>
        </is>
      </c>
      <c r="G696" s="4">
        <v>1</v>
      </c>
      <c r="H696" s="4">
        <v>41100</v>
      </c>
      <c r="I696" s="4">
        <v>2</v>
      </c>
      <c r="J696" s="4">
        <v>1</v>
      </c>
      <c r="K696" s="16">
        <v>45895</v>
      </c>
      <c r="L696" s="16">
        <v>46019</v>
      </c>
      <c r="M696" s="0" t="inlineStr">
        <is>
          <t xml:space="preserve">aug25</t>
        </is>
      </c>
      <c r="N696" s="0" t="inlineStr">
        <is>
          <t xml:space="preserve">dec25</t>
        </is>
      </c>
      <c r="O696" s="4">
        <v>124</v>
      </c>
      <c r="P696" s="4">
        <v>1</v>
      </c>
      <c r="Q696" s="4">
        <v>0</v>
      </c>
      <c r="R696" s="4">
        <v>0</v>
      </c>
      <c r="S696" s="4">
        <f>(H696*INDEX('Stages'!$D$2:$D$7,MATCH(F696,'Stages'!$A$2:$A$7,0)))</f>
        <v>41100</v>
      </c>
      <c r="T696" s="4">
        <f>(H696*I696)</f>
        <v>82200</v>
      </c>
      <c r="U696" s="4">
        <f>(H696*(I696-1))</f>
        <v>41100</v>
      </c>
      <c r="V696" s="0" t="str">
        <f>INDEX('Account executives'!$B$2:$B$25,MATCH(C696,'Account executives'!$A$2:$A$25,0))</f>
        <v>apac</v>
      </c>
      <c r="W696" s="0" t="str">
        <f>INDEX('Account executives'!$C$2:$C$25,MATCH(C696,'Account executives'!$A$2:$A$25,0))</f>
        <v>mid_market</v>
      </c>
      <c r="X696" s="0" t="str">
        <f>SUBSTITUTE(LOWER(INDEX('Periods'!$G$2:$G$22,MATCH(N696,'Periods'!$A$2:$A$22,0)))," ","_")</f>
        <v>q4_2025</v>
      </c>
    </row>
    <row r="697">
      <c r="A697" s="0" t="inlineStr">
        <is>
          <t xml:space="preserve">o0696</t>
        </is>
      </c>
      <c r="B697" s="0" t="inlineStr">
        <is>
          <t xml:space="preserve">a0589</t>
        </is>
      </c>
      <c r="C697" s="0" t="inlineStr">
        <is>
          <t xml:space="preserve">r17</t>
        </is>
      </c>
      <c r="D697" s="0" t="inlineStr">
        <is>
          <t xml:space="preserve">s_emea_in</t>
        </is>
      </c>
      <c r="E697" s="0" t="inlineStr">
        <is>
          <t xml:space="preserve">paid</t>
        </is>
      </c>
      <c r="F697" s="0" t="inlineStr">
        <is>
          <t xml:space="preserve">closed_lost</t>
        </is>
      </c>
      <c r="G697" s="4">
        <v>1</v>
      </c>
      <c r="H697" s="4">
        <v>8700</v>
      </c>
      <c r="I697" s="4">
        <v>1</v>
      </c>
      <c r="J697" s="4">
        <v>0</v>
      </c>
      <c r="K697" s="16">
        <v>46005</v>
      </c>
      <c r="L697" s="16">
        <v>46046</v>
      </c>
      <c r="M697" s="0" t="inlineStr">
        <is>
          <t xml:space="preserve">dec25</t>
        </is>
      </c>
      <c r="N697" s="0" t="inlineStr">
        <is>
          <t xml:space="preserve">jan26</t>
        </is>
      </c>
      <c r="O697" s="4">
        <v>41</v>
      </c>
      <c r="P697" s="4">
        <v>0</v>
      </c>
      <c r="Q697" s="4">
        <v>1</v>
      </c>
      <c r="R697" s="4">
        <v>0</v>
      </c>
      <c r="S697" s="4">
        <f>(H697*INDEX('Stages'!$D$2:$D$7,MATCH(F697,'Stages'!$A$2:$A$7,0)))</f>
        <v>0</v>
      </c>
      <c r="T697" s="4">
        <f>(H697*I697)</f>
        <v>8700</v>
      </c>
      <c r="U697" s="4">
        <f>(H697*(I697-1))</f>
        <v>0</v>
      </c>
      <c r="V697" s="0" t="str">
        <f>INDEX('Account executives'!$B$2:$B$25,MATCH(C697,'Account executives'!$A$2:$A$25,0))</f>
        <v>emea</v>
      </c>
      <c r="W697" s="0" t="str">
        <f>INDEX('Account executives'!$C$2:$C$25,MATCH(C697,'Account executives'!$A$2:$A$25,0))</f>
        <v>smb</v>
      </c>
      <c r="X697" s="0" t="str">
        <f>SUBSTITUTE(LOWER(INDEX('Periods'!$G$2:$G$22,MATCH(N697,'Periods'!$A$2:$A$22,0)))," ","_")</f>
        <v>q1_2026</v>
      </c>
    </row>
    <row r="698">
      <c r="A698" s="0" t="inlineStr">
        <is>
          <t xml:space="preserve">o0697</t>
        </is>
      </c>
      <c r="B698" s="0" t="inlineStr">
        <is>
          <t xml:space="preserve">a0882</t>
        </is>
      </c>
      <c r="C698" s="0" t="inlineStr">
        <is>
          <t xml:space="preserve">r19</t>
        </is>
      </c>
      <c r="D698" s="0" t="inlineStr">
        <is>
          <t xml:space="preserve">s_apac_out</t>
        </is>
      </c>
      <c r="E698" s="0" t="inlineStr">
        <is>
          <t xml:space="preserve">outbound</t>
        </is>
      </c>
      <c r="F698" s="0" t="inlineStr">
        <is>
          <t xml:space="preserve">closed_lost</t>
        </is>
      </c>
      <c r="G698" s="4">
        <v>1</v>
      </c>
      <c r="H698" s="4">
        <v>159600</v>
      </c>
      <c r="I698" s="4">
        <v>2</v>
      </c>
      <c r="J698" s="4">
        <v>1</v>
      </c>
      <c r="K698" s="16">
        <v>46115</v>
      </c>
      <c r="L698" s="16">
        <v>46217</v>
      </c>
      <c r="M698" s="0" t="inlineStr">
        <is>
          <t xml:space="preserve">apr26</t>
        </is>
      </c>
      <c r="N698" s="0" t="inlineStr">
        <is>
          <t xml:space="preserve">jul26</t>
        </is>
      </c>
      <c r="O698" s="4">
        <v>102</v>
      </c>
      <c r="P698" s="4">
        <v>0</v>
      </c>
      <c r="Q698" s="4">
        <v>1</v>
      </c>
      <c r="R698" s="4">
        <v>0</v>
      </c>
      <c r="S698" s="4">
        <f>(H698*INDEX('Stages'!$D$2:$D$7,MATCH(F698,'Stages'!$A$2:$A$7,0)))</f>
        <v>0</v>
      </c>
      <c r="T698" s="4">
        <f>(H698*I698)</f>
        <v>319200</v>
      </c>
      <c r="U698" s="4">
        <f>(H698*(I698-1))</f>
        <v>159600</v>
      </c>
      <c r="V698" s="0" t="str">
        <f>INDEX('Account executives'!$B$2:$B$25,MATCH(C698,'Account executives'!$A$2:$A$25,0))</f>
        <v>apac</v>
      </c>
      <c r="W698" s="0" t="str">
        <f>INDEX('Account executives'!$C$2:$C$25,MATCH(C698,'Account executives'!$A$2:$A$25,0))</f>
        <v>enterprise</v>
      </c>
      <c r="X698" s="0" t="str">
        <f>SUBSTITUTE(LOWER(INDEX('Periods'!$G$2:$G$22,MATCH(N698,'Periods'!$A$2:$A$22,0)))," ","_")</f>
        <v>q3_2026</v>
      </c>
    </row>
    <row r="699">
      <c r="A699" s="0" t="inlineStr">
        <is>
          <t xml:space="preserve">o0698</t>
        </is>
      </c>
      <c r="B699" s="0" t="inlineStr">
        <is>
          <t xml:space="preserve">a0224</t>
        </is>
      </c>
      <c r="C699" s="0" t="inlineStr">
        <is>
          <t xml:space="preserve">r21</t>
        </is>
      </c>
      <c r="D699" s="0" t="inlineStr">
        <is>
          <t xml:space="preserve">s_apac_in</t>
        </is>
      </c>
      <c r="E699" s="0" t="inlineStr">
        <is>
          <t xml:space="preserve">inbound</t>
        </is>
      </c>
      <c r="F699" s="0" t="inlineStr">
        <is>
          <t xml:space="preserve">closed_won</t>
        </is>
      </c>
      <c r="G699" s="4">
        <v>1</v>
      </c>
      <c r="H699" s="4">
        <v>63500</v>
      </c>
      <c r="I699" s="4">
        <v>1</v>
      </c>
      <c r="J699" s="4">
        <v>0</v>
      </c>
      <c r="K699" s="16">
        <v>45813</v>
      </c>
      <c r="L699" s="16">
        <v>45928</v>
      </c>
      <c r="M699" s="0" t="inlineStr">
        <is>
          <t xml:space="preserve">jun25</t>
        </is>
      </c>
      <c r="N699" s="0" t="inlineStr">
        <is>
          <t xml:space="preserve">sep25</t>
        </is>
      </c>
      <c r="O699" s="4">
        <v>115</v>
      </c>
      <c r="P699" s="4">
        <v>1</v>
      </c>
      <c r="Q699" s="4">
        <v>0</v>
      </c>
      <c r="R699" s="4">
        <v>0</v>
      </c>
      <c r="S699" s="4">
        <f>(H699*INDEX('Stages'!$D$2:$D$7,MATCH(F699,'Stages'!$A$2:$A$7,0)))</f>
        <v>63500</v>
      </c>
      <c r="T699" s="4">
        <f>(H699*I699)</f>
        <v>63500</v>
      </c>
      <c r="U699" s="4">
        <f>(H699*(I699-1))</f>
        <v>0</v>
      </c>
      <c r="V699" s="0" t="str">
        <f>INDEX('Account executives'!$B$2:$B$25,MATCH(C699,'Account executives'!$A$2:$A$25,0))</f>
        <v>apac</v>
      </c>
      <c r="W699" s="0" t="str">
        <f>INDEX('Account executives'!$C$2:$C$25,MATCH(C699,'Account executives'!$A$2:$A$25,0))</f>
        <v>mid_market</v>
      </c>
      <c r="X699" s="0" t="str">
        <f>SUBSTITUTE(LOWER(INDEX('Periods'!$G$2:$G$22,MATCH(N699,'Periods'!$A$2:$A$22,0)))," ","_")</f>
        <v>q3_2025</v>
      </c>
    </row>
    <row r="700">
      <c r="A700" s="0" t="inlineStr">
        <is>
          <t xml:space="preserve">o0699</t>
        </is>
      </c>
      <c r="B700" s="0" t="inlineStr">
        <is>
          <t xml:space="preserve">a0021</t>
        </is>
      </c>
      <c r="C700" s="0" t="inlineStr">
        <is>
          <t xml:space="preserve">r01</t>
        </is>
      </c>
      <c r="D700" s="0"/>
      <c r="E700" s="0" t="inlineStr">
        <is>
          <t xml:space="preserve">referral</t>
        </is>
      </c>
      <c r="F700" s="0" t="inlineStr">
        <is>
          <t xml:space="preserve">closed_lost</t>
        </is>
      </c>
      <c r="G700" s="4">
        <v>1</v>
      </c>
      <c r="H700" s="4">
        <v>98600</v>
      </c>
      <c r="I700" s="4">
        <v>2</v>
      </c>
      <c r="J700" s="4">
        <v>0</v>
      </c>
      <c r="K700" s="16">
        <v>45752</v>
      </c>
      <c r="L700" s="16">
        <v>45844</v>
      </c>
      <c r="M700" s="0" t="inlineStr">
        <is>
          <t xml:space="preserve">apr25</t>
        </is>
      </c>
      <c r="N700" s="0" t="inlineStr">
        <is>
          <t xml:space="preserve">jul25</t>
        </is>
      </c>
      <c r="O700" s="4">
        <v>92</v>
      </c>
      <c r="P700" s="4">
        <v>0</v>
      </c>
      <c r="Q700" s="4">
        <v>1</v>
      </c>
      <c r="R700" s="4">
        <v>0</v>
      </c>
      <c r="S700" s="4">
        <f>(H700*INDEX('Stages'!$D$2:$D$7,MATCH(F700,'Stages'!$A$2:$A$7,0)))</f>
        <v>0</v>
      </c>
      <c r="T700" s="4">
        <f>(H700*I700)</f>
        <v>197200</v>
      </c>
      <c r="U700" s="4">
        <f>(H700*(I700-1))</f>
        <v>98600</v>
      </c>
      <c r="V700" s="0" t="str">
        <f>INDEX('Account executives'!$B$2:$B$25,MATCH(C700,'Account executives'!$A$2:$A$25,0))</f>
        <v>amer_east</v>
      </c>
      <c r="W700" s="0" t="str">
        <f>INDEX('Account executives'!$C$2:$C$25,MATCH(C700,'Account executives'!$A$2:$A$25,0))</f>
        <v>enterprise</v>
      </c>
      <c r="X700" s="0" t="str">
        <f>SUBSTITUTE(LOWER(INDEX('Periods'!$G$2:$G$22,MATCH(N700,'Periods'!$A$2:$A$22,0)))," ","_")</f>
        <v>q3_2025</v>
      </c>
    </row>
    <row r="701">
      <c r="A701" s="0" t="inlineStr">
        <is>
          <t xml:space="preserve">o0700</t>
        </is>
      </c>
      <c r="B701" s="0" t="inlineStr">
        <is>
          <t xml:space="preserve">a0806</t>
        </is>
      </c>
      <c r="C701" s="0" t="inlineStr">
        <is>
          <t xml:space="preserve">r21</t>
        </is>
      </c>
      <c r="D701" s="0" t="inlineStr">
        <is>
          <t xml:space="preserve">s_apac_out</t>
        </is>
      </c>
      <c r="E701" s="0" t="inlineStr">
        <is>
          <t xml:space="preserve">outbound</t>
        </is>
      </c>
      <c r="F701" s="0" t="inlineStr">
        <is>
          <t xml:space="preserve">closed_lost</t>
        </is>
      </c>
      <c r="G701" s="4">
        <v>1</v>
      </c>
      <c r="H701" s="4">
        <v>82500</v>
      </c>
      <c r="I701" s="4">
        <v>1</v>
      </c>
      <c r="J701" s="4">
        <v>0</v>
      </c>
      <c r="K701" s="16">
        <v>46105</v>
      </c>
      <c r="L701" s="16">
        <v>46201</v>
      </c>
      <c r="M701" s="0" t="inlineStr">
        <is>
          <t xml:space="preserve">mar26</t>
        </is>
      </c>
      <c r="N701" s="0" t="inlineStr">
        <is>
          <t xml:space="preserve">jun26</t>
        </is>
      </c>
      <c r="O701" s="4">
        <v>96</v>
      </c>
      <c r="P701" s="4">
        <v>0</v>
      </c>
      <c r="Q701" s="4">
        <v>1</v>
      </c>
      <c r="R701" s="4">
        <v>0</v>
      </c>
      <c r="S701" s="4">
        <f>(H701*INDEX('Stages'!$D$2:$D$7,MATCH(F701,'Stages'!$A$2:$A$7,0)))</f>
        <v>0</v>
      </c>
      <c r="T701" s="4">
        <f>(H701*I701)</f>
        <v>82500</v>
      </c>
      <c r="U701" s="4">
        <f>(H701*(I701-1))</f>
        <v>0</v>
      </c>
      <c r="V701" s="0" t="str">
        <f>INDEX('Account executives'!$B$2:$B$25,MATCH(C701,'Account executives'!$A$2:$A$25,0))</f>
        <v>apac</v>
      </c>
      <c r="W701" s="0" t="str">
        <f>INDEX('Account executives'!$C$2:$C$25,MATCH(C701,'Account executives'!$A$2:$A$25,0))</f>
        <v>mid_market</v>
      </c>
      <c r="X701" s="0" t="str">
        <f>SUBSTITUTE(LOWER(INDEX('Periods'!$G$2:$G$22,MATCH(N701,'Periods'!$A$2:$A$22,0)))," ","_")</f>
        <v>q2_2026</v>
      </c>
    </row>
    <row r="702">
      <c r="A702" s="0" t="inlineStr">
        <is>
          <t xml:space="preserve">o0701</t>
        </is>
      </c>
      <c r="B702" s="0" t="inlineStr">
        <is>
          <t xml:space="preserve">a0046</t>
        </is>
      </c>
      <c r="C702" s="0" t="inlineStr">
        <is>
          <t xml:space="preserve">r17</t>
        </is>
      </c>
      <c r="D702" s="0" t="inlineStr">
        <is>
          <t xml:space="preserve">s_emea_in</t>
        </is>
      </c>
      <c r="E702" s="0" t="inlineStr">
        <is>
          <t xml:space="preserve">inbound</t>
        </is>
      </c>
      <c r="F702" s="0" t="inlineStr">
        <is>
          <t xml:space="preserve">closed_lost</t>
        </is>
      </c>
      <c r="G702" s="4">
        <v>0</v>
      </c>
      <c r="H702" s="4">
        <v>2500</v>
      </c>
      <c r="I702" s="4">
        <v>1</v>
      </c>
      <c r="J702" s="4">
        <v>1</v>
      </c>
      <c r="K702" s="16">
        <v>45767</v>
      </c>
      <c r="L702" s="16">
        <v>45792</v>
      </c>
      <c r="M702" s="0" t="inlineStr">
        <is>
          <t xml:space="preserve">apr25</t>
        </is>
      </c>
      <c r="N702" s="0" t="inlineStr">
        <is>
          <t xml:space="preserve">may25</t>
        </is>
      </c>
      <c r="O702" s="4">
        <v>25</v>
      </c>
      <c r="P702" s="4">
        <v>0</v>
      </c>
      <c r="Q702" s="4">
        <v>1</v>
      </c>
      <c r="R702" s="4">
        <v>0</v>
      </c>
      <c r="S702" s="4">
        <f>(H702*INDEX('Stages'!$D$2:$D$7,MATCH(F702,'Stages'!$A$2:$A$7,0)))</f>
        <v>0</v>
      </c>
      <c r="T702" s="4">
        <f>(H702*I702)</f>
        <v>2500</v>
      </c>
      <c r="U702" s="4">
        <f>(H702*(I702-1))</f>
        <v>0</v>
      </c>
      <c r="V702" s="0" t="str">
        <f>INDEX('Account executives'!$B$2:$B$25,MATCH(C702,'Account executives'!$A$2:$A$25,0))</f>
        <v>emea</v>
      </c>
      <c r="W702" s="0" t="str">
        <f>INDEX('Account executives'!$C$2:$C$25,MATCH(C702,'Account executives'!$A$2:$A$25,0))</f>
        <v>smb</v>
      </c>
      <c r="X702" s="0" t="str">
        <f>SUBSTITUTE(LOWER(INDEX('Periods'!$G$2:$G$22,MATCH(N702,'Periods'!$A$2:$A$22,0)))," ","_")</f>
        <v>q2_2025</v>
      </c>
    </row>
    <row r="703">
      <c r="A703" s="0" t="inlineStr">
        <is>
          <t xml:space="preserve">o0702</t>
        </is>
      </c>
      <c r="B703" s="0" t="inlineStr">
        <is>
          <t xml:space="preserve">a1164</t>
        </is>
      </c>
      <c r="C703" s="0" t="inlineStr">
        <is>
          <t xml:space="preserve">r06</t>
        </is>
      </c>
      <c r="D703" s="0" t="inlineStr">
        <is>
          <t xml:space="preserve">s_amer_east_out</t>
        </is>
      </c>
      <c r="E703" s="0" t="inlineStr">
        <is>
          <t xml:space="preserve">outbound</t>
        </is>
      </c>
      <c r="F703" s="0" t="inlineStr">
        <is>
          <t xml:space="preserve">closed_lost</t>
        </is>
      </c>
      <c r="G703" s="4">
        <v>1</v>
      </c>
      <c r="H703" s="4">
        <v>32900</v>
      </c>
      <c r="I703" s="4">
        <v>1</v>
      </c>
      <c r="J703" s="4">
        <v>0</v>
      </c>
      <c r="K703" s="16">
        <v>46258</v>
      </c>
      <c r="L703" s="16">
        <v>46278</v>
      </c>
      <c r="M703" s="0" t="inlineStr">
        <is>
          <t xml:space="preserve">aug26</t>
        </is>
      </c>
      <c r="N703" s="0" t="inlineStr">
        <is>
          <t xml:space="preserve">sep26</t>
        </is>
      </c>
      <c r="O703" s="4">
        <v>20</v>
      </c>
      <c r="P703" s="4">
        <v>0</v>
      </c>
      <c r="Q703" s="4">
        <v>1</v>
      </c>
      <c r="R703" s="4">
        <v>0</v>
      </c>
      <c r="S703" s="4">
        <f>(H703*INDEX('Stages'!$D$2:$D$7,MATCH(F703,'Stages'!$A$2:$A$7,0)))</f>
        <v>0</v>
      </c>
      <c r="T703" s="4">
        <f>(H703*I703)</f>
        <v>32900</v>
      </c>
      <c r="U703" s="4">
        <f>(H703*(I703-1))</f>
        <v>0</v>
      </c>
      <c r="V703" s="0" t="str">
        <f>INDEX('Account executives'!$B$2:$B$25,MATCH(C703,'Account executives'!$A$2:$A$25,0))</f>
        <v>amer_east</v>
      </c>
      <c r="W703" s="0" t="str">
        <f>INDEX('Account executives'!$C$2:$C$25,MATCH(C703,'Account executives'!$A$2:$A$25,0))</f>
        <v>smb</v>
      </c>
      <c r="X703" s="0" t="str">
        <f>SUBSTITUTE(LOWER(INDEX('Periods'!$G$2:$G$22,MATCH(N703,'Periods'!$A$2:$A$22,0)))," ","_")</f>
        <v>q3_2026</v>
      </c>
    </row>
    <row r="704">
      <c r="A704" s="0" t="inlineStr">
        <is>
          <t xml:space="preserve">o0703</t>
        </is>
      </c>
      <c r="B704" s="0" t="inlineStr">
        <is>
          <t xml:space="preserve">a0504</t>
        </is>
      </c>
      <c r="C704" s="0" t="inlineStr">
        <is>
          <t xml:space="preserve">r11</t>
        </is>
      </c>
      <c r="D704" s="0"/>
      <c r="E704" s="0" t="inlineStr">
        <is>
          <t xml:space="preserve">partner</t>
        </is>
      </c>
      <c r="F704" s="0" t="inlineStr">
        <is>
          <t xml:space="preserve">closed_won</t>
        </is>
      </c>
      <c r="G704" s="4">
        <v>1</v>
      </c>
      <c r="H704" s="4">
        <v>52500</v>
      </c>
      <c r="I704" s="4">
        <v>1</v>
      </c>
      <c r="J704" s="4">
        <v>1</v>
      </c>
      <c r="K704" s="16">
        <v>45973</v>
      </c>
      <c r="L704" s="16">
        <v>46018</v>
      </c>
      <c r="M704" s="0" t="inlineStr">
        <is>
          <t xml:space="preserve">nov25</t>
        </is>
      </c>
      <c r="N704" s="0" t="inlineStr">
        <is>
          <t xml:space="preserve">dec25</t>
        </is>
      </c>
      <c r="O704" s="4">
        <v>45</v>
      </c>
      <c r="P704" s="4">
        <v>1</v>
      </c>
      <c r="Q704" s="4">
        <v>0</v>
      </c>
      <c r="R704" s="4">
        <v>0</v>
      </c>
      <c r="S704" s="4">
        <f>(H704*INDEX('Stages'!$D$2:$D$7,MATCH(F704,'Stages'!$A$2:$A$7,0)))</f>
        <v>52500</v>
      </c>
      <c r="T704" s="4">
        <f>(H704*I704)</f>
        <v>52500</v>
      </c>
      <c r="U704" s="4">
        <f>(H704*(I704-1))</f>
        <v>0</v>
      </c>
      <c r="V704" s="0" t="str">
        <f>INDEX('Account executives'!$B$2:$B$25,MATCH(C704,'Account executives'!$A$2:$A$25,0))</f>
        <v>amer_west</v>
      </c>
      <c r="W704" s="0" t="str">
        <f>INDEX('Account executives'!$C$2:$C$25,MATCH(C704,'Account executives'!$A$2:$A$25,0))</f>
        <v>smb</v>
      </c>
      <c r="X704" s="0" t="str">
        <f>SUBSTITUTE(LOWER(INDEX('Periods'!$G$2:$G$22,MATCH(N704,'Periods'!$A$2:$A$22,0)))," ","_")</f>
        <v>q4_2025</v>
      </c>
    </row>
    <row r="705">
      <c r="A705" s="0" t="inlineStr">
        <is>
          <t xml:space="preserve">o0704</t>
        </is>
      </c>
      <c r="B705" s="0" t="inlineStr">
        <is>
          <t xml:space="preserve">a1113</t>
        </is>
      </c>
      <c r="C705" s="0" t="inlineStr">
        <is>
          <t xml:space="preserve">r10</t>
        </is>
      </c>
      <c r="D705" s="0"/>
      <c r="E705" s="0" t="inlineStr">
        <is>
          <t xml:space="preserve">referral</t>
        </is>
      </c>
      <c r="F705" s="0" t="inlineStr">
        <is>
          <t xml:space="preserve">evaluation</t>
        </is>
      </c>
      <c r="G705" s="4">
        <v>1</v>
      </c>
      <c r="H705" s="4">
        <v>18600</v>
      </c>
      <c r="I705" s="4">
        <v>1</v>
      </c>
      <c r="J705" s="4">
        <v>0</v>
      </c>
      <c r="K705" s="16">
        <v>46231</v>
      </c>
      <c r="L705" s="16">
        <v>46371</v>
      </c>
      <c r="M705" s="0" t="inlineStr">
        <is>
          <t xml:space="preserve">jul26</t>
        </is>
      </c>
      <c r="N705" s="0" t="inlineStr">
        <is>
          <t xml:space="preserve">dec26</t>
        </is>
      </c>
      <c r="O705" s="4">
        <v>65</v>
      </c>
      <c r="P705" s="4">
        <v>0</v>
      </c>
      <c r="Q705" s="4">
        <v>0</v>
      </c>
      <c r="R705" s="4">
        <v>1</v>
      </c>
      <c r="S705" s="4">
        <f>(H705*INDEX('Stages'!$D$2:$D$7,MATCH(F705,'Stages'!$A$2:$A$7,0)))</f>
        <v>4650</v>
      </c>
      <c r="T705" s="4">
        <f>(H705*I705)</f>
        <v>18600</v>
      </c>
      <c r="U705" s="4">
        <f>(H705*(I705-1))</f>
        <v>0</v>
      </c>
      <c r="V705" s="0" t="str">
        <f>INDEX('Account executives'!$B$2:$B$25,MATCH(C705,'Account executives'!$A$2:$A$25,0))</f>
        <v>amer_west</v>
      </c>
      <c r="W705" s="0" t="str">
        <f>INDEX('Account executives'!$C$2:$C$25,MATCH(C705,'Account executives'!$A$2:$A$25,0))</f>
        <v>mid_market</v>
      </c>
      <c r="X705" s="0" t="str">
        <f>SUBSTITUTE(LOWER(INDEX('Periods'!$G$2:$G$22,MATCH(N705,'Periods'!$A$2:$A$22,0)))," ","_")</f>
        <v>q4_2026</v>
      </c>
    </row>
    <row r="706">
      <c r="A706" s="0" t="inlineStr">
        <is>
          <t xml:space="preserve">o0705</t>
        </is>
      </c>
      <c r="B706" s="0" t="inlineStr">
        <is>
          <t xml:space="preserve">a0356</t>
        </is>
      </c>
      <c r="C706" s="0" t="inlineStr">
        <is>
          <t xml:space="preserve">r24</t>
        </is>
      </c>
      <c r="D706" s="0"/>
      <c r="E706" s="0" t="inlineStr">
        <is>
          <t xml:space="preserve">partner</t>
        </is>
      </c>
      <c r="F706" s="0" t="inlineStr">
        <is>
          <t xml:space="preserve">closed_lost</t>
        </is>
      </c>
      <c r="G706" s="4">
        <v>1</v>
      </c>
      <c r="H706" s="4">
        <v>25600</v>
      </c>
      <c r="I706" s="4">
        <v>1</v>
      </c>
      <c r="J706" s="4">
        <v>1</v>
      </c>
      <c r="K706" s="16">
        <v>45875</v>
      </c>
      <c r="L706" s="16">
        <v>45904</v>
      </c>
      <c r="M706" s="0" t="inlineStr">
        <is>
          <t xml:space="preserve">aug25</t>
        </is>
      </c>
      <c r="N706" s="0" t="inlineStr">
        <is>
          <t xml:space="preserve">sep25</t>
        </is>
      </c>
      <c r="O706" s="4">
        <v>29</v>
      </c>
      <c r="P706" s="4">
        <v>0</v>
      </c>
      <c r="Q706" s="4">
        <v>1</v>
      </c>
      <c r="R706" s="4">
        <v>0</v>
      </c>
      <c r="S706" s="4">
        <f>(H706*INDEX('Stages'!$D$2:$D$7,MATCH(F706,'Stages'!$A$2:$A$7,0)))</f>
        <v>0</v>
      </c>
      <c r="T706" s="4">
        <f>(H706*I706)</f>
        <v>25600</v>
      </c>
      <c r="U706" s="4">
        <f>(H706*(I706-1))</f>
        <v>0</v>
      </c>
      <c r="V706" s="0" t="str">
        <f>INDEX('Account executives'!$B$2:$B$25,MATCH(C706,'Account executives'!$A$2:$A$25,0))</f>
        <v>apac</v>
      </c>
      <c r="W706" s="0" t="str">
        <f>INDEX('Account executives'!$C$2:$C$25,MATCH(C706,'Account executives'!$A$2:$A$25,0))</f>
        <v>smb</v>
      </c>
      <c r="X706" s="0" t="str">
        <f>SUBSTITUTE(LOWER(INDEX('Periods'!$G$2:$G$22,MATCH(N706,'Periods'!$A$2:$A$22,0)))," ","_")</f>
        <v>q3_2025</v>
      </c>
    </row>
    <row r="707">
      <c r="A707" s="0" t="inlineStr">
        <is>
          <t xml:space="preserve">o0706</t>
        </is>
      </c>
      <c r="B707" s="0" t="inlineStr">
        <is>
          <t xml:space="preserve">a0920</t>
        </is>
      </c>
      <c r="C707" s="0" t="inlineStr">
        <is>
          <t xml:space="preserve">r09</t>
        </is>
      </c>
      <c r="D707" s="0" t="inlineStr">
        <is>
          <t xml:space="preserve">s_amer_west_in</t>
        </is>
      </c>
      <c r="E707" s="0" t="inlineStr">
        <is>
          <t xml:space="preserve">paid</t>
        </is>
      </c>
      <c r="F707" s="0" t="inlineStr">
        <is>
          <t xml:space="preserve">negotiation</t>
        </is>
      </c>
      <c r="G707" s="4">
        <v>1</v>
      </c>
      <c r="H707" s="4">
        <v>61200</v>
      </c>
      <c r="I707" s="4">
        <v>1</v>
      </c>
      <c r="J707" s="4">
        <v>1</v>
      </c>
      <c r="K707" s="16">
        <v>46158</v>
      </c>
      <c r="L707" s="16">
        <v>46320</v>
      </c>
      <c r="M707" s="0" t="inlineStr">
        <is>
          <t xml:space="preserve">may26</t>
        </is>
      </c>
      <c r="N707" s="0" t="inlineStr">
        <is>
          <t xml:space="preserve">oct26</t>
        </is>
      </c>
      <c r="O707" s="4">
        <v>135</v>
      </c>
      <c r="P707" s="4">
        <v>0</v>
      </c>
      <c r="Q707" s="4">
        <v>0</v>
      </c>
      <c r="R707" s="4">
        <v>1</v>
      </c>
      <c r="S707" s="4">
        <f>(H707*INDEX('Stages'!$D$2:$D$7,MATCH(F707,'Stages'!$A$2:$A$7,0)))</f>
        <v>45900</v>
      </c>
      <c r="T707" s="4">
        <f>(H707*I707)</f>
        <v>61200</v>
      </c>
      <c r="U707" s="4">
        <f>(H707*(I707-1))</f>
        <v>0</v>
      </c>
      <c r="V707" s="0" t="str">
        <f>INDEX('Account executives'!$B$2:$B$25,MATCH(C707,'Account executives'!$A$2:$A$25,0))</f>
        <v>amer_west</v>
      </c>
      <c r="W707" s="0" t="str">
        <f>INDEX('Account executives'!$C$2:$C$25,MATCH(C707,'Account executives'!$A$2:$A$25,0))</f>
        <v>mid_market</v>
      </c>
      <c r="X707" s="0" t="str">
        <f>SUBSTITUTE(LOWER(INDEX('Periods'!$G$2:$G$22,MATCH(N707,'Periods'!$A$2:$A$22,0)))," ","_")</f>
        <v>q4_2026</v>
      </c>
    </row>
    <row r="708">
      <c r="A708" s="0" t="inlineStr">
        <is>
          <t xml:space="preserve">o0707</t>
        </is>
      </c>
      <c r="B708" s="0" t="inlineStr">
        <is>
          <t xml:space="preserve">a0217</t>
        </is>
      </c>
      <c r="C708" s="0" t="inlineStr">
        <is>
          <t xml:space="preserve">r13</t>
        </is>
      </c>
      <c r="D708" s="0"/>
      <c r="E708" s="0" t="inlineStr">
        <is>
          <t xml:space="preserve">events</t>
        </is>
      </c>
      <c r="F708" s="0" t="inlineStr">
        <is>
          <t xml:space="preserve">closed_lost</t>
        </is>
      </c>
      <c r="G708" s="4">
        <v>1</v>
      </c>
      <c r="H708" s="4">
        <v>79000</v>
      </c>
      <c r="I708" s="4">
        <v>1</v>
      </c>
      <c r="J708" s="4">
        <v>0</v>
      </c>
      <c r="K708" s="16">
        <v>45815</v>
      </c>
      <c r="L708" s="16">
        <v>45845</v>
      </c>
      <c r="M708" s="0" t="inlineStr">
        <is>
          <t xml:space="preserve">jun25</t>
        </is>
      </c>
      <c r="N708" s="0" t="inlineStr">
        <is>
          <t xml:space="preserve">jul25</t>
        </is>
      </c>
      <c r="O708" s="4">
        <v>30</v>
      </c>
      <c r="P708" s="4">
        <v>0</v>
      </c>
      <c r="Q708" s="4">
        <v>1</v>
      </c>
      <c r="R708" s="4">
        <v>0</v>
      </c>
      <c r="S708" s="4">
        <f>(H708*INDEX('Stages'!$D$2:$D$7,MATCH(F708,'Stages'!$A$2:$A$7,0)))</f>
        <v>0</v>
      </c>
      <c r="T708" s="4">
        <f>(H708*I708)</f>
        <v>79000</v>
      </c>
      <c r="U708" s="4">
        <f>(H708*(I708-1))</f>
        <v>0</v>
      </c>
      <c r="V708" s="0" t="str">
        <f>INDEX('Account executives'!$B$2:$B$25,MATCH(C708,'Account executives'!$A$2:$A$25,0))</f>
        <v>emea</v>
      </c>
      <c r="W708" s="0" t="str">
        <f>INDEX('Account executives'!$C$2:$C$25,MATCH(C708,'Account executives'!$A$2:$A$25,0))</f>
        <v>enterprise</v>
      </c>
      <c r="X708" s="0" t="str">
        <f>SUBSTITUTE(LOWER(INDEX('Periods'!$G$2:$G$22,MATCH(N708,'Periods'!$A$2:$A$22,0)))," ","_")</f>
        <v>q3_2025</v>
      </c>
    </row>
    <row r="709">
      <c r="A709" s="0" t="inlineStr">
        <is>
          <t xml:space="preserve">o0708</t>
        </is>
      </c>
      <c r="B709" s="0" t="inlineStr">
        <is>
          <t xml:space="preserve">a0123</t>
        </is>
      </c>
      <c r="C709" s="0" t="inlineStr">
        <is>
          <t xml:space="preserve">r15</t>
        </is>
      </c>
      <c r="D709" s="0"/>
      <c r="E709" s="0" t="inlineStr">
        <is>
          <t xml:space="preserve">events</t>
        </is>
      </c>
      <c r="F709" s="0" t="inlineStr">
        <is>
          <t xml:space="preserve">closed_lost</t>
        </is>
      </c>
      <c r="G709" s="4">
        <v>1</v>
      </c>
      <c r="H709" s="4">
        <v>47600</v>
      </c>
      <c r="I709" s="4">
        <v>1</v>
      </c>
      <c r="J709" s="4">
        <v>0</v>
      </c>
      <c r="K709" s="16">
        <v>45785</v>
      </c>
      <c r="L709" s="16">
        <v>45845</v>
      </c>
      <c r="M709" s="0" t="inlineStr">
        <is>
          <t xml:space="preserve">may25</t>
        </is>
      </c>
      <c r="N709" s="0" t="inlineStr">
        <is>
          <t xml:space="preserve">jul25</t>
        </is>
      </c>
      <c r="O709" s="4">
        <v>60</v>
      </c>
      <c r="P709" s="4">
        <v>0</v>
      </c>
      <c r="Q709" s="4">
        <v>1</v>
      </c>
      <c r="R709" s="4">
        <v>0</v>
      </c>
      <c r="S709" s="4">
        <f>(H709*INDEX('Stages'!$D$2:$D$7,MATCH(F709,'Stages'!$A$2:$A$7,0)))</f>
        <v>0</v>
      </c>
      <c r="T709" s="4">
        <f>(H709*I709)</f>
        <v>47600</v>
      </c>
      <c r="U709" s="4">
        <f>(H709*(I709-1))</f>
        <v>0</v>
      </c>
      <c r="V709" s="0" t="str">
        <f>INDEX('Account executives'!$B$2:$B$25,MATCH(C709,'Account executives'!$A$2:$A$25,0))</f>
        <v>emea</v>
      </c>
      <c r="W709" s="0" t="str">
        <f>INDEX('Account executives'!$C$2:$C$25,MATCH(C709,'Account executives'!$A$2:$A$25,0))</f>
        <v>mid_market</v>
      </c>
      <c r="X709" s="0" t="str">
        <f>SUBSTITUTE(LOWER(INDEX('Periods'!$G$2:$G$22,MATCH(N709,'Periods'!$A$2:$A$22,0)))," ","_")</f>
        <v>q3_2025</v>
      </c>
    </row>
    <row r="710">
      <c r="A710" s="0" t="inlineStr">
        <is>
          <t xml:space="preserve">o0709</t>
        </is>
      </c>
      <c r="B710" s="0" t="inlineStr">
        <is>
          <t xml:space="preserve">a0042</t>
        </is>
      </c>
      <c r="C710" s="0" t="inlineStr">
        <is>
          <t xml:space="preserve">r18</t>
        </is>
      </c>
      <c r="D710" s="0" t="inlineStr">
        <is>
          <t xml:space="preserve">s_emea_in</t>
        </is>
      </c>
      <c r="E710" s="0" t="inlineStr">
        <is>
          <t xml:space="preserve">inbound</t>
        </is>
      </c>
      <c r="F710" s="0" t="inlineStr">
        <is>
          <t xml:space="preserve">closed_lost</t>
        </is>
      </c>
      <c r="G710" s="4">
        <v>1</v>
      </c>
      <c r="H710" s="4">
        <v>37200</v>
      </c>
      <c r="I710" s="4">
        <v>1</v>
      </c>
      <c r="J710" s="4">
        <v>0</v>
      </c>
      <c r="K710" s="16">
        <v>45772</v>
      </c>
      <c r="L710" s="16">
        <v>45809</v>
      </c>
      <c r="M710" s="0" t="inlineStr">
        <is>
          <t xml:space="preserve">apr25</t>
        </is>
      </c>
      <c r="N710" s="0" t="inlineStr">
        <is>
          <t xml:space="preserve">jun25</t>
        </is>
      </c>
      <c r="O710" s="4">
        <v>37</v>
      </c>
      <c r="P710" s="4">
        <v>0</v>
      </c>
      <c r="Q710" s="4">
        <v>1</v>
      </c>
      <c r="R710" s="4">
        <v>0</v>
      </c>
      <c r="S710" s="4">
        <f>(H710*INDEX('Stages'!$D$2:$D$7,MATCH(F710,'Stages'!$A$2:$A$7,0)))</f>
        <v>0</v>
      </c>
      <c r="T710" s="4">
        <f>(H710*I710)</f>
        <v>37200</v>
      </c>
      <c r="U710" s="4">
        <f>(H710*(I710-1))</f>
        <v>0</v>
      </c>
      <c r="V710" s="0" t="str">
        <f>INDEX('Account executives'!$B$2:$B$25,MATCH(C710,'Account executives'!$A$2:$A$25,0))</f>
        <v>emea</v>
      </c>
      <c r="W710" s="0" t="str">
        <f>INDEX('Account executives'!$C$2:$C$25,MATCH(C710,'Account executives'!$A$2:$A$25,0))</f>
        <v>smb</v>
      </c>
      <c r="X710" s="0" t="str">
        <f>SUBSTITUTE(LOWER(INDEX('Periods'!$G$2:$G$22,MATCH(N710,'Periods'!$A$2:$A$22,0)))," ","_")</f>
        <v>q2_2025</v>
      </c>
    </row>
    <row r="711">
      <c r="A711" s="0" t="inlineStr">
        <is>
          <t xml:space="preserve">o0710</t>
        </is>
      </c>
      <c r="B711" s="0" t="inlineStr">
        <is>
          <t xml:space="preserve">a0694</t>
        </is>
      </c>
      <c r="C711" s="0" t="inlineStr">
        <is>
          <t xml:space="preserve">r15</t>
        </is>
      </c>
      <c r="D711" s="0" t="inlineStr">
        <is>
          <t xml:space="preserve">s_emea_in</t>
        </is>
      </c>
      <c r="E711" s="0" t="inlineStr">
        <is>
          <t xml:space="preserve">inbound</t>
        </is>
      </c>
      <c r="F711" s="0" t="inlineStr">
        <is>
          <t xml:space="preserve">closed_lost</t>
        </is>
      </c>
      <c r="G711" s="4">
        <v>1</v>
      </c>
      <c r="H711" s="4">
        <v>33100</v>
      </c>
      <c r="I711" s="4">
        <v>2</v>
      </c>
      <c r="J711" s="4">
        <v>0</v>
      </c>
      <c r="K711" s="16">
        <v>46059</v>
      </c>
      <c r="L711" s="16">
        <v>46111</v>
      </c>
      <c r="M711" s="0" t="inlineStr">
        <is>
          <t xml:space="preserve">feb26</t>
        </is>
      </c>
      <c r="N711" s="0" t="inlineStr">
        <is>
          <t xml:space="preserve">mar26</t>
        </is>
      </c>
      <c r="O711" s="4">
        <v>52</v>
      </c>
      <c r="P711" s="4">
        <v>0</v>
      </c>
      <c r="Q711" s="4">
        <v>1</v>
      </c>
      <c r="R711" s="4">
        <v>0</v>
      </c>
      <c r="S711" s="4">
        <f>(H711*INDEX('Stages'!$D$2:$D$7,MATCH(F711,'Stages'!$A$2:$A$7,0)))</f>
        <v>0</v>
      </c>
      <c r="T711" s="4">
        <f>(H711*I711)</f>
        <v>66200</v>
      </c>
      <c r="U711" s="4">
        <f>(H711*(I711-1))</f>
        <v>33100</v>
      </c>
      <c r="V711" s="0" t="str">
        <f>INDEX('Account executives'!$B$2:$B$25,MATCH(C711,'Account executives'!$A$2:$A$25,0))</f>
        <v>emea</v>
      </c>
      <c r="W711" s="0" t="str">
        <f>INDEX('Account executives'!$C$2:$C$25,MATCH(C711,'Account executives'!$A$2:$A$25,0))</f>
        <v>mid_market</v>
      </c>
      <c r="X711" s="0" t="str">
        <f>SUBSTITUTE(LOWER(INDEX('Periods'!$G$2:$G$22,MATCH(N711,'Periods'!$A$2:$A$22,0)))," ","_")</f>
        <v>q1_2026</v>
      </c>
    </row>
    <row r="712">
      <c r="A712" s="0" t="inlineStr">
        <is>
          <t xml:space="preserve">o0711</t>
        </is>
      </c>
      <c r="B712" s="0" t="inlineStr">
        <is>
          <t xml:space="preserve">a0043</t>
        </is>
      </c>
      <c r="C712" s="0" t="inlineStr">
        <is>
          <t xml:space="preserve">r16</t>
        </is>
      </c>
      <c r="D712" s="0" t="inlineStr">
        <is>
          <t xml:space="preserve">s_emea_in</t>
        </is>
      </c>
      <c r="E712" s="0" t="inlineStr">
        <is>
          <t xml:space="preserve">inbound</t>
        </is>
      </c>
      <c r="F712" s="0" t="inlineStr">
        <is>
          <t xml:space="preserve">closed_lost</t>
        </is>
      </c>
      <c r="G712" s="4">
        <v>1</v>
      </c>
      <c r="H712" s="4">
        <v>48700</v>
      </c>
      <c r="I712" s="4">
        <v>1</v>
      </c>
      <c r="J712" s="4">
        <v>0</v>
      </c>
      <c r="K712" s="16">
        <v>45763</v>
      </c>
      <c r="L712" s="16">
        <v>45821</v>
      </c>
      <c r="M712" s="0" t="inlineStr">
        <is>
          <t xml:space="preserve">apr25</t>
        </is>
      </c>
      <c r="N712" s="0" t="inlineStr">
        <is>
          <t xml:space="preserve">jun25</t>
        </is>
      </c>
      <c r="O712" s="4">
        <v>58</v>
      </c>
      <c r="P712" s="4">
        <v>0</v>
      </c>
      <c r="Q712" s="4">
        <v>1</v>
      </c>
      <c r="R712" s="4">
        <v>0</v>
      </c>
      <c r="S712" s="4">
        <f>(H712*INDEX('Stages'!$D$2:$D$7,MATCH(F712,'Stages'!$A$2:$A$7,0)))</f>
        <v>0</v>
      </c>
      <c r="T712" s="4">
        <f>(H712*I712)</f>
        <v>48700</v>
      </c>
      <c r="U712" s="4">
        <f>(H712*(I712-1))</f>
        <v>0</v>
      </c>
      <c r="V712" s="0" t="str">
        <f>INDEX('Account executives'!$B$2:$B$25,MATCH(C712,'Account executives'!$A$2:$A$25,0))</f>
        <v>emea</v>
      </c>
      <c r="W712" s="0" t="str">
        <f>INDEX('Account executives'!$C$2:$C$25,MATCH(C712,'Account executives'!$A$2:$A$25,0))</f>
        <v>mid_market</v>
      </c>
      <c r="X712" s="0" t="str">
        <f>SUBSTITUTE(LOWER(INDEX('Periods'!$G$2:$G$22,MATCH(N712,'Periods'!$A$2:$A$22,0)))," ","_")</f>
        <v>q2_2025</v>
      </c>
    </row>
    <row r="713">
      <c r="A713" s="0" t="inlineStr">
        <is>
          <t xml:space="preserve">o0712</t>
        </is>
      </c>
      <c r="B713" s="0" t="inlineStr">
        <is>
          <t xml:space="preserve">a0344</t>
        </is>
      </c>
      <c r="C713" s="0" t="inlineStr">
        <is>
          <t xml:space="preserve">r17</t>
        </is>
      </c>
      <c r="D713" s="0" t="inlineStr">
        <is>
          <t xml:space="preserve">s_emea_out</t>
        </is>
      </c>
      <c r="E713" s="0" t="inlineStr">
        <is>
          <t xml:space="preserve">outbound</t>
        </is>
      </c>
      <c r="F713" s="0" t="inlineStr">
        <is>
          <t xml:space="preserve">closed_won</t>
        </is>
      </c>
      <c r="G713" s="4">
        <v>1</v>
      </c>
      <c r="H713" s="4">
        <v>11600</v>
      </c>
      <c r="I713" s="4">
        <v>1</v>
      </c>
      <c r="J713" s="4">
        <v>0</v>
      </c>
      <c r="K713" s="16">
        <v>45890</v>
      </c>
      <c r="L713" s="16">
        <v>45904</v>
      </c>
      <c r="M713" s="0" t="inlineStr">
        <is>
          <t xml:space="preserve">aug25</t>
        </is>
      </c>
      <c r="N713" s="0" t="inlineStr">
        <is>
          <t xml:space="preserve">sep25</t>
        </is>
      </c>
      <c r="O713" s="4">
        <v>14</v>
      </c>
      <c r="P713" s="4">
        <v>1</v>
      </c>
      <c r="Q713" s="4">
        <v>0</v>
      </c>
      <c r="R713" s="4">
        <v>0</v>
      </c>
      <c r="S713" s="4">
        <f>(H713*INDEX('Stages'!$D$2:$D$7,MATCH(F713,'Stages'!$A$2:$A$7,0)))</f>
        <v>11600</v>
      </c>
      <c r="T713" s="4">
        <f>(H713*I713)</f>
        <v>11600</v>
      </c>
      <c r="U713" s="4">
        <f>(H713*(I713-1))</f>
        <v>0</v>
      </c>
      <c r="V713" s="0" t="str">
        <f>INDEX('Account executives'!$B$2:$B$25,MATCH(C713,'Account executives'!$A$2:$A$25,0))</f>
        <v>emea</v>
      </c>
      <c r="W713" s="0" t="str">
        <f>INDEX('Account executives'!$C$2:$C$25,MATCH(C713,'Account executives'!$A$2:$A$25,0))</f>
        <v>smb</v>
      </c>
      <c r="X713" s="0" t="str">
        <f>SUBSTITUTE(LOWER(INDEX('Periods'!$G$2:$G$22,MATCH(N713,'Periods'!$A$2:$A$22,0)))," ","_")</f>
        <v>q3_2025</v>
      </c>
    </row>
    <row r="714">
      <c r="A714" s="0" t="inlineStr">
        <is>
          <t xml:space="preserve">o0713</t>
        </is>
      </c>
      <c r="B714" s="0" t="inlineStr">
        <is>
          <t xml:space="preserve">a0495</t>
        </is>
      </c>
      <c r="C714" s="0" t="inlineStr">
        <is>
          <t xml:space="preserve">r07</t>
        </is>
      </c>
      <c r="D714" s="0" t="inlineStr">
        <is>
          <t xml:space="preserve">s_amer_west_in</t>
        </is>
      </c>
      <c r="E714" s="0" t="inlineStr">
        <is>
          <t xml:space="preserve">inbound</t>
        </is>
      </c>
      <c r="F714" s="0" t="inlineStr">
        <is>
          <t xml:space="preserve">closed_lost</t>
        </is>
      </c>
      <c r="G714" s="4">
        <v>0</v>
      </c>
      <c r="H714" s="4">
        <v>228600</v>
      </c>
      <c r="I714" s="4">
        <v>2</v>
      </c>
      <c r="J714" s="4">
        <v>0</v>
      </c>
      <c r="K714" s="16">
        <v>46076</v>
      </c>
      <c r="L714" s="16">
        <v>46202</v>
      </c>
      <c r="M714" s="0" t="inlineStr">
        <is>
          <t xml:space="preserve">feb26</t>
        </is>
      </c>
      <c r="N714" s="0" t="inlineStr">
        <is>
          <t xml:space="preserve">jun26</t>
        </is>
      </c>
      <c r="O714" s="4">
        <v>126</v>
      </c>
      <c r="P714" s="4">
        <v>0</v>
      </c>
      <c r="Q714" s="4">
        <v>1</v>
      </c>
      <c r="R714" s="4">
        <v>0</v>
      </c>
      <c r="S714" s="4">
        <f>(H714*INDEX('Stages'!$D$2:$D$7,MATCH(F714,'Stages'!$A$2:$A$7,0)))</f>
        <v>0</v>
      </c>
      <c r="T714" s="4">
        <f>(H714*I714)</f>
        <v>457200</v>
      </c>
      <c r="U714" s="4">
        <f>(H714*(I714-1))</f>
        <v>228600</v>
      </c>
      <c r="V714" s="0" t="str">
        <f>INDEX('Account executives'!$B$2:$B$25,MATCH(C714,'Account executives'!$A$2:$A$25,0))</f>
        <v>amer_west</v>
      </c>
      <c r="W714" s="0" t="str">
        <f>INDEX('Account executives'!$C$2:$C$25,MATCH(C714,'Account executives'!$A$2:$A$25,0))</f>
        <v>enterprise</v>
      </c>
      <c r="X714" s="0" t="str">
        <f>SUBSTITUTE(LOWER(INDEX('Periods'!$G$2:$G$22,MATCH(N714,'Periods'!$A$2:$A$22,0)))," ","_")</f>
        <v>q2_2026</v>
      </c>
    </row>
    <row r="715">
      <c r="A715" s="0" t="inlineStr">
        <is>
          <t xml:space="preserve">o0714</t>
        </is>
      </c>
      <c r="B715" s="0" t="inlineStr">
        <is>
          <t xml:space="preserve">a0233</t>
        </is>
      </c>
      <c r="C715" s="0" t="inlineStr">
        <is>
          <t xml:space="preserve">r06</t>
        </is>
      </c>
      <c r="D715" s="0"/>
      <c r="E715" s="0" t="inlineStr">
        <is>
          <t xml:space="preserve">events</t>
        </is>
      </c>
      <c r="F715" s="0" t="inlineStr">
        <is>
          <t xml:space="preserve">closed_lost</t>
        </is>
      </c>
      <c r="G715" s="4">
        <v>0</v>
      </c>
      <c r="H715" s="4">
        <v>13300</v>
      </c>
      <c r="I715" s="4">
        <v>1</v>
      </c>
      <c r="J715" s="4">
        <v>0</v>
      </c>
      <c r="K715" s="16">
        <v>45862</v>
      </c>
      <c r="L715" s="16">
        <v>45897</v>
      </c>
      <c r="M715" s="0" t="inlineStr">
        <is>
          <t xml:space="preserve">jul25</t>
        </is>
      </c>
      <c r="N715" s="0" t="inlineStr">
        <is>
          <t xml:space="preserve">aug25</t>
        </is>
      </c>
      <c r="O715" s="4">
        <v>35</v>
      </c>
      <c r="P715" s="4">
        <v>0</v>
      </c>
      <c r="Q715" s="4">
        <v>1</v>
      </c>
      <c r="R715" s="4">
        <v>0</v>
      </c>
      <c r="S715" s="4">
        <f>(H715*INDEX('Stages'!$D$2:$D$7,MATCH(F715,'Stages'!$A$2:$A$7,0)))</f>
        <v>0</v>
      </c>
      <c r="T715" s="4">
        <f>(H715*I715)</f>
        <v>13300</v>
      </c>
      <c r="U715" s="4">
        <f>(H715*(I715-1))</f>
        <v>0</v>
      </c>
      <c r="V715" s="0" t="str">
        <f>INDEX('Account executives'!$B$2:$B$25,MATCH(C715,'Account executives'!$A$2:$A$25,0))</f>
        <v>amer_east</v>
      </c>
      <c r="W715" s="0" t="str">
        <f>INDEX('Account executives'!$C$2:$C$25,MATCH(C715,'Account executives'!$A$2:$A$25,0))</f>
        <v>smb</v>
      </c>
      <c r="X715" s="0" t="str">
        <f>SUBSTITUTE(LOWER(INDEX('Periods'!$G$2:$G$22,MATCH(N715,'Periods'!$A$2:$A$22,0)))," ","_")</f>
        <v>q3_2025</v>
      </c>
    </row>
    <row r="716">
      <c r="A716" s="0" t="inlineStr">
        <is>
          <t xml:space="preserve">o0715</t>
        </is>
      </c>
      <c r="B716" s="0" t="inlineStr">
        <is>
          <t xml:space="preserve">a0952</t>
        </is>
      </c>
      <c r="C716" s="0" t="inlineStr">
        <is>
          <t xml:space="preserve">r20</t>
        </is>
      </c>
      <c r="D716" s="0" t="inlineStr">
        <is>
          <t xml:space="preserve">s_apac_out</t>
        </is>
      </c>
      <c r="E716" s="0" t="inlineStr">
        <is>
          <t xml:space="preserve">outbound</t>
        </is>
      </c>
      <c r="F716" s="0" t="inlineStr">
        <is>
          <t xml:space="preserve">negotiation</t>
        </is>
      </c>
      <c r="G716" s="4">
        <v>1</v>
      </c>
      <c r="H716" s="4">
        <v>101300</v>
      </c>
      <c r="I716" s="4">
        <v>2</v>
      </c>
      <c r="J716" s="4">
        <v>0</v>
      </c>
      <c r="K716" s="16">
        <v>46162</v>
      </c>
      <c r="L716" s="16">
        <v>46304</v>
      </c>
      <c r="M716" s="0" t="inlineStr">
        <is>
          <t xml:space="preserve">may26</t>
        </is>
      </c>
      <c r="N716" s="0" t="inlineStr">
        <is>
          <t xml:space="preserve">oct26</t>
        </is>
      </c>
      <c r="O716" s="4">
        <v>132</v>
      </c>
      <c r="P716" s="4">
        <v>0</v>
      </c>
      <c r="Q716" s="4">
        <v>0</v>
      </c>
      <c r="R716" s="4">
        <v>1</v>
      </c>
      <c r="S716" s="4">
        <f>(H716*INDEX('Stages'!$D$2:$D$7,MATCH(F716,'Stages'!$A$2:$A$7,0)))</f>
        <v>75975</v>
      </c>
      <c r="T716" s="4">
        <f>(H716*I716)</f>
        <v>202600</v>
      </c>
      <c r="U716" s="4">
        <f>(H716*(I716-1))</f>
        <v>101300</v>
      </c>
      <c r="V716" s="0" t="str">
        <f>INDEX('Account executives'!$B$2:$B$25,MATCH(C716,'Account executives'!$A$2:$A$25,0))</f>
        <v>apac</v>
      </c>
      <c r="W716" s="0" t="str">
        <f>INDEX('Account executives'!$C$2:$C$25,MATCH(C716,'Account executives'!$A$2:$A$25,0))</f>
        <v>enterprise</v>
      </c>
      <c r="X716" s="0" t="str">
        <f>SUBSTITUTE(LOWER(INDEX('Periods'!$G$2:$G$22,MATCH(N716,'Periods'!$A$2:$A$22,0)))," ","_")</f>
        <v>q4_2026</v>
      </c>
    </row>
    <row r="717">
      <c r="A717" s="0" t="inlineStr">
        <is>
          <t xml:space="preserve">o0716</t>
        </is>
      </c>
      <c r="B717" s="0" t="inlineStr">
        <is>
          <t xml:space="preserve">a1230</t>
        </is>
      </c>
      <c r="C717" s="0" t="inlineStr">
        <is>
          <t xml:space="preserve">r05</t>
        </is>
      </c>
      <c r="D717" s="0" t="inlineStr">
        <is>
          <t xml:space="preserve">s_amer_east_out</t>
        </is>
      </c>
      <c r="E717" s="0" t="inlineStr">
        <is>
          <t xml:space="preserve">outbound</t>
        </is>
      </c>
      <c r="F717" s="0" t="inlineStr">
        <is>
          <t xml:space="preserve">proposal</t>
        </is>
      </c>
      <c r="G717" s="4">
        <v>1</v>
      </c>
      <c r="H717" s="4">
        <v>25000</v>
      </c>
      <c r="I717" s="4">
        <v>1</v>
      </c>
      <c r="J717" s="4">
        <v>0</v>
      </c>
      <c r="K717" s="16">
        <v>46266</v>
      </c>
      <c r="L717" s="16">
        <v>46293</v>
      </c>
      <c r="M717" s="0" t="inlineStr">
        <is>
          <t xml:space="preserve">sep26</t>
        </is>
      </c>
      <c r="N717" s="0" t="inlineStr">
        <is>
          <t xml:space="preserve">sep26</t>
        </is>
      </c>
      <c r="O717" s="4">
        <v>30</v>
      </c>
      <c r="P717" s="4">
        <v>0</v>
      </c>
      <c r="Q717" s="4">
        <v>0</v>
      </c>
      <c r="R717" s="4">
        <v>1</v>
      </c>
      <c r="S717" s="4">
        <f>(H717*INDEX('Stages'!$D$2:$D$7,MATCH(F717,'Stages'!$A$2:$A$7,0)))</f>
        <v>12500</v>
      </c>
      <c r="T717" s="4">
        <f>(H717*I717)</f>
        <v>25000</v>
      </c>
      <c r="U717" s="4">
        <f>(H717*(I717-1))</f>
        <v>0</v>
      </c>
      <c r="V717" s="0" t="str">
        <f>INDEX('Account executives'!$B$2:$B$25,MATCH(C717,'Account executives'!$A$2:$A$25,0))</f>
        <v>amer_east</v>
      </c>
      <c r="W717" s="0" t="str">
        <f>INDEX('Account executives'!$C$2:$C$25,MATCH(C717,'Account executives'!$A$2:$A$25,0))</f>
        <v>smb</v>
      </c>
      <c r="X717" s="0" t="str">
        <f>SUBSTITUTE(LOWER(INDEX('Periods'!$G$2:$G$22,MATCH(N717,'Periods'!$A$2:$A$22,0)))," ","_")</f>
        <v>q3_2026</v>
      </c>
    </row>
    <row r="718">
      <c r="A718" s="0" t="inlineStr">
        <is>
          <t xml:space="preserve">o0717</t>
        </is>
      </c>
      <c r="B718" s="0" t="inlineStr">
        <is>
          <t xml:space="preserve">a0477</t>
        </is>
      </c>
      <c r="C718" s="0" t="inlineStr">
        <is>
          <t xml:space="preserve">r04</t>
        </is>
      </c>
      <c r="D718" s="0" t="inlineStr">
        <is>
          <t xml:space="preserve">s_amer_east_in</t>
        </is>
      </c>
      <c r="E718" s="0" t="inlineStr">
        <is>
          <t xml:space="preserve">inbound</t>
        </is>
      </c>
      <c r="F718" s="0" t="inlineStr">
        <is>
          <t xml:space="preserve">closed_lost</t>
        </is>
      </c>
      <c r="G718" s="4">
        <v>1</v>
      </c>
      <c r="H718" s="4">
        <v>30800</v>
      </c>
      <c r="I718" s="4">
        <v>1</v>
      </c>
      <c r="J718" s="4">
        <v>0</v>
      </c>
      <c r="K718" s="16">
        <v>45968</v>
      </c>
      <c r="L718" s="16">
        <v>46029</v>
      </c>
      <c r="M718" s="0" t="inlineStr">
        <is>
          <t xml:space="preserve">nov25</t>
        </is>
      </c>
      <c r="N718" s="0" t="inlineStr">
        <is>
          <t xml:space="preserve">jan26</t>
        </is>
      </c>
      <c r="O718" s="4">
        <v>61</v>
      </c>
      <c r="P718" s="4">
        <v>0</v>
      </c>
      <c r="Q718" s="4">
        <v>1</v>
      </c>
      <c r="R718" s="4">
        <v>0</v>
      </c>
      <c r="S718" s="4">
        <f>(H718*INDEX('Stages'!$D$2:$D$7,MATCH(F718,'Stages'!$A$2:$A$7,0)))</f>
        <v>0</v>
      </c>
      <c r="T718" s="4">
        <f>(H718*I718)</f>
        <v>30800</v>
      </c>
      <c r="U718" s="4">
        <f>(H718*(I718-1))</f>
        <v>0</v>
      </c>
      <c r="V718" s="0" t="str">
        <f>INDEX('Account executives'!$B$2:$B$25,MATCH(C718,'Account executives'!$A$2:$A$25,0))</f>
        <v>amer_east</v>
      </c>
      <c r="W718" s="0" t="str">
        <f>INDEX('Account executives'!$C$2:$C$25,MATCH(C718,'Account executives'!$A$2:$A$25,0))</f>
        <v>mid_market</v>
      </c>
      <c r="X718" s="0" t="str">
        <f>SUBSTITUTE(LOWER(INDEX('Periods'!$G$2:$G$22,MATCH(N718,'Periods'!$A$2:$A$22,0)))," ","_")</f>
        <v>q1_2026</v>
      </c>
    </row>
    <row r="719">
      <c r="A719" s="0" t="inlineStr">
        <is>
          <t xml:space="preserve">o0718</t>
        </is>
      </c>
      <c r="B719" s="0" t="inlineStr">
        <is>
          <t xml:space="preserve">a0090</t>
        </is>
      </c>
      <c r="C719" s="0" t="inlineStr">
        <is>
          <t xml:space="preserve">r01</t>
        </is>
      </c>
      <c r="D719" s="0" t="inlineStr">
        <is>
          <t xml:space="preserve">s_amer_east_out</t>
        </is>
      </c>
      <c r="E719" s="0" t="inlineStr">
        <is>
          <t xml:space="preserve">outbound</t>
        </is>
      </c>
      <c r="F719" s="0" t="inlineStr">
        <is>
          <t xml:space="preserve">closed_lost</t>
        </is>
      </c>
      <c r="G719" s="4">
        <v>1</v>
      </c>
      <c r="H719" s="4">
        <v>196200</v>
      </c>
      <c r="I719" s="4">
        <v>1</v>
      </c>
      <c r="J719" s="4">
        <v>1</v>
      </c>
      <c r="K719" s="16">
        <v>45780</v>
      </c>
      <c r="L719" s="16">
        <v>45860</v>
      </c>
      <c r="M719" s="0" t="inlineStr">
        <is>
          <t xml:space="preserve">may25</t>
        </is>
      </c>
      <c r="N719" s="0" t="inlineStr">
        <is>
          <t xml:space="preserve">jul25</t>
        </is>
      </c>
      <c r="O719" s="4">
        <v>80</v>
      </c>
      <c r="P719" s="4">
        <v>0</v>
      </c>
      <c r="Q719" s="4">
        <v>1</v>
      </c>
      <c r="R719" s="4">
        <v>0</v>
      </c>
      <c r="S719" s="4">
        <f>(H719*INDEX('Stages'!$D$2:$D$7,MATCH(F719,'Stages'!$A$2:$A$7,0)))</f>
        <v>0</v>
      </c>
      <c r="T719" s="4">
        <f>(H719*I719)</f>
        <v>196200</v>
      </c>
      <c r="U719" s="4">
        <f>(H719*(I719-1))</f>
        <v>0</v>
      </c>
      <c r="V719" s="0" t="str">
        <f>INDEX('Account executives'!$B$2:$B$25,MATCH(C719,'Account executives'!$A$2:$A$25,0))</f>
        <v>amer_east</v>
      </c>
      <c r="W719" s="0" t="str">
        <f>INDEX('Account executives'!$C$2:$C$25,MATCH(C719,'Account executives'!$A$2:$A$25,0))</f>
        <v>enterprise</v>
      </c>
      <c r="X719" s="0" t="str">
        <f>SUBSTITUTE(LOWER(INDEX('Periods'!$G$2:$G$22,MATCH(N719,'Periods'!$A$2:$A$22,0)))," ","_")</f>
        <v>q3_2025</v>
      </c>
    </row>
    <row r="720">
      <c r="A720" s="0" t="inlineStr">
        <is>
          <t xml:space="preserve">o0719</t>
        </is>
      </c>
      <c r="B720" s="0" t="inlineStr">
        <is>
          <t xml:space="preserve">a0243</t>
        </is>
      </c>
      <c r="C720" s="0" t="inlineStr">
        <is>
          <t xml:space="preserve">r05</t>
        </is>
      </c>
      <c r="D720" s="0"/>
      <c r="E720" s="0" t="inlineStr">
        <is>
          <t xml:space="preserve">events</t>
        </is>
      </c>
      <c r="F720" s="0" t="inlineStr">
        <is>
          <t xml:space="preserve">closed_lost</t>
        </is>
      </c>
      <c r="G720" s="4">
        <v>1</v>
      </c>
      <c r="H720" s="4">
        <v>14200</v>
      </c>
      <c r="I720" s="4">
        <v>1</v>
      </c>
      <c r="J720" s="4">
        <v>0</v>
      </c>
      <c r="K720" s="16">
        <v>45846</v>
      </c>
      <c r="L720" s="16">
        <v>45869</v>
      </c>
      <c r="M720" s="0" t="inlineStr">
        <is>
          <t xml:space="preserve">jul25</t>
        </is>
      </c>
      <c r="N720" s="0" t="inlineStr">
        <is>
          <t xml:space="preserve">jul25</t>
        </is>
      </c>
      <c r="O720" s="4">
        <v>23</v>
      </c>
      <c r="P720" s="4">
        <v>0</v>
      </c>
      <c r="Q720" s="4">
        <v>1</v>
      </c>
      <c r="R720" s="4">
        <v>0</v>
      </c>
      <c r="S720" s="4">
        <f>(H720*INDEX('Stages'!$D$2:$D$7,MATCH(F720,'Stages'!$A$2:$A$7,0)))</f>
        <v>0</v>
      </c>
      <c r="T720" s="4">
        <f>(H720*I720)</f>
        <v>14200</v>
      </c>
      <c r="U720" s="4">
        <f>(H720*(I720-1))</f>
        <v>0</v>
      </c>
      <c r="V720" s="0" t="str">
        <f>INDEX('Account executives'!$B$2:$B$25,MATCH(C720,'Account executives'!$A$2:$A$25,0))</f>
        <v>amer_east</v>
      </c>
      <c r="W720" s="0" t="str">
        <f>INDEX('Account executives'!$C$2:$C$25,MATCH(C720,'Account executives'!$A$2:$A$25,0))</f>
        <v>smb</v>
      </c>
      <c r="X720" s="0" t="str">
        <f>SUBSTITUTE(LOWER(INDEX('Periods'!$G$2:$G$22,MATCH(N720,'Periods'!$A$2:$A$22,0)))," ","_")</f>
        <v>q3_2025</v>
      </c>
    </row>
    <row r="721">
      <c r="A721" s="0" t="inlineStr">
        <is>
          <t xml:space="preserve">o0720</t>
        </is>
      </c>
      <c r="B721" s="0" t="inlineStr">
        <is>
          <t xml:space="preserve">a0134</t>
        </is>
      </c>
      <c r="C721" s="0" t="inlineStr">
        <is>
          <t xml:space="preserve">r15</t>
        </is>
      </c>
      <c r="D721" s="0" t="inlineStr">
        <is>
          <t xml:space="preserve">s_emea_in</t>
        </is>
      </c>
      <c r="E721" s="0" t="inlineStr">
        <is>
          <t xml:space="preserve">inbound</t>
        </is>
      </c>
      <c r="F721" s="0" t="inlineStr">
        <is>
          <t xml:space="preserve">closed_won</t>
        </is>
      </c>
      <c r="G721" s="4">
        <v>0</v>
      </c>
      <c r="H721" s="4">
        <v>28700</v>
      </c>
      <c r="I721" s="4">
        <v>1</v>
      </c>
      <c r="J721" s="4">
        <v>0</v>
      </c>
      <c r="K721" s="16">
        <v>45877</v>
      </c>
      <c r="L721" s="16">
        <v>45955</v>
      </c>
      <c r="M721" s="0" t="inlineStr">
        <is>
          <t xml:space="preserve">aug25</t>
        </is>
      </c>
      <c r="N721" s="0" t="inlineStr">
        <is>
          <t xml:space="preserve">oct25</t>
        </is>
      </c>
      <c r="O721" s="4">
        <v>78</v>
      </c>
      <c r="P721" s="4">
        <v>1</v>
      </c>
      <c r="Q721" s="4">
        <v>0</v>
      </c>
      <c r="R721" s="4">
        <v>0</v>
      </c>
      <c r="S721" s="4">
        <f>(H721*INDEX('Stages'!$D$2:$D$7,MATCH(F721,'Stages'!$A$2:$A$7,0)))</f>
        <v>28700</v>
      </c>
      <c r="T721" s="4">
        <f>(H721*I721)</f>
        <v>28700</v>
      </c>
      <c r="U721" s="4">
        <f>(H721*(I721-1))</f>
        <v>0</v>
      </c>
      <c r="V721" s="0" t="str">
        <f>INDEX('Account executives'!$B$2:$B$25,MATCH(C721,'Account executives'!$A$2:$A$25,0))</f>
        <v>emea</v>
      </c>
      <c r="W721" s="0" t="str">
        <f>INDEX('Account executives'!$C$2:$C$25,MATCH(C721,'Account executives'!$A$2:$A$25,0))</f>
        <v>mid_market</v>
      </c>
      <c r="X721" s="0" t="str">
        <f>SUBSTITUTE(LOWER(INDEX('Periods'!$G$2:$G$22,MATCH(N721,'Periods'!$A$2:$A$22,0)))," ","_")</f>
        <v>q4_2025</v>
      </c>
    </row>
    <row r="722">
      <c r="A722" s="0" t="inlineStr">
        <is>
          <t xml:space="preserve">o0721</t>
        </is>
      </c>
      <c r="B722" s="0" t="inlineStr">
        <is>
          <t xml:space="preserve">a0453</t>
        </is>
      </c>
      <c r="C722" s="0" t="inlineStr">
        <is>
          <t xml:space="preserve">r15</t>
        </is>
      </c>
      <c r="D722" s="0"/>
      <c r="E722" s="0" t="inlineStr">
        <is>
          <t xml:space="preserve">events</t>
        </is>
      </c>
      <c r="F722" s="0" t="inlineStr">
        <is>
          <t xml:space="preserve">closed_lost</t>
        </is>
      </c>
      <c r="G722" s="4">
        <v>1</v>
      </c>
      <c r="H722" s="4">
        <v>69200</v>
      </c>
      <c r="I722" s="4">
        <v>1</v>
      </c>
      <c r="J722" s="4">
        <v>0</v>
      </c>
      <c r="K722" s="16">
        <v>45955</v>
      </c>
      <c r="L722" s="16">
        <v>46017</v>
      </c>
      <c r="M722" s="0" t="inlineStr">
        <is>
          <t xml:space="preserve">oct25</t>
        </is>
      </c>
      <c r="N722" s="0" t="inlineStr">
        <is>
          <t xml:space="preserve">dec25</t>
        </is>
      </c>
      <c r="O722" s="4">
        <v>62</v>
      </c>
      <c r="P722" s="4">
        <v>0</v>
      </c>
      <c r="Q722" s="4">
        <v>1</v>
      </c>
      <c r="R722" s="4">
        <v>0</v>
      </c>
      <c r="S722" s="4">
        <f>(H722*INDEX('Stages'!$D$2:$D$7,MATCH(F722,'Stages'!$A$2:$A$7,0)))</f>
        <v>0</v>
      </c>
      <c r="T722" s="4">
        <f>(H722*I722)</f>
        <v>69200</v>
      </c>
      <c r="U722" s="4">
        <f>(H722*(I722-1))</f>
        <v>0</v>
      </c>
      <c r="V722" s="0" t="str">
        <f>INDEX('Account executives'!$B$2:$B$25,MATCH(C722,'Account executives'!$A$2:$A$25,0))</f>
        <v>emea</v>
      </c>
      <c r="W722" s="0" t="str">
        <f>INDEX('Account executives'!$C$2:$C$25,MATCH(C722,'Account executives'!$A$2:$A$25,0))</f>
        <v>mid_market</v>
      </c>
      <c r="X722" s="0" t="str">
        <f>SUBSTITUTE(LOWER(INDEX('Periods'!$G$2:$G$22,MATCH(N722,'Periods'!$A$2:$A$22,0)))," ","_")</f>
        <v>q4_2025</v>
      </c>
    </row>
    <row r="723">
      <c r="A723" s="0" t="inlineStr">
        <is>
          <t xml:space="preserve">o0722</t>
        </is>
      </c>
      <c r="B723" s="0" t="inlineStr">
        <is>
          <t xml:space="preserve">a0440</t>
        </is>
      </c>
      <c r="C723" s="0" t="inlineStr">
        <is>
          <t xml:space="preserve">r12</t>
        </is>
      </c>
      <c r="D723" s="0" t="inlineStr">
        <is>
          <t xml:space="preserve">s_amer_west_in</t>
        </is>
      </c>
      <c r="E723" s="0" t="inlineStr">
        <is>
          <t xml:space="preserve">inbound</t>
        </is>
      </c>
      <c r="F723" s="0" t="inlineStr">
        <is>
          <t xml:space="preserve">closed_won</t>
        </is>
      </c>
      <c r="G723" s="4">
        <v>0</v>
      </c>
      <c r="H723" s="4">
        <v>5400</v>
      </c>
      <c r="I723" s="4">
        <v>1</v>
      </c>
      <c r="J723" s="4">
        <v>0</v>
      </c>
      <c r="K723" s="16">
        <v>46182</v>
      </c>
      <c r="L723" s="16">
        <v>46226</v>
      </c>
      <c r="M723" s="0" t="inlineStr">
        <is>
          <t xml:space="preserve">jun26</t>
        </is>
      </c>
      <c r="N723" s="0" t="inlineStr">
        <is>
          <t xml:space="preserve">jul26</t>
        </is>
      </c>
      <c r="O723" s="4">
        <v>44</v>
      </c>
      <c r="P723" s="4">
        <v>1</v>
      </c>
      <c r="Q723" s="4">
        <v>0</v>
      </c>
      <c r="R723" s="4">
        <v>0</v>
      </c>
      <c r="S723" s="4">
        <f>(H723*INDEX('Stages'!$D$2:$D$7,MATCH(F723,'Stages'!$A$2:$A$7,0)))</f>
        <v>5400</v>
      </c>
      <c r="T723" s="4">
        <f>(H723*I723)</f>
        <v>5400</v>
      </c>
      <c r="U723" s="4">
        <f>(H723*(I723-1))</f>
        <v>0</v>
      </c>
      <c r="V723" s="0" t="str">
        <f>INDEX('Account executives'!$B$2:$B$25,MATCH(C723,'Account executives'!$A$2:$A$25,0))</f>
        <v>amer_west</v>
      </c>
      <c r="W723" s="0" t="str">
        <f>INDEX('Account executives'!$C$2:$C$25,MATCH(C723,'Account executives'!$A$2:$A$25,0))</f>
        <v>smb</v>
      </c>
      <c r="X723" s="0" t="str">
        <f>SUBSTITUTE(LOWER(INDEX('Periods'!$G$2:$G$22,MATCH(N723,'Periods'!$A$2:$A$22,0)))," ","_")</f>
        <v>q3_2026</v>
      </c>
    </row>
    <row r="724">
      <c r="A724" s="0" t="inlineStr">
        <is>
          <t xml:space="preserve">o0723</t>
        </is>
      </c>
      <c r="B724" s="0" t="inlineStr">
        <is>
          <t xml:space="preserve">a0598</t>
        </is>
      </c>
      <c r="C724" s="0" t="inlineStr">
        <is>
          <t xml:space="preserve">r18</t>
        </is>
      </c>
      <c r="D724" s="0"/>
      <c r="E724" s="0" t="inlineStr">
        <is>
          <t xml:space="preserve">referral</t>
        </is>
      </c>
      <c r="F724" s="0" t="inlineStr">
        <is>
          <t xml:space="preserve">closed_lost</t>
        </is>
      </c>
      <c r="G724" s="4">
        <v>1</v>
      </c>
      <c r="H724" s="4">
        <v>8000</v>
      </c>
      <c r="I724" s="4">
        <v>1</v>
      </c>
      <c r="J724" s="4">
        <v>0</v>
      </c>
      <c r="K724" s="16">
        <v>46014</v>
      </c>
      <c r="L724" s="16">
        <v>46052</v>
      </c>
      <c r="M724" s="0" t="inlineStr">
        <is>
          <t xml:space="preserve">dec25</t>
        </is>
      </c>
      <c r="N724" s="0" t="inlineStr">
        <is>
          <t xml:space="preserve">jan26</t>
        </is>
      </c>
      <c r="O724" s="4">
        <v>38</v>
      </c>
      <c r="P724" s="4">
        <v>0</v>
      </c>
      <c r="Q724" s="4">
        <v>1</v>
      </c>
      <c r="R724" s="4">
        <v>0</v>
      </c>
      <c r="S724" s="4">
        <f>(H724*INDEX('Stages'!$D$2:$D$7,MATCH(F724,'Stages'!$A$2:$A$7,0)))</f>
        <v>0</v>
      </c>
      <c r="T724" s="4">
        <f>(H724*I724)</f>
        <v>8000</v>
      </c>
      <c r="U724" s="4">
        <f>(H724*(I724-1))</f>
        <v>0</v>
      </c>
      <c r="V724" s="0" t="str">
        <f>INDEX('Account executives'!$B$2:$B$25,MATCH(C724,'Account executives'!$A$2:$A$25,0))</f>
        <v>emea</v>
      </c>
      <c r="W724" s="0" t="str">
        <f>INDEX('Account executives'!$C$2:$C$25,MATCH(C724,'Account executives'!$A$2:$A$25,0))</f>
        <v>smb</v>
      </c>
      <c r="X724" s="0" t="str">
        <f>SUBSTITUTE(LOWER(INDEX('Periods'!$G$2:$G$22,MATCH(N724,'Periods'!$A$2:$A$22,0)))," ","_")</f>
        <v>q1_2026</v>
      </c>
    </row>
    <row r="725">
      <c r="A725" s="0" t="inlineStr">
        <is>
          <t xml:space="preserve">o0724</t>
        </is>
      </c>
      <c r="B725" s="0" t="inlineStr">
        <is>
          <t xml:space="preserve">a0348</t>
        </is>
      </c>
      <c r="C725" s="0" t="inlineStr">
        <is>
          <t xml:space="preserve">r24</t>
        </is>
      </c>
      <c r="D725" s="0" t="inlineStr">
        <is>
          <t xml:space="preserve">s_apac_in</t>
        </is>
      </c>
      <c r="E725" s="0" t="inlineStr">
        <is>
          <t xml:space="preserve">inbound</t>
        </is>
      </c>
      <c r="F725" s="0" t="inlineStr">
        <is>
          <t xml:space="preserve">closed_won</t>
        </is>
      </c>
      <c r="G725" s="4">
        <v>1</v>
      </c>
      <c r="H725" s="4">
        <v>41700</v>
      </c>
      <c r="I725" s="4">
        <v>1</v>
      </c>
      <c r="J725" s="4">
        <v>0</v>
      </c>
      <c r="K725" s="16">
        <v>45876</v>
      </c>
      <c r="L725" s="16">
        <v>45925</v>
      </c>
      <c r="M725" s="0" t="inlineStr">
        <is>
          <t xml:space="preserve">aug25</t>
        </is>
      </c>
      <c r="N725" s="0" t="inlineStr">
        <is>
          <t xml:space="preserve">sep25</t>
        </is>
      </c>
      <c r="O725" s="4">
        <v>49</v>
      </c>
      <c r="P725" s="4">
        <v>1</v>
      </c>
      <c r="Q725" s="4">
        <v>0</v>
      </c>
      <c r="R725" s="4">
        <v>0</v>
      </c>
      <c r="S725" s="4">
        <f>(H725*INDEX('Stages'!$D$2:$D$7,MATCH(F725,'Stages'!$A$2:$A$7,0)))</f>
        <v>41700</v>
      </c>
      <c r="T725" s="4">
        <f>(H725*I725)</f>
        <v>41700</v>
      </c>
      <c r="U725" s="4">
        <f>(H725*(I725-1))</f>
        <v>0</v>
      </c>
      <c r="V725" s="0" t="str">
        <f>INDEX('Account executives'!$B$2:$B$25,MATCH(C725,'Account executives'!$A$2:$A$25,0))</f>
        <v>apac</v>
      </c>
      <c r="W725" s="0" t="str">
        <f>INDEX('Account executives'!$C$2:$C$25,MATCH(C725,'Account executives'!$A$2:$A$25,0))</f>
        <v>smb</v>
      </c>
      <c r="X725" s="0" t="str">
        <f>SUBSTITUTE(LOWER(INDEX('Periods'!$G$2:$G$22,MATCH(N725,'Periods'!$A$2:$A$22,0)))," ","_")</f>
        <v>q3_2025</v>
      </c>
    </row>
    <row r="726">
      <c r="A726" s="0" t="inlineStr">
        <is>
          <t xml:space="preserve">o0725</t>
        </is>
      </c>
      <c r="B726" s="0" t="inlineStr">
        <is>
          <t xml:space="preserve">a0158</t>
        </is>
      </c>
      <c r="C726" s="0" t="inlineStr">
        <is>
          <t xml:space="preserve">r05</t>
        </is>
      </c>
      <c r="D726" s="0" t="inlineStr">
        <is>
          <t xml:space="preserve">s_amer_east_in</t>
        </is>
      </c>
      <c r="E726" s="0" t="inlineStr">
        <is>
          <t xml:space="preserve">inbound</t>
        </is>
      </c>
      <c r="F726" s="0" t="inlineStr">
        <is>
          <t xml:space="preserve">closed_lost</t>
        </is>
      </c>
      <c r="G726" s="4">
        <v>0</v>
      </c>
      <c r="H726" s="4">
        <v>2500</v>
      </c>
      <c r="I726" s="4">
        <v>1</v>
      </c>
      <c r="J726" s="4">
        <v>1</v>
      </c>
      <c r="K726" s="16">
        <v>45816</v>
      </c>
      <c r="L726" s="16">
        <v>45858</v>
      </c>
      <c r="M726" s="0" t="inlineStr">
        <is>
          <t xml:space="preserve">jun25</t>
        </is>
      </c>
      <c r="N726" s="0" t="inlineStr">
        <is>
          <t xml:space="preserve">jul25</t>
        </is>
      </c>
      <c r="O726" s="4">
        <v>42</v>
      </c>
      <c r="P726" s="4">
        <v>0</v>
      </c>
      <c r="Q726" s="4">
        <v>1</v>
      </c>
      <c r="R726" s="4">
        <v>0</v>
      </c>
      <c r="S726" s="4">
        <f>(H726*INDEX('Stages'!$D$2:$D$7,MATCH(F726,'Stages'!$A$2:$A$7,0)))</f>
        <v>0</v>
      </c>
      <c r="T726" s="4">
        <f>(H726*I726)</f>
        <v>2500</v>
      </c>
      <c r="U726" s="4">
        <f>(H726*(I726-1))</f>
        <v>0</v>
      </c>
      <c r="V726" s="0" t="str">
        <f>INDEX('Account executives'!$B$2:$B$25,MATCH(C726,'Account executives'!$A$2:$A$25,0))</f>
        <v>amer_east</v>
      </c>
      <c r="W726" s="0" t="str">
        <f>INDEX('Account executives'!$C$2:$C$25,MATCH(C726,'Account executives'!$A$2:$A$25,0))</f>
        <v>smb</v>
      </c>
      <c r="X726" s="0" t="str">
        <f>SUBSTITUTE(LOWER(INDEX('Periods'!$G$2:$G$22,MATCH(N726,'Periods'!$A$2:$A$22,0)))," ","_")</f>
        <v>q3_2025</v>
      </c>
    </row>
    <row r="727">
      <c r="A727" s="0" t="inlineStr">
        <is>
          <t xml:space="preserve">o0726</t>
        </is>
      </c>
      <c r="B727" s="0" t="inlineStr">
        <is>
          <t xml:space="preserve">a0306</t>
        </is>
      </c>
      <c r="C727" s="0" t="inlineStr">
        <is>
          <t xml:space="preserve">r22</t>
        </is>
      </c>
      <c r="D727" s="0" t="inlineStr">
        <is>
          <t xml:space="preserve">s_apac_in</t>
        </is>
      </c>
      <c r="E727" s="0" t="inlineStr">
        <is>
          <t xml:space="preserve">inbound</t>
        </is>
      </c>
      <c r="F727" s="0" t="inlineStr">
        <is>
          <t xml:space="preserve">closed_lost</t>
        </is>
      </c>
      <c r="G727" s="4">
        <v>0</v>
      </c>
      <c r="H727" s="4">
        <v>19600</v>
      </c>
      <c r="I727" s="4">
        <v>3</v>
      </c>
      <c r="J727" s="4">
        <v>0</v>
      </c>
      <c r="K727" s="16">
        <v>46004</v>
      </c>
      <c r="L727" s="16">
        <v>46073</v>
      </c>
      <c r="M727" s="0" t="inlineStr">
        <is>
          <t xml:space="preserve">dec25</t>
        </is>
      </c>
      <c r="N727" s="0" t="inlineStr">
        <is>
          <t xml:space="preserve">feb26</t>
        </is>
      </c>
      <c r="O727" s="4">
        <v>69</v>
      </c>
      <c r="P727" s="4">
        <v>0</v>
      </c>
      <c r="Q727" s="4">
        <v>1</v>
      </c>
      <c r="R727" s="4">
        <v>0</v>
      </c>
      <c r="S727" s="4">
        <f>(H727*INDEX('Stages'!$D$2:$D$7,MATCH(F727,'Stages'!$A$2:$A$7,0)))</f>
        <v>0</v>
      </c>
      <c r="T727" s="4">
        <f>(H727*I727)</f>
        <v>58800</v>
      </c>
      <c r="U727" s="4">
        <f>(H727*(I727-1))</f>
        <v>39200</v>
      </c>
      <c r="V727" s="0" t="str">
        <f>INDEX('Account executives'!$B$2:$B$25,MATCH(C727,'Account executives'!$A$2:$A$25,0))</f>
        <v>apac</v>
      </c>
      <c r="W727" s="0" t="str">
        <f>INDEX('Account executives'!$C$2:$C$25,MATCH(C727,'Account executives'!$A$2:$A$25,0))</f>
        <v>mid_market</v>
      </c>
      <c r="X727" s="0" t="str">
        <f>SUBSTITUTE(LOWER(INDEX('Periods'!$G$2:$G$22,MATCH(N727,'Periods'!$A$2:$A$22,0)))," ","_")</f>
        <v>q1_2026</v>
      </c>
    </row>
    <row r="728">
      <c r="A728" s="0" t="inlineStr">
        <is>
          <t xml:space="preserve">o0727</t>
        </is>
      </c>
      <c r="B728" s="0" t="inlineStr">
        <is>
          <t xml:space="preserve">a0420</t>
        </is>
      </c>
      <c r="C728" s="0" t="inlineStr">
        <is>
          <t xml:space="preserve">r05</t>
        </is>
      </c>
      <c r="D728" s="0" t="inlineStr">
        <is>
          <t xml:space="preserve">s_amer_east_in</t>
        </is>
      </c>
      <c r="E728" s="0" t="inlineStr">
        <is>
          <t xml:space="preserve">paid</t>
        </is>
      </c>
      <c r="F728" s="0" t="inlineStr">
        <is>
          <t xml:space="preserve">closed_won</t>
        </is>
      </c>
      <c r="G728" s="4">
        <v>1</v>
      </c>
      <c r="H728" s="4">
        <v>23400</v>
      </c>
      <c r="I728" s="4">
        <v>1</v>
      </c>
      <c r="J728" s="4">
        <v>0</v>
      </c>
      <c r="K728" s="16">
        <v>45941</v>
      </c>
      <c r="L728" s="16">
        <v>45965</v>
      </c>
      <c r="M728" s="0" t="inlineStr">
        <is>
          <t xml:space="preserve">oct25</t>
        </is>
      </c>
      <c r="N728" s="0" t="inlineStr">
        <is>
          <t xml:space="preserve">nov25</t>
        </is>
      </c>
      <c r="O728" s="4">
        <v>24</v>
      </c>
      <c r="P728" s="4">
        <v>1</v>
      </c>
      <c r="Q728" s="4">
        <v>0</v>
      </c>
      <c r="R728" s="4">
        <v>0</v>
      </c>
      <c r="S728" s="4">
        <f>(H728*INDEX('Stages'!$D$2:$D$7,MATCH(F728,'Stages'!$A$2:$A$7,0)))</f>
        <v>23400</v>
      </c>
      <c r="T728" s="4">
        <f>(H728*I728)</f>
        <v>23400</v>
      </c>
      <c r="U728" s="4">
        <f>(H728*(I728-1))</f>
        <v>0</v>
      </c>
      <c r="V728" s="0" t="str">
        <f>INDEX('Account executives'!$B$2:$B$25,MATCH(C728,'Account executives'!$A$2:$A$25,0))</f>
        <v>amer_east</v>
      </c>
      <c r="W728" s="0" t="str">
        <f>INDEX('Account executives'!$C$2:$C$25,MATCH(C728,'Account executives'!$A$2:$A$25,0))</f>
        <v>smb</v>
      </c>
      <c r="X728" s="0" t="str">
        <f>SUBSTITUTE(LOWER(INDEX('Periods'!$G$2:$G$22,MATCH(N728,'Periods'!$A$2:$A$22,0)))," ","_")</f>
        <v>q4_2025</v>
      </c>
    </row>
    <row r="729">
      <c r="A729" s="0" t="inlineStr">
        <is>
          <t xml:space="preserve">o0728</t>
        </is>
      </c>
      <c r="B729" s="0" t="inlineStr">
        <is>
          <t xml:space="preserve">a0647</t>
        </is>
      </c>
      <c r="C729" s="0" t="inlineStr">
        <is>
          <t xml:space="preserve">r18</t>
        </is>
      </c>
      <c r="D729" s="0" t="inlineStr">
        <is>
          <t xml:space="preserve">s_emea_in</t>
        </is>
      </c>
      <c r="E729" s="0" t="inlineStr">
        <is>
          <t xml:space="preserve">paid</t>
        </is>
      </c>
      <c r="F729" s="0" t="inlineStr">
        <is>
          <t xml:space="preserve">closed_lost</t>
        </is>
      </c>
      <c r="G729" s="4">
        <v>1</v>
      </c>
      <c r="H729" s="4">
        <v>10300</v>
      </c>
      <c r="I729" s="4">
        <v>1</v>
      </c>
      <c r="J729" s="4">
        <v>0</v>
      </c>
      <c r="K729" s="16">
        <v>46040</v>
      </c>
      <c r="L729" s="16">
        <v>46075</v>
      </c>
      <c r="M729" s="0" t="inlineStr">
        <is>
          <t xml:space="preserve">jan26</t>
        </is>
      </c>
      <c r="N729" s="0" t="inlineStr">
        <is>
          <t xml:space="preserve">feb26</t>
        </is>
      </c>
      <c r="O729" s="4">
        <v>35</v>
      </c>
      <c r="P729" s="4">
        <v>0</v>
      </c>
      <c r="Q729" s="4">
        <v>1</v>
      </c>
      <c r="R729" s="4">
        <v>0</v>
      </c>
      <c r="S729" s="4">
        <f>(H729*INDEX('Stages'!$D$2:$D$7,MATCH(F729,'Stages'!$A$2:$A$7,0)))</f>
        <v>0</v>
      </c>
      <c r="T729" s="4">
        <f>(H729*I729)</f>
        <v>10300</v>
      </c>
      <c r="U729" s="4">
        <f>(H729*(I729-1))</f>
        <v>0</v>
      </c>
      <c r="V729" s="0" t="str">
        <f>INDEX('Account executives'!$B$2:$B$25,MATCH(C729,'Account executives'!$A$2:$A$25,0))</f>
        <v>emea</v>
      </c>
      <c r="W729" s="0" t="str">
        <f>INDEX('Account executives'!$C$2:$C$25,MATCH(C729,'Account executives'!$A$2:$A$25,0))</f>
        <v>smb</v>
      </c>
      <c r="X729" s="0" t="str">
        <f>SUBSTITUTE(LOWER(INDEX('Periods'!$G$2:$G$22,MATCH(N729,'Periods'!$A$2:$A$22,0)))," ","_")</f>
        <v>q1_2026</v>
      </c>
    </row>
    <row r="730">
      <c r="A730" s="0" t="inlineStr">
        <is>
          <t xml:space="preserve">o0729</t>
        </is>
      </c>
      <c r="B730" s="0" t="inlineStr">
        <is>
          <t xml:space="preserve">a0175</t>
        </is>
      </c>
      <c r="C730" s="0" t="inlineStr">
        <is>
          <t xml:space="preserve">r04</t>
        </is>
      </c>
      <c r="D730" s="0"/>
      <c r="E730" s="0" t="inlineStr">
        <is>
          <t xml:space="preserve">events</t>
        </is>
      </c>
      <c r="F730" s="0" t="inlineStr">
        <is>
          <t xml:space="preserve">closed_lost</t>
        </is>
      </c>
      <c r="G730" s="4">
        <v>1</v>
      </c>
      <c r="H730" s="4">
        <v>52900</v>
      </c>
      <c r="I730" s="4">
        <v>1</v>
      </c>
      <c r="J730" s="4">
        <v>1</v>
      </c>
      <c r="K730" s="16">
        <v>45824</v>
      </c>
      <c r="L730" s="16">
        <v>45891</v>
      </c>
      <c r="M730" s="0" t="inlineStr">
        <is>
          <t xml:space="preserve">jun25</t>
        </is>
      </c>
      <c r="N730" s="0" t="inlineStr">
        <is>
          <t xml:space="preserve">aug25</t>
        </is>
      </c>
      <c r="O730" s="4">
        <v>67</v>
      </c>
      <c r="P730" s="4">
        <v>0</v>
      </c>
      <c r="Q730" s="4">
        <v>1</v>
      </c>
      <c r="R730" s="4">
        <v>0</v>
      </c>
      <c r="S730" s="4">
        <f>(H730*INDEX('Stages'!$D$2:$D$7,MATCH(F730,'Stages'!$A$2:$A$7,0)))</f>
        <v>0</v>
      </c>
      <c r="T730" s="4">
        <f>(H730*I730)</f>
        <v>52900</v>
      </c>
      <c r="U730" s="4">
        <f>(H730*(I730-1))</f>
        <v>0</v>
      </c>
      <c r="V730" s="0" t="str">
        <f>INDEX('Account executives'!$B$2:$B$25,MATCH(C730,'Account executives'!$A$2:$A$25,0))</f>
        <v>amer_east</v>
      </c>
      <c r="W730" s="0" t="str">
        <f>INDEX('Account executives'!$C$2:$C$25,MATCH(C730,'Account executives'!$A$2:$A$25,0))</f>
        <v>mid_market</v>
      </c>
      <c r="X730" s="0" t="str">
        <f>SUBSTITUTE(LOWER(INDEX('Periods'!$G$2:$G$22,MATCH(N730,'Periods'!$A$2:$A$22,0)))," ","_")</f>
        <v>q3_2025</v>
      </c>
    </row>
    <row r="731">
      <c r="A731" s="0" t="inlineStr">
        <is>
          <t xml:space="preserve">o0730</t>
        </is>
      </c>
      <c r="B731" s="0" t="inlineStr">
        <is>
          <t xml:space="preserve">a0737</t>
        </is>
      </c>
      <c r="C731" s="0" t="inlineStr">
        <is>
          <t xml:space="preserve">r03</t>
        </is>
      </c>
      <c r="D731" s="0"/>
      <c r="E731" s="0" t="inlineStr">
        <is>
          <t xml:space="preserve">events</t>
        </is>
      </c>
      <c r="F731" s="0" t="inlineStr">
        <is>
          <t xml:space="preserve">closed_lost</t>
        </is>
      </c>
      <c r="G731" s="4">
        <v>1</v>
      </c>
      <c r="H731" s="4">
        <v>65400</v>
      </c>
      <c r="I731" s="4">
        <v>1</v>
      </c>
      <c r="J731" s="4">
        <v>0</v>
      </c>
      <c r="K731" s="16">
        <v>46092</v>
      </c>
      <c r="L731" s="16">
        <v>46145</v>
      </c>
      <c r="M731" s="0" t="inlineStr">
        <is>
          <t xml:space="preserve">mar26</t>
        </is>
      </c>
      <c r="N731" s="0" t="inlineStr">
        <is>
          <t xml:space="preserve">may26</t>
        </is>
      </c>
      <c r="O731" s="4">
        <v>53</v>
      </c>
      <c r="P731" s="4">
        <v>0</v>
      </c>
      <c r="Q731" s="4">
        <v>1</v>
      </c>
      <c r="R731" s="4">
        <v>0</v>
      </c>
      <c r="S731" s="4">
        <f>(H731*INDEX('Stages'!$D$2:$D$7,MATCH(F731,'Stages'!$A$2:$A$7,0)))</f>
        <v>0</v>
      </c>
      <c r="T731" s="4">
        <f>(H731*I731)</f>
        <v>65400</v>
      </c>
      <c r="U731" s="4">
        <f>(H731*(I731-1))</f>
        <v>0</v>
      </c>
      <c r="V731" s="0" t="str">
        <f>INDEX('Account executives'!$B$2:$B$25,MATCH(C731,'Account executives'!$A$2:$A$25,0))</f>
        <v>amer_east</v>
      </c>
      <c r="W731" s="0" t="str">
        <f>INDEX('Account executives'!$C$2:$C$25,MATCH(C731,'Account executives'!$A$2:$A$25,0))</f>
        <v>mid_market</v>
      </c>
      <c r="X731" s="0" t="str">
        <f>SUBSTITUTE(LOWER(INDEX('Periods'!$G$2:$G$22,MATCH(N731,'Periods'!$A$2:$A$22,0)))," ","_")</f>
        <v>q2_2026</v>
      </c>
    </row>
    <row r="732">
      <c r="A732" s="0" t="inlineStr">
        <is>
          <t xml:space="preserve">o0731</t>
        </is>
      </c>
      <c r="B732" s="0" t="inlineStr">
        <is>
          <t xml:space="preserve">a0034</t>
        </is>
      </c>
      <c r="C732" s="0" t="inlineStr">
        <is>
          <t xml:space="preserve">r11</t>
        </is>
      </c>
      <c r="D732" s="0"/>
      <c r="E732" s="0" t="inlineStr">
        <is>
          <t xml:space="preserve">partner</t>
        </is>
      </c>
      <c r="F732" s="0" t="inlineStr">
        <is>
          <t xml:space="preserve">closed_won</t>
        </is>
      </c>
      <c r="G732" s="4">
        <v>0</v>
      </c>
      <c r="H732" s="4">
        <v>9900</v>
      </c>
      <c r="I732" s="4">
        <v>1</v>
      </c>
      <c r="J732" s="4">
        <v>0</v>
      </c>
      <c r="K732" s="16">
        <v>45754</v>
      </c>
      <c r="L732" s="16">
        <v>45776</v>
      </c>
      <c r="M732" s="0" t="inlineStr">
        <is>
          <t xml:space="preserve">apr25</t>
        </is>
      </c>
      <c r="N732" s="0" t="inlineStr">
        <is>
          <t xml:space="preserve">apr25</t>
        </is>
      </c>
      <c r="O732" s="4">
        <v>22</v>
      </c>
      <c r="P732" s="4">
        <v>1</v>
      </c>
      <c r="Q732" s="4">
        <v>0</v>
      </c>
      <c r="R732" s="4">
        <v>0</v>
      </c>
      <c r="S732" s="4">
        <f>(H732*INDEX('Stages'!$D$2:$D$7,MATCH(F732,'Stages'!$A$2:$A$7,0)))</f>
        <v>9900</v>
      </c>
      <c r="T732" s="4">
        <f>(H732*I732)</f>
        <v>9900</v>
      </c>
      <c r="U732" s="4">
        <f>(H732*(I732-1))</f>
        <v>0</v>
      </c>
      <c r="V732" s="0" t="str">
        <f>INDEX('Account executives'!$B$2:$B$25,MATCH(C732,'Account executives'!$A$2:$A$25,0))</f>
        <v>amer_west</v>
      </c>
      <c r="W732" s="0" t="str">
        <f>INDEX('Account executives'!$C$2:$C$25,MATCH(C732,'Account executives'!$A$2:$A$25,0))</f>
        <v>smb</v>
      </c>
      <c r="X732" s="0" t="str">
        <f>SUBSTITUTE(LOWER(INDEX('Periods'!$G$2:$G$22,MATCH(N732,'Periods'!$A$2:$A$22,0)))," ","_")</f>
        <v>q2_2025</v>
      </c>
    </row>
    <row r="733">
      <c r="A733" s="0" t="inlineStr">
        <is>
          <t xml:space="preserve">o0732</t>
        </is>
      </c>
      <c r="B733" s="0" t="inlineStr">
        <is>
          <t xml:space="preserve">a0841</t>
        </is>
      </c>
      <c r="C733" s="0" t="inlineStr">
        <is>
          <t xml:space="preserve">r09</t>
        </is>
      </c>
      <c r="D733" s="0" t="inlineStr">
        <is>
          <t xml:space="preserve">s_amer_west_in</t>
        </is>
      </c>
      <c r="E733" s="0" t="inlineStr">
        <is>
          <t xml:space="preserve">inbound</t>
        </is>
      </c>
      <c r="F733" s="0" t="inlineStr">
        <is>
          <t xml:space="preserve">closed_lost</t>
        </is>
      </c>
      <c r="G733" s="4">
        <v>1</v>
      </c>
      <c r="H733" s="4">
        <v>54300</v>
      </c>
      <c r="I733" s="4">
        <v>3</v>
      </c>
      <c r="J733" s="4">
        <v>0</v>
      </c>
      <c r="K733" s="16">
        <v>46127</v>
      </c>
      <c r="L733" s="16">
        <v>46231</v>
      </c>
      <c r="M733" s="0" t="inlineStr">
        <is>
          <t xml:space="preserve">apr26</t>
        </is>
      </c>
      <c r="N733" s="0" t="inlineStr">
        <is>
          <t xml:space="preserve">jul26</t>
        </is>
      </c>
      <c r="O733" s="4">
        <v>104</v>
      </c>
      <c r="P733" s="4">
        <v>0</v>
      </c>
      <c r="Q733" s="4">
        <v>1</v>
      </c>
      <c r="R733" s="4">
        <v>0</v>
      </c>
      <c r="S733" s="4">
        <f>(H733*INDEX('Stages'!$D$2:$D$7,MATCH(F733,'Stages'!$A$2:$A$7,0)))</f>
        <v>0</v>
      </c>
      <c r="T733" s="4">
        <f>(H733*I733)</f>
        <v>162900</v>
      </c>
      <c r="U733" s="4">
        <f>(H733*(I733-1))</f>
        <v>108600</v>
      </c>
      <c r="V733" s="0" t="str">
        <f>INDEX('Account executives'!$B$2:$B$25,MATCH(C733,'Account executives'!$A$2:$A$25,0))</f>
        <v>amer_west</v>
      </c>
      <c r="W733" s="0" t="str">
        <f>INDEX('Account executives'!$C$2:$C$25,MATCH(C733,'Account executives'!$A$2:$A$25,0))</f>
        <v>mid_market</v>
      </c>
      <c r="X733" s="0" t="str">
        <f>SUBSTITUTE(LOWER(INDEX('Periods'!$G$2:$G$22,MATCH(N733,'Periods'!$A$2:$A$22,0)))," ","_")</f>
        <v>q3_2026</v>
      </c>
    </row>
    <row r="734">
      <c r="A734" s="0" t="inlineStr">
        <is>
          <t xml:space="preserve">o0733</t>
        </is>
      </c>
      <c r="B734" s="0" t="inlineStr">
        <is>
          <t xml:space="preserve">a0404</t>
        </is>
      </c>
      <c r="C734" s="0" t="inlineStr">
        <is>
          <t xml:space="preserve">r15</t>
        </is>
      </c>
      <c r="D734" s="0"/>
      <c r="E734" s="0" t="inlineStr">
        <is>
          <t xml:space="preserve">events</t>
        </is>
      </c>
      <c r="F734" s="0" t="inlineStr">
        <is>
          <t xml:space="preserve">closed_won</t>
        </is>
      </c>
      <c r="G734" s="4">
        <v>0</v>
      </c>
      <c r="H734" s="4">
        <v>35700</v>
      </c>
      <c r="I734" s="4">
        <v>1</v>
      </c>
      <c r="J734" s="4">
        <v>0</v>
      </c>
      <c r="K734" s="16">
        <v>46181</v>
      </c>
      <c r="L734" s="16">
        <v>46233</v>
      </c>
      <c r="M734" s="0" t="inlineStr">
        <is>
          <t xml:space="preserve">jun26</t>
        </is>
      </c>
      <c r="N734" s="0" t="inlineStr">
        <is>
          <t xml:space="preserve">jul26</t>
        </is>
      </c>
      <c r="O734" s="4">
        <v>52</v>
      </c>
      <c r="P734" s="4">
        <v>1</v>
      </c>
      <c r="Q734" s="4">
        <v>0</v>
      </c>
      <c r="R734" s="4">
        <v>0</v>
      </c>
      <c r="S734" s="4">
        <f>(H734*INDEX('Stages'!$D$2:$D$7,MATCH(F734,'Stages'!$A$2:$A$7,0)))</f>
        <v>35700</v>
      </c>
      <c r="T734" s="4">
        <f>(H734*I734)</f>
        <v>35700</v>
      </c>
      <c r="U734" s="4">
        <f>(H734*(I734-1))</f>
        <v>0</v>
      </c>
      <c r="V734" s="0" t="str">
        <f>INDEX('Account executives'!$B$2:$B$25,MATCH(C734,'Account executives'!$A$2:$A$25,0))</f>
        <v>emea</v>
      </c>
      <c r="W734" s="0" t="str">
        <f>INDEX('Account executives'!$C$2:$C$25,MATCH(C734,'Account executives'!$A$2:$A$25,0))</f>
        <v>mid_market</v>
      </c>
      <c r="X734" s="0" t="str">
        <f>SUBSTITUTE(LOWER(INDEX('Periods'!$G$2:$G$22,MATCH(N734,'Periods'!$A$2:$A$22,0)))," ","_")</f>
        <v>q3_2026</v>
      </c>
    </row>
    <row r="735">
      <c r="A735" s="0" t="inlineStr">
        <is>
          <t xml:space="preserve">o0734</t>
        </is>
      </c>
      <c r="B735" s="0" t="inlineStr">
        <is>
          <t xml:space="preserve">a0731</t>
        </is>
      </c>
      <c r="C735" s="0" t="inlineStr">
        <is>
          <t xml:space="preserve">r05</t>
        </is>
      </c>
      <c r="D735" s="0"/>
      <c r="E735" s="0" t="inlineStr">
        <is>
          <t xml:space="preserve">events</t>
        </is>
      </c>
      <c r="F735" s="0" t="inlineStr">
        <is>
          <t xml:space="preserve">closed_won</t>
        </is>
      </c>
      <c r="G735" s="4">
        <v>1</v>
      </c>
      <c r="H735" s="4">
        <v>9200</v>
      </c>
      <c r="I735" s="4">
        <v>1</v>
      </c>
      <c r="J735" s="4">
        <v>1</v>
      </c>
      <c r="K735" s="16">
        <v>46095</v>
      </c>
      <c r="L735" s="16">
        <v>46142</v>
      </c>
      <c r="M735" s="0" t="inlineStr">
        <is>
          <t xml:space="preserve">mar26</t>
        </is>
      </c>
      <c r="N735" s="0" t="inlineStr">
        <is>
          <t xml:space="preserve">apr26</t>
        </is>
      </c>
      <c r="O735" s="4">
        <v>47</v>
      </c>
      <c r="P735" s="4">
        <v>1</v>
      </c>
      <c r="Q735" s="4">
        <v>0</v>
      </c>
      <c r="R735" s="4">
        <v>0</v>
      </c>
      <c r="S735" s="4">
        <f>(H735*INDEX('Stages'!$D$2:$D$7,MATCH(F735,'Stages'!$A$2:$A$7,0)))</f>
        <v>9200</v>
      </c>
      <c r="T735" s="4">
        <f>(H735*I735)</f>
        <v>9200</v>
      </c>
      <c r="U735" s="4">
        <f>(H735*(I735-1))</f>
        <v>0</v>
      </c>
      <c r="V735" s="0" t="str">
        <f>INDEX('Account executives'!$B$2:$B$25,MATCH(C735,'Account executives'!$A$2:$A$25,0))</f>
        <v>amer_east</v>
      </c>
      <c r="W735" s="0" t="str">
        <f>INDEX('Account executives'!$C$2:$C$25,MATCH(C735,'Account executives'!$A$2:$A$25,0))</f>
        <v>smb</v>
      </c>
      <c r="X735" s="0" t="str">
        <f>SUBSTITUTE(LOWER(INDEX('Periods'!$G$2:$G$22,MATCH(N735,'Periods'!$A$2:$A$22,0)))," ","_")</f>
        <v>q2_2026</v>
      </c>
    </row>
    <row r="736">
      <c r="A736" s="0" t="inlineStr">
        <is>
          <t xml:space="preserve">o0735</t>
        </is>
      </c>
      <c r="B736" s="0" t="inlineStr">
        <is>
          <t xml:space="preserve">a0594</t>
        </is>
      </c>
      <c r="C736" s="0" t="inlineStr">
        <is>
          <t xml:space="preserve">r15</t>
        </is>
      </c>
      <c r="D736" s="0" t="inlineStr">
        <is>
          <t xml:space="preserve">s_emea_out</t>
        </is>
      </c>
      <c r="E736" s="0" t="inlineStr">
        <is>
          <t xml:space="preserve">outbound</t>
        </is>
      </c>
      <c r="F736" s="0" t="inlineStr">
        <is>
          <t xml:space="preserve">closed_lost</t>
        </is>
      </c>
      <c r="G736" s="4">
        <v>1</v>
      </c>
      <c r="H736" s="4">
        <v>49100</v>
      </c>
      <c r="I736" s="4">
        <v>1</v>
      </c>
      <c r="J736" s="4">
        <v>1</v>
      </c>
      <c r="K736" s="16">
        <v>46005</v>
      </c>
      <c r="L736" s="16">
        <v>46083</v>
      </c>
      <c r="M736" s="0" t="inlineStr">
        <is>
          <t xml:space="preserve">dec25</t>
        </is>
      </c>
      <c r="N736" s="0" t="inlineStr">
        <is>
          <t xml:space="preserve">mar26</t>
        </is>
      </c>
      <c r="O736" s="4">
        <v>78</v>
      </c>
      <c r="P736" s="4">
        <v>0</v>
      </c>
      <c r="Q736" s="4">
        <v>1</v>
      </c>
      <c r="R736" s="4">
        <v>0</v>
      </c>
      <c r="S736" s="4">
        <f>(H736*INDEX('Stages'!$D$2:$D$7,MATCH(F736,'Stages'!$A$2:$A$7,0)))</f>
        <v>0</v>
      </c>
      <c r="T736" s="4">
        <f>(H736*I736)</f>
        <v>49100</v>
      </c>
      <c r="U736" s="4">
        <f>(H736*(I736-1))</f>
        <v>0</v>
      </c>
      <c r="V736" s="0" t="str">
        <f>INDEX('Account executives'!$B$2:$B$25,MATCH(C736,'Account executives'!$A$2:$A$25,0))</f>
        <v>emea</v>
      </c>
      <c r="W736" s="0" t="str">
        <f>INDEX('Account executives'!$C$2:$C$25,MATCH(C736,'Account executives'!$A$2:$A$25,0))</f>
        <v>mid_market</v>
      </c>
      <c r="X736" s="0" t="str">
        <f>SUBSTITUTE(LOWER(INDEX('Periods'!$G$2:$G$22,MATCH(N736,'Periods'!$A$2:$A$22,0)))," ","_")</f>
        <v>q1_2026</v>
      </c>
    </row>
    <row r="737">
      <c r="A737" s="0" t="inlineStr">
        <is>
          <t xml:space="preserve">o0736</t>
        </is>
      </c>
      <c r="B737" s="0" t="inlineStr">
        <is>
          <t xml:space="preserve">a0454</t>
        </is>
      </c>
      <c r="C737" s="0" t="inlineStr">
        <is>
          <t xml:space="preserve">r13</t>
        </is>
      </c>
      <c r="D737" s="0"/>
      <c r="E737" s="0" t="inlineStr">
        <is>
          <t xml:space="preserve">events</t>
        </is>
      </c>
      <c r="F737" s="0" t="inlineStr">
        <is>
          <t xml:space="preserve">closed_lost</t>
        </is>
      </c>
      <c r="G737" s="4">
        <v>1</v>
      </c>
      <c r="H737" s="4">
        <v>95300</v>
      </c>
      <c r="I737" s="4">
        <v>2</v>
      </c>
      <c r="J737" s="4">
        <v>0</v>
      </c>
      <c r="K737" s="16">
        <v>45955</v>
      </c>
      <c r="L737" s="16">
        <v>46104</v>
      </c>
      <c r="M737" s="0" t="inlineStr">
        <is>
          <t xml:space="preserve">oct25</t>
        </is>
      </c>
      <c r="N737" s="0" t="inlineStr">
        <is>
          <t xml:space="preserve">mar26</t>
        </is>
      </c>
      <c r="O737" s="4">
        <v>149</v>
      </c>
      <c r="P737" s="4">
        <v>0</v>
      </c>
      <c r="Q737" s="4">
        <v>1</v>
      </c>
      <c r="R737" s="4">
        <v>0</v>
      </c>
      <c r="S737" s="4">
        <f>(H737*INDEX('Stages'!$D$2:$D$7,MATCH(F737,'Stages'!$A$2:$A$7,0)))</f>
        <v>0</v>
      </c>
      <c r="T737" s="4">
        <f>(H737*I737)</f>
        <v>190600</v>
      </c>
      <c r="U737" s="4">
        <f>(H737*(I737-1))</f>
        <v>95300</v>
      </c>
      <c r="V737" s="0" t="str">
        <f>INDEX('Account executives'!$B$2:$B$25,MATCH(C737,'Account executives'!$A$2:$A$25,0))</f>
        <v>emea</v>
      </c>
      <c r="W737" s="0" t="str">
        <f>INDEX('Account executives'!$C$2:$C$25,MATCH(C737,'Account executives'!$A$2:$A$25,0))</f>
        <v>enterprise</v>
      </c>
      <c r="X737" s="0" t="str">
        <f>SUBSTITUTE(LOWER(INDEX('Periods'!$G$2:$G$22,MATCH(N737,'Periods'!$A$2:$A$22,0)))," ","_")</f>
        <v>q1_2026</v>
      </c>
    </row>
    <row r="738">
      <c r="A738" s="0" t="inlineStr">
        <is>
          <t xml:space="preserve">o0737</t>
        </is>
      </c>
      <c r="B738" s="0" t="inlineStr">
        <is>
          <t xml:space="preserve">a0763</t>
        </is>
      </c>
      <c r="C738" s="0" t="inlineStr">
        <is>
          <t xml:space="preserve">r07</t>
        </is>
      </c>
      <c r="D738" s="0"/>
      <c r="E738" s="0" t="inlineStr">
        <is>
          <t xml:space="preserve">events</t>
        </is>
      </c>
      <c r="F738" s="0" t="inlineStr">
        <is>
          <t xml:space="preserve">closed_lost</t>
        </is>
      </c>
      <c r="G738" s="4">
        <v>1</v>
      </c>
      <c r="H738" s="4">
        <v>253300</v>
      </c>
      <c r="I738" s="4">
        <v>2</v>
      </c>
      <c r="J738" s="4">
        <v>0</v>
      </c>
      <c r="K738" s="16">
        <v>46101</v>
      </c>
      <c r="L738" s="16">
        <v>46131</v>
      </c>
      <c r="M738" s="0" t="inlineStr">
        <is>
          <t xml:space="preserve">mar26</t>
        </is>
      </c>
      <c r="N738" s="0" t="inlineStr">
        <is>
          <t xml:space="preserve">apr26</t>
        </is>
      </c>
      <c r="O738" s="4">
        <v>30</v>
      </c>
      <c r="P738" s="4">
        <v>0</v>
      </c>
      <c r="Q738" s="4">
        <v>1</v>
      </c>
      <c r="R738" s="4">
        <v>0</v>
      </c>
      <c r="S738" s="4">
        <f>(H738*INDEX('Stages'!$D$2:$D$7,MATCH(F738,'Stages'!$A$2:$A$7,0)))</f>
        <v>0</v>
      </c>
      <c r="T738" s="4">
        <f>(H738*I738)</f>
        <v>506600</v>
      </c>
      <c r="U738" s="4">
        <f>(H738*(I738-1))</f>
        <v>253300</v>
      </c>
      <c r="V738" s="0" t="str">
        <f>INDEX('Account executives'!$B$2:$B$25,MATCH(C738,'Account executives'!$A$2:$A$25,0))</f>
        <v>amer_west</v>
      </c>
      <c r="W738" s="0" t="str">
        <f>INDEX('Account executives'!$C$2:$C$25,MATCH(C738,'Account executives'!$A$2:$A$25,0))</f>
        <v>enterprise</v>
      </c>
      <c r="X738" s="0" t="str">
        <f>SUBSTITUTE(LOWER(INDEX('Periods'!$G$2:$G$22,MATCH(N738,'Periods'!$A$2:$A$22,0)))," ","_")</f>
        <v>q2_2026</v>
      </c>
    </row>
    <row r="739">
      <c r="A739" s="0" t="inlineStr">
        <is>
          <t xml:space="preserve">o0738</t>
        </is>
      </c>
      <c r="B739" s="0" t="inlineStr">
        <is>
          <t xml:space="preserve">a0178</t>
        </is>
      </c>
      <c r="C739" s="0" t="inlineStr">
        <is>
          <t xml:space="preserve">r05</t>
        </is>
      </c>
      <c r="D739" s="0"/>
      <c r="E739" s="0" t="inlineStr">
        <is>
          <t xml:space="preserve">events</t>
        </is>
      </c>
      <c r="F739" s="0" t="inlineStr">
        <is>
          <t xml:space="preserve">closed_lost</t>
        </is>
      </c>
      <c r="G739" s="4">
        <v>1</v>
      </c>
      <c r="H739" s="4">
        <v>8200</v>
      </c>
      <c r="I739" s="4">
        <v>1</v>
      </c>
      <c r="J739" s="4">
        <v>1</v>
      </c>
      <c r="K739" s="16">
        <v>45810</v>
      </c>
      <c r="L739" s="16">
        <v>45844</v>
      </c>
      <c r="M739" s="0" t="inlineStr">
        <is>
          <t xml:space="preserve">jun25</t>
        </is>
      </c>
      <c r="N739" s="0" t="inlineStr">
        <is>
          <t xml:space="preserve">jul25</t>
        </is>
      </c>
      <c r="O739" s="4">
        <v>34</v>
      </c>
      <c r="P739" s="4">
        <v>0</v>
      </c>
      <c r="Q739" s="4">
        <v>1</v>
      </c>
      <c r="R739" s="4">
        <v>0</v>
      </c>
      <c r="S739" s="4">
        <f>(H739*INDEX('Stages'!$D$2:$D$7,MATCH(F739,'Stages'!$A$2:$A$7,0)))</f>
        <v>0</v>
      </c>
      <c r="T739" s="4">
        <f>(H739*I739)</f>
        <v>8200</v>
      </c>
      <c r="U739" s="4">
        <f>(H739*(I739-1))</f>
        <v>0</v>
      </c>
      <c r="V739" s="0" t="str">
        <f>INDEX('Account executives'!$B$2:$B$25,MATCH(C739,'Account executives'!$A$2:$A$25,0))</f>
        <v>amer_east</v>
      </c>
      <c r="W739" s="0" t="str">
        <f>INDEX('Account executives'!$C$2:$C$25,MATCH(C739,'Account executives'!$A$2:$A$25,0))</f>
        <v>smb</v>
      </c>
      <c r="X739" s="0" t="str">
        <f>SUBSTITUTE(LOWER(INDEX('Periods'!$G$2:$G$22,MATCH(N739,'Periods'!$A$2:$A$22,0)))," ","_")</f>
        <v>q3_2025</v>
      </c>
    </row>
    <row r="740">
      <c r="A740" s="0" t="inlineStr">
        <is>
          <t xml:space="preserve">o0739</t>
        </is>
      </c>
      <c r="B740" s="0" t="inlineStr">
        <is>
          <t xml:space="preserve">a0303</t>
        </is>
      </c>
      <c r="C740" s="0" t="inlineStr">
        <is>
          <t xml:space="preserve">r21</t>
        </is>
      </c>
      <c r="D740" s="0" t="inlineStr">
        <is>
          <t xml:space="preserve">s_apac_in</t>
        </is>
      </c>
      <c r="E740" s="0" t="inlineStr">
        <is>
          <t xml:space="preserve">inbound</t>
        </is>
      </c>
      <c r="F740" s="0" t="inlineStr">
        <is>
          <t xml:space="preserve">closed_lost</t>
        </is>
      </c>
      <c r="G740" s="4">
        <v>1</v>
      </c>
      <c r="H740" s="4">
        <v>121900</v>
      </c>
      <c r="I740" s="4">
        <v>2</v>
      </c>
      <c r="J740" s="4">
        <v>0</v>
      </c>
      <c r="K740" s="16">
        <v>45842</v>
      </c>
      <c r="L740" s="16">
        <v>45884</v>
      </c>
      <c r="M740" s="0" t="inlineStr">
        <is>
          <t xml:space="preserve">jul25</t>
        </is>
      </c>
      <c r="N740" s="0" t="inlineStr">
        <is>
          <t xml:space="preserve">aug25</t>
        </is>
      </c>
      <c r="O740" s="4">
        <v>42</v>
      </c>
      <c r="P740" s="4">
        <v>0</v>
      </c>
      <c r="Q740" s="4">
        <v>1</v>
      </c>
      <c r="R740" s="4">
        <v>0</v>
      </c>
      <c r="S740" s="4">
        <f>(H740*INDEX('Stages'!$D$2:$D$7,MATCH(F740,'Stages'!$A$2:$A$7,0)))</f>
        <v>0</v>
      </c>
      <c r="T740" s="4">
        <f>(H740*I740)</f>
        <v>243800</v>
      </c>
      <c r="U740" s="4">
        <f>(H740*(I740-1))</f>
        <v>121900</v>
      </c>
      <c r="V740" s="0" t="str">
        <f>INDEX('Account executives'!$B$2:$B$25,MATCH(C740,'Account executives'!$A$2:$A$25,0))</f>
        <v>apac</v>
      </c>
      <c r="W740" s="0" t="str">
        <f>INDEX('Account executives'!$C$2:$C$25,MATCH(C740,'Account executives'!$A$2:$A$25,0))</f>
        <v>mid_market</v>
      </c>
      <c r="X740" s="0" t="str">
        <f>SUBSTITUTE(LOWER(INDEX('Periods'!$G$2:$G$22,MATCH(N740,'Periods'!$A$2:$A$22,0)))," ","_")</f>
        <v>q3_2025</v>
      </c>
    </row>
    <row r="741">
      <c r="A741" s="0" t="inlineStr">
        <is>
          <t xml:space="preserve">o0740</t>
        </is>
      </c>
      <c r="B741" s="0" t="inlineStr">
        <is>
          <t xml:space="preserve">a0226</t>
        </is>
      </c>
      <c r="C741" s="0" t="inlineStr">
        <is>
          <t xml:space="preserve">r24</t>
        </is>
      </c>
      <c r="D741" s="0" t="inlineStr">
        <is>
          <t xml:space="preserve">s_apac_in</t>
        </is>
      </c>
      <c r="E741" s="0" t="inlineStr">
        <is>
          <t xml:space="preserve">inbound</t>
        </is>
      </c>
      <c r="F741" s="0" t="inlineStr">
        <is>
          <t xml:space="preserve">closed_lost</t>
        </is>
      </c>
      <c r="G741" s="4">
        <v>0</v>
      </c>
      <c r="H741" s="4">
        <v>6100</v>
      </c>
      <c r="I741" s="4">
        <v>1</v>
      </c>
      <c r="J741" s="4">
        <v>0</v>
      </c>
      <c r="K741" s="16">
        <v>45861</v>
      </c>
      <c r="L741" s="16">
        <v>45892</v>
      </c>
      <c r="M741" s="0" t="inlineStr">
        <is>
          <t xml:space="preserve">jul25</t>
        </is>
      </c>
      <c r="N741" s="0" t="inlineStr">
        <is>
          <t xml:space="preserve">aug25</t>
        </is>
      </c>
      <c r="O741" s="4">
        <v>31</v>
      </c>
      <c r="P741" s="4">
        <v>0</v>
      </c>
      <c r="Q741" s="4">
        <v>1</v>
      </c>
      <c r="R741" s="4">
        <v>0</v>
      </c>
      <c r="S741" s="4">
        <f>(H741*INDEX('Stages'!$D$2:$D$7,MATCH(F741,'Stages'!$A$2:$A$7,0)))</f>
        <v>0</v>
      </c>
      <c r="T741" s="4">
        <f>(H741*I741)</f>
        <v>6100</v>
      </c>
      <c r="U741" s="4">
        <f>(H741*(I741-1))</f>
        <v>0</v>
      </c>
      <c r="V741" s="0" t="str">
        <f>INDEX('Account executives'!$B$2:$B$25,MATCH(C741,'Account executives'!$A$2:$A$25,0))</f>
        <v>apac</v>
      </c>
      <c r="W741" s="0" t="str">
        <f>INDEX('Account executives'!$C$2:$C$25,MATCH(C741,'Account executives'!$A$2:$A$25,0))</f>
        <v>smb</v>
      </c>
      <c r="X741" s="0" t="str">
        <f>SUBSTITUTE(LOWER(INDEX('Periods'!$G$2:$G$22,MATCH(N741,'Periods'!$A$2:$A$22,0)))," ","_")</f>
        <v>q3_2025</v>
      </c>
    </row>
    <row r="742">
      <c r="A742" s="0" t="inlineStr">
        <is>
          <t xml:space="preserve">o0741</t>
        </is>
      </c>
      <c r="B742" s="0" t="inlineStr">
        <is>
          <t xml:space="preserve">a0877</t>
        </is>
      </c>
      <c r="C742" s="0" t="inlineStr">
        <is>
          <t xml:space="preserve">r24</t>
        </is>
      </c>
      <c r="D742" s="0" t="inlineStr">
        <is>
          <t xml:space="preserve">s_apac_in</t>
        </is>
      </c>
      <c r="E742" s="0" t="inlineStr">
        <is>
          <t xml:space="preserve">paid</t>
        </is>
      </c>
      <c r="F742" s="0" t="inlineStr">
        <is>
          <t xml:space="preserve">closed_won</t>
        </is>
      </c>
      <c r="G742" s="4">
        <v>1</v>
      </c>
      <c r="H742" s="4">
        <v>17300</v>
      </c>
      <c r="I742" s="4">
        <v>1</v>
      </c>
      <c r="J742" s="4">
        <v>0</v>
      </c>
      <c r="K742" s="16">
        <v>46131</v>
      </c>
      <c r="L742" s="16">
        <v>46150</v>
      </c>
      <c r="M742" s="0" t="inlineStr">
        <is>
          <t xml:space="preserve">apr26</t>
        </is>
      </c>
      <c r="N742" s="0" t="inlineStr">
        <is>
          <t xml:space="preserve">may26</t>
        </is>
      </c>
      <c r="O742" s="4">
        <v>19</v>
      </c>
      <c r="P742" s="4">
        <v>1</v>
      </c>
      <c r="Q742" s="4">
        <v>0</v>
      </c>
      <c r="R742" s="4">
        <v>0</v>
      </c>
      <c r="S742" s="4">
        <f>(H742*INDEX('Stages'!$D$2:$D$7,MATCH(F742,'Stages'!$A$2:$A$7,0)))</f>
        <v>17300</v>
      </c>
      <c r="T742" s="4">
        <f>(H742*I742)</f>
        <v>17300</v>
      </c>
      <c r="U742" s="4">
        <f>(H742*(I742-1))</f>
        <v>0</v>
      </c>
      <c r="V742" s="0" t="str">
        <f>INDEX('Account executives'!$B$2:$B$25,MATCH(C742,'Account executives'!$A$2:$A$25,0))</f>
        <v>apac</v>
      </c>
      <c r="W742" s="0" t="str">
        <f>INDEX('Account executives'!$C$2:$C$25,MATCH(C742,'Account executives'!$A$2:$A$25,0))</f>
        <v>smb</v>
      </c>
      <c r="X742" s="0" t="str">
        <f>SUBSTITUTE(LOWER(INDEX('Periods'!$G$2:$G$22,MATCH(N742,'Periods'!$A$2:$A$22,0)))," ","_")</f>
        <v>q2_2026</v>
      </c>
    </row>
    <row r="743">
      <c r="A743" s="0" t="inlineStr">
        <is>
          <t xml:space="preserve">o0742</t>
        </is>
      </c>
      <c r="B743" s="0" t="inlineStr">
        <is>
          <t xml:space="preserve">a0057</t>
        </is>
      </c>
      <c r="C743" s="0" t="inlineStr">
        <is>
          <t xml:space="preserve">r22</t>
        </is>
      </c>
      <c r="D743" s="0"/>
      <c r="E743" s="0" t="inlineStr">
        <is>
          <t xml:space="preserve">events</t>
        </is>
      </c>
      <c r="F743" s="0" t="inlineStr">
        <is>
          <t xml:space="preserve">closed_lost</t>
        </is>
      </c>
      <c r="G743" s="4">
        <v>0</v>
      </c>
      <c r="H743" s="4">
        <v>17500</v>
      </c>
      <c r="I743" s="4">
        <v>1</v>
      </c>
      <c r="J743" s="4">
        <v>0</v>
      </c>
      <c r="K743" s="16">
        <v>45750</v>
      </c>
      <c r="L743" s="16">
        <v>45814</v>
      </c>
      <c r="M743" s="0" t="inlineStr">
        <is>
          <t xml:space="preserve">apr25</t>
        </is>
      </c>
      <c r="N743" s="0" t="inlineStr">
        <is>
          <t xml:space="preserve">jun25</t>
        </is>
      </c>
      <c r="O743" s="4">
        <v>64</v>
      </c>
      <c r="P743" s="4">
        <v>0</v>
      </c>
      <c r="Q743" s="4">
        <v>1</v>
      </c>
      <c r="R743" s="4">
        <v>0</v>
      </c>
      <c r="S743" s="4">
        <f>(H743*INDEX('Stages'!$D$2:$D$7,MATCH(F743,'Stages'!$A$2:$A$7,0)))</f>
        <v>0</v>
      </c>
      <c r="T743" s="4">
        <f>(H743*I743)</f>
        <v>17500</v>
      </c>
      <c r="U743" s="4">
        <f>(H743*(I743-1))</f>
        <v>0</v>
      </c>
      <c r="V743" s="0" t="str">
        <f>INDEX('Account executives'!$B$2:$B$25,MATCH(C743,'Account executives'!$A$2:$A$25,0))</f>
        <v>apac</v>
      </c>
      <c r="W743" s="0" t="str">
        <f>INDEX('Account executives'!$C$2:$C$25,MATCH(C743,'Account executives'!$A$2:$A$25,0))</f>
        <v>mid_market</v>
      </c>
      <c r="X743" s="0" t="str">
        <f>SUBSTITUTE(LOWER(INDEX('Periods'!$G$2:$G$22,MATCH(N743,'Periods'!$A$2:$A$22,0)))," ","_")</f>
        <v>q2_2025</v>
      </c>
    </row>
    <row r="744">
      <c r="A744" s="0" t="inlineStr">
        <is>
          <t xml:space="preserve">o0743</t>
        </is>
      </c>
      <c r="B744" s="0" t="inlineStr">
        <is>
          <t xml:space="preserve">a1179</t>
        </is>
      </c>
      <c r="C744" s="0" t="inlineStr">
        <is>
          <t xml:space="preserve">r14</t>
        </is>
      </c>
      <c r="D744" s="0" t="inlineStr">
        <is>
          <t xml:space="preserve">s_emea_in</t>
        </is>
      </c>
      <c r="E744" s="0" t="inlineStr">
        <is>
          <t xml:space="preserve">inbound</t>
        </is>
      </c>
      <c r="F744" s="0" t="inlineStr">
        <is>
          <t xml:space="preserve">evaluation</t>
        </is>
      </c>
      <c r="G744" s="4">
        <v>1</v>
      </c>
      <c r="H744" s="4">
        <v>64700</v>
      </c>
      <c r="I744" s="4">
        <v>3</v>
      </c>
      <c r="J744" s="4">
        <v>0</v>
      </c>
      <c r="K744" s="16">
        <v>46255</v>
      </c>
      <c r="L744" s="16">
        <v>46325</v>
      </c>
      <c r="M744" s="0" t="inlineStr">
        <is>
          <t xml:space="preserve">aug26</t>
        </is>
      </c>
      <c r="N744" s="0" t="inlineStr">
        <is>
          <t xml:space="preserve">oct26</t>
        </is>
      </c>
      <c r="O744" s="4">
        <v>72</v>
      </c>
      <c r="P744" s="4">
        <v>0</v>
      </c>
      <c r="Q744" s="4">
        <v>0</v>
      </c>
      <c r="R744" s="4">
        <v>1</v>
      </c>
      <c r="S744" s="4">
        <f>(H744*INDEX('Stages'!$D$2:$D$7,MATCH(F744,'Stages'!$A$2:$A$7,0)))</f>
        <v>16175</v>
      </c>
      <c r="T744" s="4">
        <f>(H744*I744)</f>
        <v>194100</v>
      </c>
      <c r="U744" s="4">
        <f>(H744*(I744-1))</f>
        <v>129400</v>
      </c>
      <c r="V744" s="0" t="str">
        <f>INDEX('Account executives'!$B$2:$B$25,MATCH(C744,'Account executives'!$A$2:$A$25,0))</f>
        <v>emea</v>
      </c>
      <c r="W744" s="0" t="str">
        <f>INDEX('Account executives'!$C$2:$C$25,MATCH(C744,'Account executives'!$A$2:$A$25,0))</f>
        <v>enterprise</v>
      </c>
      <c r="X744" s="0" t="str">
        <f>SUBSTITUTE(LOWER(INDEX('Periods'!$G$2:$G$22,MATCH(N744,'Periods'!$A$2:$A$22,0)))," ","_")</f>
        <v>q4_2026</v>
      </c>
    </row>
    <row r="745">
      <c r="A745" s="0" t="inlineStr">
        <is>
          <t xml:space="preserve">o0744</t>
        </is>
      </c>
      <c r="B745" s="0" t="inlineStr">
        <is>
          <t xml:space="preserve">a0155</t>
        </is>
      </c>
      <c r="C745" s="0" t="inlineStr">
        <is>
          <t xml:space="preserve">r06</t>
        </is>
      </c>
      <c r="D745" s="0" t="inlineStr">
        <is>
          <t xml:space="preserve">s_amer_east_in</t>
        </is>
      </c>
      <c r="E745" s="0" t="inlineStr">
        <is>
          <t xml:space="preserve">paid</t>
        </is>
      </c>
      <c r="F745" s="0" t="inlineStr">
        <is>
          <t xml:space="preserve">closed_lost</t>
        </is>
      </c>
      <c r="G745" s="4">
        <v>0</v>
      </c>
      <c r="H745" s="4">
        <v>3800</v>
      </c>
      <c r="I745" s="4">
        <v>1</v>
      </c>
      <c r="J745" s="4">
        <v>0</v>
      </c>
      <c r="K745" s="16">
        <v>46089</v>
      </c>
      <c r="L745" s="16">
        <v>46117</v>
      </c>
      <c r="M745" s="0" t="inlineStr">
        <is>
          <t xml:space="preserve">mar26</t>
        </is>
      </c>
      <c r="N745" s="0" t="inlineStr">
        <is>
          <t xml:space="preserve">apr26</t>
        </is>
      </c>
      <c r="O745" s="4">
        <v>28</v>
      </c>
      <c r="P745" s="4">
        <v>0</v>
      </c>
      <c r="Q745" s="4">
        <v>1</v>
      </c>
      <c r="R745" s="4">
        <v>0</v>
      </c>
      <c r="S745" s="4">
        <f>(H745*INDEX('Stages'!$D$2:$D$7,MATCH(F745,'Stages'!$A$2:$A$7,0)))</f>
        <v>0</v>
      </c>
      <c r="T745" s="4">
        <f>(H745*I745)</f>
        <v>3800</v>
      </c>
      <c r="U745" s="4">
        <f>(H745*(I745-1))</f>
        <v>0</v>
      </c>
      <c r="V745" s="0" t="str">
        <f>INDEX('Account executives'!$B$2:$B$25,MATCH(C745,'Account executives'!$A$2:$A$25,0))</f>
        <v>amer_east</v>
      </c>
      <c r="W745" s="0" t="str">
        <f>INDEX('Account executives'!$C$2:$C$25,MATCH(C745,'Account executives'!$A$2:$A$25,0))</f>
        <v>smb</v>
      </c>
      <c r="X745" s="0" t="str">
        <f>SUBSTITUTE(LOWER(INDEX('Periods'!$G$2:$G$22,MATCH(N745,'Periods'!$A$2:$A$22,0)))," ","_")</f>
        <v>q2_2026</v>
      </c>
    </row>
    <row r="746">
      <c r="A746" s="0" t="inlineStr">
        <is>
          <t xml:space="preserve">o0745</t>
        </is>
      </c>
      <c r="B746" s="0" t="inlineStr">
        <is>
          <t xml:space="preserve">a0283</t>
        </is>
      </c>
      <c r="C746" s="0" t="inlineStr">
        <is>
          <t xml:space="preserve">r17</t>
        </is>
      </c>
      <c r="D746" s="0" t="inlineStr">
        <is>
          <t xml:space="preserve">s_emea_in</t>
        </is>
      </c>
      <c r="E746" s="0" t="inlineStr">
        <is>
          <t xml:space="preserve">paid</t>
        </is>
      </c>
      <c r="F746" s="0" t="inlineStr">
        <is>
          <t xml:space="preserve">closed_lost</t>
        </is>
      </c>
      <c r="G746" s="4">
        <v>1</v>
      </c>
      <c r="H746" s="4">
        <v>21700</v>
      </c>
      <c r="I746" s="4">
        <v>1</v>
      </c>
      <c r="J746" s="4">
        <v>0</v>
      </c>
      <c r="K746" s="16">
        <v>45859</v>
      </c>
      <c r="L746" s="16">
        <v>45875</v>
      </c>
      <c r="M746" s="0" t="inlineStr">
        <is>
          <t xml:space="preserve">jul25</t>
        </is>
      </c>
      <c r="N746" s="0" t="inlineStr">
        <is>
          <t xml:space="preserve">aug25</t>
        </is>
      </c>
      <c r="O746" s="4">
        <v>16</v>
      </c>
      <c r="P746" s="4">
        <v>0</v>
      </c>
      <c r="Q746" s="4">
        <v>1</v>
      </c>
      <c r="R746" s="4">
        <v>0</v>
      </c>
      <c r="S746" s="4">
        <f>(H746*INDEX('Stages'!$D$2:$D$7,MATCH(F746,'Stages'!$A$2:$A$7,0)))</f>
        <v>0</v>
      </c>
      <c r="T746" s="4">
        <f>(H746*I746)</f>
        <v>21700</v>
      </c>
      <c r="U746" s="4">
        <f>(H746*(I746-1))</f>
        <v>0</v>
      </c>
      <c r="V746" s="0" t="str">
        <f>INDEX('Account executives'!$B$2:$B$25,MATCH(C746,'Account executives'!$A$2:$A$25,0))</f>
        <v>emea</v>
      </c>
      <c r="W746" s="0" t="str">
        <f>INDEX('Account executives'!$C$2:$C$25,MATCH(C746,'Account executives'!$A$2:$A$25,0))</f>
        <v>smb</v>
      </c>
      <c r="X746" s="0" t="str">
        <f>SUBSTITUTE(LOWER(INDEX('Periods'!$G$2:$G$22,MATCH(N746,'Periods'!$A$2:$A$22,0)))," ","_")</f>
        <v>q3_2025</v>
      </c>
    </row>
    <row r="747">
      <c r="A747" s="0" t="inlineStr">
        <is>
          <t xml:space="preserve">o0746</t>
        </is>
      </c>
      <c r="B747" s="0" t="inlineStr">
        <is>
          <t xml:space="preserve">a0883</t>
        </is>
      </c>
      <c r="C747" s="0" t="inlineStr">
        <is>
          <t xml:space="preserve">r21</t>
        </is>
      </c>
      <c r="D747" s="0" t="inlineStr">
        <is>
          <t xml:space="preserve">s_apac_out</t>
        </is>
      </c>
      <c r="E747" s="0" t="inlineStr">
        <is>
          <t xml:space="preserve">outbound</t>
        </is>
      </c>
      <c r="F747" s="0" t="inlineStr">
        <is>
          <t xml:space="preserve">closed_lost</t>
        </is>
      </c>
      <c r="G747" s="4">
        <v>0</v>
      </c>
      <c r="H747" s="4">
        <v>5700</v>
      </c>
      <c r="I747" s="4">
        <v>1</v>
      </c>
      <c r="J747" s="4">
        <v>0</v>
      </c>
      <c r="K747" s="16">
        <v>46179</v>
      </c>
      <c r="L747" s="16">
        <v>46229</v>
      </c>
      <c r="M747" s="0" t="inlineStr">
        <is>
          <t xml:space="preserve">jun26</t>
        </is>
      </c>
      <c r="N747" s="0" t="inlineStr">
        <is>
          <t xml:space="preserve">jul26</t>
        </is>
      </c>
      <c r="O747" s="4">
        <v>50</v>
      </c>
      <c r="P747" s="4">
        <v>0</v>
      </c>
      <c r="Q747" s="4">
        <v>1</v>
      </c>
      <c r="R747" s="4">
        <v>0</v>
      </c>
      <c r="S747" s="4">
        <f>(H747*INDEX('Stages'!$D$2:$D$7,MATCH(F747,'Stages'!$A$2:$A$7,0)))</f>
        <v>0</v>
      </c>
      <c r="T747" s="4">
        <f>(H747*I747)</f>
        <v>5700</v>
      </c>
      <c r="U747" s="4">
        <f>(H747*(I747-1))</f>
        <v>0</v>
      </c>
      <c r="V747" s="0" t="str">
        <f>INDEX('Account executives'!$B$2:$B$25,MATCH(C747,'Account executives'!$A$2:$A$25,0))</f>
        <v>apac</v>
      </c>
      <c r="W747" s="0" t="str">
        <f>INDEX('Account executives'!$C$2:$C$25,MATCH(C747,'Account executives'!$A$2:$A$25,0))</f>
        <v>mid_market</v>
      </c>
      <c r="X747" s="0" t="str">
        <f>SUBSTITUTE(LOWER(INDEX('Periods'!$G$2:$G$22,MATCH(N747,'Periods'!$A$2:$A$22,0)))," ","_")</f>
        <v>q3_2026</v>
      </c>
    </row>
    <row r="748">
      <c r="A748" s="0" t="inlineStr">
        <is>
          <t xml:space="preserve">o0747</t>
        </is>
      </c>
      <c r="B748" s="0" t="inlineStr">
        <is>
          <t xml:space="preserve">a0057</t>
        </is>
      </c>
      <c r="C748" s="0" t="inlineStr">
        <is>
          <t xml:space="preserve">r21</t>
        </is>
      </c>
      <c r="D748" s="0" t="inlineStr">
        <is>
          <t xml:space="preserve">s_apac_out</t>
        </is>
      </c>
      <c r="E748" s="0" t="inlineStr">
        <is>
          <t xml:space="preserve">outbound</t>
        </is>
      </c>
      <c r="F748" s="0" t="inlineStr">
        <is>
          <t xml:space="preserve">closed_lost</t>
        </is>
      </c>
      <c r="G748" s="4">
        <v>0</v>
      </c>
      <c r="H748" s="4">
        <v>25000</v>
      </c>
      <c r="I748" s="4">
        <v>2</v>
      </c>
      <c r="J748" s="4">
        <v>0</v>
      </c>
      <c r="K748" s="16">
        <v>45770</v>
      </c>
      <c r="L748" s="16">
        <v>45835</v>
      </c>
      <c r="M748" s="0" t="inlineStr">
        <is>
          <t xml:space="preserve">apr25</t>
        </is>
      </c>
      <c r="N748" s="0" t="inlineStr">
        <is>
          <t xml:space="preserve">jun25</t>
        </is>
      </c>
      <c r="O748" s="4">
        <v>65</v>
      </c>
      <c r="P748" s="4">
        <v>0</v>
      </c>
      <c r="Q748" s="4">
        <v>1</v>
      </c>
      <c r="R748" s="4">
        <v>0</v>
      </c>
      <c r="S748" s="4">
        <f>(H748*INDEX('Stages'!$D$2:$D$7,MATCH(F748,'Stages'!$A$2:$A$7,0)))</f>
        <v>0</v>
      </c>
      <c r="T748" s="4">
        <f>(H748*I748)</f>
        <v>50000</v>
      </c>
      <c r="U748" s="4">
        <f>(H748*(I748-1))</f>
        <v>25000</v>
      </c>
      <c r="V748" s="0" t="str">
        <f>INDEX('Account executives'!$B$2:$B$25,MATCH(C748,'Account executives'!$A$2:$A$25,0))</f>
        <v>apac</v>
      </c>
      <c r="W748" s="0" t="str">
        <f>INDEX('Account executives'!$C$2:$C$25,MATCH(C748,'Account executives'!$A$2:$A$25,0))</f>
        <v>mid_market</v>
      </c>
      <c r="X748" s="0" t="str">
        <f>SUBSTITUTE(LOWER(INDEX('Periods'!$G$2:$G$22,MATCH(N748,'Periods'!$A$2:$A$22,0)))," ","_")</f>
        <v>q2_2025</v>
      </c>
    </row>
    <row r="749">
      <c r="A749" s="0" t="inlineStr">
        <is>
          <t xml:space="preserve">o0748</t>
        </is>
      </c>
      <c r="B749" s="0" t="inlineStr">
        <is>
          <t xml:space="preserve">a0087</t>
        </is>
      </c>
      <c r="C749" s="0" t="inlineStr">
        <is>
          <t xml:space="preserve">r04</t>
        </is>
      </c>
      <c r="D749" s="0"/>
      <c r="E749" s="0" t="inlineStr">
        <is>
          <t xml:space="preserve">partner</t>
        </is>
      </c>
      <c r="F749" s="0" t="inlineStr">
        <is>
          <t xml:space="preserve">closed_lost</t>
        </is>
      </c>
      <c r="G749" s="4">
        <v>1</v>
      </c>
      <c r="H749" s="4">
        <v>89500</v>
      </c>
      <c r="I749" s="4">
        <v>1</v>
      </c>
      <c r="J749" s="4">
        <v>0</v>
      </c>
      <c r="K749" s="16">
        <v>45800</v>
      </c>
      <c r="L749" s="16">
        <v>45871</v>
      </c>
      <c r="M749" s="0" t="inlineStr">
        <is>
          <t xml:space="preserve">may25</t>
        </is>
      </c>
      <c r="N749" s="0" t="inlineStr">
        <is>
          <t xml:space="preserve">aug25</t>
        </is>
      </c>
      <c r="O749" s="4">
        <v>71</v>
      </c>
      <c r="P749" s="4">
        <v>0</v>
      </c>
      <c r="Q749" s="4">
        <v>1</v>
      </c>
      <c r="R749" s="4">
        <v>0</v>
      </c>
      <c r="S749" s="4">
        <f>(H749*INDEX('Stages'!$D$2:$D$7,MATCH(F749,'Stages'!$A$2:$A$7,0)))</f>
        <v>0</v>
      </c>
      <c r="T749" s="4">
        <f>(H749*I749)</f>
        <v>89500</v>
      </c>
      <c r="U749" s="4">
        <f>(H749*(I749-1))</f>
        <v>0</v>
      </c>
      <c r="V749" s="0" t="str">
        <f>INDEX('Account executives'!$B$2:$B$25,MATCH(C749,'Account executives'!$A$2:$A$25,0))</f>
        <v>amer_east</v>
      </c>
      <c r="W749" s="0" t="str">
        <f>INDEX('Account executives'!$C$2:$C$25,MATCH(C749,'Account executives'!$A$2:$A$25,0))</f>
        <v>mid_market</v>
      </c>
      <c r="X749" s="0" t="str">
        <f>SUBSTITUTE(LOWER(INDEX('Periods'!$G$2:$G$22,MATCH(N749,'Periods'!$A$2:$A$22,0)))," ","_")</f>
        <v>q3_2025</v>
      </c>
    </row>
    <row r="750">
      <c r="A750" s="0" t="inlineStr">
        <is>
          <t xml:space="preserve">o0749</t>
        </is>
      </c>
      <c r="B750" s="0" t="inlineStr">
        <is>
          <t xml:space="preserve">a0440</t>
        </is>
      </c>
      <c r="C750" s="0" t="inlineStr">
        <is>
          <t xml:space="preserve">r12</t>
        </is>
      </c>
      <c r="D750" s="0"/>
      <c r="E750" s="0" t="inlineStr">
        <is>
          <t xml:space="preserve">events</t>
        </is>
      </c>
      <c r="F750" s="0" t="inlineStr">
        <is>
          <t xml:space="preserve">closed_lost</t>
        </is>
      </c>
      <c r="G750" s="4">
        <v>0</v>
      </c>
      <c r="H750" s="4">
        <v>10800</v>
      </c>
      <c r="I750" s="4">
        <v>1</v>
      </c>
      <c r="J750" s="4">
        <v>0</v>
      </c>
      <c r="K750" s="16">
        <v>46047</v>
      </c>
      <c r="L750" s="16">
        <v>46080</v>
      </c>
      <c r="M750" s="0" t="inlineStr">
        <is>
          <t xml:space="preserve">jan26</t>
        </is>
      </c>
      <c r="N750" s="0" t="inlineStr">
        <is>
          <t xml:space="preserve">feb26</t>
        </is>
      </c>
      <c r="O750" s="4">
        <v>33</v>
      </c>
      <c r="P750" s="4">
        <v>0</v>
      </c>
      <c r="Q750" s="4">
        <v>1</v>
      </c>
      <c r="R750" s="4">
        <v>0</v>
      </c>
      <c r="S750" s="4">
        <f>(H750*INDEX('Stages'!$D$2:$D$7,MATCH(F750,'Stages'!$A$2:$A$7,0)))</f>
        <v>0</v>
      </c>
      <c r="T750" s="4">
        <f>(H750*I750)</f>
        <v>10800</v>
      </c>
      <c r="U750" s="4">
        <f>(H750*(I750-1))</f>
        <v>0</v>
      </c>
      <c r="V750" s="0" t="str">
        <f>INDEX('Account executives'!$B$2:$B$25,MATCH(C750,'Account executives'!$A$2:$A$25,0))</f>
        <v>amer_west</v>
      </c>
      <c r="W750" s="0" t="str">
        <f>INDEX('Account executives'!$C$2:$C$25,MATCH(C750,'Account executives'!$A$2:$A$25,0))</f>
        <v>smb</v>
      </c>
      <c r="X750" s="0" t="str">
        <f>SUBSTITUTE(LOWER(INDEX('Periods'!$G$2:$G$22,MATCH(N750,'Periods'!$A$2:$A$22,0)))," ","_")</f>
        <v>q1_2026</v>
      </c>
    </row>
    <row r="751">
      <c r="A751" s="0" t="inlineStr">
        <is>
          <t xml:space="preserve">o0750</t>
        </is>
      </c>
      <c r="B751" s="0" t="inlineStr">
        <is>
          <t xml:space="preserve">a0367</t>
        </is>
      </c>
      <c r="C751" s="0" t="inlineStr">
        <is>
          <t xml:space="preserve">r03</t>
        </is>
      </c>
      <c r="D751" s="0"/>
      <c r="E751" s="0" t="inlineStr">
        <is>
          <t xml:space="preserve">partner</t>
        </is>
      </c>
      <c r="F751" s="0" t="inlineStr">
        <is>
          <t xml:space="preserve">closed_lost</t>
        </is>
      </c>
      <c r="G751" s="4">
        <v>1</v>
      </c>
      <c r="H751" s="4">
        <v>90100</v>
      </c>
      <c r="I751" s="4">
        <v>1</v>
      </c>
      <c r="J751" s="4">
        <v>1</v>
      </c>
      <c r="K751" s="16">
        <v>45916</v>
      </c>
      <c r="L751" s="16">
        <v>45966</v>
      </c>
      <c r="M751" s="0" t="inlineStr">
        <is>
          <t xml:space="preserve">sep25</t>
        </is>
      </c>
      <c r="N751" s="0" t="inlineStr">
        <is>
          <t xml:space="preserve">nov25</t>
        </is>
      </c>
      <c r="O751" s="4">
        <v>50</v>
      </c>
      <c r="P751" s="4">
        <v>0</v>
      </c>
      <c r="Q751" s="4">
        <v>1</v>
      </c>
      <c r="R751" s="4">
        <v>0</v>
      </c>
      <c r="S751" s="4">
        <f>(H751*INDEX('Stages'!$D$2:$D$7,MATCH(F751,'Stages'!$A$2:$A$7,0)))</f>
        <v>0</v>
      </c>
      <c r="T751" s="4">
        <f>(H751*I751)</f>
        <v>90100</v>
      </c>
      <c r="U751" s="4">
        <f>(H751*(I751-1))</f>
        <v>0</v>
      </c>
      <c r="V751" s="0" t="str">
        <f>INDEX('Account executives'!$B$2:$B$25,MATCH(C751,'Account executives'!$A$2:$A$25,0))</f>
        <v>amer_east</v>
      </c>
      <c r="W751" s="0" t="str">
        <f>INDEX('Account executives'!$C$2:$C$25,MATCH(C751,'Account executives'!$A$2:$A$25,0))</f>
        <v>mid_market</v>
      </c>
      <c r="X751" s="0" t="str">
        <f>SUBSTITUTE(LOWER(INDEX('Periods'!$G$2:$G$22,MATCH(N751,'Periods'!$A$2:$A$22,0)))," ","_")</f>
        <v>q4_2025</v>
      </c>
    </row>
    <row r="752">
      <c r="A752" s="0" t="inlineStr">
        <is>
          <t xml:space="preserve">o0751</t>
        </is>
      </c>
      <c r="B752" s="0" t="inlineStr">
        <is>
          <t xml:space="preserve">a0394</t>
        </is>
      </c>
      <c r="C752" s="0" t="inlineStr">
        <is>
          <t xml:space="preserve">r18</t>
        </is>
      </c>
      <c r="D752" s="0" t="inlineStr">
        <is>
          <t xml:space="preserve">s_emea_out</t>
        </is>
      </c>
      <c r="E752" s="0" t="inlineStr">
        <is>
          <t xml:space="preserve">outbound</t>
        </is>
      </c>
      <c r="F752" s="0" t="inlineStr">
        <is>
          <t xml:space="preserve">closed_lost</t>
        </is>
      </c>
      <c r="G752" s="4">
        <v>0</v>
      </c>
      <c r="H752" s="4">
        <v>5400</v>
      </c>
      <c r="I752" s="4">
        <v>1</v>
      </c>
      <c r="J752" s="4">
        <v>0</v>
      </c>
      <c r="K752" s="16">
        <v>45998</v>
      </c>
      <c r="L752" s="16">
        <v>46049</v>
      </c>
      <c r="M752" s="0" t="inlineStr">
        <is>
          <t xml:space="preserve">dec25</t>
        </is>
      </c>
      <c r="N752" s="0" t="inlineStr">
        <is>
          <t xml:space="preserve">jan26</t>
        </is>
      </c>
      <c r="O752" s="4">
        <v>51</v>
      </c>
      <c r="P752" s="4">
        <v>0</v>
      </c>
      <c r="Q752" s="4">
        <v>1</v>
      </c>
      <c r="R752" s="4">
        <v>0</v>
      </c>
      <c r="S752" s="4">
        <f>(H752*INDEX('Stages'!$D$2:$D$7,MATCH(F752,'Stages'!$A$2:$A$7,0)))</f>
        <v>0</v>
      </c>
      <c r="T752" s="4">
        <f>(H752*I752)</f>
        <v>5400</v>
      </c>
      <c r="U752" s="4">
        <f>(H752*(I752-1))</f>
        <v>0</v>
      </c>
      <c r="V752" s="0" t="str">
        <f>INDEX('Account executives'!$B$2:$B$25,MATCH(C752,'Account executives'!$A$2:$A$25,0))</f>
        <v>emea</v>
      </c>
      <c r="W752" s="0" t="str">
        <f>INDEX('Account executives'!$C$2:$C$25,MATCH(C752,'Account executives'!$A$2:$A$25,0))</f>
        <v>smb</v>
      </c>
      <c r="X752" s="0" t="str">
        <f>SUBSTITUTE(LOWER(INDEX('Periods'!$G$2:$G$22,MATCH(N752,'Periods'!$A$2:$A$22,0)))," ","_")</f>
        <v>q1_2026</v>
      </c>
    </row>
    <row r="753">
      <c r="A753" s="0" t="inlineStr">
        <is>
          <t xml:space="preserve">o0752</t>
        </is>
      </c>
      <c r="B753" s="0" t="inlineStr">
        <is>
          <t xml:space="preserve">a0503</t>
        </is>
      </c>
      <c r="C753" s="0" t="inlineStr">
        <is>
          <t xml:space="preserve">r11</t>
        </is>
      </c>
      <c r="D753" s="0"/>
      <c r="E753" s="0" t="inlineStr">
        <is>
          <t xml:space="preserve">events</t>
        </is>
      </c>
      <c r="F753" s="0" t="inlineStr">
        <is>
          <t xml:space="preserve">closed_lost</t>
        </is>
      </c>
      <c r="G753" s="4">
        <v>1</v>
      </c>
      <c r="H753" s="4">
        <v>34100</v>
      </c>
      <c r="I753" s="4">
        <v>1</v>
      </c>
      <c r="J753" s="4">
        <v>0</v>
      </c>
      <c r="K753" s="16">
        <v>45981</v>
      </c>
      <c r="L753" s="16">
        <v>46019</v>
      </c>
      <c r="M753" s="0" t="inlineStr">
        <is>
          <t xml:space="preserve">nov25</t>
        </is>
      </c>
      <c r="N753" s="0" t="inlineStr">
        <is>
          <t xml:space="preserve">dec25</t>
        </is>
      </c>
      <c r="O753" s="4">
        <v>38</v>
      </c>
      <c r="P753" s="4">
        <v>0</v>
      </c>
      <c r="Q753" s="4">
        <v>1</v>
      </c>
      <c r="R753" s="4">
        <v>0</v>
      </c>
      <c r="S753" s="4">
        <f>(H753*INDEX('Stages'!$D$2:$D$7,MATCH(F753,'Stages'!$A$2:$A$7,0)))</f>
        <v>0</v>
      </c>
      <c r="T753" s="4">
        <f>(H753*I753)</f>
        <v>34100</v>
      </c>
      <c r="U753" s="4">
        <f>(H753*(I753-1))</f>
        <v>0</v>
      </c>
      <c r="V753" s="0" t="str">
        <f>INDEX('Account executives'!$B$2:$B$25,MATCH(C753,'Account executives'!$A$2:$A$25,0))</f>
        <v>amer_west</v>
      </c>
      <c r="W753" s="0" t="str">
        <f>INDEX('Account executives'!$C$2:$C$25,MATCH(C753,'Account executives'!$A$2:$A$25,0))</f>
        <v>smb</v>
      </c>
      <c r="X753" s="0" t="str">
        <f>SUBSTITUTE(LOWER(INDEX('Periods'!$G$2:$G$22,MATCH(N753,'Periods'!$A$2:$A$22,0)))," ","_")</f>
        <v>q4_2025</v>
      </c>
    </row>
    <row r="754">
      <c r="A754" s="0" t="inlineStr">
        <is>
          <t xml:space="preserve">o0753</t>
        </is>
      </c>
      <c r="B754" s="0" t="inlineStr">
        <is>
          <t xml:space="preserve">a0459</t>
        </is>
      </c>
      <c r="C754" s="0" t="inlineStr">
        <is>
          <t xml:space="preserve">r17</t>
        </is>
      </c>
      <c r="D754" s="0"/>
      <c r="E754" s="0" t="inlineStr">
        <is>
          <t xml:space="preserve">partner</t>
        </is>
      </c>
      <c r="F754" s="0" t="inlineStr">
        <is>
          <t xml:space="preserve">closed_lost</t>
        </is>
      </c>
      <c r="G754" s="4">
        <v>1</v>
      </c>
      <c r="H754" s="4">
        <v>11500</v>
      </c>
      <c r="I754" s="4">
        <v>1</v>
      </c>
      <c r="J754" s="4">
        <v>1</v>
      </c>
      <c r="K754" s="16">
        <v>45954</v>
      </c>
      <c r="L754" s="16">
        <v>45966</v>
      </c>
      <c r="M754" s="0" t="inlineStr">
        <is>
          <t xml:space="preserve">oct25</t>
        </is>
      </c>
      <c r="N754" s="0" t="inlineStr">
        <is>
          <t xml:space="preserve">nov25</t>
        </is>
      </c>
      <c r="O754" s="4">
        <v>12</v>
      </c>
      <c r="P754" s="4">
        <v>0</v>
      </c>
      <c r="Q754" s="4">
        <v>1</v>
      </c>
      <c r="R754" s="4">
        <v>0</v>
      </c>
      <c r="S754" s="4">
        <f>(H754*INDEX('Stages'!$D$2:$D$7,MATCH(F754,'Stages'!$A$2:$A$7,0)))</f>
        <v>0</v>
      </c>
      <c r="T754" s="4">
        <f>(H754*I754)</f>
        <v>11500</v>
      </c>
      <c r="U754" s="4">
        <f>(H754*(I754-1))</f>
        <v>0</v>
      </c>
      <c r="V754" s="0" t="str">
        <f>INDEX('Account executives'!$B$2:$B$25,MATCH(C754,'Account executives'!$A$2:$A$25,0))</f>
        <v>emea</v>
      </c>
      <c r="W754" s="0" t="str">
        <f>INDEX('Account executives'!$C$2:$C$25,MATCH(C754,'Account executives'!$A$2:$A$25,0))</f>
        <v>smb</v>
      </c>
      <c r="X754" s="0" t="str">
        <f>SUBSTITUTE(LOWER(INDEX('Periods'!$G$2:$G$22,MATCH(N754,'Periods'!$A$2:$A$22,0)))," ","_")</f>
        <v>q4_2025</v>
      </c>
    </row>
    <row r="755">
      <c r="A755" s="0" t="inlineStr">
        <is>
          <t xml:space="preserve">o0754</t>
        </is>
      </c>
      <c r="B755" s="0" t="inlineStr">
        <is>
          <t xml:space="preserve">a0372</t>
        </is>
      </c>
      <c r="C755" s="0" t="inlineStr">
        <is>
          <t xml:space="preserve">r01</t>
        </is>
      </c>
      <c r="D755" s="0" t="inlineStr">
        <is>
          <t xml:space="preserve">s_amer_east_out</t>
        </is>
      </c>
      <c r="E755" s="0" t="inlineStr">
        <is>
          <t xml:space="preserve">outbound</t>
        </is>
      </c>
      <c r="F755" s="0" t="inlineStr">
        <is>
          <t xml:space="preserve">closed_lost</t>
        </is>
      </c>
      <c r="G755" s="4">
        <v>0</v>
      </c>
      <c r="H755" s="4">
        <v>83100</v>
      </c>
      <c r="I755" s="4">
        <v>1</v>
      </c>
      <c r="J755" s="4">
        <v>0</v>
      </c>
      <c r="K755" s="16">
        <v>45996</v>
      </c>
      <c r="L755" s="16">
        <v>46110</v>
      </c>
      <c r="M755" s="0" t="inlineStr">
        <is>
          <t xml:space="preserve">dec25</t>
        </is>
      </c>
      <c r="N755" s="0" t="inlineStr">
        <is>
          <t xml:space="preserve">mar26</t>
        </is>
      </c>
      <c r="O755" s="4">
        <v>114</v>
      </c>
      <c r="P755" s="4">
        <v>0</v>
      </c>
      <c r="Q755" s="4">
        <v>1</v>
      </c>
      <c r="R755" s="4">
        <v>0</v>
      </c>
      <c r="S755" s="4">
        <f>(H755*INDEX('Stages'!$D$2:$D$7,MATCH(F755,'Stages'!$A$2:$A$7,0)))</f>
        <v>0</v>
      </c>
      <c r="T755" s="4">
        <f>(H755*I755)</f>
        <v>83100</v>
      </c>
      <c r="U755" s="4">
        <f>(H755*(I755-1))</f>
        <v>0</v>
      </c>
      <c r="V755" s="0" t="str">
        <f>INDEX('Account executives'!$B$2:$B$25,MATCH(C755,'Account executives'!$A$2:$A$25,0))</f>
        <v>amer_east</v>
      </c>
      <c r="W755" s="0" t="str">
        <f>INDEX('Account executives'!$C$2:$C$25,MATCH(C755,'Account executives'!$A$2:$A$25,0))</f>
        <v>enterprise</v>
      </c>
      <c r="X755" s="0" t="str">
        <f>SUBSTITUTE(LOWER(INDEX('Periods'!$G$2:$G$22,MATCH(N755,'Periods'!$A$2:$A$22,0)))," ","_")</f>
        <v>q1_2026</v>
      </c>
    </row>
    <row r="756">
      <c r="A756" s="0" t="inlineStr">
        <is>
          <t xml:space="preserve">o0755</t>
        </is>
      </c>
      <c r="B756" s="0" t="inlineStr">
        <is>
          <t xml:space="preserve">a0249</t>
        </is>
      </c>
      <c r="C756" s="0" t="inlineStr">
        <is>
          <t xml:space="preserve">r03</t>
        </is>
      </c>
      <c r="D756" s="0" t="inlineStr">
        <is>
          <t xml:space="preserve">s_amer_east_out</t>
        </is>
      </c>
      <c r="E756" s="0" t="inlineStr">
        <is>
          <t xml:space="preserve">outbound</t>
        </is>
      </c>
      <c r="F756" s="0" t="inlineStr">
        <is>
          <t xml:space="preserve">closed_lost</t>
        </is>
      </c>
      <c r="G756" s="4">
        <v>1</v>
      </c>
      <c r="H756" s="4">
        <v>144500</v>
      </c>
      <c r="I756" s="4">
        <v>2</v>
      </c>
      <c r="J756" s="4">
        <v>1</v>
      </c>
      <c r="K756" s="16">
        <v>45854</v>
      </c>
      <c r="L756" s="16">
        <v>45928</v>
      </c>
      <c r="M756" s="0" t="inlineStr">
        <is>
          <t xml:space="preserve">jul25</t>
        </is>
      </c>
      <c r="N756" s="0" t="inlineStr">
        <is>
          <t xml:space="preserve">sep25</t>
        </is>
      </c>
      <c r="O756" s="4">
        <v>74</v>
      </c>
      <c r="P756" s="4">
        <v>0</v>
      </c>
      <c r="Q756" s="4">
        <v>1</v>
      </c>
      <c r="R756" s="4">
        <v>0</v>
      </c>
      <c r="S756" s="4">
        <f>(H756*INDEX('Stages'!$D$2:$D$7,MATCH(F756,'Stages'!$A$2:$A$7,0)))</f>
        <v>0</v>
      </c>
      <c r="T756" s="4">
        <f>(H756*I756)</f>
        <v>289000</v>
      </c>
      <c r="U756" s="4">
        <f>(H756*(I756-1))</f>
        <v>144500</v>
      </c>
      <c r="V756" s="0" t="str">
        <f>INDEX('Account executives'!$B$2:$B$25,MATCH(C756,'Account executives'!$A$2:$A$25,0))</f>
        <v>amer_east</v>
      </c>
      <c r="W756" s="0" t="str">
        <f>INDEX('Account executives'!$C$2:$C$25,MATCH(C756,'Account executives'!$A$2:$A$25,0))</f>
        <v>mid_market</v>
      </c>
      <c r="X756" s="0" t="str">
        <f>SUBSTITUTE(LOWER(INDEX('Periods'!$G$2:$G$22,MATCH(N756,'Periods'!$A$2:$A$22,0)))," ","_")</f>
        <v>q3_2025</v>
      </c>
    </row>
    <row r="757">
      <c r="A757" s="0" t="inlineStr">
        <is>
          <t xml:space="preserve">o0756</t>
        </is>
      </c>
      <c r="B757" s="0" t="inlineStr">
        <is>
          <t xml:space="preserve">a0396</t>
        </is>
      </c>
      <c r="C757" s="0" t="inlineStr">
        <is>
          <t xml:space="preserve">r18</t>
        </is>
      </c>
      <c r="D757" s="0" t="inlineStr">
        <is>
          <t xml:space="preserve">s_emea_in</t>
        </is>
      </c>
      <c r="E757" s="0" t="inlineStr">
        <is>
          <t xml:space="preserve">paid</t>
        </is>
      </c>
      <c r="F757" s="0" t="inlineStr">
        <is>
          <t xml:space="preserve">closed_lost</t>
        </is>
      </c>
      <c r="G757" s="4">
        <v>1</v>
      </c>
      <c r="H757" s="4">
        <v>12900</v>
      </c>
      <c r="I757" s="4">
        <v>1</v>
      </c>
      <c r="J757" s="4">
        <v>0</v>
      </c>
      <c r="K757" s="16">
        <v>45905</v>
      </c>
      <c r="L757" s="16">
        <v>45929</v>
      </c>
      <c r="M757" s="0" t="inlineStr">
        <is>
          <t xml:space="preserve">sep25</t>
        </is>
      </c>
      <c r="N757" s="0" t="inlineStr">
        <is>
          <t xml:space="preserve">sep25</t>
        </is>
      </c>
      <c r="O757" s="4">
        <v>24</v>
      </c>
      <c r="P757" s="4">
        <v>0</v>
      </c>
      <c r="Q757" s="4">
        <v>1</v>
      </c>
      <c r="R757" s="4">
        <v>0</v>
      </c>
      <c r="S757" s="4">
        <f>(H757*INDEX('Stages'!$D$2:$D$7,MATCH(F757,'Stages'!$A$2:$A$7,0)))</f>
        <v>0</v>
      </c>
      <c r="T757" s="4">
        <f>(H757*I757)</f>
        <v>12900</v>
      </c>
      <c r="U757" s="4">
        <f>(H757*(I757-1))</f>
        <v>0</v>
      </c>
      <c r="V757" s="0" t="str">
        <f>INDEX('Account executives'!$B$2:$B$25,MATCH(C757,'Account executives'!$A$2:$A$25,0))</f>
        <v>emea</v>
      </c>
      <c r="W757" s="0" t="str">
        <f>INDEX('Account executives'!$C$2:$C$25,MATCH(C757,'Account executives'!$A$2:$A$25,0))</f>
        <v>smb</v>
      </c>
      <c r="X757" s="0" t="str">
        <f>SUBSTITUTE(LOWER(INDEX('Periods'!$G$2:$G$22,MATCH(N757,'Periods'!$A$2:$A$22,0)))," ","_")</f>
        <v>q3_2025</v>
      </c>
    </row>
    <row r="758">
      <c r="A758" s="0" t="inlineStr">
        <is>
          <t xml:space="preserve">o0757</t>
        </is>
      </c>
      <c r="B758" s="0" t="inlineStr">
        <is>
          <t xml:space="preserve">a0281</t>
        </is>
      </c>
      <c r="C758" s="0" t="inlineStr">
        <is>
          <t xml:space="preserve">r16</t>
        </is>
      </c>
      <c r="D758" s="0" t="inlineStr">
        <is>
          <t xml:space="preserve">s_emea_in</t>
        </is>
      </c>
      <c r="E758" s="0" t="inlineStr">
        <is>
          <t xml:space="preserve">paid</t>
        </is>
      </c>
      <c r="F758" s="0" t="inlineStr">
        <is>
          <t xml:space="preserve">closed_lost</t>
        </is>
      </c>
      <c r="G758" s="4">
        <v>0</v>
      </c>
      <c r="H758" s="4">
        <v>18800</v>
      </c>
      <c r="I758" s="4">
        <v>1</v>
      </c>
      <c r="J758" s="4">
        <v>1</v>
      </c>
      <c r="K758" s="16">
        <v>45964</v>
      </c>
      <c r="L758" s="16">
        <v>46008</v>
      </c>
      <c r="M758" s="0" t="inlineStr">
        <is>
          <t xml:space="preserve">nov25</t>
        </is>
      </c>
      <c r="N758" s="0" t="inlineStr">
        <is>
          <t xml:space="preserve">dec25</t>
        </is>
      </c>
      <c r="O758" s="4">
        <v>44</v>
      </c>
      <c r="P758" s="4">
        <v>0</v>
      </c>
      <c r="Q758" s="4">
        <v>1</v>
      </c>
      <c r="R758" s="4">
        <v>0</v>
      </c>
      <c r="S758" s="4">
        <f>(H758*INDEX('Stages'!$D$2:$D$7,MATCH(F758,'Stages'!$A$2:$A$7,0)))</f>
        <v>0</v>
      </c>
      <c r="T758" s="4">
        <f>(H758*I758)</f>
        <v>18800</v>
      </c>
      <c r="U758" s="4">
        <f>(H758*(I758-1))</f>
        <v>0</v>
      </c>
      <c r="V758" s="0" t="str">
        <f>INDEX('Account executives'!$B$2:$B$25,MATCH(C758,'Account executives'!$A$2:$A$25,0))</f>
        <v>emea</v>
      </c>
      <c r="W758" s="0" t="str">
        <f>INDEX('Account executives'!$C$2:$C$25,MATCH(C758,'Account executives'!$A$2:$A$25,0))</f>
        <v>mid_market</v>
      </c>
      <c r="X758" s="0" t="str">
        <f>SUBSTITUTE(LOWER(INDEX('Periods'!$G$2:$G$22,MATCH(N758,'Periods'!$A$2:$A$22,0)))," ","_")</f>
        <v>q4_2025</v>
      </c>
    </row>
    <row r="759">
      <c r="A759" s="0" t="inlineStr">
        <is>
          <t xml:space="preserve">o0758</t>
        </is>
      </c>
      <c r="B759" s="0" t="inlineStr">
        <is>
          <t xml:space="preserve">a1115</t>
        </is>
      </c>
      <c r="C759" s="0" t="inlineStr">
        <is>
          <t xml:space="preserve">r17</t>
        </is>
      </c>
      <c r="D759" s="0" t="inlineStr">
        <is>
          <t xml:space="preserve">s_emea_in</t>
        </is>
      </c>
      <c r="E759" s="0" t="inlineStr">
        <is>
          <t xml:space="preserve">inbound</t>
        </is>
      </c>
      <c r="F759" s="0" t="inlineStr">
        <is>
          <t xml:space="preserve">negotiation</t>
        </is>
      </c>
      <c r="G759" s="4">
        <v>1</v>
      </c>
      <c r="H759" s="4">
        <v>9100</v>
      </c>
      <c r="I759" s="4">
        <v>1</v>
      </c>
      <c r="J759" s="4">
        <v>0</v>
      </c>
      <c r="K759" s="16">
        <v>46217</v>
      </c>
      <c r="L759" s="16">
        <v>46293</v>
      </c>
      <c r="M759" s="0" t="inlineStr">
        <is>
          <t xml:space="preserve">jul26</t>
        </is>
      </c>
      <c r="N759" s="0" t="inlineStr">
        <is>
          <t xml:space="preserve">sep26</t>
        </is>
      </c>
      <c r="O759" s="4">
        <v>76</v>
      </c>
      <c r="P759" s="4">
        <v>0</v>
      </c>
      <c r="Q759" s="4">
        <v>0</v>
      </c>
      <c r="R759" s="4">
        <v>1</v>
      </c>
      <c r="S759" s="4">
        <f>(H759*INDEX('Stages'!$D$2:$D$7,MATCH(F759,'Stages'!$A$2:$A$7,0)))</f>
        <v>6825</v>
      </c>
      <c r="T759" s="4">
        <f>(H759*I759)</f>
        <v>9100</v>
      </c>
      <c r="U759" s="4">
        <f>(H759*(I759-1))</f>
        <v>0</v>
      </c>
      <c r="V759" s="0" t="str">
        <f>INDEX('Account executives'!$B$2:$B$25,MATCH(C759,'Account executives'!$A$2:$A$25,0))</f>
        <v>emea</v>
      </c>
      <c r="W759" s="0" t="str">
        <f>INDEX('Account executives'!$C$2:$C$25,MATCH(C759,'Account executives'!$A$2:$A$25,0))</f>
        <v>smb</v>
      </c>
      <c r="X759" s="0" t="str">
        <f>SUBSTITUTE(LOWER(INDEX('Periods'!$G$2:$G$22,MATCH(N759,'Periods'!$A$2:$A$22,0)))," ","_")</f>
        <v>q3_2026</v>
      </c>
    </row>
    <row r="760">
      <c r="A760" s="0" t="inlineStr">
        <is>
          <t xml:space="preserve">o0759</t>
        </is>
      </c>
      <c r="B760" s="0" t="inlineStr">
        <is>
          <t xml:space="preserve">a0613</t>
        </is>
      </c>
      <c r="C760" s="0" t="inlineStr">
        <is>
          <t xml:space="preserve">r03</t>
        </is>
      </c>
      <c r="D760" s="0" t="inlineStr">
        <is>
          <t xml:space="preserve">s_amer_east_in</t>
        </is>
      </c>
      <c r="E760" s="0" t="inlineStr">
        <is>
          <t xml:space="preserve">paid</t>
        </is>
      </c>
      <c r="F760" s="0" t="inlineStr">
        <is>
          <t xml:space="preserve">closed_won</t>
        </is>
      </c>
      <c r="G760" s="4">
        <v>1</v>
      </c>
      <c r="H760" s="4">
        <v>49600</v>
      </c>
      <c r="I760" s="4">
        <v>2</v>
      </c>
      <c r="J760" s="4">
        <v>0</v>
      </c>
      <c r="K760" s="16">
        <v>46032</v>
      </c>
      <c r="L760" s="16">
        <v>46109</v>
      </c>
      <c r="M760" s="0" t="inlineStr">
        <is>
          <t xml:space="preserve">jan26</t>
        </is>
      </c>
      <c r="N760" s="0" t="inlineStr">
        <is>
          <t xml:space="preserve">mar26</t>
        </is>
      </c>
      <c r="O760" s="4">
        <v>77</v>
      </c>
      <c r="P760" s="4">
        <v>1</v>
      </c>
      <c r="Q760" s="4">
        <v>0</v>
      </c>
      <c r="R760" s="4">
        <v>0</v>
      </c>
      <c r="S760" s="4">
        <f>(H760*INDEX('Stages'!$D$2:$D$7,MATCH(F760,'Stages'!$A$2:$A$7,0)))</f>
        <v>49600</v>
      </c>
      <c r="T760" s="4">
        <f>(H760*I760)</f>
        <v>99200</v>
      </c>
      <c r="U760" s="4">
        <f>(H760*(I760-1))</f>
        <v>49600</v>
      </c>
      <c r="V760" s="0" t="str">
        <f>INDEX('Account executives'!$B$2:$B$25,MATCH(C760,'Account executives'!$A$2:$A$25,0))</f>
        <v>amer_east</v>
      </c>
      <c r="W760" s="0" t="str">
        <f>INDEX('Account executives'!$C$2:$C$25,MATCH(C760,'Account executives'!$A$2:$A$25,0))</f>
        <v>mid_market</v>
      </c>
      <c r="X760" s="0" t="str">
        <f>SUBSTITUTE(LOWER(INDEX('Periods'!$G$2:$G$22,MATCH(N760,'Periods'!$A$2:$A$22,0)))," ","_")</f>
        <v>q1_2026</v>
      </c>
    </row>
    <row r="761">
      <c r="A761" s="0" t="inlineStr">
        <is>
          <t xml:space="preserve">o0760</t>
        </is>
      </c>
      <c r="B761" s="0" t="inlineStr">
        <is>
          <t xml:space="preserve">a0117</t>
        </is>
      </c>
      <c r="C761" s="0" t="inlineStr">
        <is>
          <t xml:space="preserve">r16</t>
        </is>
      </c>
      <c r="D761" s="0" t="inlineStr">
        <is>
          <t xml:space="preserve">s_emea_in</t>
        </is>
      </c>
      <c r="E761" s="0" t="inlineStr">
        <is>
          <t xml:space="preserve">inbound</t>
        </is>
      </c>
      <c r="F761" s="0" t="inlineStr">
        <is>
          <t xml:space="preserve">closed_won</t>
        </is>
      </c>
      <c r="G761" s="4">
        <v>1</v>
      </c>
      <c r="H761" s="4">
        <v>29500</v>
      </c>
      <c r="I761" s="4">
        <v>1</v>
      </c>
      <c r="J761" s="4">
        <v>1</v>
      </c>
      <c r="K761" s="16">
        <v>45781</v>
      </c>
      <c r="L761" s="16">
        <v>45928</v>
      </c>
      <c r="M761" s="0" t="inlineStr">
        <is>
          <t xml:space="preserve">may25</t>
        </is>
      </c>
      <c r="N761" s="0" t="inlineStr">
        <is>
          <t xml:space="preserve">sep25</t>
        </is>
      </c>
      <c r="O761" s="4">
        <v>147</v>
      </c>
      <c r="P761" s="4">
        <v>1</v>
      </c>
      <c r="Q761" s="4">
        <v>0</v>
      </c>
      <c r="R761" s="4">
        <v>0</v>
      </c>
      <c r="S761" s="4">
        <f>(H761*INDEX('Stages'!$D$2:$D$7,MATCH(F761,'Stages'!$A$2:$A$7,0)))</f>
        <v>29500</v>
      </c>
      <c r="T761" s="4">
        <f>(H761*I761)</f>
        <v>29500</v>
      </c>
      <c r="U761" s="4">
        <f>(H761*(I761-1))</f>
        <v>0</v>
      </c>
      <c r="V761" s="0" t="str">
        <f>INDEX('Account executives'!$B$2:$B$25,MATCH(C761,'Account executives'!$A$2:$A$25,0))</f>
        <v>emea</v>
      </c>
      <c r="W761" s="0" t="str">
        <f>INDEX('Account executives'!$C$2:$C$25,MATCH(C761,'Account executives'!$A$2:$A$25,0))</f>
        <v>mid_market</v>
      </c>
      <c r="X761" s="0" t="str">
        <f>SUBSTITUTE(LOWER(INDEX('Periods'!$G$2:$G$22,MATCH(N761,'Periods'!$A$2:$A$22,0)))," ","_")</f>
        <v>q3_2025</v>
      </c>
    </row>
    <row r="762">
      <c r="A762" s="0" t="inlineStr">
        <is>
          <t xml:space="preserve">o0761</t>
        </is>
      </c>
      <c r="B762" s="0" t="inlineStr">
        <is>
          <t xml:space="preserve">a0597</t>
        </is>
      </c>
      <c r="C762" s="0" t="inlineStr">
        <is>
          <t xml:space="preserve">r18</t>
        </is>
      </c>
      <c r="D762" s="0"/>
      <c r="E762" s="0" t="inlineStr">
        <is>
          <t xml:space="preserve">referral</t>
        </is>
      </c>
      <c r="F762" s="0" t="inlineStr">
        <is>
          <t xml:space="preserve">closed_won</t>
        </is>
      </c>
      <c r="G762" s="4">
        <v>1</v>
      </c>
      <c r="H762" s="4">
        <v>5400</v>
      </c>
      <c r="I762" s="4">
        <v>1</v>
      </c>
      <c r="J762" s="4">
        <v>1</v>
      </c>
      <c r="K762" s="16">
        <v>45998</v>
      </c>
      <c r="L762" s="16">
        <v>46109</v>
      </c>
      <c r="M762" s="0" t="inlineStr">
        <is>
          <t xml:space="preserve">dec25</t>
        </is>
      </c>
      <c r="N762" s="0" t="inlineStr">
        <is>
          <t xml:space="preserve">mar26</t>
        </is>
      </c>
      <c r="O762" s="4">
        <v>111</v>
      </c>
      <c r="P762" s="4">
        <v>1</v>
      </c>
      <c r="Q762" s="4">
        <v>0</v>
      </c>
      <c r="R762" s="4">
        <v>0</v>
      </c>
      <c r="S762" s="4">
        <f>(H762*INDEX('Stages'!$D$2:$D$7,MATCH(F762,'Stages'!$A$2:$A$7,0)))</f>
        <v>5400</v>
      </c>
      <c r="T762" s="4">
        <f>(H762*I762)</f>
        <v>5400</v>
      </c>
      <c r="U762" s="4">
        <f>(H762*(I762-1))</f>
        <v>0</v>
      </c>
      <c r="V762" s="0" t="str">
        <f>INDEX('Account executives'!$B$2:$B$25,MATCH(C762,'Account executives'!$A$2:$A$25,0))</f>
        <v>emea</v>
      </c>
      <c r="W762" s="0" t="str">
        <f>INDEX('Account executives'!$C$2:$C$25,MATCH(C762,'Account executives'!$A$2:$A$25,0))</f>
        <v>smb</v>
      </c>
      <c r="X762" s="0" t="str">
        <f>SUBSTITUTE(LOWER(INDEX('Periods'!$G$2:$G$22,MATCH(N762,'Periods'!$A$2:$A$22,0)))," ","_")</f>
        <v>q1_2026</v>
      </c>
    </row>
    <row r="763">
      <c r="A763" s="0" t="inlineStr">
        <is>
          <t xml:space="preserve">o0762</t>
        </is>
      </c>
      <c r="B763" s="0" t="inlineStr">
        <is>
          <t xml:space="preserve">a1083</t>
        </is>
      </c>
      <c r="C763" s="0" t="inlineStr">
        <is>
          <t xml:space="preserve">r05</t>
        </is>
      </c>
      <c r="D763" s="0" t="inlineStr">
        <is>
          <t xml:space="preserve">s_amer_east_out</t>
        </is>
      </c>
      <c r="E763" s="0" t="inlineStr">
        <is>
          <t xml:space="preserve">outbound</t>
        </is>
      </c>
      <c r="F763" s="0" t="inlineStr">
        <is>
          <t xml:space="preserve">closed_lost</t>
        </is>
      </c>
      <c r="G763" s="4">
        <v>1</v>
      </c>
      <c r="H763" s="4">
        <v>6400</v>
      </c>
      <c r="I763" s="4">
        <v>1</v>
      </c>
      <c r="J763" s="4">
        <v>1</v>
      </c>
      <c r="K763" s="16">
        <v>46225</v>
      </c>
      <c r="L763" s="16">
        <v>46260</v>
      </c>
      <c r="M763" s="0" t="inlineStr">
        <is>
          <t xml:space="preserve">jul26</t>
        </is>
      </c>
      <c r="N763" s="0" t="inlineStr">
        <is>
          <t xml:space="preserve">aug26</t>
        </is>
      </c>
      <c r="O763" s="4">
        <v>35</v>
      </c>
      <c r="P763" s="4">
        <v>0</v>
      </c>
      <c r="Q763" s="4">
        <v>1</v>
      </c>
      <c r="R763" s="4">
        <v>0</v>
      </c>
      <c r="S763" s="4">
        <f>(H763*INDEX('Stages'!$D$2:$D$7,MATCH(F763,'Stages'!$A$2:$A$7,0)))</f>
        <v>0</v>
      </c>
      <c r="T763" s="4">
        <f>(H763*I763)</f>
        <v>6400</v>
      </c>
      <c r="U763" s="4">
        <f>(H763*(I763-1))</f>
        <v>0</v>
      </c>
      <c r="V763" s="0" t="str">
        <f>INDEX('Account executives'!$B$2:$B$25,MATCH(C763,'Account executives'!$A$2:$A$25,0))</f>
        <v>amer_east</v>
      </c>
      <c r="W763" s="0" t="str">
        <f>INDEX('Account executives'!$C$2:$C$25,MATCH(C763,'Account executives'!$A$2:$A$25,0))</f>
        <v>smb</v>
      </c>
      <c r="X763" s="0" t="str">
        <f>SUBSTITUTE(LOWER(INDEX('Periods'!$G$2:$G$22,MATCH(N763,'Periods'!$A$2:$A$22,0)))," ","_")</f>
        <v>q3_2026</v>
      </c>
    </row>
    <row r="764">
      <c r="A764" s="0" t="inlineStr">
        <is>
          <t xml:space="preserve">o0763</t>
        </is>
      </c>
      <c r="B764" s="0" t="inlineStr">
        <is>
          <t xml:space="preserve">a0498</t>
        </is>
      </c>
      <c r="C764" s="0" t="inlineStr">
        <is>
          <t xml:space="preserve">r07</t>
        </is>
      </c>
      <c r="D764" s="0"/>
      <c r="E764" s="0" t="inlineStr">
        <is>
          <t xml:space="preserve">partner</t>
        </is>
      </c>
      <c r="F764" s="0" t="inlineStr">
        <is>
          <t xml:space="preserve">closed_lost</t>
        </is>
      </c>
      <c r="G764" s="4">
        <v>0</v>
      </c>
      <c r="H764" s="4">
        <v>87900</v>
      </c>
      <c r="I764" s="4">
        <v>1</v>
      </c>
      <c r="J764" s="4">
        <v>1</v>
      </c>
      <c r="K764" s="16">
        <v>45989</v>
      </c>
      <c r="L764" s="16">
        <v>46100</v>
      </c>
      <c r="M764" s="0" t="inlineStr">
        <is>
          <t xml:space="preserve">nov25</t>
        </is>
      </c>
      <c r="N764" s="0" t="inlineStr">
        <is>
          <t xml:space="preserve">mar26</t>
        </is>
      </c>
      <c r="O764" s="4">
        <v>111</v>
      </c>
      <c r="P764" s="4">
        <v>0</v>
      </c>
      <c r="Q764" s="4">
        <v>1</v>
      </c>
      <c r="R764" s="4">
        <v>0</v>
      </c>
      <c r="S764" s="4">
        <f>(H764*INDEX('Stages'!$D$2:$D$7,MATCH(F764,'Stages'!$A$2:$A$7,0)))</f>
        <v>0</v>
      </c>
      <c r="T764" s="4">
        <f>(H764*I764)</f>
        <v>87900</v>
      </c>
      <c r="U764" s="4">
        <f>(H764*(I764-1))</f>
        <v>0</v>
      </c>
      <c r="V764" s="0" t="str">
        <f>INDEX('Account executives'!$B$2:$B$25,MATCH(C764,'Account executives'!$A$2:$A$25,0))</f>
        <v>amer_west</v>
      </c>
      <c r="W764" s="0" t="str">
        <f>INDEX('Account executives'!$C$2:$C$25,MATCH(C764,'Account executives'!$A$2:$A$25,0))</f>
        <v>enterprise</v>
      </c>
      <c r="X764" s="0" t="str">
        <f>SUBSTITUTE(LOWER(INDEX('Periods'!$G$2:$G$22,MATCH(N764,'Periods'!$A$2:$A$22,0)))," ","_")</f>
        <v>q1_2026</v>
      </c>
    </row>
    <row r="765">
      <c r="A765" s="0" t="inlineStr">
        <is>
          <t xml:space="preserve">o0764</t>
        </is>
      </c>
      <c r="B765" s="0" t="inlineStr">
        <is>
          <t xml:space="preserve">a0291</t>
        </is>
      </c>
      <c r="C765" s="0" t="inlineStr">
        <is>
          <t xml:space="preserve">r15</t>
        </is>
      </c>
      <c r="D765" s="0" t="inlineStr">
        <is>
          <t xml:space="preserve">s_emea_out</t>
        </is>
      </c>
      <c r="E765" s="0" t="inlineStr">
        <is>
          <t xml:space="preserve">outbound</t>
        </is>
      </c>
      <c r="F765" s="0" t="inlineStr">
        <is>
          <t xml:space="preserve">closed_lost</t>
        </is>
      </c>
      <c r="G765" s="4">
        <v>1</v>
      </c>
      <c r="H765" s="4">
        <v>86600</v>
      </c>
      <c r="I765" s="4">
        <v>1</v>
      </c>
      <c r="J765" s="4">
        <v>0</v>
      </c>
      <c r="K765" s="16">
        <v>45845</v>
      </c>
      <c r="L765" s="16">
        <v>45923</v>
      </c>
      <c r="M765" s="0" t="inlineStr">
        <is>
          <t xml:space="preserve">jul25</t>
        </is>
      </c>
      <c r="N765" s="0" t="inlineStr">
        <is>
          <t xml:space="preserve">sep25</t>
        </is>
      </c>
      <c r="O765" s="4">
        <v>78</v>
      </c>
      <c r="P765" s="4">
        <v>0</v>
      </c>
      <c r="Q765" s="4">
        <v>1</v>
      </c>
      <c r="R765" s="4">
        <v>0</v>
      </c>
      <c r="S765" s="4">
        <f>(H765*INDEX('Stages'!$D$2:$D$7,MATCH(F765,'Stages'!$A$2:$A$7,0)))</f>
        <v>0</v>
      </c>
      <c r="T765" s="4">
        <f>(H765*I765)</f>
        <v>86600</v>
      </c>
      <c r="U765" s="4">
        <f>(H765*(I765-1))</f>
        <v>0</v>
      </c>
      <c r="V765" s="0" t="str">
        <f>INDEX('Account executives'!$B$2:$B$25,MATCH(C765,'Account executives'!$A$2:$A$25,0))</f>
        <v>emea</v>
      </c>
      <c r="W765" s="0" t="str">
        <f>INDEX('Account executives'!$C$2:$C$25,MATCH(C765,'Account executives'!$A$2:$A$25,0))</f>
        <v>mid_market</v>
      </c>
      <c r="X765" s="0" t="str">
        <f>SUBSTITUTE(LOWER(INDEX('Periods'!$G$2:$G$22,MATCH(N765,'Periods'!$A$2:$A$22,0)))," ","_")</f>
        <v>q3_2025</v>
      </c>
    </row>
    <row r="766">
      <c r="A766" s="0" t="inlineStr">
        <is>
          <t xml:space="preserve">o0765</t>
        </is>
      </c>
      <c r="B766" s="0" t="inlineStr">
        <is>
          <t xml:space="preserve">a1110</t>
        </is>
      </c>
      <c r="C766" s="0" t="inlineStr">
        <is>
          <t xml:space="preserve">r08</t>
        </is>
      </c>
      <c r="D766" s="0" t="inlineStr">
        <is>
          <t xml:space="preserve">s_amer_west_out</t>
        </is>
      </c>
      <c r="E766" s="0" t="inlineStr">
        <is>
          <t xml:space="preserve">outbound</t>
        </is>
      </c>
      <c r="F766" s="0" t="inlineStr">
        <is>
          <t xml:space="preserve">evaluation</t>
        </is>
      </c>
      <c r="G766" s="4">
        <v>1</v>
      </c>
      <c r="H766" s="4">
        <v>51700</v>
      </c>
      <c r="I766" s="4">
        <v>2</v>
      </c>
      <c r="J766" s="4">
        <v>0</v>
      </c>
      <c r="K766" s="16">
        <v>46230</v>
      </c>
      <c r="L766" s="16">
        <v>46371</v>
      </c>
      <c r="M766" s="0" t="inlineStr">
        <is>
          <t xml:space="preserve">jul26</t>
        </is>
      </c>
      <c r="N766" s="0" t="inlineStr">
        <is>
          <t xml:space="preserve">dec26</t>
        </is>
      </c>
      <c r="O766" s="4">
        <v>125</v>
      </c>
      <c r="P766" s="4">
        <v>0</v>
      </c>
      <c r="Q766" s="4">
        <v>0</v>
      </c>
      <c r="R766" s="4">
        <v>1</v>
      </c>
      <c r="S766" s="4">
        <f>(H766*INDEX('Stages'!$D$2:$D$7,MATCH(F766,'Stages'!$A$2:$A$7,0)))</f>
        <v>12925</v>
      </c>
      <c r="T766" s="4">
        <f>(H766*I766)</f>
        <v>103400</v>
      </c>
      <c r="U766" s="4">
        <f>(H766*(I766-1))</f>
        <v>51700</v>
      </c>
      <c r="V766" s="0" t="str">
        <f>INDEX('Account executives'!$B$2:$B$25,MATCH(C766,'Account executives'!$A$2:$A$25,0))</f>
        <v>amer_west</v>
      </c>
      <c r="W766" s="0" t="str">
        <f>INDEX('Account executives'!$C$2:$C$25,MATCH(C766,'Account executives'!$A$2:$A$25,0))</f>
        <v>enterprise</v>
      </c>
      <c r="X766" s="0" t="str">
        <f>SUBSTITUTE(LOWER(INDEX('Periods'!$G$2:$G$22,MATCH(N766,'Periods'!$A$2:$A$22,0)))," ","_")</f>
        <v>q4_2026</v>
      </c>
    </row>
    <row r="767">
      <c r="A767" s="0" t="inlineStr">
        <is>
          <t xml:space="preserve">o0766</t>
        </is>
      </c>
      <c r="B767" s="0" t="inlineStr">
        <is>
          <t xml:space="preserve">a0124</t>
        </is>
      </c>
      <c r="C767" s="0" t="inlineStr">
        <is>
          <t xml:space="preserve">r14</t>
        </is>
      </c>
      <c r="D767" s="0" t="inlineStr">
        <is>
          <t xml:space="preserve">s_emea_in</t>
        </is>
      </c>
      <c r="E767" s="0" t="inlineStr">
        <is>
          <t xml:space="preserve">inbound</t>
        </is>
      </c>
      <c r="F767" s="0" t="inlineStr">
        <is>
          <t xml:space="preserve">closed_lost</t>
        </is>
      </c>
      <c r="G767" s="4">
        <v>0</v>
      </c>
      <c r="H767" s="4">
        <v>81500</v>
      </c>
      <c r="I767" s="4">
        <v>2</v>
      </c>
      <c r="J767" s="4">
        <v>0</v>
      </c>
      <c r="K767" s="16">
        <v>46034</v>
      </c>
      <c r="L767" s="16">
        <v>46154</v>
      </c>
      <c r="M767" s="0" t="inlineStr">
        <is>
          <t xml:space="preserve">jan26</t>
        </is>
      </c>
      <c r="N767" s="0" t="inlineStr">
        <is>
          <t xml:space="preserve">may26</t>
        </is>
      </c>
      <c r="O767" s="4">
        <v>120</v>
      </c>
      <c r="P767" s="4">
        <v>0</v>
      </c>
      <c r="Q767" s="4">
        <v>1</v>
      </c>
      <c r="R767" s="4">
        <v>0</v>
      </c>
      <c r="S767" s="4">
        <f>(H767*INDEX('Stages'!$D$2:$D$7,MATCH(F767,'Stages'!$A$2:$A$7,0)))</f>
        <v>0</v>
      </c>
      <c r="T767" s="4">
        <f>(H767*I767)</f>
        <v>163000</v>
      </c>
      <c r="U767" s="4">
        <f>(H767*(I767-1))</f>
        <v>81500</v>
      </c>
      <c r="V767" s="0" t="str">
        <f>INDEX('Account executives'!$B$2:$B$25,MATCH(C767,'Account executives'!$A$2:$A$25,0))</f>
        <v>emea</v>
      </c>
      <c r="W767" s="0" t="str">
        <f>INDEX('Account executives'!$C$2:$C$25,MATCH(C767,'Account executives'!$A$2:$A$25,0))</f>
        <v>enterprise</v>
      </c>
      <c r="X767" s="0" t="str">
        <f>SUBSTITUTE(LOWER(INDEX('Periods'!$G$2:$G$22,MATCH(N767,'Periods'!$A$2:$A$22,0)))," ","_")</f>
        <v>q2_2026</v>
      </c>
    </row>
    <row r="768">
      <c r="A768" s="0" t="inlineStr">
        <is>
          <t xml:space="preserve">o0767</t>
        </is>
      </c>
      <c r="B768" s="0" t="inlineStr">
        <is>
          <t xml:space="preserve">a0031</t>
        </is>
      </c>
      <c r="C768" s="0" t="inlineStr">
        <is>
          <t xml:space="preserve">r12</t>
        </is>
      </c>
      <c r="D768" s="0" t="inlineStr">
        <is>
          <t xml:space="preserve">s_amer_west_in</t>
        </is>
      </c>
      <c r="E768" s="0" t="inlineStr">
        <is>
          <t xml:space="preserve">inbound</t>
        </is>
      </c>
      <c r="F768" s="0" t="inlineStr">
        <is>
          <t xml:space="preserve">closed_won</t>
        </is>
      </c>
      <c r="G768" s="4">
        <v>0</v>
      </c>
      <c r="H768" s="4">
        <v>8600</v>
      </c>
      <c r="I768" s="4">
        <v>1</v>
      </c>
      <c r="J768" s="4">
        <v>0</v>
      </c>
      <c r="K768" s="16">
        <v>45839</v>
      </c>
      <c r="L768" s="16">
        <v>45860</v>
      </c>
      <c r="M768" s="0" t="inlineStr">
        <is>
          <t xml:space="preserve">jul25</t>
        </is>
      </c>
      <c r="N768" s="0" t="inlineStr">
        <is>
          <t xml:space="preserve">jul25</t>
        </is>
      </c>
      <c r="O768" s="4">
        <v>21</v>
      </c>
      <c r="P768" s="4">
        <v>1</v>
      </c>
      <c r="Q768" s="4">
        <v>0</v>
      </c>
      <c r="R768" s="4">
        <v>0</v>
      </c>
      <c r="S768" s="4">
        <f>(H768*INDEX('Stages'!$D$2:$D$7,MATCH(F768,'Stages'!$A$2:$A$7,0)))</f>
        <v>8600</v>
      </c>
      <c r="T768" s="4">
        <f>(H768*I768)</f>
        <v>8600</v>
      </c>
      <c r="U768" s="4">
        <f>(H768*(I768-1))</f>
        <v>0</v>
      </c>
      <c r="V768" s="0" t="str">
        <f>INDEX('Account executives'!$B$2:$B$25,MATCH(C768,'Account executives'!$A$2:$A$25,0))</f>
        <v>amer_west</v>
      </c>
      <c r="W768" s="0" t="str">
        <f>INDEX('Account executives'!$C$2:$C$25,MATCH(C768,'Account executives'!$A$2:$A$25,0))</f>
        <v>smb</v>
      </c>
      <c r="X768" s="0" t="str">
        <f>SUBSTITUTE(LOWER(INDEX('Periods'!$G$2:$G$22,MATCH(N768,'Periods'!$A$2:$A$22,0)))," ","_")</f>
        <v>q3_2025</v>
      </c>
    </row>
    <row r="769">
      <c r="A769" s="0" t="inlineStr">
        <is>
          <t xml:space="preserve">o0768</t>
        </is>
      </c>
      <c r="B769" s="0" t="inlineStr">
        <is>
          <t xml:space="preserve">a0811</t>
        </is>
      </c>
      <c r="C769" s="0" t="inlineStr">
        <is>
          <t xml:space="preserve">r04</t>
        </is>
      </c>
      <c r="D769" s="0" t="inlineStr">
        <is>
          <t xml:space="preserve">s_amer_east_in</t>
        </is>
      </c>
      <c r="E769" s="0" t="inlineStr">
        <is>
          <t xml:space="preserve">inbound</t>
        </is>
      </c>
      <c r="F769" s="0" t="inlineStr">
        <is>
          <t xml:space="preserve">closed_lost</t>
        </is>
      </c>
      <c r="G769" s="4">
        <v>1</v>
      </c>
      <c r="H769" s="4">
        <v>65100</v>
      </c>
      <c r="I769" s="4">
        <v>1</v>
      </c>
      <c r="J769" s="4">
        <v>0</v>
      </c>
      <c r="K769" s="16">
        <v>46133</v>
      </c>
      <c r="L769" s="16">
        <v>46178</v>
      </c>
      <c r="M769" s="0" t="inlineStr">
        <is>
          <t xml:space="preserve">apr26</t>
        </is>
      </c>
      <c r="N769" s="0" t="inlineStr">
        <is>
          <t xml:space="preserve">jun26</t>
        </is>
      </c>
      <c r="O769" s="4">
        <v>45</v>
      </c>
      <c r="P769" s="4">
        <v>0</v>
      </c>
      <c r="Q769" s="4">
        <v>1</v>
      </c>
      <c r="R769" s="4">
        <v>0</v>
      </c>
      <c r="S769" s="4">
        <f>(H769*INDEX('Stages'!$D$2:$D$7,MATCH(F769,'Stages'!$A$2:$A$7,0)))</f>
        <v>0</v>
      </c>
      <c r="T769" s="4">
        <f>(H769*I769)</f>
        <v>65100</v>
      </c>
      <c r="U769" s="4">
        <f>(H769*(I769-1))</f>
        <v>0</v>
      </c>
      <c r="V769" s="0" t="str">
        <f>INDEX('Account executives'!$B$2:$B$25,MATCH(C769,'Account executives'!$A$2:$A$25,0))</f>
        <v>amer_east</v>
      </c>
      <c r="W769" s="0" t="str">
        <f>INDEX('Account executives'!$C$2:$C$25,MATCH(C769,'Account executives'!$A$2:$A$25,0))</f>
        <v>mid_market</v>
      </c>
      <c r="X769" s="0" t="str">
        <f>SUBSTITUTE(LOWER(INDEX('Periods'!$G$2:$G$22,MATCH(N769,'Periods'!$A$2:$A$22,0)))," ","_")</f>
        <v>q2_2026</v>
      </c>
    </row>
    <row r="770">
      <c r="A770" s="0" t="inlineStr">
        <is>
          <t xml:space="preserve">o0769</t>
        </is>
      </c>
      <c r="B770" s="0" t="inlineStr">
        <is>
          <t xml:space="preserve">a1248</t>
        </is>
      </c>
      <c r="C770" s="0" t="inlineStr">
        <is>
          <t xml:space="preserve">r18</t>
        </is>
      </c>
      <c r="D770" s="0" t="inlineStr">
        <is>
          <t xml:space="preserve">s_emea_in</t>
        </is>
      </c>
      <c r="E770" s="0" t="inlineStr">
        <is>
          <t xml:space="preserve">inbound</t>
        </is>
      </c>
      <c r="F770" s="0" t="inlineStr">
        <is>
          <t xml:space="preserve">discovery</t>
        </is>
      </c>
      <c r="G770" s="4">
        <v>1</v>
      </c>
      <c r="H770" s="4">
        <v>5800</v>
      </c>
      <c r="I770" s="4">
        <v>1</v>
      </c>
      <c r="J770" s="4">
        <v>0</v>
      </c>
      <c r="K770" s="16">
        <v>46282</v>
      </c>
      <c r="L770" s="16">
        <v>46293</v>
      </c>
      <c r="M770" s="0" t="inlineStr">
        <is>
          <t xml:space="preserve">sep26</t>
        </is>
      </c>
      <c r="N770" s="0" t="inlineStr">
        <is>
          <t xml:space="preserve">sep26</t>
        </is>
      </c>
      <c r="O770" s="4">
        <v>19</v>
      </c>
      <c r="P770" s="4">
        <v>0</v>
      </c>
      <c r="Q770" s="4">
        <v>0</v>
      </c>
      <c r="R770" s="4">
        <v>1</v>
      </c>
      <c r="S770" s="4">
        <f>(H770*INDEX('Stages'!$D$2:$D$7,MATCH(F770,'Stages'!$A$2:$A$7,0)))</f>
        <v>580</v>
      </c>
      <c r="T770" s="4">
        <f>(H770*I770)</f>
        <v>5800</v>
      </c>
      <c r="U770" s="4">
        <f>(H770*(I770-1))</f>
        <v>0</v>
      </c>
      <c r="V770" s="0" t="str">
        <f>INDEX('Account executives'!$B$2:$B$25,MATCH(C770,'Account executives'!$A$2:$A$25,0))</f>
        <v>emea</v>
      </c>
      <c r="W770" s="0" t="str">
        <f>INDEX('Account executives'!$C$2:$C$25,MATCH(C770,'Account executives'!$A$2:$A$25,0))</f>
        <v>smb</v>
      </c>
      <c r="X770" s="0" t="str">
        <f>SUBSTITUTE(LOWER(INDEX('Periods'!$G$2:$G$22,MATCH(N770,'Periods'!$A$2:$A$22,0)))," ","_")</f>
        <v>q3_2026</v>
      </c>
    </row>
    <row r="771">
      <c r="A771" s="0" t="inlineStr">
        <is>
          <t xml:space="preserve">o0770</t>
        </is>
      </c>
      <c r="B771" s="0" t="inlineStr">
        <is>
          <t xml:space="preserve">a0133</t>
        </is>
      </c>
      <c r="C771" s="0" t="inlineStr">
        <is>
          <t xml:space="preserve">r15</t>
        </is>
      </c>
      <c r="D771" s="0" t="inlineStr">
        <is>
          <t xml:space="preserve">s_emea_in</t>
        </is>
      </c>
      <c r="E771" s="0" t="inlineStr">
        <is>
          <t xml:space="preserve">paid</t>
        </is>
      </c>
      <c r="F771" s="0" t="inlineStr">
        <is>
          <t xml:space="preserve">closed_lost</t>
        </is>
      </c>
      <c r="G771" s="4">
        <v>0</v>
      </c>
      <c r="H771" s="4">
        <v>39600</v>
      </c>
      <c r="I771" s="4">
        <v>1</v>
      </c>
      <c r="J771" s="4">
        <v>0</v>
      </c>
      <c r="K771" s="16">
        <v>46066</v>
      </c>
      <c r="L771" s="16">
        <v>46139</v>
      </c>
      <c r="M771" s="0" t="inlineStr">
        <is>
          <t xml:space="preserve">feb26</t>
        </is>
      </c>
      <c r="N771" s="0" t="inlineStr">
        <is>
          <t xml:space="preserve">apr26</t>
        </is>
      </c>
      <c r="O771" s="4">
        <v>73</v>
      </c>
      <c r="P771" s="4">
        <v>0</v>
      </c>
      <c r="Q771" s="4">
        <v>1</v>
      </c>
      <c r="R771" s="4">
        <v>0</v>
      </c>
      <c r="S771" s="4">
        <f>(H771*INDEX('Stages'!$D$2:$D$7,MATCH(F771,'Stages'!$A$2:$A$7,0)))</f>
        <v>0</v>
      </c>
      <c r="T771" s="4">
        <f>(H771*I771)</f>
        <v>39600</v>
      </c>
      <c r="U771" s="4">
        <f>(H771*(I771-1))</f>
        <v>0</v>
      </c>
      <c r="V771" s="0" t="str">
        <f>INDEX('Account executives'!$B$2:$B$25,MATCH(C771,'Account executives'!$A$2:$A$25,0))</f>
        <v>emea</v>
      </c>
      <c r="W771" s="0" t="str">
        <f>INDEX('Account executives'!$C$2:$C$25,MATCH(C771,'Account executives'!$A$2:$A$25,0))</f>
        <v>mid_market</v>
      </c>
      <c r="X771" s="0" t="str">
        <f>SUBSTITUTE(LOWER(INDEX('Periods'!$G$2:$G$22,MATCH(N771,'Periods'!$A$2:$A$22,0)))," ","_")</f>
        <v>q2_2026</v>
      </c>
    </row>
    <row r="772">
      <c r="A772" s="0" t="inlineStr">
        <is>
          <t xml:space="preserve">o0771</t>
        </is>
      </c>
      <c r="B772" s="0" t="inlineStr">
        <is>
          <t xml:space="preserve">a1063</t>
        </is>
      </c>
      <c r="C772" s="0" t="inlineStr">
        <is>
          <t xml:space="preserve">r06</t>
        </is>
      </c>
      <c r="D772" s="0" t="inlineStr">
        <is>
          <t xml:space="preserve">s_amer_east_in</t>
        </is>
      </c>
      <c r="E772" s="0" t="inlineStr">
        <is>
          <t xml:space="preserve">inbound</t>
        </is>
      </c>
      <c r="F772" s="0" t="inlineStr">
        <is>
          <t xml:space="preserve">closed_lost</t>
        </is>
      </c>
      <c r="G772" s="4">
        <v>1</v>
      </c>
      <c r="H772" s="4">
        <v>27100</v>
      </c>
      <c r="I772" s="4">
        <v>1</v>
      </c>
      <c r="J772" s="4">
        <v>1</v>
      </c>
      <c r="K772" s="16">
        <v>46230</v>
      </c>
      <c r="L772" s="16">
        <v>46249</v>
      </c>
      <c r="M772" s="0" t="inlineStr">
        <is>
          <t xml:space="preserve">jul26</t>
        </is>
      </c>
      <c r="N772" s="0" t="inlineStr">
        <is>
          <t xml:space="preserve">aug26</t>
        </is>
      </c>
      <c r="O772" s="4">
        <v>19</v>
      </c>
      <c r="P772" s="4">
        <v>0</v>
      </c>
      <c r="Q772" s="4">
        <v>1</v>
      </c>
      <c r="R772" s="4">
        <v>0</v>
      </c>
      <c r="S772" s="4">
        <f>(H772*INDEX('Stages'!$D$2:$D$7,MATCH(F772,'Stages'!$A$2:$A$7,0)))</f>
        <v>0</v>
      </c>
      <c r="T772" s="4">
        <f>(H772*I772)</f>
        <v>27100</v>
      </c>
      <c r="U772" s="4">
        <f>(H772*(I772-1))</f>
        <v>0</v>
      </c>
      <c r="V772" s="0" t="str">
        <f>INDEX('Account executives'!$B$2:$B$25,MATCH(C772,'Account executives'!$A$2:$A$25,0))</f>
        <v>amer_east</v>
      </c>
      <c r="W772" s="0" t="str">
        <f>INDEX('Account executives'!$C$2:$C$25,MATCH(C772,'Account executives'!$A$2:$A$25,0))</f>
        <v>smb</v>
      </c>
      <c r="X772" s="0" t="str">
        <f>SUBSTITUTE(LOWER(INDEX('Periods'!$G$2:$G$22,MATCH(N772,'Periods'!$A$2:$A$22,0)))," ","_")</f>
        <v>q3_2026</v>
      </c>
    </row>
    <row r="773">
      <c r="A773" s="0" t="inlineStr">
        <is>
          <t xml:space="preserve">o0772</t>
        </is>
      </c>
      <c r="B773" s="0" t="inlineStr">
        <is>
          <t xml:space="preserve">a0609</t>
        </is>
      </c>
      <c r="C773" s="0" t="inlineStr">
        <is>
          <t xml:space="preserve">r03</t>
        </is>
      </c>
      <c r="D773" s="0" t="inlineStr">
        <is>
          <t xml:space="preserve">s_amer_east_in</t>
        </is>
      </c>
      <c r="E773" s="0" t="inlineStr">
        <is>
          <t xml:space="preserve">paid</t>
        </is>
      </c>
      <c r="F773" s="0" t="inlineStr">
        <is>
          <t xml:space="preserve">closed_lost</t>
        </is>
      </c>
      <c r="G773" s="4">
        <v>1</v>
      </c>
      <c r="H773" s="4">
        <v>42200</v>
      </c>
      <c r="I773" s="4">
        <v>1</v>
      </c>
      <c r="J773" s="4">
        <v>0</v>
      </c>
      <c r="K773" s="16">
        <v>46035</v>
      </c>
      <c r="L773" s="16">
        <v>46100</v>
      </c>
      <c r="M773" s="0" t="inlineStr">
        <is>
          <t xml:space="preserve">jan26</t>
        </is>
      </c>
      <c r="N773" s="0" t="inlineStr">
        <is>
          <t xml:space="preserve">mar26</t>
        </is>
      </c>
      <c r="O773" s="4">
        <v>65</v>
      </c>
      <c r="P773" s="4">
        <v>0</v>
      </c>
      <c r="Q773" s="4">
        <v>1</v>
      </c>
      <c r="R773" s="4">
        <v>0</v>
      </c>
      <c r="S773" s="4">
        <f>(H773*INDEX('Stages'!$D$2:$D$7,MATCH(F773,'Stages'!$A$2:$A$7,0)))</f>
        <v>0</v>
      </c>
      <c r="T773" s="4">
        <f>(H773*I773)</f>
        <v>42200</v>
      </c>
      <c r="U773" s="4">
        <f>(H773*(I773-1))</f>
        <v>0</v>
      </c>
      <c r="V773" s="0" t="str">
        <f>INDEX('Account executives'!$B$2:$B$25,MATCH(C773,'Account executives'!$A$2:$A$25,0))</f>
        <v>amer_east</v>
      </c>
      <c r="W773" s="0" t="str">
        <f>INDEX('Account executives'!$C$2:$C$25,MATCH(C773,'Account executives'!$A$2:$A$25,0))</f>
        <v>mid_market</v>
      </c>
      <c r="X773" s="0" t="str">
        <f>SUBSTITUTE(LOWER(INDEX('Periods'!$G$2:$G$22,MATCH(N773,'Periods'!$A$2:$A$22,0)))," ","_")</f>
        <v>q1_2026</v>
      </c>
    </row>
    <row r="774">
      <c r="A774" s="0" t="inlineStr">
        <is>
          <t xml:space="preserve">o0773</t>
        </is>
      </c>
      <c r="B774" s="0" t="inlineStr">
        <is>
          <t xml:space="preserve">a0065</t>
        </is>
      </c>
      <c r="C774" s="0" t="inlineStr">
        <is>
          <t xml:space="preserve">r05</t>
        </is>
      </c>
      <c r="D774" s="0" t="inlineStr">
        <is>
          <t xml:space="preserve">s_amer_east_in</t>
        </is>
      </c>
      <c r="E774" s="0" t="inlineStr">
        <is>
          <t xml:space="preserve">inbound</t>
        </is>
      </c>
      <c r="F774" s="0" t="inlineStr">
        <is>
          <t xml:space="preserve">closed_lost</t>
        </is>
      </c>
      <c r="G774" s="4">
        <v>1</v>
      </c>
      <c r="H774" s="4">
        <v>19700</v>
      </c>
      <c r="I774" s="4">
        <v>1</v>
      </c>
      <c r="J774" s="4">
        <v>0</v>
      </c>
      <c r="K774" s="16">
        <v>45800</v>
      </c>
      <c r="L774" s="16">
        <v>45834</v>
      </c>
      <c r="M774" s="0" t="inlineStr">
        <is>
          <t xml:space="preserve">may25</t>
        </is>
      </c>
      <c r="N774" s="0" t="inlineStr">
        <is>
          <t xml:space="preserve">jun25</t>
        </is>
      </c>
      <c r="O774" s="4">
        <v>34</v>
      </c>
      <c r="P774" s="4">
        <v>0</v>
      </c>
      <c r="Q774" s="4">
        <v>1</v>
      </c>
      <c r="R774" s="4">
        <v>0</v>
      </c>
      <c r="S774" s="4">
        <f>(H774*INDEX('Stages'!$D$2:$D$7,MATCH(F774,'Stages'!$A$2:$A$7,0)))</f>
        <v>0</v>
      </c>
      <c r="T774" s="4">
        <f>(H774*I774)</f>
        <v>19700</v>
      </c>
      <c r="U774" s="4">
        <f>(H774*(I774-1))</f>
        <v>0</v>
      </c>
      <c r="V774" s="0" t="str">
        <f>INDEX('Account executives'!$B$2:$B$25,MATCH(C774,'Account executives'!$A$2:$A$25,0))</f>
        <v>amer_east</v>
      </c>
      <c r="W774" s="0" t="str">
        <f>INDEX('Account executives'!$C$2:$C$25,MATCH(C774,'Account executives'!$A$2:$A$25,0))</f>
        <v>smb</v>
      </c>
      <c r="X774" s="0" t="str">
        <f>SUBSTITUTE(LOWER(INDEX('Periods'!$G$2:$G$22,MATCH(N774,'Periods'!$A$2:$A$22,0)))," ","_")</f>
        <v>q2_2025</v>
      </c>
    </row>
    <row r="775">
      <c r="A775" s="0" t="inlineStr">
        <is>
          <t xml:space="preserve">o0774</t>
        </is>
      </c>
      <c r="B775" s="0" t="inlineStr">
        <is>
          <t xml:space="preserve">a0033</t>
        </is>
      </c>
      <c r="C775" s="0" t="inlineStr">
        <is>
          <t xml:space="preserve">r09</t>
        </is>
      </c>
      <c r="D775" s="0"/>
      <c r="E775" s="0" t="inlineStr">
        <is>
          <t xml:space="preserve">partner</t>
        </is>
      </c>
      <c r="F775" s="0" t="inlineStr">
        <is>
          <t xml:space="preserve">closed_won</t>
        </is>
      </c>
      <c r="G775" s="4">
        <v>1</v>
      </c>
      <c r="H775" s="4">
        <v>20200</v>
      </c>
      <c r="I775" s="4">
        <v>1</v>
      </c>
      <c r="J775" s="4">
        <v>0</v>
      </c>
      <c r="K775" s="16">
        <v>45753</v>
      </c>
      <c r="L775" s="16">
        <v>45836</v>
      </c>
      <c r="M775" s="0" t="inlineStr">
        <is>
          <t xml:space="preserve">apr25</t>
        </is>
      </c>
      <c r="N775" s="0" t="inlineStr">
        <is>
          <t xml:space="preserve">jun25</t>
        </is>
      </c>
      <c r="O775" s="4">
        <v>83</v>
      </c>
      <c r="P775" s="4">
        <v>1</v>
      </c>
      <c r="Q775" s="4">
        <v>0</v>
      </c>
      <c r="R775" s="4">
        <v>0</v>
      </c>
      <c r="S775" s="4">
        <f>(H775*INDEX('Stages'!$D$2:$D$7,MATCH(F775,'Stages'!$A$2:$A$7,0)))</f>
        <v>20200</v>
      </c>
      <c r="T775" s="4">
        <f>(H775*I775)</f>
        <v>20200</v>
      </c>
      <c r="U775" s="4">
        <f>(H775*(I775-1))</f>
        <v>0</v>
      </c>
      <c r="V775" s="0" t="str">
        <f>INDEX('Account executives'!$B$2:$B$25,MATCH(C775,'Account executives'!$A$2:$A$25,0))</f>
        <v>amer_west</v>
      </c>
      <c r="W775" s="0" t="str">
        <f>INDEX('Account executives'!$C$2:$C$25,MATCH(C775,'Account executives'!$A$2:$A$25,0))</f>
        <v>mid_market</v>
      </c>
      <c r="X775" s="0" t="str">
        <f>SUBSTITUTE(LOWER(INDEX('Periods'!$G$2:$G$22,MATCH(N775,'Periods'!$A$2:$A$22,0)))," ","_")</f>
        <v>q2_2025</v>
      </c>
    </row>
    <row r="776">
      <c r="A776" s="0" t="inlineStr">
        <is>
          <t xml:space="preserve">o0775</t>
        </is>
      </c>
      <c r="B776" s="0" t="inlineStr">
        <is>
          <t xml:space="preserve">a1168</t>
        </is>
      </c>
      <c r="C776" s="0" t="inlineStr">
        <is>
          <t xml:space="preserve">r12</t>
        </is>
      </c>
      <c r="D776" s="0" t="inlineStr">
        <is>
          <t xml:space="preserve">s_amer_west_in</t>
        </is>
      </c>
      <c r="E776" s="0" t="inlineStr">
        <is>
          <t xml:space="preserve">inbound</t>
        </is>
      </c>
      <c r="F776" s="0" t="inlineStr">
        <is>
          <t xml:space="preserve">proposal</t>
        </is>
      </c>
      <c r="G776" s="4">
        <v>1</v>
      </c>
      <c r="H776" s="4">
        <v>13800</v>
      </c>
      <c r="I776" s="4">
        <v>1</v>
      </c>
      <c r="J776" s="4">
        <v>1</v>
      </c>
      <c r="K776" s="16">
        <v>46257</v>
      </c>
      <c r="L776" s="16">
        <v>46300</v>
      </c>
      <c r="M776" s="0" t="inlineStr">
        <is>
          <t xml:space="preserve">aug26</t>
        </is>
      </c>
      <c r="N776" s="0" t="inlineStr">
        <is>
          <t xml:space="preserve">oct26</t>
        </is>
      </c>
      <c r="O776" s="4">
        <v>45</v>
      </c>
      <c r="P776" s="4">
        <v>0</v>
      </c>
      <c r="Q776" s="4">
        <v>0</v>
      </c>
      <c r="R776" s="4">
        <v>1</v>
      </c>
      <c r="S776" s="4">
        <f>(H776*INDEX('Stages'!$D$2:$D$7,MATCH(F776,'Stages'!$A$2:$A$7,0)))</f>
        <v>6900</v>
      </c>
      <c r="T776" s="4">
        <f>(H776*I776)</f>
        <v>13800</v>
      </c>
      <c r="U776" s="4">
        <f>(H776*(I776-1))</f>
        <v>0</v>
      </c>
      <c r="V776" s="0" t="str">
        <f>INDEX('Account executives'!$B$2:$B$25,MATCH(C776,'Account executives'!$A$2:$A$25,0))</f>
        <v>amer_west</v>
      </c>
      <c r="W776" s="0" t="str">
        <f>INDEX('Account executives'!$C$2:$C$25,MATCH(C776,'Account executives'!$A$2:$A$25,0))</f>
        <v>smb</v>
      </c>
      <c r="X776" s="0" t="str">
        <f>SUBSTITUTE(LOWER(INDEX('Periods'!$G$2:$G$22,MATCH(N776,'Periods'!$A$2:$A$22,0)))," ","_")</f>
        <v>q4_2026</v>
      </c>
    </row>
    <row r="777">
      <c r="A777" s="0" t="inlineStr">
        <is>
          <t xml:space="preserve">o0776</t>
        </is>
      </c>
      <c r="B777" s="0" t="inlineStr">
        <is>
          <t xml:space="preserve">a0697</t>
        </is>
      </c>
      <c r="C777" s="0" t="inlineStr">
        <is>
          <t xml:space="preserve">r17</t>
        </is>
      </c>
      <c r="D777" s="0" t="inlineStr">
        <is>
          <t xml:space="preserve">s_emea_in</t>
        </is>
      </c>
      <c r="E777" s="0" t="inlineStr">
        <is>
          <t xml:space="preserve">inbound</t>
        </is>
      </c>
      <c r="F777" s="0" t="inlineStr">
        <is>
          <t xml:space="preserve">closed_lost</t>
        </is>
      </c>
      <c r="G777" s="4">
        <v>0</v>
      </c>
      <c r="H777" s="4">
        <v>11800</v>
      </c>
      <c r="I777" s="4">
        <v>1</v>
      </c>
      <c r="J777" s="4">
        <v>1</v>
      </c>
      <c r="K777" s="16">
        <v>46200</v>
      </c>
      <c r="L777" s="16">
        <v>46220</v>
      </c>
      <c r="M777" s="0" t="inlineStr">
        <is>
          <t xml:space="preserve">jun26</t>
        </is>
      </c>
      <c r="N777" s="0" t="inlineStr">
        <is>
          <t xml:space="preserve">jul26</t>
        </is>
      </c>
      <c r="O777" s="4">
        <v>20</v>
      </c>
      <c r="P777" s="4">
        <v>0</v>
      </c>
      <c r="Q777" s="4">
        <v>1</v>
      </c>
      <c r="R777" s="4">
        <v>0</v>
      </c>
      <c r="S777" s="4">
        <f>(H777*INDEX('Stages'!$D$2:$D$7,MATCH(F777,'Stages'!$A$2:$A$7,0)))</f>
        <v>0</v>
      </c>
      <c r="T777" s="4">
        <f>(H777*I777)</f>
        <v>11800</v>
      </c>
      <c r="U777" s="4">
        <f>(H777*(I777-1))</f>
        <v>0</v>
      </c>
      <c r="V777" s="0" t="str">
        <f>INDEX('Account executives'!$B$2:$B$25,MATCH(C777,'Account executives'!$A$2:$A$25,0))</f>
        <v>emea</v>
      </c>
      <c r="W777" s="0" t="str">
        <f>INDEX('Account executives'!$C$2:$C$25,MATCH(C777,'Account executives'!$A$2:$A$25,0))</f>
        <v>smb</v>
      </c>
      <c r="X777" s="0" t="str">
        <f>SUBSTITUTE(LOWER(INDEX('Periods'!$G$2:$G$22,MATCH(N777,'Periods'!$A$2:$A$22,0)))," ","_")</f>
        <v>q3_2026</v>
      </c>
    </row>
    <row r="778">
      <c r="A778" s="0" t="inlineStr">
        <is>
          <t xml:space="preserve">o0777</t>
        </is>
      </c>
      <c r="B778" s="0" t="inlineStr">
        <is>
          <t xml:space="preserve">a1146</t>
        </is>
      </c>
      <c r="C778" s="0" t="inlineStr">
        <is>
          <t xml:space="preserve">r03</t>
        </is>
      </c>
      <c r="D778" s="0" t="inlineStr">
        <is>
          <t xml:space="preserve">s_amer_east_in</t>
        </is>
      </c>
      <c r="E778" s="0" t="inlineStr">
        <is>
          <t xml:space="preserve">paid</t>
        </is>
      </c>
      <c r="F778" s="0" t="inlineStr">
        <is>
          <t xml:space="preserve">evaluation</t>
        </is>
      </c>
      <c r="G778" s="4">
        <v>1</v>
      </c>
      <c r="H778" s="4">
        <v>94700</v>
      </c>
      <c r="I778" s="4">
        <v>2</v>
      </c>
      <c r="J778" s="4">
        <v>1</v>
      </c>
      <c r="K778" s="16">
        <v>46237</v>
      </c>
      <c r="L778" s="16">
        <v>46306</v>
      </c>
      <c r="M778" s="0" t="inlineStr">
        <is>
          <t xml:space="preserve">aug26</t>
        </is>
      </c>
      <c r="N778" s="0" t="inlineStr">
        <is>
          <t xml:space="preserve">oct26</t>
        </is>
      </c>
      <c r="O778" s="4">
        <v>82</v>
      </c>
      <c r="P778" s="4">
        <v>0</v>
      </c>
      <c r="Q778" s="4">
        <v>0</v>
      </c>
      <c r="R778" s="4">
        <v>1</v>
      </c>
      <c r="S778" s="4">
        <f>(H778*INDEX('Stages'!$D$2:$D$7,MATCH(F778,'Stages'!$A$2:$A$7,0)))</f>
        <v>23675</v>
      </c>
      <c r="T778" s="4">
        <f>(H778*I778)</f>
        <v>189400</v>
      </c>
      <c r="U778" s="4">
        <f>(H778*(I778-1))</f>
        <v>94700</v>
      </c>
      <c r="V778" s="0" t="str">
        <f>INDEX('Account executives'!$B$2:$B$25,MATCH(C778,'Account executives'!$A$2:$A$25,0))</f>
        <v>amer_east</v>
      </c>
      <c r="W778" s="0" t="str">
        <f>INDEX('Account executives'!$C$2:$C$25,MATCH(C778,'Account executives'!$A$2:$A$25,0))</f>
        <v>mid_market</v>
      </c>
      <c r="X778" s="0" t="str">
        <f>SUBSTITUTE(LOWER(INDEX('Periods'!$G$2:$G$22,MATCH(N778,'Periods'!$A$2:$A$22,0)))," ","_")</f>
        <v>q4_2026</v>
      </c>
    </row>
    <row r="779">
      <c r="A779" s="0" t="inlineStr">
        <is>
          <t xml:space="preserve">o0778</t>
        </is>
      </c>
      <c r="B779" s="0" t="inlineStr">
        <is>
          <t xml:space="preserve">a1198</t>
        </is>
      </c>
      <c r="C779" s="0" t="inlineStr">
        <is>
          <t xml:space="preserve">r22</t>
        </is>
      </c>
      <c r="D779" s="0" t="inlineStr">
        <is>
          <t xml:space="preserve">s_apac_in</t>
        </is>
      </c>
      <c r="E779" s="0" t="inlineStr">
        <is>
          <t xml:space="preserve">inbound</t>
        </is>
      </c>
      <c r="F779" s="0" t="inlineStr">
        <is>
          <t xml:space="preserve">evaluation</t>
        </is>
      </c>
      <c r="G779" s="4">
        <v>1</v>
      </c>
      <c r="H779" s="4">
        <v>21700</v>
      </c>
      <c r="I779" s="4">
        <v>1</v>
      </c>
      <c r="J779" s="4">
        <v>0</v>
      </c>
      <c r="K779" s="16">
        <v>46239</v>
      </c>
      <c r="L779" s="16">
        <v>46293</v>
      </c>
      <c r="M779" s="0" t="inlineStr">
        <is>
          <t xml:space="preserve">aug26</t>
        </is>
      </c>
      <c r="N779" s="0" t="inlineStr">
        <is>
          <t xml:space="preserve">sep26</t>
        </is>
      </c>
      <c r="O779" s="4">
        <v>63</v>
      </c>
      <c r="P779" s="4">
        <v>0</v>
      </c>
      <c r="Q779" s="4">
        <v>0</v>
      </c>
      <c r="R779" s="4">
        <v>1</v>
      </c>
      <c r="S779" s="4">
        <f>(H779*INDEX('Stages'!$D$2:$D$7,MATCH(F779,'Stages'!$A$2:$A$7,0)))</f>
        <v>5425</v>
      </c>
      <c r="T779" s="4">
        <f>(H779*I779)</f>
        <v>21700</v>
      </c>
      <c r="U779" s="4">
        <f>(H779*(I779-1))</f>
        <v>0</v>
      </c>
      <c r="V779" s="0" t="str">
        <f>INDEX('Account executives'!$B$2:$B$25,MATCH(C779,'Account executives'!$A$2:$A$25,0))</f>
        <v>apac</v>
      </c>
      <c r="W779" s="0" t="str">
        <f>INDEX('Account executives'!$C$2:$C$25,MATCH(C779,'Account executives'!$A$2:$A$25,0))</f>
        <v>mid_market</v>
      </c>
      <c r="X779" s="0" t="str">
        <f>SUBSTITUTE(LOWER(INDEX('Periods'!$G$2:$G$22,MATCH(N779,'Periods'!$A$2:$A$22,0)))," ","_")</f>
        <v>q3_2026</v>
      </c>
    </row>
    <row r="780">
      <c r="A780" s="0" t="inlineStr">
        <is>
          <t xml:space="preserve">o0779</t>
        </is>
      </c>
      <c r="B780" s="0" t="inlineStr">
        <is>
          <t xml:space="preserve">a1172</t>
        </is>
      </c>
      <c r="C780" s="0" t="inlineStr">
        <is>
          <t xml:space="preserve">r11</t>
        </is>
      </c>
      <c r="D780" s="0" t="inlineStr">
        <is>
          <t xml:space="preserve">s_amer_west_in</t>
        </is>
      </c>
      <c r="E780" s="0" t="inlineStr">
        <is>
          <t xml:space="preserve">paid</t>
        </is>
      </c>
      <c r="F780" s="0" t="inlineStr">
        <is>
          <t xml:space="preserve">closed_won</t>
        </is>
      </c>
      <c r="G780" s="4">
        <v>1</v>
      </c>
      <c r="H780" s="4">
        <v>44800</v>
      </c>
      <c r="I780" s="4">
        <v>1</v>
      </c>
      <c r="J780" s="4">
        <v>0</v>
      </c>
      <c r="K780" s="16">
        <v>46255</v>
      </c>
      <c r="L780" s="16">
        <v>46269</v>
      </c>
      <c r="M780" s="0" t="inlineStr">
        <is>
          <t xml:space="preserve">aug26</t>
        </is>
      </c>
      <c r="N780" s="0" t="inlineStr">
        <is>
          <t xml:space="preserve">sep26</t>
        </is>
      </c>
      <c r="O780" s="4">
        <v>14</v>
      </c>
      <c r="P780" s="4">
        <v>1</v>
      </c>
      <c r="Q780" s="4">
        <v>0</v>
      </c>
      <c r="R780" s="4">
        <v>0</v>
      </c>
      <c r="S780" s="4">
        <f>(H780*INDEX('Stages'!$D$2:$D$7,MATCH(F780,'Stages'!$A$2:$A$7,0)))</f>
        <v>44800</v>
      </c>
      <c r="T780" s="4">
        <f>(H780*I780)</f>
        <v>44800</v>
      </c>
      <c r="U780" s="4">
        <f>(H780*(I780-1))</f>
        <v>0</v>
      </c>
      <c r="V780" s="0" t="str">
        <f>INDEX('Account executives'!$B$2:$B$25,MATCH(C780,'Account executives'!$A$2:$A$25,0))</f>
        <v>amer_west</v>
      </c>
      <c r="W780" s="0" t="str">
        <f>INDEX('Account executives'!$C$2:$C$25,MATCH(C780,'Account executives'!$A$2:$A$25,0))</f>
        <v>smb</v>
      </c>
      <c r="X780" s="0" t="str">
        <f>SUBSTITUTE(LOWER(INDEX('Periods'!$G$2:$G$22,MATCH(N780,'Periods'!$A$2:$A$22,0)))," ","_")</f>
        <v>q3_2026</v>
      </c>
    </row>
    <row r="781">
      <c r="A781" s="0" t="inlineStr">
        <is>
          <t xml:space="preserve">o0780</t>
        </is>
      </c>
      <c r="B781" s="0" t="inlineStr">
        <is>
          <t xml:space="preserve">a0223</t>
        </is>
      </c>
      <c r="C781" s="0" t="inlineStr">
        <is>
          <t xml:space="preserve">r21</t>
        </is>
      </c>
      <c r="D781" s="0" t="inlineStr">
        <is>
          <t xml:space="preserve">s_apac_in</t>
        </is>
      </c>
      <c r="E781" s="0" t="inlineStr">
        <is>
          <t xml:space="preserve">inbound</t>
        </is>
      </c>
      <c r="F781" s="0" t="inlineStr">
        <is>
          <t xml:space="preserve">closed_lost</t>
        </is>
      </c>
      <c r="G781" s="4">
        <v>0</v>
      </c>
      <c r="H781" s="4">
        <v>41100</v>
      </c>
      <c r="I781" s="4">
        <v>1</v>
      </c>
      <c r="J781" s="4">
        <v>1</v>
      </c>
      <c r="K781" s="16">
        <v>46095</v>
      </c>
      <c r="L781" s="16">
        <v>46146</v>
      </c>
      <c r="M781" s="0" t="inlineStr">
        <is>
          <t xml:space="preserve">mar26</t>
        </is>
      </c>
      <c r="N781" s="0" t="inlineStr">
        <is>
          <t xml:space="preserve">may26</t>
        </is>
      </c>
      <c r="O781" s="4">
        <v>51</v>
      </c>
      <c r="P781" s="4">
        <v>0</v>
      </c>
      <c r="Q781" s="4">
        <v>1</v>
      </c>
      <c r="R781" s="4">
        <v>0</v>
      </c>
      <c r="S781" s="4">
        <f>(H781*INDEX('Stages'!$D$2:$D$7,MATCH(F781,'Stages'!$A$2:$A$7,0)))</f>
        <v>0</v>
      </c>
      <c r="T781" s="4">
        <f>(H781*I781)</f>
        <v>41100</v>
      </c>
      <c r="U781" s="4">
        <f>(H781*(I781-1))</f>
        <v>0</v>
      </c>
      <c r="V781" s="0" t="str">
        <f>INDEX('Account executives'!$B$2:$B$25,MATCH(C781,'Account executives'!$A$2:$A$25,0))</f>
        <v>apac</v>
      </c>
      <c r="W781" s="0" t="str">
        <f>INDEX('Account executives'!$C$2:$C$25,MATCH(C781,'Account executives'!$A$2:$A$25,0))</f>
        <v>mid_market</v>
      </c>
      <c r="X781" s="0" t="str">
        <f>SUBSTITUTE(LOWER(INDEX('Periods'!$G$2:$G$22,MATCH(N781,'Periods'!$A$2:$A$22,0)))," ","_")</f>
        <v>q2_2026</v>
      </c>
    </row>
    <row r="782">
      <c r="A782" s="0" t="inlineStr">
        <is>
          <t xml:space="preserve">o0781</t>
        </is>
      </c>
      <c r="B782" s="0" t="inlineStr">
        <is>
          <t xml:space="preserve">a1147</t>
        </is>
      </c>
      <c r="C782" s="0" t="inlineStr">
        <is>
          <t xml:space="preserve">r03</t>
        </is>
      </c>
      <c r="D782" s="0" t="inlineStr">
        <is>
          <t xml:space="preserve">s_amer_east_in</t>
        </is>
      </c>
      <c r="E782" s="0" t="inlineStr">
        <is>
          <t xml:space="preserve">paid</t>
        </is>
      </c>
      <c r="F782" s="0" t="inlineStr">
        <is>
          <t xml:space="preserve">evaluation</t>
        </is>
      </c>
      <c r="G782" s="4">
        <v>1</v>
      </c>
      <c r="H782" s="4">
        <v>36200</v>
      </c>
      <c r="I782" s="4">
        <v>2</v>
      </c>
      <c r="J782" s="4">
        <v>0</v>
      </c>
      <c r="K782" s="16">
        <v>46235</v>
      </c>
      <c r="L782" s="16">
        <v>46318</v>
      </c>
      <c r="M782" s="0" t="inlineStr">
        <is>
          <t xml:space="preserve">aug26</t>
        </is>
      </c>
      <c r="N782" s="0" t="inlineStr">
        <is>
          <t xml:space="preserve">oct26</t>
        </is>
      </c>
      <c r="O782" s="4">
        <v>98</v>
      </c>
      <c r="P782" s="4">
        <v>0</v>
      </c>
      <c r="Q782" s="4">
        <v>0</v>
      </c>
      <c r="R782" s="4">
        <v>1</v>
      </c>
      <c r="S782" s="4">
        <f>(H782*INDEX('Stages'!$D$2:$D$7,MATCH(F782,'Stages'!$A$2:$A$7,0)))</f>
        <v>9050</v>
      </c>
      <c r="T782" s="4">
        <f>(H782*I782)</f>
        <v>72400</v>
      </c>
      <c r="U782" s="4">
        <f>(H782*(I782-1))</f>
        <v>36200</v>
      </c>
      <c r="V782" s="0" t="str">
        <f>INDEX('Account executives'!$B$2:$B$25,MATCH(C782,'Account executives'!$A$2:$A$25,0))</f>
        <v>amer_east</v>
      </c>
      <c r="W782" s="0" t="str">
        <f>INDEX('Account executives'!$C$2:$C$25,MATCH(C782,'Account executives'!$A$2:$A$25,0))</f>
        <v>mid_market</v>
      </c>
      <c r="X782" s="0" t="str">
        <f>SUBSTITUTE(LOWER(INDEX('Periods'!$G$2:$G$22,MATCH(N782,'Periods'!$A$2:$A$22,0)))," ","_")</f>
        <v>q4_2026</v>
      </c>
    </row>
    <row r="783">
      <c r="A783" s="0" t="inlineStr">
        <is>
          <t xml:space="preserve">o0782</t>
        </is>
      </c>
      <c r="B783" s="0" t="inlineStr">
        <is>
          <t xml:space="preserve">a0419</t>
        </is>
      </c>
      <c r="C783" s="0" t="inlineStr">
        <is>
          <t xml:space="preserve">r01</t>
        </is>
      </c>
      <c r="D783" s="0" t="inlineStr">
        <is>
          <t xml:space="preserve">s_amer_east_in</t>
        </is>
      </c>
      <c r="E783" s="0" t="inlineStr">
        <is>
          <t xml:space="preserve">inbound</t>
        </is>
      </c>
      <c r="F783" s="0" t="inlineStr">
        <is>
          <t xml:space="preserve">closed_won</t>
        </is>
      </c>
      <c r="G783" s="4">
        <v>1</v>
      </c>
      <c r="H783" s="4">
        <v>106900</v>
      </c>
      <c r="I783" s="4">
        <v>3</v>
      </c>
      <c r="J783" s="4">
        <v>0</v>
      </c>
      <c r="K783" s="16">
        <v>45949</v>
      </c>
      <c r="L783" s="16">
        <v>46013</v>
      </c>
      <c r="M783" s="0" t="inlineStr">
        <is>
          <t xml:space="preserve">oct25</t>
        </is>
      </c>
      <c r="N783" s="0" t="inlineStr">
        <is>
          <t xml:space="preserve">dec25</t>
        </is>
      </c>
      <c r="O783" s="4">
        <v>64</v>
      </c>
      <c r="P783" s="4">
        <v>1</v>
      </c>
      <c r="Q783" s="4">
        <v>0</v>
      </c>
      <c r="R783" s="4">
        <v>0</v>
      </c>
      <c r="S783" s="4">
        <f>(H783*INDEX('Stages'!$D$2:$D$7,MATCH(F783,'Stages'!$A$2:$A$7,0)))</f>
        <v>106900</v>
      </c>
      <c r="T783" s="4">
        <f>(H783*I783)</f>
        <v>320700</v>
      </c>
      <c r="U783" s="4">
        <f>(H783*(I783-1))</f>
        <v>213800</v>
      </c>
      <c r="V783" s="0" t="str">
        <f>INDEX('Account executives'!$B$2:$B$25,MATCH(C783,'Account executives'!$A$2:$A$25,0))</f>
        <v>amer_east</v>
      </c>
      <c r="W783" s="0" t="str">
        <f>INDEX('Account executives'!$C$2:$C$25,MATCH(C783,'Account executives'!$A$2:$A$25,0))</f>
        <v>enterprise</v>
      </c>
      <c r="X783" s="0" t="str">
        <f>SUBSTITUTE(LOWER(INDEX('Periods'!$G$2:$G$22,MATCH(N783,'Periods'!$A$2:$A$22,0)))," ","_")</f>
        <v>q4_2025</v>
      </c>
    </row>
    <row r="784">
      <c r="A784" s="0" t="inlineStr">
        <is>
          <t xml:space="preserve">o0783</t>
        </is>
      </c>
      <c r="B784" s="0" t="inlineStr">
        <is>
          <t xml:space="preserve">a1004</t>
        </is>
      </c>
      <c r="C784" s="0" t="inlineStr">
        <is>
          <t xml:space="preserve">r12</t>
        </is>
      </c>
      <c r="D784" s="0" t="inlineStr">
        <is>
          <t xml:space="preserve">s_amer_west_out</t>
        </is>
      </c>
      <c r="E784" s="0" t="inlineStr">
        <is>
          <t xml:space="preserve">outbound</t>
        </is>
      </c>
      <c r="F784" s="0" t="inlineStr">
        <is>
          <t xml:space="preserve">closed_lost</t>
        </is>
      </c>
      <c r="G784" s="4">
        <v>1</v>
      </c>
      <c r="H784" s="4">
        <v>9500</v>
      </c>
      <c r="I784" s="4">
        <v>1</v>
      </c>
      <c r="J784" s="4">
        <v>0</v>
      </c>
      <c r="K784" s="16">
        <v>46195</v>
      </c>
      <c r="L784" s="16">
        <v>46213</v>
      </c>
      <c r="M784" s="0" t="inlineStr">
        <is>
          <t xml:space="preserve">jun26</t>
        </is>
      </c>
      <c r="N784" s="0" t="inlineStr">
        <is>
          <t xml:space="preserve">jul26</t>
        </is>
      </c>
      <c r="O784" s="4">
        <v>18</v>
      </c>
      <c r="P784" s="4">
        <v>0</v>
      </c>
      <c r="Q784" s="4">
        <v>1</v>
      </c>
      <c r="R784" s="4">
        <v>0</v>
      </c>
      <c r="S784" s="4">
        <f>(H784*INDEX('Stages'!$D$2:$D$7,MATCH(F784,'Stages'!$A$2:$A$7,0)))</f>
        <v>0</v>
      </c>
      <c r="T784" s="4">
        <f>(H784*I784)</f>
        <v>9500</v>
      </c>
      <c r="U784" s="4">
        <f>(H784*(I784-1))</f>
        <v>0</v>
      </c>
      <c r="V784" s="0" t="str">
        <f>INDEX('Account executives'!$B$2:$B$25,MATCH(C784,'Account executives'!$A$2:$A$25,0))</f>
        <v>amer_west</v>
      </c>
      <c r="W784" s="0" t="str">
        <f>INDEX('Account executives'!$C$2:$C$25,MATCH(C784,'Account executives'!$A$2:$A$25,0))</f>
        <v>smb</v>
      </c>
      <c r="X784" s="0" t="str">
        <f>SUBSTITUTE(LOWER(INDEX('Periods'!$G$2:$G$22,MATCH(N784,'Periods'!$A$2:$A$22,0)))," ","_")</f>
        <v>q3_2026</v>
      </c>
    </row>
    <row r="785">
      <c r="A785" s="0" t="inlineStr">
        <is>
          <t xml:space="preserve">o0784</t>
        </is>
      </c>
      <c r="B785" s="0" t="inlineStr">
        <is>
          <t xml:space="preserve">a0150</t>
        </is>
      </c>
      <c r="C785" s="0" t="inlineStr">
        <is>
          <t xml:space="preserve">r20</t>
        </is>
      </c>
      <c r="D785" s="0" t="inlineStr">
        <is>
          <t xml:space="preserve">s_apac_out</t>
        </is>
      </c>
      <c r="E785" s="0" t="inlineStr">
        <is>
          <t xml:space="preserve">outbound</t>
        </is>
      </c>
      <c r="F785" s="0" t="inlineStr">
        <is>
          <t xml:space="preserve">closed_lost</t>
        </is>
      </c>
      <c r="G785" s="4">
        <v>0</v>
      </c>
      <c r="H785" s="4">
        <v>69200</v>
      </c>
      <c r="I785" s="4">
        <v>3</v>
      </c>
      <c r="J785" s="4">
        <v>0</v>
      </c>
      <c r="K785" s="16">
        <v>45818</v>
      </c>
      <c r="L785" s="16">
        <v>45903</v>
      </c>
      <c r="M785" s="0" t="inlineStr">
        <is>
          <t xml:space="preserve">jun25</t>
        </is>
      </c>
      <c r="N785" s="0" t="inlineStr">
        <is>
          <t xml:space="preserve">sep25</t>
        </is>
      </c>
      <c r="O785" s="4">
        <v>85</v>
      </c>
      <c r="P785" s="4">
        <v>0</v>
      </c>
      <c r="Q785" s="4">
        <v>1</v>
      </c>
      <c r="R785" s="4">
        <v>0</v>
      </c>
      <c r="S785" s="4">
        <f>(H785*INDEX('Stages'!$D$2:$D$7,MATCH(F785,'Stages'!$A$2:$A$7,0)))</f>
        <v>0</v>
      </c>
      <c r="T785" s="4">
        <f>(H785*I785)</f>
        <v>207600</v>
      </c>
      <c r="U785" s="4">
        <f>(H785*(I785-1))</f>
        <v>138400</v>
      </c>
      <c r="V785" s="0" t="str">
        <f>INDEX('Account executives'!$B$2:$B$25,MATCH(C785,'Account executives'!$A$2:$A$25,0))</f>
        <v>apac</v>
      </c>
      <c r="W785" s="0" t="str">
        <f>INDEX('Account executives'!$C$2:$C$25,MATCH(C785,'Account executives'!$A$2:$A$25,0))</f>
        <v>enterprise</v>
      </c>
      <c r="X785" s="0" t="str">
        <f>SUBSTITUTE(LOWER(INDEX('Periods'!$G$2:$G$22,MATCH(N785,'Periods'!$A$2:$A$22,0)))," ","_")</f>
        <v>q3_2025</v>
      </c>
    </row>
    <row r="786">
      <c r="A786" s="0" t="inlineStr">
        <is>
          <t xml:space="preserve">o0785</t>
        </is>
      </c>
      <c r="B786" s="0" t="inlineStr">
        <is>
          <t xml:space="preserve">a0317</t>
        </is>
      </c>
      <c r="C786" s="0" t="inlineStr">
        <is>
          <t xml:space="preserve">r05</t>
        </is>
      </c>
      <c r="D786" s="0" t="inlineStr">
        <is>
          <t xml:space="preserve">s_amer_east_in</t>
        </is>
      </c>
      <c r="E786" s="0" t="inlineStr">
        <is>
          <t xml:space="preserve">paid</t>
        </is>
      </c>
      <c r="F786" s="0" t="inlineStr">
        <is>
          <t xml:space="preserve">closed_lost</t>
        </is>
      </c>
      <c r="G786" s="4">
        <v>1</v>
      </c>
      <c r="H786" s="4">
        <v>8800</v>
      </c>
      <c r="I786" s="4">
        <v>1</v>
      </c>
      <c r="J786" s="4">
        <v>0</v>
      </c>
      <c r="K786" s="16">
        <v>45876</v>
      </c>
      <c r="L786" s="16">
        <v>45910</v>
      </c>
      <c r="M786" s="0" t="inlineStr">
        <is>
          <t xml:space="preserve">aug25</t>
        </is>
      </c>
      <c r="N786" s="0" t="inlineStr">
        <is>
          <t xml:space="preserve">sep25</t>
        </is>
      </c>
      <c r="O786" s="4">
        <v>34</v>
      </c>
      <c r="P786" s="4">
        <v>0</v>
      </c>
      <c r="Q786" s="4">
        <v>1</v>
      </c>
      <c r="R786" s="4">
        <v>0</v>
      </c>
      <c r="S786" s="4">
        <f>(H786*INDEX('Stages'!$D$2:$D$7,MATCH(F786,'Stages'!$A$2:$A$7,0)))</f>
        <v>0</v>
      </c>
      <c r="T786" s="4">
        <f>(H786*I786)</f>
        <v>8800</v>
      </c>
      <c r="U786" s="4">
        <f>(H786*(I786-1))</f>
        <v>0</v>
      </c>
      <c r="V786" s="0" t="str">
        <f>INDEX('Account executives'!$B$2:$B$25,MATCH(C786,'Account executives'!$A$2:$A$25,0))</f>
        <v>amer_east</v>
      </c>
      <c r="W786" s="0" t="str">
        <f>INDEX('Account executives'!$C$2:$C$25,MATCH(C786,'Account executives'!$A$2:$A$25,0))</f>
        <v>smb</v>
      </c>
      <c r="X786" s="0" t="str">
        <f>SUBSTITUTE(LOWER(INDEX('Periods'!$G$2:$G$22,MATCH(N786,'Periods'!$A$2:$A$22,0)))," ","_")</f>
        <v>q3_2025</v>
      </c>
    </row>
    <row r="787">
      <c r="A787" s="0" t="inlineStr">
        <is>
          <t xml:space="preserve">o0786</t>
        </is>
      </c>
      <c r="B787" s="0" t="inlineStr">
        <is>
          <t xml:space="preserve">a1205</t>
        </is>
      </c>
      <c r="C787" s="0" t="inlineStr">
        <is>
          <t xml:space="preserve">r24</t>
        </is>
      </c>
      <c r="D787" s="0" t="inlineStr">
        <is>
          <t xml:space="preserve">s_apac_out</t>
        </is>
      </c>
      <c r="E787" s="0" t="inlineStr">
        <is>
          <t xml:space="preserve">outbound</t>
        </is>
      </c>
      <c r="F787" s="0" t="inlineStr">
        <is>
          <t xml:space="preserve">proposal</t>
        </is>
      </c>
      <c r="G787" s="4">
        <v>1</v>
      </c>
      <c r="H787" s="4">
        <v>46100</v>
      </c>
      <c r="I787" s="4">
        <v>1</v>
      </c>
      <c r="J787" s="4">
        <v>1</v>
      </c>
      <c r="K787" s="16">
        <v>46260</v>
      </c>
      <c r="L787" s="16">
        <v>46371</v>
      </c>
      <c r="M787" s="0" t="inlineStr">
        <is>
          <t xml:space="preserve">aug26</t>
        </is>
      </c>
      <c r="N787" s="0" t="inlineStr">
        <is>
          <t xml:space="preserve">dec26</t>
        </is>
      </c>
      <c r="O787" s="4">
        <v>35</v>
      </c>
      <c r="P787" s="4">
        <v>0</v>
      </c>
      <c r="Q787" s="4">
        <v>0</v>
      </c>
      <c r="R787" s="4">
        <v>1</v>
      </c>
      <c r="S787" s="4">
        <f>(H787*INDEX('Stages'!$D$2:$D$7,MATCH(F787,'Stages'!$A$2:$A$7,0)))</f>
        <v>23050</v>
      </c>
      <c r="T787" s="4">
        <f>(H787*I787)</f>
        <v>46100</v>
      </c>
      <c r="U787" s="4">
        <f>(H787*(I787-1))</f>
        <v>0</v>
      </c>
      <c r="V787" s="0" t="str">
        <f>INDEX('Account executives'!$B$2:$B$25,MATCH(C787,'Account executives'!$A$2:$A$25,0))</f>
        <v>apac</v>
      </c>
      <c r="W787" s="0" t="str">
        <f>INDEX('Account executives'!$C$2:$C$25,MATCH(C787,'Account executives'!$A$2:$A$25,0))</f>
        <v>smb</v>
      </c>
      <c r="X787" s="0" t="str">
        <f>SUBSTITUTE(LOWER(INDEX('Periods'!$G$2:$G$22,MATCH(N787,'Periods'!$A$2:$A$22,0)))," ","_")</f>
        <v>q4_2026</v>
      </c>
    </row>
    <row r="788">
      <c r="A788" s="0" t="inlineStr">
        <is>
          <t xml:space="preserve">o0787</t>
        </is>
      </c>
      <c r="B788" s="0" t="inlineStr">
        <is>
          <t xml:space="preserve">a0168</t>
        </is>
      </c>
      <c r="C788" s="0" t="inlineStr">
        <is>
          <t xml:space="preserve">r04</t>
        </is>
      </c>
      <c r="D788" s="0" t="inlineStr">
        <is>
          <t xml:space="preserve">s_amer_east_in</t>
        </is>
      </c>
      <c r="E788" s="0" t="inlineStr">
        <is>
          <t xml:space="preserve">inbound</t>
        </is>
      </c>
      <c r="F788" s="0" t="inlineStr">
        <is>
          <t xml:space="preserve">closed_lost</t>
        </is>
      </c>
      <c r="G788" s="4">
        <v>1</v>
      </c>
      <c r="H788" s="4">
        <v>34200</v>
      </c>
      <c r="I788" s="4">
        <v>1</v>
      </c>
      <c r="J788" s="4">
        <v>0</v>
      </c>
      <c r="K788" s="16">
        <v>45824</v>
      </c>
      <c r="L788" s="16">
        <v>45910</v>
      </c>
      <c r="M788" s="0" t="inlineStr">
        <is>
          <t xml:space="preserve">jun25</t>
        </is>
      </c>
      <c r="N788" s="0" t="inlineStr">
        <is>
          <t xml:space="preserve">sep25</t>
        </is>
      </c>
      <c r="O788" s="4">
        <v>86</v>
      </c>
      <c r="P788" s="4">
        <v>0</v>
      </c>
      <c r="Q788" s="4">
        <v>1</v>
      </c>
      <c r="R788" s="4">
        <v>0</v>
      </c>
      <c r="S788" s="4">
        <f>(H788*INDEX('Stages'!$D$2:$D$7,MATCH(F788,'Stages'!$A$2:$A$7,0)))</f>
        <v>0</v>
      </c>
      <c r="T788" s="4">
        <f>(H788*I788)</f>
        <v>34200</v>
      </c>
      <c r="U788" s="4">
        <f>(H788*(I788-1))</f>
        <v>0</v>
      </c>
      <c r="V788" s="0" t="str">
        <f>INDEX('Account executives'!$B$2:$B$25,MATCH(C788,'Account executives'!$A$2:$A$25,0))</f>
        <v>amer_east</v>
      </c>
      <c r="W788" s="0" t="str">
        <f>INDEX('Account executives'!$C$2:$C$25,MATCH(C788,'Account executives'!$A$2:$A$25,0))</f>
        <v>mid_market</v>
      </c>
      <c r="X788" s="0" t="str">
        <f>SUBSTITUTE(LOWER(INDEX('Periods'!$G$2:$G$22,MATCH(N788,'Periods'!$A$2:$A$22,0)))," ","_")</f>
        <v>q3_2025</v>
      </c>
    </row>
    <row r="789">
      <c r="A789" s="0" t="inlineStr">
        <is>
          <t xml:space="preserve">o0788</t>
        </is>
      </c>
      <c r="B789" s="0" t="inlineStr">
        <is>
          <t xml:space="preserve">a0232</t>
        </is>
      </c>
      <c r="C789" s="0" t="inlineStr">
        <is>
          <t xml:space="preserve">r05</t>
        </is>
      </c>
      <c r="D789" s="0" t="inlineStr">
        <is>
          <t xml:space="preserve">s_amer_east_in</t>
        </is>
      </c>
      <c r="E789" s="0" t="inlineStr">
        <is>
          <t xml:space="preserve">inbound</t>
        </is>
      </c>
      <c r="F789" s="0" t="inlineStr">
        <is>
          <t xml:space="preserve">closed_lost</t>
        </is>
      </c>
      <c r="G789" s="4">
        <v>0</v>
      </c>
      <c r="H789" s="4">
        <v>4800</v>
      </c>
      <c r="I789" s="4">
        <v>1</v>
      </c>
      <c r="J789" s="4">
        <v>0</v>
      </c>
      <c r="K789" s="16">
        <v>46067</v>
      </c>
      <c r="L789" s="16">
        <v>46109</v>
      </c>
      <c r="M789" s="0" t="inlineStr">
        <is>
          <t xml:space="preserve">feb26</t>
        </is>
      </c>
      <c r="N789" s="0" t="inlineStr">
        <is>
          <t xml:space="preserve">mar26</t>
        </is>
      </c>
      <c r="O789" s="4">
        <v>42</v>
      </c>
      <c r="P789" s="4">
        <v>0</v>
      </c>
      <c r="Q789" s="4">
        <v>1</v>
      </c>
      <c r="R789" s="4">
        <v>0</v>
      </c>
      <c r="S789" s="4">
        <f>(H789*INDEX('Stages'!$D$2:$D$7,MATCH(F789,'Stages'!$A$2:$A$7,0)))</f>
        <v>0</v>
      </c>
      <c r="T789" s="4">
        <f>(H789*I789)</f>
        <v>4800</v>
      </c>
      <c r="U789" s="4">
        <f>(H789*(I789-1))</f>
        <v>0</v>
      </c>
      <c r="V789" s="0" t="str">
        <f>INDEX('Account executives'!$B$2:$B$25,MATCH(C789,'Account executives'!$A$2:$A$25,0))</f>
        <v>amer_east</v>
      </c>
      <c r="W789" s="0" t="str">
        <f>INDEX('Account executives'!$C$2:$C$25,MATCH(C789,'Account executives'!$A$2:$A$25,0))</f>
        <v>smb</v>
      </c>
      <c r="X789" s="0" t="str">
        <f>SUBSTITUTE(LOWER(INDEX('Periods'!$G$2:$G$22,MATCH(N789,'Periods'!$A$2:$A$22,0)))," ","_")</f>
        <v>q1_2026</v>
      </c>
    </row>
    <row r="790">
      <c r="A790" s="0" t="inlineStr">
        <is>
          <t xml:space="preserve">o0789</t>
        </is>
      </c>
      <c r="B790" s="0" t="inlineStr">
        <is>
          <t xml:space="preserve">a0124</t>
        </is>
      </c>
      <c r="C790" s="0" t="inlineStr">
        <is>
          <t xml:space="preserve">r13</t>
        </is>
      </c>
      <c r="D790" s="0"/>
      <c r="E790" s="0" t="inlineStr">
        <is>
          <t xml:space="preserve">partner</t>
        </is>
      </c>
      <c r="F790" s="0" t="inlineStr">
        <is>
          <t xml:space="preserve">closed_lost</t>
        </is>
      </c>
      <c r="G790" s="4">
        <v>0</v>
      </c>
      <c r="H790" s="4">
        <v>74000</v>
      </c>
      <c r="I790" s="4">
        <v>3</v>
      </c>
      <c r="J790" s="4">
        <v>0</v>
      </c>
      <c r="K790" s="16">
        <v>45994</v>
      </c>
      <c r="L790" s="16">
        <v>46109</v>
      </c>
      <c r="M790" s="0" t="inlineStr">
        <is>
          <t xml:space="preserve">dec25</t>
        </is>
      </c>
      <c r="N790" s="0" t="inlineStr">
        <is>
          <t xml:space="preserve">mar26</t>
        </is>
      </c>
      <c r="O790" s="4">
        <v>115</v>
      </c>
      <c r="P790" s="4">
        <v>0</v>
      </c>
      <c r="Q790" s="4">
        <v>1</v>
      </c>
      <c r="R790" s="4">
        <v>0</v>
      </c>
      <c r="S790" s="4">
        <f>(H790*INDEX('Stages'!$D$2:$D$7,MATCH(F790,'Stages'!$A$2:$A$7,0)))</f>
        <v>0</v>
      </c>
      <c r="T790" s="4">
        <f>(H790*I790)</f>
        <v>222000</v>
      </c>
      <c r="U790" s="4">
        <f>(H790*(I790-1))</f>
        <v>148000</v>
      </c>
      <c r="V790" s="0" t="str">
        <f>INDEX('Account executives'!$B$2:$B$25,MATCH(C790,'Account executives'!$A$2:$A$25,0))</f>
        <v>emea</v>
      </c>
      <c r="W790" s="0" t="str">
        <f>INDEX('Account executives'!$C$2:$C$25,MATCH(C790,'Account executives'!$A$2:$A$25,0))</f>
        <v>enterprise</v>
      </c>
      <c r="X790" s="0" t="str">
        <f>SUBSTITUTE(LOWER(INDEX('Periods'!$G$2:$G$22,MATCH(N790,'Periods'!$A$2:$A$22,0)))," ","_")</f>
        <v>q1_2026</v>
      </c>
    </row>
    <row r="791">
      <c r="A791" s="0" t="inlineStr">
        <is>
          <t xml:space="preserve">o0790</t>
        </is>
      </c>
      <c r="B791" s="0" t="inlineStr">
        <is>
          <t xml:space="preserve">a0245</t>
        </is>
      </c>
      <c r="C791" s="0" t="inlineStr">
        <is>
          <t xml:space="preserve">r04</t>
        </is>
      </c>
      <c r="D791" s="0"/>
      <c r="E791" s="0" t="inlineStr">
        <is>
          <t xml:space="preserve">partner</t>
        </is>
      </c>
      <c r="F791" s="0" t="inlineStr">
        <is>
          <t xml:space="preserve">closed_lost</t>
        </is>
      </c>
      <c r="G791" s="4">
        <v>1</v>
      </c>
      <c r="H791" s="4">
        <v>14700</v>
      </c>
      <c r="I791" s="4">
        <v>1</v>
      </c>
      <c r="J791" s="4">
        <v>0</v>
      </c>
      <c r="K791" s="16">
        <v>45859</v>
      </c>
      <c r="L791" s="16">
        <v>45897</v>
      </c>
      <c r="M791" s="0" t="inlineStr">
        <is>
          <t xml:space="preserve">jul25</t>
        </is>
      </c>
      <c r="N791" s="0" t="inlineStr">
        <is>
          <t xml:space="preserve">aug25</t>
        </is>
      </c>
      <c r="O791" s="4">
        <v>38</v>
      </c>
      <c r="P791" s="4">
        <v>0</v>
      </c>
      <c r="Q791" s="4">
        <v>1</v>
      </c>
      <c r="R791" s="4">
        <v>0</v>
      </c>
      <c r="S791" s="4">
        <f>(H791*INDEX('Stages'!$D$2:$D$7,MATCH(F791,'Stages'!$A$2:$A$7,0)))</f>
        <v>0</v>
      </c>
      <c r="T791" s="4">
        <f>(H791*I791)</f>
        <v>14700</v>
      </c>
      <c r="U791" s="4">
        <f>(H791*(I791-1))</f>
        <v>0</v>
      </c>
      <c r="V791" s="0" t="str">
        <f>INDEX('Account executives'!$B$2:$B$25,MATCH(C791,'Account executives'!$A$2:$A$25,0))</f>
        <v>amer_east</v>
      </c>
      <c r="W791" s="0" t="str">
        <f>INDEX('Account executives'!$C$2:$C$25,MATCH(C791,'Account executives'!$A$2:$A$25,0))</f>
        <v>mid_market</v>
      </c>
      <c r="X791" s="0" t="str">
        <f>SUBSTITUTE(LOWER(INDEX('Periods'!$G$2:$G$22,MATCH(N791,'Periods'!$A$2:$A$22,0)))," ","_")</f>
        <v>q3_2025</v>
      </c>
    </row>
    <row r="792">
      <c r="A792" s="0" t="inlineStr">
        <is>
          <t xml:space="preserve">o0791</t>
        </is>
      </c>
      <c r="B792" s="0" t="inlineStr">
        <is>
          <t xml:space="preserve">a0602</t>
        </is>
      </c>
      <c r="C792" s="0" t="inlineStr">
        <is>
          <t xml:space="preserve">r21</t>
        </is>
      </c>
      <c r="D792" s="0" t="inlineStr">
        <is>
          <t xml:space="preserve">s_apac_out</t>
        </is>
      </c>
      <c r="E792" s="0" t="inlineStr">
        <is>
          <t xml:space="preserve">outbound</t>
        </is>
      </c>
      <c r="F792" s="0" t="inlineStr">
        <is>
          <t xml:space="preserve">closed_won</t>
        </is>
      </c>
      <c r="G792" s="4">
        <v>1</v>
      </c>
      <c r="H792" s="4">
        <v>50400</v>
      </c>
      <c r="I792" s="4">
        <v>1</v>
      </c>
      <c r="J792" s="4">
        <v>1</v>
      </c>
      <c r="K792" s="16">
        <v>45995</v>
      </c>
      <c r="L792" s="16">
        <v>46019</v>
      </c>
      <c r="M792" s="0" t="inlineStr">
        <is>
          <t xml:space="preserve">dec25</t>
        </is>
      </c>
      <c r="N792" s="0" t="inlineStr">
        <is>
          <t xml:space="preserve">dec25</t>
        </is>
      </c>
      <c r="O792" s="4">
        <v>24</v>
      </c>
      <c r="P792" s="4">
        <v>1</v>
      </c>
      <c r="Q792" s="4">
        <v>0</v>
      </c>
      <c r="R792" s="4">
        <v>0</v>
      </c>
      <c r="S792" s="4">
        <f>(H792*INDEX('Stages'!$D$2:$D$7,MATCH(F792,'Stages'!$A$2:$A$7,0)))</f>
        <v>50400</v>
      </c>
      <c r="T792" s="4">
        <f>(H792*I792)</f>
        <v>50400</v>
      </c>
      <c r="U792" s="4">
        <f>(H792*(I792-1))</f>
        <v>0</v>
      </c>
      <c r="V792" s="0" t="str">
        <f>INDEX('Account executives'!$B$2:$B$25,MATCH(C792,'Account executives'!$A$2:$A$25,0))</f>
        <v>apac</v>
      </c>
      <c r="W792" s="0" t="str">
        <f>INDEX('Account executives'!$C$2:$C$25,MATCH(C792,'Account executives'!$A$2:$A$25,0))</f>
        <v>mid_market</v>
      </c>
      <c r="X792" s="0" t="str">
        <f>SUBSTITUTE(LOWER(INDEX('Periods'!$G$2:$G$22,MATCH(N792,'Periods'!$A$2:$A$22,0)))," ","_")</f>
        <v>q4_2025</v>
      </c>
    </row>
    <row r="793">
      <c r="A793" s="0" t="inlineStr">
        <is>
          <t xml:space="preserve">o0792</t>
        </is>
      </c>
      <c r="B793" s="0" t="inlineStr">
        <is>
          <t xml:space="preserve">a0615</t>
        </is>
      </c>
      <c r="C793" s="0" t="inlineStr">
        <is>
          <t xml:space="preserve">r04</t>
        </is>
      </c>
      <c r="D793" s="0" t="inlineStr">
        <is>
          <t xml:space="preserve">s_amer_east_in</t>
        </is>
      </c>
      <c r="E793" s="0" t="inlineStr">
        <is>
          <t xml:space="preserve">inbound</t>
        </is>
      </c>
      <c r="F793" s="0" t="inlineStr">
        <is>
          <t xml:space="preserve">closed_lost</t>
        </is>
      </c>
      <c r="G793" s="4">
        <v>0</v>
      </c>
      <c r="H793" s="4">
        <v>29200</v>
      </c>
      <c r="I793" s="4">
        <v>1</v>
      </c>
      <c r="J793" s="4">
        <v>0</v>
      </c>
      <c r="K793" s="16">
        <v>46195</v>
      </c>
      <c r="L793" s="16">
        <v>46258</v>
      </c>
      <c r="M793" s="0" t="inlineStr">
        <is>
          <t xml:space="preserve">jun26</t>
        </is>
      </c>
      <c r="N793" s="0" t="inlineStr">
        <is>
          <t xml:space="preserve">aug26</t>
        </is>
      </c>
      <c r="O793" s="4">
        <v>63</v>
      </c>
      <c r="P793" s="4">
        <v>0</v>
      </c>
      <c r="Q793" s="4">
        <v>1</v>
      </c>
      <c r="R793" s="4">
        <v>0</v>
      </c>
      <c r="S793" s="4">
        <f>(H793*INDEX('Stages'!$D$2:$D$7,MATCH(F793,'Stages'!$A$2:$A$7,0)))</f>
        <v>0</v>
      </c>
      <c r="T793" s="4">
        <f>(H793*I793)</f>
        <v>29200</v>
      </c>
      <c r="U793" s="4">
        <f>(H793*(I793-1))</f>
        <v>0</v>
      </c>
      <c r="V793" s="0" t="str">
        <f>INDEX('Account executives'!$B$2:$B$25,MATCH(C793,'Account executives'!$A$2:$A$25,0))</f>
        <v>amer_east</v>
      </c>
      <c r="W793" s="0" t="str">
        <f>INDEX('Account executives'!$C$2:$C$25,MATCH(C793,'Account executives'!$A$2:$A$25,0))</f>
        <v>mid_market</v>
      </c>
      <c r="X793" s="0" t="str">
        <f>SUBSTITUTE(LOWER(INDEX('Periods'!$G$2:$G$22,MATCH(N793,'Periods'!$A$2:$A$22,0)))," ","_")</f>
        <v>q3_2026</v>
      </c>
    </row>
    <row r="794">
      <c r="A794" s="0" t="inlineStr">
        <is>
          <t xml:space="preserve">o0793</t>
        </is>
      </c>
      <c r="B794" s="0" t="inlineStr">
        <is>
          <t xml:space="preserve">a0500</t>
        </is>
      </c>
      <c r="C794" s="0" t="inlineStr">
        <is>
          <t xml:space="preserve">r07</t>
        </is>
      </c>
      <c r="D794" s="0" t="inlineStr">
        <is>
          <t xml:space="preserve">s_amer_west_in</t>
        </is>
      </c>
      <c r="E794" s="0" t="inlineStr">
        <is>
          <t xml:space="preserve">paid</t>
        </is>
      </c>
      <c r="F794" s="0" t="inlineStr">
        <is>
          <t xml:space="preserve">closed_won</t>
        </is>
      </c>
      <c r="G794" s="4">
        <v>1</v>
      </c>
      <c r="H794" s="4">
        <v>343500</v>
      </c>
      <c r="I794" s="4">
        <v>3</v>
      </c>
      <c r="J794" s="4">
        <v>0</v>
      </c>
      <c r="K794" s="16">
        <v>45977</v>
      </c>
      <c r="L794" s="16">
        <v>46106</v>
      </c>
      <c r="M794" s="0" t="inlineStr">
        <is>
          <t xml:space="preserve">nov25</t>
        </is>
      </c>
      <c r="N794" s="0" t="inlineStr">
        <is>
          <t xml:space="preserve">mar26</t>
        </is>
      </c>
      <c r="O794" s="4">
        <v>129</v>
      </c>
      <c r="P794" s="4">
        <v>1</v>
      </c>
      <c r="Q794" s="4">
        <v>0</v>
      </c>
      <c r="R794" s="4">
        <v>0</v>
      </c>
      <c r="S794" s="4">
        <f>(H794*INDEX('Stages'!$D$2:$D$7,MATCH(F794,'Stages'!$A$2:$A$7,0)))</f>
        <v>343500</v>
      </c>
      <c r="T794" s="4">
        <f>(H794*I794)</f>
        <v>1030500</v>
      </c>
      <c r="U794" s="4">
        <f>(H794*(I794-1))</f>
        <v>687000</v>
      </c>
      <c r="V794" s="0" t="str">
        <f>INDEX('Account executives'!$B$2:$B$25,MATCH(C794,'Account executives'!$A$2:$A$25,0))</f>
        <v>amer_west</v>
      </c>
      <c r="W794" s="0" t="str">
        <f>INDEX('Account executives'!$C$2:$C$25,MATCH(C794,'Account executives'!$A$2:$A$25,0))</f>
        <v>enterprise</v>
      </c>
      <c r="X794" s="0" t="str">
        <f>SUBSTITUTE(LOWER(INDEX('Periods'!$G$2:$G$22,MATCH(N794,'Periods'!$A$2:$A$22,0)))," ","_")</f>
        <v>q1_2026</v>
      </c>
    </row>
    <row r="795">
      <c r="A795" s="0" t="inlineStr">
        <is>
          <t xml:space="preserve">o0794</t>
        </is>
      </c>
      <c r="B795" s="0" t="inlineStr">
        <is>
          <t xml:space="preserve">a0418</t>
        </is>
      </c>
      <c r="C795" s="0" t="inlineStr">
        <is>
          <t xml:space="preserve">r06</t>
        </is>
      </c>
      <c r="D795" s="0" t="inlineStr">
        <is>
          <t xml:space="preserve">s_amer_east_in</t>
        </is>
      </c>
      <c r="E795" s="0" t="inlineStr">
        <is>
          <t xml:space="preserve">inbound</t>
        </is>
      </c>
      <c r="F795" s="0" t="inlineStr">
        <is>
          <t xml:space="preserve">closed_won</t>
        </is>
      </c>
      <c r="G795" s="4">
        <v>0</v>
      </c>
      <c r="H795" s="4">
        <v>7500</v>
      </c>
      <c r="I795" s="4">
        <v>1</v>
      </c>
      <c r="J795" s="4">
        <v>0</v>
      </c>
      <c r="K795" s="16">
        <v>46128</v>
      </c>
      <c r="L795" s="16">
        <v>46166</v>
      </c>
      <c r="M795" s="0" t="inlineStr">
        <is>
          <t xml:space="preserve">apr26</t>
        </is>
      </c>
      <c r="N795" s="0" t="inlineStr">
        <is>
          <t xml:space="preserve">may26</t>
        </is>
      </c>
      <c r="O795" s="4">
        <v>38</v>
      </c>
      <c r="P795" s="4">
        <v>1</v>
      </c>
      <c r="Q795" s="4">
        <v>0</v>
      </c>
      <c r="R795" s="4">
        <v>0</v>
      </c>
      <c r="S795" s="4">
        <f>(H795*INDEX('Stages'!$D$2:$D$7,MATCH(F795,'Stages'!$A$2:$A$7,0)))</f>
        <v>7500</v>
      </c>
      <c r="T795" s="4">
        <f>(H795*I795)</f>
        <v>7500</v>
      </c>
      <c r="U795" s="4">
        <f>(H795*(I795-1))</f>
        <v>0</v>
      </c>
      <c r="V795" s="0" t="str">
        <f>INDEX('Account executives'!$B$2:$B$25,MATCH(C795,'Account executives'!$A$2:$A$25,0))</f>
        <v>amer_east</v>
      </c>
      <c r="W795" s="0" t="str">
        <f>INDEX('Account executives'!$C$2:$C$25,MATCH(C795,'Account executives'!$A$2:$A$25,0))</f>
        <v>smb</v>
      </c>
      <c r="X795" s="0" t="str">
        <f>SUBSTITUTE(LOWER(INDEX('Periods'!$G$2:$G$22,MATCH(N795,'Periods'!$A$2:$A$22,0)))," ","_")</f>
        <v>q2_2026</v>
      </c>
    </row>
    <row r="796">
      <c r="A796" s="0" t="inlineStr">
        <is>
          <t xml:space="preserve">o0795</t>
        </is>
      </c>
      <c r="B796" s="0" t="inlineStr">
        <is>
          <t xml:space="preserve">a0486</t>
        </is>
      </c>
      <c r="C796" s="0" t="inlineStr">
        <is>
          <t xml:space="preserve">r06</t>
        </is>
      </c>
      <c r="D796" s="0"/>
      <c r="E796" s="0" t="inlineStr">
        <is>
          <t xml:space="preserve">partner</t>
        </is>
      </c>
      <c r="F796" s="0" t="inlineStr">
        <is>
          <t xml:space="preserve">closed_lost</t>
        </is>
      </c>
      <c r="G796" s="4">
        <v>1</v>
      </c>
      <c r="H796" s="4">
        <v>24300</v>
      </c>
      <c r="I796" s="4">
        <v>1</v>
      </c>
      <c r="J796" s="4">
        <v>1</v>
      </c>
      <c r="K796" s="16">
        <v>45967</v>
      </c>
      <c r="L796" s="16">
        <v>45983</v>
      </c>
      <c r="M796" s="0" t="inlineStr">
        <is>
          <t xml:space="preserve">nov25</t>
        </is>
      </c>
      <c r="N796" s="0" t="inlineStr">
        <is>
          <t xml:space="preserve">nov25</t>
        </is>
      </c>
      <c r="O796" s="4">
        <v>16</v>
      </c>
      <c r="P796" s="4">
        <v>0</v>
      </c>
      <c r="Q796" s="4">
        <v>1</v>
      </c>
      <c r="R796" s="4">
        <v>0</v>
      </c>
      <c r="S796" s="4">
        <f>(H796*INDEX('Stages'!$D$2:$D$7,MATCH(F796,'Stages'!$A$2:$A$7,0)))</f>
        <v>0</v>
      </c>
      <c r="T796" s="4">
        <f>(H796*I796)</f>
        <v>24300</v>
      </c>
      <c r="U796" s="4">
        <f>(H796*(I796-1))</f>
        <v>0</v>
      </c>
      <c r="V796" s="0" t="str">
        <f>INDEX('Account executives'!$B$2:$B$25,MATCH(C796,'Account executives'!$A$2:$A$25,0))</f>
        <v>amer_east</v>
      </c>
      <c r="W796" s="0" t="str">
        <f>INDEX('Account executives'!$C$2:$C$25,MATCH(C796,'Account executives'!$A$2:$A$25,0))</f>
        <v>smb</v>
      </c>
      <c r="X796" s="0" t="str">
        <f>SUBSTITUTE(LOWER(INDEX('Periods'!$G$2:$G$22,MATCH(N796,'Periods'!$A$2:$A$22,0)))," ","_")</f>
        <v>q4_2025</v>
      </c>
    </row>
    <row r="797">
      <c r="A797" s="0" t="inlineStr">
        <is>
          <t xml:space="preserve">o0796</t>
        </is>
      </c>
      <c r="B797" s="0" t="inlineStr">
        <is>
          <t xml:space="preserve">a0381</t>
        </is>
      </c>
      <c r="C797" s="0" t="inlineStr">
        <is>
          <t xml:space="preserve">r09</t>
        </is>
      </c>
      <c r="D797" s="0"/>
      <c r="E797" s="0" t="inlineStr">
        <is>
          <t xml:space="preserve">partner</t>
        </is>
      </c>
      <c r="F797" s="0" t="inlineStr">
        <is>
          <t xml:space="preserve">closed_won</t>
        </is>
      </c>
      <c r="G797" s="4">
        <v>1</v>
      </c>
      <c r="H797" s="4">
        <v>36400</v>
      </c>
      <c r="I797" s="4">
        <v>1</v>
      </c>
      <c r="J797" s="4">
        <v>1</v>
      </c>
      <c r="K797" s="16">
        <v>45925</v>
      </c>
      <c r="L797" s="16">
        <v>46019</v>
      </c>
      <c r="M797" s="0" t="inlineStr">
        <is>
          <t xml:space="preserve">sep25</t>
        </is>
      </c>
      <c r="N797" s="0" t="inlineStr">
        <is>
          <t xml:space="preserve">dec25</t>
        </is>
      </c>
      <c r="O797" s="4">
        <v>94</v>
      </c>
      <c r="P797" s="4">
        <v>1</v>
      </c>
      <c r="Q797" s="4">
        <v>0</v>
      </c>
      <c r="R797" s="4">
        <v>0</v>
      </c>
      <c r="S797" s="4">
        <f>(H797*INDEX('Stages'!$D$2:$D$7,MATCH(F797,'Stages'!$A$2:$A$7,0)))</f>
        <v>36400</v>
      </c>
      <c r="T797" s="4">
        <f>(H797*I797)</f>
        <v>36400</v>
      </c>
      <c r="U797" s="4">
        <f>(H797*(I797-1))</f>
        <v>0</v>
      </c>
      <c r="V797" s="0" t="str">
        <f>INDEX('Account executives'!$B$2:$B$25,MATCH(C797,'Account executives'!$A$2:$A$25,0))</f>
        <v>amer_west</v>
      </c>
      <c r="W797" s="0" t="str">
        <f>INDEX('Account executives'!$C$2:$C$25,MATCH(C797,'Account executives'!$A$2:$A$25,0))</f>
        <v>mid_market</v>
      </c>
      <c r="X797" s="0" t="str">
        <f>SUBSTITUTE(LOWER(INDEX('Periods'!$G$2:$G$22,MATCH(N797,'Periods'!$A$2:$A$22,0)))," ","_")</f>
        <v>q4_2025</v>
      </c>
    </row>
    <row r="798">
      <c r="A798" s="0" t="inlineStr">
        <is>
          <t xml:space="preserve">o0797</t>
        </is>
      </c>
      <c r="B798" s="0" t="inlineStr">
        <is>
          <t xml:space="preserve">a0155</t>
        </is>
      </c>
      <c r="C798" s="0" t="inlineStr">
        <is>
          <t xml:space="preserve">r05</t>
        </is>
      </c>
      <c r="D798" s="0"/>
      <c r="E798" s="0" t="inlineStr">
        <is>
          <t xml:space="preserve">events</t>
        </is>
      </c>
      <c r="F798" s="0" t="inlineStr">
        <is>
          <t xml:space="preserve">closed_lost</t>
        </is>
      </c>
      <c r="G798" s="4">
        <v>0</v>
      </c>
      <c r="H798" s="4">
        <v>3200</v>
      </c>
      <c r="I798" s="4">
        <v>3</v>
      </c>
      <c r="J798" s="4">
        <v>0</v>
      </c>
      <c r="K798" s="16">
        <v>45895</v>
      </c>
      <c r="L798" s="16">
        <v>45922</v>
      </c>
      <c r="M798" s="0" t="inlineStr">
        <is>
          <t xml:space="preserve">aug25</t>
        </is>
      </c>
      <c r="N798" s="0" t="inlineStr">
        <is>
          <t xml:space="preserve">sep25</t>
        </is>
      </c>
      <c r="O798" s="4">
        <v>27</v>
      </c>
      <c r="P798" s="4">
        <v>0</v>
      </c>
      <c r="Q798" s="4">
        <v>1</v>
      </c>
      <c r="R798" s="4">
        <v>0</v>
      </c>
      <c r="S798" s="4">
        <f>(H798*INDEX('Stages'!$D$2:$D$7,MATCH(F798,'Stages'!$A$2:$A$7,0)))</f>
        <v>0</v>
      </c>
      <c r="T798" s="4">
        <f>(H798*I798)</f>
        <v>9600</v>
      </c>
      <c r="U798" s="4">
        <f>(H798*(I798-1))</f>
        <v>6400</v>
      </c>
      <c r="V798" s="0" t="str">
        <f>INDEX('Account executives'!$B$2:$B$25,MATCH(C798,'Account executives'!$A$2:$A$25,0))</f>
        <v>amer_east</v>
      </c>
      <c r="W798" s="0" t="str">
        <f>INDEX('Account executives'!$C$2:$C$25,MATCH(C798,'Account executives'!$A$2:$A$25,0))</f>
        <v>smb</v>
      </c>
      <c r="X798" s="0" t="str">
        <f>SUBSTITUTE(LOWER(INDEX('Periods'!$G$2:$G$22,MATCH(N798,'Periods'!$A$2:$A$22,0)))," ","_")</f>
        <v>q3_2025</v>
      </c>
    </row>
    <row r="799">
      <c r="A799" s="0" t="inlineStr">
        <is>
          <t xml:space="preserve">o0798</t>
        </is>
      </c>
      <c r="B799" s="0" t="inlineStr">
        <is>
          <t xml:space="preserve">a0411</t>
        </is>
      </c>
      <c r="C799" s="0" t="inlineStr">
        <is>
          <t xml:space="preserve">r21</t>
        </is>
      </c>
      <c r="D799" s="0" t="inlineStr">
        <is>
          <t xml:space="preserve">s_apac_out</t>
        </is>
      </c>
      <c r="E799" s="0" t="inlineStr">
        <is>
          <t xml:space="preserve">outbound</t>
        </is>
      </c>
      <c r="F799" s="0" t="inlineStr">
        <is>
          <t xml:space="preserve">closed_lost</t>
        </is>
      </c>
      <c r="G799" s="4">
        <v>1</v>
      </c>
      <c r="H799" s="4">
        <v>77800</v>
      </c>
      <c r="I799" s="4">
        <v>1</v>
      </c>
      <c r="J799" s="4">
        <v>1</v>
      </c>
      <c r="K799" s="16">
        <v>45915</v>
      </c>
      <c r="L799" s="16">
        <v>46019</v>
      </c>
      <c r="M799" s="0" t="inlineStr">
        <is>
          <t xml:space="preserve">sep25</t>
        </is>
      </c>
      <c r="N799" s="0" t="inlineStr">
        <is>
          <t xml:space="preserve">dec25</t>
        </is>
      </c>
      <c r="O799" s="4">
        <v>104</v>
      </c>
      <c r="P799" s="4">
        <v>0</v>
      </c>
      <c r="Q799" s="4">
        <v>1</v>
      </c>
      <c r="R799" s="4">
        <v>0</v>
      </c>
      <c r="S799" s="4">
        <f>(H799*INDEX('Stages'!$D$2:$D$7,MATCH(F799,'Stages'!$A$2:$A$7,0)))</f>
        <v>0</v>
      </c>
      <c r="T799" s="4">
        <f>(H799*I799)</f>
        <v>77800</v>
      </c>
      <c r="U799" s="4">
        <f>(H799*(I799-1))</f>
        <v>0</v>
      </c>
      <c r="V799" s="0" t="str">
        <f>INDEX('Account executives'!$B$2:$B$25,MATCH(C799,'Account executives'!$A$2:$A$25,0))</f>
        <v>apac</v>
      </c>
      <c r="W799" s="0" t="str">
        <f>INDEX('Account executives'!$C$2:$C$25,MATCH(C799,'Account executives'!$A$2:$A$25,0))</f>
        <v>mid_market</v>
      </c>
      <c r="X799" s="0" t="str">
        <f>SUBSTITUTE(LOWER(INDEX('Periods'!$G$2:$G$22,MATCH(N799,'Periods'!$A$2:$A$22,0)))," ","_")</f>
        <v>q4_2025</v>
      </c>
    </row>
    <row r="800">
      <c r="A800" s="0" t="inlineStr">
        <is>
          <t xml:space="preserve">o0799</t>
        </is>
      </c>
      <c r="B800" s="0" t="inlineStr">
        <is>
          <t xml:space="preserve">a1101</t>
        </is>
      </c>
      <c r="C800" s="0" t="inlineStr">
        <is>
          <t xml:space="preserve">r11</t>
        </is>
      </c>
      <c r="D800" s="0" t="inlineStr">
        <is>
          <t xml:space="preserve">s_amer_west_in</t>
        </is>
      </c>
      <c r="E800" s="0" t="inlineStr">
        <is>
          <t xml:space="preserve">paid</t>
        </is>
      </c>
      <c r="F800" s="0" t="inlineStr">
        <is>
          <t xml:space="preserve">closed_lost</t>
        </is>
      </c>
      <c r="G800" s="4">
        <v>1</v>
      </c>
      <c r="H800" s="4">
        <v>17400</v>
      </c>
      <c r="I800" s="4">
        <v>1</v>
      </c>
      <c r="J800" s="4">
        <v>0</v>
      </c>
      <c r="K800" s="16">
        <v>46210</v>
      </c>
      <c r="L800" s="16">
        <v>46238</v>
      </c>
      <c r="M800" s="0" t="inlineStr">
        <is>
          <t xml:space="preserve">jul26</t>
        </is>
      </c>
      <c r="N800" s="0" t="inlineStr">
        <is>
          <t xml:space="preserve">aug26</t>
        </is>
      </c>
      <c r="O800" s="4">
        <v>28</v>
      </c>
      <c r="P800" s="4">
        <v>0</v>
      </c>
      <c r="Q800" s="4">
        <v>1</v>
      </c>
      <c r="R800" s="4">
        <v>0</v>
      </c>
      <c r="S800" s="4">
        <f>(H800*INDEX('Stages'!$D$2:$D$7,MATCH(F800,'Stages'!$A$2:$A$7,0)))</f>
        <v>0</v>
      </c>
      <c r="T800" s="4">
        <f>(H800*I800)</f>
        <v>17400</v>
      </c>
      <c r="U800" s="4">
        <f>(H800*(I800-1))</f>
        <v>0</v>
      </c>
      <c r="V800" s="0" t="str">
        <f>INDEX('Account executives'!$B$2:$B$25,MATCH(C800,'Account executives'!$A$2:$A$25,0))</f>
        <v>amer_west</v>
      </c>
      <c r="W800" s="0" t="str">
        <f>INDEX('Account executives'!$C$2:$C$25,MATCH(C800,'Account executives'!$A$2:$A$25,0))</f>
        <v>smb</v>
      </c>
      <c r="X800" s="0" t="str">
        <f>SUBSTITUTE(LOWER(INDEX('Periods'!$G$2:$G$22,MATCH(N800,'Periods'!$A$2:$A$22,0)))," ","_")</f>
        <v>q3_2026</v>
      </c>
    </row>
    <row r="801">
      <c r="A801" s="0" t="inlineStr">
        <is>
          <t xml:space="preserve">o0800</t>
        </is>
      </c>
      <c r="B801" s="0" t="inlineStr">
        <is>
          <t xml:space="preserve">a0300</t>
        </is>
      </c>
      <c r="C801" s="0" t="inlineStr">
        <is>
          <t xml:space="preserve">r22</t>
        </is>
      </c>
      <c r="D801" s="0" t="inlineStr">
        <is>
          <t xml:space="preserve">s_apac_out</t>
        </is>
      </c>
      <c r="E801" s="0" t="inlineStr">
        <is>
          <t xml:space="preserve">outbound</t>
        </is>
      </c>
      <c r="F801" s="0" t="inlineStr">
        <is>
          <t xml:space="preserve">closed_lost</t>
        </is>
      </c>
      <c r="G801" s="4">
        <v>0</v>
      </c>
      <c r="H801" s="4">
        <v>11100</v>
      </c>
      <c r="I801" s="4">
        <v>2</v>
      </c>
      <c r="J801" s="4">
        <v>0</v>
      </c>
      <c r="K801" s="16">
        <v>46205</v>
      </c>
      <c r="L801" s="16">
        <v>46276</v>
      </c>
      <c r="M801" s="0" t="inlineStr">
        <is>
          <t xml:space="preserve">jul26</t>
        </is>
      </c>
      <c r="N801" s="0" t="inlineStr">
        <is>
          <t xml:space="preserve">sep26</t>
        </is>
      </c>
      <c r="O801" s="4">
        <v>71</v>
      </c>
      <c r="P801" s="4">
        <v>0</v>
      </c>
      <c r="Q801" s="4">
        <v>1</v>
      </c>
      <c r="R801" s="4">
        <v>0</v>
      </c>
      <c r="S801" s="4">
        <f>(H801*INDEX('Stages'!$D$2:$D$7,MATCH(F801,'Stages'!$A$2:$A$7,0)))</f>
        <v>0</v>
      </c>
      <c r="T801" s="4">
        <f>(H801*I801)</f>
        <v>22200</v>
      </c>
      <c r="U801" s="4">
        <f>(H801*(I801-1))</f>
        <v>11100</v>
      </c>
      <c r="V801" s="0" t="str">
        <f>INDEX('Account executives'!$B$2:$B$25,MATCH(C801,'Account executives'!$A$2:$A$25,0))</f>
        <v>apac</v>
      </c>
      <c r="W801" s="0" t="str">
        <f>INDEX('Account executives'!$C$2:$C$25,MATCH(C801,'Account executives'!$A$2:$A$25,0))</f>
        <v>mid_market</v>
      </c>
      <c r="X801" s="0" t="str">
        <f>SUBSTITUTE(LOWER(INDEX('Periods'!$G$2:$G$22,MATCH(N801,'Periods'!$A$2:$A$22,0)))," ","_")</f>
        <v>q3_2026</v>
      </c>
    </row>
    <row r="802">
      <c r="A802" s="0" t="inlineStr">
        <is>
          <t xml:space="preserve">o0801</t>
        </is>
      </c>
      <c r="B802" s="0" t="inlineStr">
        <is>
          <t xml:space="preserve">a0300</t>
        </is>
      </c>
      <c r="C802" s="0" t="inlineStr">
        <is>
          <t xml:space="preserve">r21</t>
        </is>
      </c>
      <c r="D802" s="0" t="inlineStr">
        <is>
          <t xml:space="preserve">s_apac_in</t>
        </is>
      </c>
      <c r="E802" s="0" t="inlineStr">
        <is>
          <t xml:space="preserve">inbound</t>
        </is>
      </c>
      <c r="F802" s="0" t="inlineStr">
        <is>
          <t xml:space="preserve">closed_won</t>
        </is>
      </c>
      <c r="G802" s="4">
        <v>1</v>
      </c>
      <c r="H802" s="4">
        <v>74800</v>
      </c>
      <c r="I802" s="4">
        <v>1</v>
      </c>
      <c r="J802" s="4">
        <v>0</v>
      </c>
      <c r="K802" s="16">
        <v>45861</v>
      </c>
      <c r="L802" s="16">
        <v>45923</v>
      </c>
      <c r="M802" s="0" t="inlineStr">
        <is>
          <t xml:space="preserve">jul25</t>
        </is>
      </c>
      <c r="N802" s="0" t="inlineStr">
        <is>
          <t xml:space="preserve">sep25</t>
        </is>
      </c>
      <c r="O802" s="4">
        <v>62</v>
      </c>
      <c r="P802" s="4">
        <v>1</v>
      </c>
      <c r="Q802" s="4">
        <v>0</v>
      </c>
      <c r="R802" s="4">
        <v>0</v>
      </c>
      <c r="S802" s="4">
        <f>(H802*INDEX('Stages'!$D$2:$D$7,MATCH(F802,'Stages'!$A$2:$A$7,0)))</f>
        <v>74800</v>
      </c>
      <c r="T802" s="4">
        <f>(H802*I802)</f>
        <v>74800</v>
      </c>
      <c r="U802" s="4">
        <f>(H802*(I802-1))</f>
        <v>0</v>
      </c>
      <c r="V802" s="0" t="str">
        <f>INDEX('Account executives'!$B$2:$B$25,MATCH(C802,'Account executives'!$A$2:$A$25,0))</f>
        <v>apac</v>
      </c>
      <c r="W802" s="0" t="str">
        <f>INDEX('Account executives'!$C$2:$C$25,MATCH(C802,'Account executives'!$A$2:$A$25,0))</f>
        <v>mid_market</v>
      </c>
      <c r="X802" s="0" t="str">
        <f>SUBSTITUTE(LOWER(INDEX('Periods'!$G$2:$G$22,MATCH(N802,'Periods'!$A$2:$A$22,0)))," ","_")</f>
        <v>q3_2025</v>
      </c>
    </row>
    <row r="803">
      <c r="A803" s="0" t="inlineStr">
        <is>
          <t xml:space="preserve">o0802</t>
        </is>
      </c>
      <c r="B803" s="0" t="inlineStr">
        <is>
          <t xml:space="preserve">a0234</t>
        </is>
      </c>
      <c r="C803" s="0" t="inlineStr">
        <is>
          <t xml:space="preserve">r06</t>
        </is>
      </c>
      <c r="D803" s="0" t="inlineStr">
        <is>
          <t xml:space="preserve">s_amer_east_in</t>
        </is>
      </c>
      <c r="E803" s="0" t="inlineStr">
        <is>
          <t xml:space="preserve">inbound</t>
        </is>
      </c>
      <c r="F803" s="0" t="inlineStr">
        <is>
          <t xml:space="preserve">closed_lost</t>
        </is>
      </c>
      <c r="G803" s="4">
        <v>1</v>
      </c>
      <c r="H803" s="4">
        <v>14400</v>
      </c>
      <c r="I803" s="4">
        <v>2</v>
      </c>
      <c r="J803" s="4">
        <v>0</v>
      </c>
      <c r="K803" s="16">
        <v>45859</v>
      </c>
      <c r="L803" s="16">
        <v>45891</v>
      </c>
      <c r="M803" s="0" t="inlineStr">
        <is>
          <t xml:space="preserve">jul25</t>
        </is>
      </c>
      <c r="N803" s="0" t="inlineStr">
        <is>
          <t xml:space="preserve">aug25</t>
        </is>
      </c>
      <c r="O803" s="4">
        <v>32</v>
      </c>
      <c r="P803" s="4">
        <v>0</v>
      </c>
      <c r="Q803" s="4">
        <v>1</v>
      </c>
      <c r="R803" s="4">
        <v>0</v>
      </c>
      <c r="S803" s="4">
        <f>(H803*INDEX('Stages'!$D$2:$D$7,MATCH(F803,'Stages'!$A$2:$A$7,0)))</f>
        <v>0</v>
      </c>
      <c r="T803" s="4">
        <f>(H803*I803)</f>
        <v>28800</v>
      </c>
      <c r="U803" s="4">
        <f>(H803*(I803-1))</f>
        <v>14400</v>
      </c>
      <c r="V803" s="0" t="str">
        <f>INDEX('Account executives'!$B$2:$B$25,MATCH(C803,'Account executives'!$A$2:$A$25,0))</f>
        <v>amer_east</v>
      </c>
      <c r="W803" s="0" t="str">
        <f>INDEX('Account executives'!$C$2:$C$25,MATCH(C803,'Account executives'!$A$2:$A$25,0))</f>
        <v>smb</v>
      </c>
      <c r="X803" s="0" t="str">
        <f>SUBSTITUTE(LOWER(INDEX('Periods'!$G$2:$G$22,MATCH(N803,'Periods'!$A$2:$A$22,0)))," ","_")</f>
        <v>q3_2025</v>
      </c>
    </row>
    <row r="804">
      <c r="A804" s="0" t="inlineStr">
        <is>
          <t xml:space="preserve">o0803</t>
        </is>
      </c>
      <c r="B804" s="0" t="inlineStr">
        <is>
          <t xml:space="preserve">a0059</t>
        </is>
      </c>
      <c r="C804" s="0" t="inlineStr">
        <is>
          <t xml:space="preserve">r24</t>
        </is>
      </c>
      <c r="D804" s="0" t="inlineStr">
        <is>
          <t xml:space="preserve">s_apac_out</t>
        </is>
      </c>
      <c r="E804" s="0" t="inlineStr">
        <is>
          <t xml:space="preserve">outbound</t>
        </is>
      </c>
      <c r="F804" s="0" t="inlineStr">
        <is>
          <t xml:space="preserve">closed_lost</t>
        </is>
      </c>
      <c r="G804" s="4">
        <v>1</v>
      </c>
      <c r="H804" s="4">
        <v>12100</v>
      </c>
      <c r="I804" s="4">
        <v>1</v>
      </c>
      <c r="J804" s="4">
        <v>0</v>
      </c>
      <c r="K804" s="16">
        <v>45774</v>
      </c>
      <c r="L804" s="16">
        <v>45820</v>
      </c>
      <c r="M804" s="0" t="inlineStr">
        <is>
          <t xml:space="preserve">apr25</t>
        </is>
      </c>
      <c r="N804" s="0" t="inlineStr">
        <is>
          <t xml:space="preserve">jun25</t>
        </is>
      </c>
      <c r="O804" s="4">
        <v>46</v>
      </c>
      <c r="P804" s="4">
        <v>0</v>
      </c>
      <c r="Q804" s="4">
        <v>1</v>
      </c>
      <c r="R804" s="4">
        <v>0</v>
      </c>
      <c r="S804" s="4">
        <f>(H804*INDEX('Stages'!$D$2:$D$7,MATCH(F804,'Stages'!$A$2:$A$7,0)))</f>
        <v>0</v>
      </c>
      <c r="T804" s="4">
        <f>(H804*I804)</f>
        <v>12100</v>
      </c>
      <c r="U804" s="4">
        <f>(H804*(I804-1))</f>
        <v>0</v>
      </c>
      <c r="V804" s="0" t="str">
        <f>INDEX('Account executives'!$B$2:$B$25,MATCH(C804,'Account executives'!$A$2:$A$25,0))</f>
        <v>apac</v>
      </c>
      <c r="W804" s="0" t="str">
        <f>INDEX('Account executives'!$C$2:$C$25,MATCH(C804,'Account executives'!$A$2:$A$25,0))</f>
        <v>smb</v>
      </c>
      <c r="X804" s="0" t="str">
        <f>SUBSTITUTE(LOWER(INDEX('Periods'!$G$2:$G$22,MATCH(N804,'Periods'!$A$2:$A$22,0)))," ","_")</f>
        <v>q2_2025</v>
      </c>
    </row>
    <row r="805">
      <c r="A805" s="0" t="inlineStr">
        <is>
          <t xml:space="preserve">o0804</t>
        </is>
      </c>
      <c r="B805" s="0" t="inlineStr">
        <is>
          <t xml:space="preserve">a1152</t>
        </is>
      </c>
      <c r="C805" s="0" t="inlineStr">
        <is>
          <t xml:space="preserve">r04</t>
        </is>
      </c>
      <c r="D805" s="0" t="inlineStr">
        <is>
          <t xml:space="preserve">s_amer_east_in</t>
        </is>
      </c>
      <c r="E805" s="0" t="inlineStr">
        <is>
          <t xml:space="preserve">paid</t>
        </is>
      </c>
      <c r="F805" s="0" t="inlineStr">
        <is>
          <t xml:space="preserve">proposal</t>
        </is>
      </c>
      <c r="G805" s="4">
        <v>1</v>
      </c>
      <c r="H805" s="4">
        <v>35400</v>
      </c>
      <c r="I805" s="4">
        <v>2</v>
      </c>
      <c r="J805" s="4">
        <v>1</v>
      </c>
      <c r="K805" s="16">
        <v>46236</v>
      </c>
      <c r="L805" s="16">
        <v>46371</v>
      </c>
      <c r="M805" s="0" t="inlineStr">
        <is>
          <t xml:space="preserve">aug26</t>
        </is>
      </c>
      <c r="N805" s="0" t="inlineStr">
        <is>
          <t xml:space="preserve">dec26</t>
        </is>
      </c>
      <c r="O805" s="4">
        <v>61</v>
      </c>
      <c r="P805" s="4">
        <v>0</v>
      </c>
      <c r="Q805" s="4">
        <v>0</v>
      </c>
      <c r="R805" s="4">
        <v>1</v>
      </c>
      <c r="S805" s="4">
        <f>(H805*INDEX('Stages'!$D$2:$D$7,MATCH(F805,'Stages'!$A$2:$A$7,0)))</f>
        <v>17700</v>
      </c>
      <c r="T805" s="4">
        <f>(H805*I805)</f>
        <v>70800</v>
      </c>
      <c r="U805" s="4">
        <f>(H805*(I805-1))</f>
        <v>35400</v>
      </c>
      <c r="V805" s="0" t="str">
        <f>INDEX('Account executives'!$B$2:$B$25,MATCH(C805,'Account executives'!$A$2:$A$25,0))</f>
        <v>amer_east</v>
      </c>
      <c r="W805" s="0" t="str">
        <f>INDEX('Account executives'!$C$2:$C$25,MATCH(C805,'Account executives'!$A$2:$A$25,0))</f>
        <v>mid_market</v>
      </c>
      <c r="X805" s="0" t="str">
        <f>SUBSTITUTE(LOWER(INDEX('Periods'!$G$2:$G$22,MATCH(N805,'Periods'!$A$2:$A$22,0)))," ","_")</f>
        <v>q4_2026</v>
      </c>
    </row>
    <row r="806">
      <c r="A806" s="0" t="inlineStr">
        <is>
          <t xml:space="preserve">o0805</t>
        </is>
      </c>
      <c r="B806" s="0" t="inlineStr">
        <is>
          <t xml:space="preserve">a0828</t>
        </is>
      </c>
      <c r="C806" s="0" t="inlineStr">
        <is>
          <t xml:space="preserve">r03</t>
        </is>
      </c>
      <c r="D806" s="0" t="inlineStr">
        <is>
          <t xml:space="preserve">s_amer_east_in</t>
        </is>
      </c>
      <c r="E806" s="0" t="inlineStr">
        <is>
          <t xml:space="preserve">paid</t>
        </is>
      </c>
      <c r="F806" s="0" t="inlineStr">
        <is>
          <t xml:space="preserve">closed_lost</t>
        </is>
      </c>
      <c r="G806" s="4">
        <v>1</v>
      </c>
      <c r="H806" s="4">
        <v>51800</v>
      </c>
      <c r="I806" s="4">
        <v>1</v>
      </c>
      <c r="J806" s="4">
        <v>0</v>
      </c>
      <c r="K806" s="16">
        <v>46136</v>
      </c>
      <c r="L806" s="16">
        <v>46203</v>
      </c>
      <c r="M806" s="0" t="inlineStr">
        <is>
          <t xml:space="preserve">apr26</t>
        </is>
      </c>
      <c r="N806" s="0" t="inlineStr">
        <is>
          <t xml:space="preserve">jun26</t>
        </is>
      </c>
      <c r="O806" s="4">
        <v>67</v>
      </c>
      <c r="P806" s="4">
        <v>0</v>
      </c>
      <c r="Q806" s="4">
        <v>1</v>
      </c>
      <c r="R806" s="4">
        <v>0</v>
      </c>
      <c r="S806" s="4">
        <f>(H806*INDEX('Stages'!$D$2:$D$7,MATCH(F806,'Stages'!$A$2:$A$7,0)))</f>
        <v>0</v>
      </c>
      <c r="T806" s="4">
        <f>(H806*I806)</f>
        <v>51800</v>
      </c>
      <c r="U806" s="4">
        <f>(H806*(I806-1))</f>
        <v>0</v>
      </c>
      <c r="V806" s="0" t="str">
        <f>INDEX('Account executives'!$B$2:$B$25,MATCH(C806,'Account executives'!$A$2:$A$25,0))</f>
        <v>amer_east</v>
      </c>
      <c r="W806" s="0" t="str">
        <f>INDEX('Account executives'!$C$2:$C$25,MATCH(C806,'Account executives'!$A$2:$A$25,0))</f>
        <v>mid_market</v>
      </c>
      <c r="X806" s="0" t="str">
        <f>SUBSTITUTE(LOWER(INDEX('Periods'!$G$2:$G$22,MATCH(N806,'Periods'!$A$2:$A$22,0)))," ","_")</f>
        <v>q2_2026</v>
      </c>
    </row>
    <row r="807">
      <c r="A807" s="0" t="inlineStr">
        <is>
          <t xml:space="preserve">o0806</t>
        </is>
      </c>
      <c r="B807" s="0" t="inlineStr">
        <is>
          <t xml:space="preserve">a0183</t>
        </is>
      </c>
      <c r="C807" s="0" t="inlineStr">
        <is>
          <t xml:space="preserve">r06</t>
        </is>
      </c>
      <c r="D807" s="0" t="inlineStr">
        <is>
          <t xml:space="preserve">s_amer_east_in</t>
        </is>
      </c>
      <c r="E807" s="0" t="inlineStr">
        <is>
          <t xml:space="preserve">paid</t>
        </is>
      </c>
      <c r="F807" s="0" t="inlineStr">
        <is>
          <t xml:space="preserve">closed_lost</t>
        </is>
      </c>
      <c r="G807" s="4">
        <v>0</v>
      </c>
      <c r="H807" s="4">
        <v>11200</v>
      </c>
      <c r="I807" s="4">
        <v>1</v>
      </c>
      <c r="J807" s="4">
        <v>1</v>
      </c>
      <c r="K807" s="16">
        <v>45973</v>
      </c>
      <c r="L807" s="16">
        <v>45995</v>
      </c>
      <c r="M807" s="0" t="inlineStr">
        <is>
          <t xml:space="preserve">nov25</t>
        </is>
      </c>
      <c r="N807" s="0" t="inlineStr">
        <is>
          <t xml:space="preserve">dec25</t>
        </is>
      </c>
      <c r="O807" s="4">
        <v>22</v>
      </c>
      <c r="P807" s="4">
        <v>0</v>
      </c>
      <c r="Q807" s="4">
        <v>1</v>
      </c>
      <c r="R807" s="4">
        <v>0</v>
      </c>
      <c r="S807" s="4">
        <f>(H807*INDEX('Stages'!$D$2:$D$7,MATCH(F807,'Stages'!$A$2:$A$7,0)))</f>
        <v>0</v>
      </c>
      <c r="T807" s="4">
        <f>(H807*I807)</f>
        <v>11200</v>
      </c>
      <c r="U807" s="4">
        <f>(H807*(I807-1))</f>
        <v>0</v>
      </c>
      <c r="V807" s="0" t="str">
        <f>INDEX('Account executives'!$B$2:$B$25,MATCH(C807,'Account executives'!$A$2:$A$25,0))</f>
        <v>amer_east</v>
      </c>
      <c r="W807" s="0" t="str">
        <f>INDEX('Account executives'!$C$2:$C$25,MATCH(C807,'Account executives'!$A$2:$A$25,0))</f>
        <v>smb</v>
      </c>
      <c r="X807" s="0" t="str">
        <f>SUBSTITUTE(LOWER(INDEX('Periods'!$G$2:$G$22,MATCH(N807,'Periods'!$A$2:$A$22,0)))," ","_")</f>
        <v>q4_2025</v>
      </c>
    </row>
    <row r="808">
      <c r="A808" s="0" t="inlineStr">
        <is>
          <t xml:space="preserve">o0807</t>
        </is>
      </c>
      <c r="B808" s="0" t="inlineStr">
        <is>
          <t xml:space="preserve">a0326</t>
        </is>
      </c>
      <c r="C808" s="0" t="inlineStr">
        <is>
          <t xml:space="preserve">r12</t>
        </is>
      </c>
      <c r="D808" s="0" t="inlineStr">
        <is>
          <t xml:space="preserve">s_amer_west_out</t>
        </is>
      </c>
      <c r="E808" s="0" t="inlineStr">
        <is>
          <t xml:space="preserve">outbound</t>
        </is>
      </c>
      <c r="F808" s="0" t="inlineStr">
        <is>
          <t xml:space="preserve">closed_lost</t>
        </is>
      </c>
      <c r="G808" s="4">
        <v>0</v>
      </c>
      <c r="H808" s="4">
        <v>17100</v>
      </c>
      <c r="I808" s="4">
        <v>1</v>
      </c>
      <c r="J808" s="4">
        <v>0</v>
      </c>
      <c r="K808" s="16">
        <v>45872</v>
      </c>
      <c r="L808" s="16">
        <v>45895</v>
      </c>
      <c r="M808" s="0" t="inlineStr">
        <is>
          <t xml:space="preserve">aug25</t>
        </is>
      </c>
      <c r="N808" s="0" t="inlineStr">
        <is>
          <t xml:space="preserve">aug25</t>
        </is>
      </c>
      <c r="O808" s="4">
        <v>23</v>
      </c>
      <c r="P808" s="4">
        <v>0</v>
      </c>
      <c r="Q808" s="4">
        <v>1</v>
      </c>
      <c r="R808" s="4">
        <v>0</v>
      </c>
      <c r="S808" s="4">
        <f>(H808*INDEX('Stages'!$D$2:$D$7,MATCH(F808,'Stages'!$A$2:$A$7,0)))</f>
        <v>0</v>
      </c>
      <c r="T808" s="4">
        <f>(H808*I808)</f>
        <v>17100</v>
      </c>
      <c r="U808" s="4">
        <f>(H808*(I808-1))</f>
        <v>0</v>
      </c>
      <c r="V808" s="0" t="str">
        <f>INDEX('Account executives'!$B$2:$B$25,MATCH(C808,'Account executives'!$A$2:$A$25,0))</f>
        <v>amer_west</v>
      </c>
      <c r="W808" s="0" t="str">
        <f>INDEX('Account executives'!$C$2:$C$25,MATCH(C808,'Account executives'!$A$2:$A$25,0))</f>
        <v>smb</v>
      </c>
      <c r="X808" s="0" t="str">
        <f>SUBSTITUTE(LOWER(INDEX('Periods'!$G$2:$G$22,MATCH(N808,'Periods'!$A$2:$A$22,0)))," ","_")</f>
        <v>q3_2025</v>
      </c>
    </row>
    <row r="809">
      <c r="A809" s="0" t="inlineStr">
        <is>
          <t xml:space="preserve">o0808</t>
        </is>
      </c>
      <c r="B809" s="0" t="inlineStr">
        <is>
          <t xml:space="preserve">a0048</t>
        </is>
      </c>
      <c r="C809" s="0" t="inlineStr">
        <is>
          <t xml:space="preserve">r13</t>
        </is>
      </c>
      <c r="D809" s="0" t="inlineStr">
        <is>
          <t xml:space="preserve">s_emea_in</t>
        </is>
      </c>
      <c r="E809" s="0" t="inlineStr">
        <is>
          <t xml:space="preserve">paid</t>
        </is>
      </c>
      <c r="F809" s="0" t="inlineStr">
        <is>
          <t xml:space="preserve">closed_lost</t>
        </is>
      </c>
      <c r="G809" s="4">
        <v>0</v>
      </c>
      <c r="H809" s="4">
        <v>60000</v>
      </c>
      <c r="I809" s="4">
        <v>3</v>
      </c>
      <c r="J809" s="4">
        <v>0</v>
      </c>
      <c r="K809" s="16">
        <v>45762</v>
      </c>
      <c r="L809" s="16">
        <v>45904</v>
      </c>
      <c r="M809" s="0" t="inlineStr">
        <is>
          <t xml:space="preserve">apr25</t>
        </is>
      </c>
      <c r="N809" s="0" t="inlineStr">
        <is>
          <t xml:space="preserve">sep25</t>
        </is>
      </c>
      <c r="O809" s="4">
        <v>142</v>
      </c>
      <c r="P809" s="4">
        <v>0</v>
      </c>
      <c r="Q809" s="4">
        <v>1</v>
      </c>
      <c r="R809" s="4">
        <v>0</v>
      </c>
      <c r="S809" s="4">
        <f>(H809*INDEX('Stages'!$D$2:$D$7,MATCH(F809,'Stages'!$A$2:$A$7,0)))</f>
        <v>0</v>
      </c>
      <c r="T809" s="4">
        <f>(H809*I809)</f>
        <v>180000</v>
      </c>
      <c r="U809" s="4">
        <f>(H809*(I809-1))</f>
        <v>120000</v>
      </c>
      <c r="V809" s="0" t="str">
        <f>INDEX('Account executives'!$B$2:$B$25,MATCH(C809,'Account executives'!$A$2:$A$25,0))</f>
        <v>emea</v>
      </c>
      <c r="W809" s="0" t="str">
        <f>INDEX('Account executives'!$C$2:$C$25,MATCH(C809,'Account executives'!$A$2:$A$25,0))</f>
        <v>enterprise</v>
      </c>
      <c r="X809" s="0" t="str">
        <f>SUBSTITUTE(LOWER(INDEX('Periods'!$G$2:$G$22,MATCH(N809,'Periods'!$A$2:$A$22,0)))," ","_")</f>
        <v>q3_2025</v>
      </c>
    </row>
    <row r="810">
      <c r="A810" s="0" t="inlineStr">
        <is>
          <t xml:space="preserve">o0809</t>
        </is>
      </c>
      <c r="B810" s="0" t="inlineStr">
        <is>
          <t xml:space="preserve">a0268</t>
        </is>
      </c>
      <c r="C810" s="0" t="inlineStr">
        <is>
          <t xml:space="preserve">r11</t>
        </is>
      </c>
      <c r="D810" s="0" t="inlineStr">
        <is>
          <t xml:space="preserve">s_amer_west_out</t>
        </is>
      </c>
      <c r="E810" s="0" t="inlineStr">
        <is>
          <t xml:space="preserve">outbound</t>
        </is>
      </c>
      <c r="F810" s="0" t="inlineStr">
        <is>
          <t xml:space="preserve">closed_won</t>
        </is>
      </c>
      <c r="G810" s="4">
        <v>1</v>
      </c>
      <c r="H810" s="4">
        <v>14800</v>
      </c>
      <c r="I810" s="4">
        <v>1</v>
      </c>
      <c r="J810" s="4">
        <v>0</v>
      </c>
      <c r="K810" s="16">
        <v>45842</v>
      </c>
      <c r="L810" s="16">
        <v>45873</v>
      </c>
      <c r="M810" s="0" t="inlineStr">
        <is>
          <t xml:space="preserve">jul25</t>
        </is>
      </c>
      <c r="N810" s="0" t="inlineStr">
        <is>
          <t xml:space="preserve">aug25</t>
        </is>
      </c>
      <c r="O810" s="4">
        <v>31</v>
      </c>
      <c r="P810" s="4">
        <v>1</v>
      </c>
      <c r="Q810" s="4">
        <v>0</v>
      </c>
      <c r="R810" s="4">
        <v>0</v>
      </c>
      <c r="S810" s="4">
        <f>(H810*INDEX('Stages'!$D$2:$D$7,MATCH(F810,'Stages'!$A$2:$A$7,0)))</f>
        <v>14800</v>
      </c>
      <c r="T810" s="4">
        <f>(H810*I810)</f>
        <v>14800</v>
      </c>
      <c r="U810" s="4">
        <f>(H810*(I810-1))</f>
        <v>0</v>
      </c>
      <c r="V810" s="0" t="str">
        <f>INDEX('Account executives'!$B$2:$B$25,MATCH(C810,'Account executives'!$A$2:$A$25,0))</f>
        <v>amer_west</v>
      </c>
      <c r="W810" s="0" t="str">
        <f>INDEX('Account executives'!$C$2:$C$25,MATCH(C810,'Account executives'!$A$2:$A$25,0))</f>
        <v>smb</v>
      </c>
      <c r="X810" s="0" t="str">
        <f>SUBSTITUTE(LOWER(INDEX('Periods'!$G$2:$G$22,MATCH(N810,'Periods'!$A$2:$A$22,0)))," ","_")</f>
        <v>q3_2025</v>
      </c>
    </row>
    <row r="811">
      <c r="A811" s="0" t="inlineStr">
        <is>
          <t xml:space="preserve">o0810</t>
        </is>
      </c>
      <c r="B811" s="0" t="inlineStr">
        <is>
          <t xml:space="preserve">a0316</t>
        </is>
      </c>
      <c r="C811" s="0" t="inlineStr">
        <is>
          <t xml:space="preserve">r05</t>
        </is>
      </c>
      <c r="D811" s="0" t="inlineStr">
        <is>
          <t xml:space="preserve">s_amer_east_in</t>
        </is>
      </c>
      <c r="E811" s="0" t="inlineStr">
        <is>
          <t xml:space="preserve">paid</t>
        </is>
      </c>
      <c r="F811" s="0" t="inlineStr">
        <is>
          <t xml:space="preserve">closed_lost</t>
        </is>
      </c>
      <c r="G811" s="4">
        <v>1</v>
      </c>
      <c r="H811" s="4">
        <v>20900</v>
      </c>
      <c r="I811" s="4">
        <v>1</v>
      </c>
      <c r="J811" s="4">
        <v>1</v>
      </c>
      <c r="K811" s="16">
        <v>45876</v>
      </c>
      <c r="L811" s="16">
        <v>45928</v>
      </c>
      <c r="M811" s="0" t="inlineStr">
        <is>
          <t xml:space="preserve">aug25</t>
        </is>
      </c>
      <c r="N811" s="0" t="inlineStr">
        <is>
          <t xml:space="preserve">sep25</t>
        </is>
      </c>
      <c r="O811" s="4">
        <v>52</v>
      </c>
      <c r="P811" s="4">
        <v>0</v>
      </c>
      <c r="Q811" s="4">
        <v>1</v>
      </c>
      <c r="R811" s="4">
        <v>0</v>
      </c>
      <c r="S811" s="4">
        <f>(H811*INDEX('Stages'!$D$2:$D$7,MATCH(F811,'Stages'!$A$2:$A$7,0)))</f>
        <v>0</v>
      </c>
      <c r="T811" s="4">
        <f>(H811*I811)</f>
        <v>20900</v>
      </c>
      <c r="U811" s="4">
        <f>(H811*(I811-1))</f>
        <v>0</v>
      </c>
      <c r="V811" s="0" t="str">
        <f>INDEX('Account executives'!$B$2:$B$25,MATCH(C811,'Account executives'!$A$2:$A$25,0))</f>
        <v>amer_east</v>
      </c>
      <c r="W811" s="0" t="str">
        <f>INDEX('Account executives'!$C$2:$C$25,MATCH(C811,'Account executives'!$A$2:$A$25,0))</f>
        <v>smb</v>
      </c>
      <c r="X811" s="0" t="str">
        <f>SUBSTITUTE(LOWER(INDEX('Periods'!$G$2:$G$22,MATCH(N811,'Periods'!$A$2:$A$22,0)))," ","_")</f>
        <v>q3_2025</v>
      </c>
    </row>
    <row r="812">
      <c r="A812" s="0" t="inlineStr">
        <is>
          <t xml:space="preserve">o0811</t>
        </is>
      </c>
      <c r="B812" s="0" t="inlineStr">
        <is>
          <t xml:space="preserve">a0024</t>
        </is>
      </c>
      <c r="C812" s="0" t="inlineStr">
        <is>
          <t xml:space="preserve">r12</t>
        </is>
      </c>
      <c r="D812" s="0" t="inlineStr">
        <is>
          <t xml:space="preserve">s_amer_west_in</t>
        </is>
      </c>
      <c r="E812" s="0" t="inlineStr">
        <is>
          <t xml:space="preserve">inbound</t>
        </is>
      </c>
      <c r="F812" s="0" t="inlineStr">
        <is>
          <t xml:space="preserve">closed_lost</t>
        </is>
      </c>
      <c r="G812" s="4">
        <v>0</v>
      </c>
      <c r="H812" s="4">
        <v>6200</v>
      </c>
      <c r="I812" s="4">
        <v>1</v>
      </c>
      <c r="J812" s="4">
        <v>0</v>
      </c>
      <c r="K812" s="16">
        <v>45872</v>
      </c>
      <c r="L812" s="16">
        <v>45904</v>
      </c>
      <c r="M812" s="0" t="inlineStr">
        <is>
          <t xml:space="preserve">aug25</t>
        </is>
      </c>
      <c r="N812" s="0" t="inlineStr">
        <is>
          <t xml:space="preserve">sep25</t>
        </is>
      </c>
      <c r="O812" s="4">
        <v>32</v>
      </c>
      <c r="P812" s="4">
        <v>0</v>
      </c>
      <c r="Q812" s="4">
        <v>1</v>
      </c>
      <c r="R812" s="4">
        <v>0</v>
      </c>
      <c r="S812" s="4">
        <f>(H812*INDEX('Stages'!$D$2:$D$7,MATCH(F812,'Stages'!$A$2:$A$7,0)))</f>
        <v>0</v>
      </c>
      <c r="T812" s="4">
        <f>(H812*I812)</f>
        <v>6200</v>
      </c>
      <c r="U812" s="4">
        <f>(H812*(I812-1))</f>
        <v>0</v>
      </c>
      <c r="V812" s="0" t="str">
        <f>INDEX('Account executives'!$B$2:$B$25,MATCH(C812,'Account executives'!$A$2:$A$25,0))</f>
        <v>amer_west</v>
      </c>
      <c r="W812" s="0" t="str">
        <f>INDEX('Account executives'!$C$2:$C$25,MATCH(C812,'Account executives'!$A$2:$A$25,0))</f>
        <v>smb</v>
      </c>
      <c r="X812" s="0" t="str">
        <f>SUBSTITUTE(LOWER(INDEX('Periods'!$G$2:$G$22,MATCH(N812,'Periods'!$A$2:$A$22,0)))," ","_")</f>
        <v>q3_2025</v>
      </c>
    </row>
    <row r="813">
      <c r="A813" s="0" t="inlineStr">
        <is>
          <t xml:space="preserve">o0812</t>
        </is>
      </c>
      <c r="B813" s="0" t="inlineStr">
        <is>
          <t xml:space="preserve">a0538</t>
        </is>
      </c>
      <c r="C813" s="0" t="inlineStr">
        <is>
          <t xml:space="preserve">r03</t>
        </is>
      </c>
      <c r="D813" s="0" t="inlineStr">
        <is>
          <t xml:space="preserve">s_amer_east_in</t>
        </is>
      </c>
      <c r="E813" s="0" t="inlineStr">
        <is>
          <t xml:space="preserve">inbound</t>
        </is>
      </c>
      <c r="F813" s="0" t="inlineStr">
        <is>
          <t xml:space="preserve">closed_lost</t>
        </is>
      </c>
      <c r="G813" s="4">
        <v>1</v>
      </c>
      <c r="H813" s="4">
        <v>135000</v>
      </c>
      <c r="I813" s="4">
        <v>1</v>
      </c>
      <c r="J813" s="4">
        <v>1</v>
      </c>
      <c r="K813" s="16">
        <v>45998</v>
      </c>
      <c r="L813" s="16">
        <v>46075</v>
      </c>
      <c r="M813" s="0" t="inlineStr">
        <is>
          <t xml:space="preserve">dec25</t>
        </is>
      </c>
      <c r="N813" s="0" t="inlineStr">
        <is>
          <t xml:space="preserve">feb26</t>
        </is>
      </c>
      <c r="O813" s="4">
        <v>77</v>
      </c>
      <c r="P813" s="4">
        <v>0</v>
      </c>
      <c r="Q813" s="4">
        <v>1</v>
      </c>
      <c r="R813" s="4">
        <v>0</v>
      </c>
      <c r="S813" s="4">
        <f>(H813*INDEX('Stages'!$D$2:$D$7,MATCH(F813,'Stages'!$A$2:$A$7,0)))</f>
        <v>0</v>
      </c>
      <c r="T813" s="4">
        <f>(H813*I813)</f>
        <v>135000</v>
      </c>
      <c r="U813" s="4">
        <f>(H813*(I813-1))</f>
        <v>0</v>
      </c>
      <c r="V813" s="0" t="str">
        <f>INDEX('Account executives'!$B$2:$B$25,MATCH(C813,'Account executives'!$A$2:$A$25,0))</f>
        <v>amer_east</v>
      </c>
      <c r="W813" s="0" t="str">
        <f>INDEX('Account executives'!$C$2:$C$25,MATCH(C813,'Account executives'!$A$2:$A$25,0))</f>
        <v>mid_market</v>
      </c>
      <c r="X813" s="0" t="str">
        <f>SUBSTITUTE(LOWER(INDEX('Periods'!$G$2:$G$22,MATCH(N813,'Periods'!$A$2:$A$22,0)))," ","_")</f>
        <v>q1_2026</v>
      </c>
    </row>
    <row r="814">
      <c r="A814" s="0" t="inlineStr">
        <is>
          <t xml:space="preserve">o0813</t>
        </is>
      </c>
      <c r="B814" s="0" t="inlineStr">
        <is>
          <t xml:space="preserve">a0758</t>
        </is>
      </c>
      <c r="C814" s="0" t="inlineStr">
        <is>
          <t xml:space="preserve">r09</t>
        </is>
      </c>
      <c r="D814" s="0" t="inlineStr">
        <is>
          <t xml:space="preserve">s_amer_west_in</t>
        </is>
      </c>
      <c r="E814" s="0" t="inlineStr">
        <is>
          <t xml:space="preserve">paid</t>
        </is>
      </c>
      <c r="F814" s="0" t="inlineStr">
        <is>
          <t xml:space="preserve">closed_lost</t>
        </is>
      </c>
      <c r="G814" s="4">
        <v>1</v>
      </c>
      <c r="H814" s="4">
        <v>46800</v>
      </c>
      <c r="I814" s="4">
        <v>2</v>
      </c>
      <c r="J814" s="4">
        <v>0</v>
      </c>
      <c r="K814" s="16">
        <v>46097</v>
      </c>
      <c r="L814" s="16">
        <v>46153</v>
      </c>
      <c r="M814" s="0" t="inlineStr">
        <is>
          <t xml:space="preserve">mar26</t>
        </is>
      </c>
      <c r="N814" s="0" t="inlineStr">
        <is>
          <t xml:space="preserve">may26</t>
        </is>
      </c>
      <c r="O814" s="4">
        <v>56</v>
      </c>
      <c r="P814" s="4">
        <v>0</v>
      </c>
      <c r="Q814" s="4">
        <v>1</v>
      </c>
      <c r="R814" s="4">
        <v>0</v>
      </c>
      <c r="S814" s="4">
        <f>(H814*INDEX('Stages'!$D$2:$D$7,MATCH(F814,'Stages'!$A$2:$A$7,0)))</f>
        <v>0</v>
      </c>
      <c r="T814" s="4">
        <f>(H814*I814)</f>
        <v>93600</v>
      </c>
      <c r="U814" s="4">
        <f>(H814*(I814-1))</f>
        <v>46800</v>
      </c>
      <c r="V814" s="0" t="str">
        <f>INDEX('Account executives'!$B$2:$B$25,MATCH(C814,'Account executives'!$A$2:$A$25,0))</f>
        <v>amer_west</v>
      </c>
      <c r="W814" s="0" t="str">
        <f>INDEX('Account executives'!$C$2:$C$25,MATCH(C814,'Account executives'!$A$2:$A$25,0))</f>
        <v>mid_market</v>
      </c>
      <c r="X814" s="0" t="str">
        <f>SUBSTITUTE(LOWER(INDEX('Periods'!$G$2:$G$22,MATCH(N814,'Periods'!$A$2:$A$22,0)))," ","_")</f>
        <v>q2_2026</v>
      </c>
    </row>
    <row r="815">
      <c r="A815" s="0" t="inlineStr">
        <is>
          <t xml:space="preserve">o0814</t>
        </is>
      </c>
      <c r="B815" s="0" t="inlineStr">
        <is>
          <t xml:space="preserve">a0641</t>
        </is>
      </c>
      <c r="C815" s="0" t="inlineStr">
        <is>
          <t xml:space="preserve">r18</t>
        </is>
      </c>
      <c r="D815" s="0" t="inlineStr">
        <is>
          <t xml:space="preserve">s_emea_in</t>
        </is>
      </c>
      <c r="E815" s="0" t="inlineStr">
        <is>
          <t xml:space="preserve">inbound</t>
        </is>
      </c>
      <c r="F815" s="0" t="inlineStr">
        <is>
          <t xml:space="preserve">closed_won</t>
        </is>
      </c>
      <c r="G815" s="4">
        <v>1</v>
      </c>
      <c r="H815" s="4">
        <v>15300</v>
      </c>
      <c r="I815" s="4">
        <v>1</v>
      </c>
      <c r="J815" s="4">
        <v>0</v>
      </c>
      <c r="K815" s="16">
        <v>46027</v>
      </c>
      <c r="L815" s="16">
        <v>46051</v>
      </c>
      <c r="M815" s="0" t="inlineStr">
        <is>
          <t xml:space="preserve">jan26</t>
        </is>
      </c>
      <c r="N815" s="0" t="inlineStr">
        <is>
          <t xml:space="preserve">jan26</t>
        </is>
      </c>
      <c r="O815" s="4">
        <v>24</v>
      </c>
      <c r="P815" s="4">
        <v>1</v>
      </c>
      <c r="Q815" s="4">
        <v>0</v>
      </c>
      <c r="R815" s="4">
        <v>0</v>
      </c>
      <c r="S815" s="4">
        <f>(H815*INDEX('Stages'!$D$2:$D$7,MATCH(F815,'Stages'!$A$2:$A$7,0)))</f>
        <v>15300</v>
      </c>
      <c r="T815" s="4">
        <f>(H815*I815)</f>
        <v>15300</v>
      </c>
      <c r="U815" s="4">
        <f>(H815*(I815-1))</f>
        <v>0</v>
      </c>
      <c r="V815" s="0" t="str">
        <f>INDEX('Account executives'!$B$2:$B$25,MATCH(C815,'Account executives'!$A$2:$A$25,0))</f>
        <v>emea</v>
      </c>
      <c r="W815" s="0" t="str">
        <f>INDEX('Account executives'!$C$2:$C$25,MATCH(C815,'Account executives'!$A$2:$A$25,0))</f>
        <v>smb</v>
      </c>
      <c r="X815" s="0" t="str">
        <f>SUBSTITUTE(LOWER(INDEX('Periods'!$G$2:$G$22,MATCH(N815,'Periods'!$A$2:$A$22,0)))," ","_")</f>
        <v>q1_2026</v>
      </c>
    </row>
    <row r="816">
      <c r="A816" s="0" t="inlineStr">
        <is>
          <t xml:space="preserve">o0815</t>
        </is>
      </c>
      <c r="B816" s="0" t="inlineStr">
        <is>
          <t xml:space="preserve">a0942</t>
        </is>
      </c>
      <c r="C816" s="0" t="inlineStr">
        <is>
          <t xml:space="preserve">r14</t>
        </is>
      </c>
      <c r="D816" s="0" t="inlineStr">
        <is>
          <t xml:space="preserve">s_emea_out</t>
        </is>
      </c>
      <c r="E816" s="0" t="inlineStr">
        <is>
          <t xml:space="preserve">outbound</t>
        </is>
      </c>
      <c r="F816" s="0" t="inlineStr">
        <is>
          <t xml:space="preserve">closed_lost</t>
        </is>
      </c>
      <c r="G816" s="4">
        <v>1</v>
      </c>
      <c r="H816" s="4">
        <v>81200</v>
      </c>
      <c r="I816" s="4">
        <v>2</v>
      </c>
      <c r="J816" s="4">
        <v>0</v>
      </c>
      <c r="K816" s="16">
        <v>46170</v>
      </c>
      <c r="L816" s="16">
        <v>46273</v>
      </c>
      <c r="M816" s="0" t="inlineStr">
        <is>
          <t xml:space="preserve">may26</t>
        </is>
      </c>
      <c r="N816" s="0" t="inlineStr">
        <is>
          <t xml:space="preserve">sep26</t>
        </is>
      </c>
      <c r="O816" s="4">
        <v>103</v>
      </c>
      <c r="P816" s="4">
        <v>0</v>
      </c>
      <c r="Q816" s="4">
        <v>1</v>
      </c>
      <c r="R816" s="4">
        <v>0</v>
      </c>
      <c r="S816" s="4">
        <f>(H816*INDEX('Stages'!$D$2:$D$7,MATCH(F816,'Stages'!$A$2:$A$7,0)))</f>
        <v>0</v>
      </c>
      <c r="T816" s="4">
        <f>(H816*I816)</f>
        <v>162400</v>
      </c>
      <c r="U816" s="4">
        <f>(H816*(I816-1))</f>
        <v>81200</v>
      </c>
      <c r="V816" s="0" t="str">
        <f>INDEX('Account executives'!$B$2:$B$25,MATCH(C816,'Account executives'!$A$2:$A$25,0))</f>
        <v>emea</v>
      </c>
      <c r="W816" s="0" t="str">
        <f>INDEX('Account executives'!$C$2:$C$25,MATCH(C816,'Account executives'!$A$2:$A$25,0))</f>
        <v>enterprise</v>
      </c>
      <c r="X816" s="0" t="str">
        <f>SUBSTITUTE(LOWER(INDEX('Periods'!$G$2:$G$22,MATCH(N816,'Periods'!$A$2:$A$22,0)))," ","_")</f>
        <v>q3_2026</v>
      </c>
    </row>
    <row r="817">
      <c r="A817" s="0" t="inlineStr">
        <is>
          <t xml:space="preserve">o0816</t>
        </is>
      </c>
      <c r="B817" s="0" t="inlineStr">
        <is>
          <t xml:space="preserve">a1132</t>
        </is>
      </c>
      <c r="C817" s="0" t="inlineStr">
        <is>
          <t xml:space="preserve">r19</t>
        </is>
      </c>
      <c r="D817" s="0" t="inlineStr">
        <is>
          <t xml:space="preserve">s_apac_in</t>
        </is>
      </c>
      <c r="E817" s="0" t="inlineStr">
        <is>
          <t xml:space="preserve">inbound</t>
        </is>
      </c>
      <c r="F817" s="0" t="inlineStr">
        <is>
          <t xml:space="preserve">discovery</t>
        </is>
      </c>
      <c r="G817" s="4">
        <v>1</v>
      </c>
      <c r="H817" s="4">
        <v>114800</v>
      </c>
      <c r="I817" s="4">
        <v>2</v>
      </c>
      <c r="J817" s="4">
        <v>1</v>
      </c>
      <c r="K817" s="16">
        <v>46212</v>
      </c>
      <c r="L817" s="16">
        <v>46319</v>
      </c>
      <c r="M817" s="0" t="inlineStr">
        <is>
          <t xml:space="preserve">jul26</t>
        </is>
      </c>
      <c r="N817" s="0" t="inlineStr">
        <is>
          <t xml:space="preserve">oct26</t>
        </is>
      </c>
      <c r="O817" s="4">
        <v>122</v>
      </c>
      <c r="P817" s="4">
        <v>0</v>
      </c>
      <c r="Q817" s="4">
        <v>0</v>
      </c>
      <c r="R817" s="4">
        <v>1</v>
      </c>
      <c r="S817" s="4">
        <f>(H817*INDEX('Stages'!$D$2:$D$7,MATCH(F817,'Stages'!$A$2:$A$7,0)))</f>
        <v>11480</v>
      </c>
      <c r="T817" s="4">
        <f>(H817*I817)</f>
        <v>229600</v>
      </c>
      <c r="U817" s="4">
        <f>(H817*(I817-1))</f>
        <v>114800</v>
      </c>
      <c r="V817" s="0" t="str">
        <f>INDEX('Account executives'!$B$2:$B$25,MATCH(C817,'Account executives'!$A$2:$A$25,0))</f>
        <v>apac</v>
      </c>
      <c r="W817" s="0" t="str">
        <f>INDEX('Account executives'!$C$2:$C$25,MATCH(C817,'Account executives'!$A$2:$A$25,0))</f>
        <v>enterprise</v>
      </c>
      <c r="X817" s="0" t="str">
        <f>SUBSTITUTE(LOWER(INDEX('Periods'!$G$2:$G$22,MATCH(N817,'Periods'!$A$2:$A$22,0)))," ","_")</f>
        <v>q4_2026</v>
      </c>
    </row>
    <row r="818">
      <c r="A818" s="0" t="inlineStr">
        <is>
          <t xml:space="preserve">o0817</t>
        </is>
      </c>
      <c r="B818" s="0" t="inlineStr">
        <is>
          <t xml:space="preserve">a0319</t>
        </is>
      </c>
      <c r="C818" s="0" t="inlineStr">
        <is>
          <t xml:space="preserve">r06</t>
        </is>
      </c>
      <c r="D818" s="0" t="inlineStr">
        <is>
          <t xml:space="preserve">s_amer_east_out</t>
        </is>
      </c>
      <c r="E818" s="0" t="inlineStr">
        <is>
          <t xml:space="preserve">outbound</t>
        </is>
      </c>
      <c r="F818" s="0" t="inlineStr">
        <is>
          <t xml:space="preserve">closed_won</t>
        </is>
      </c>
      <c r="G818" s="4">
        <v>0</v>
      </c>
      <c r="H818" s="4">
        <v>2500</v>
      </c>
      <c r="I818" s="4">
        <v>1</v>
      </c>
      <c r="J818" s="4">
        <v>0</v>
      </c>
      <c r="K818" s="16">
        <v>46005</v>
      </c>
      <c r="L818" s="16">
        <v>46019</v>
      </c>
      <c r="M818" s="0" t="inlineStr">
        <is>
          <t xml:space="preserve">dec25</t>
        </is>
      </c>
      <c r="N818" s="0" t="inlineStr">
        <is>
          <t xml:space="preserve">dec25</t>
        </is>
      </c>
      <c r="O818" s="4">
        <v>14</v>
      </c>
      <c r="P818" s="4">
        <v>1</v>
      </c>
      <c r="Q818" s="4">
        <v>0</v>
      </c>
      <c r="R818" s="4">
        <v>0</v>
      </c>
      <c r="S818" s="4">
        <f>(H818*INDEX('Stages'!$D$2:$D$7,MATCH(F818,'Stages'!$A$2:$A$7,0)))</f>
        <v>2500</v>
      </c>
      <c r="T818" s="4">
        <f>(H818*I818)</f>
        <v>2500</v>
      </c>
      <c r="U818" s="4">
        <f>(H818*(I818-1))</f>
        <v>0</v>
      </c>
      <c r="V818" s="0" t="str">
        <f>INDEX('Account executives'!$B$2:$B$25,MATCH(C818,'Account executives'!$A$2:$A$25,0))</f>
        <v>amer_east</v>
      </c>
      <c r="W818" s="0" t="str">
        <f>INDEX('Account executives'!$C$2:$C$25,MATCH(C818,'Account executives'!$A$2:$A$25,0))</f>
        <v>smb</v>
      </c>
      <c r="X818" s="0" t="str">
        <f>SUBSTITUTE(LOWER(INDEX('Periods'!$G$2:$G$22,MATCH(N818,'Periods'!$A$2:$A$22,0)))," ","_")</f>
        <v>q4_2025</v>
      </c>
    </row>
    <row r="819">
      <c r="A819" s="0" t="inlineStr">
        <is>
          <t xml:space="preserve">o0818</t>
        </is>
      </c>
      <c r="B819" s="0" t="inlineStr">
        <is>
          <t xml:space="preserve">a0105</t>
        </is>
      </c>
      <c r="C819" s="0" t="inlineStr">
        <is>
          <t xml:space="preserve">r11</t>
        </is>
      </c>
      <c r="D819" s="0" t="inlineStr">
        <is>
          <t xml:space="preserve">s_amer_west_out</t>
        </is>
      </c>
      <c r="E819" s="0" t="inlineStr">
        <is>
          <t xml:space="preserve">outbound</t>
        </is>
      </c>
      <c r="F819" s="0" t="inlineStr">
        <is>
          <t xml:space="preserve">closed_lost</t>
        </is>
      </c>
      <c r="G819" s="4">
        <v>1</v>
      </c>
      <c r="H819" s="4">
        <v>12200</v>
      </c>
      <c r="I819" s="4">
        <v>1</v>
      </c>
      <c r="J819" s="4">
        <v>0</v>
      </c>
      <c r="K819" s="16">
        <v>45798</v>
      </c>
      <c r="L819" s="16">
        <v>45820</v>
      </c>
      <c r="M819" s="0" t="inlineStr">
        <is>
          <t xml:space="preserve">may25</t>
        </is>
      </c>
      <c r="N819" s="0" t="inlineStr">
        <is>
          <t xml:space="preserve">jun25</t>
        </is>
      </c>
      <c r="O819" s="4">
        <v>22</v>
      </c>
      <c r="P819" s="4">
        <v>0</v>
      </c>
      <c r="Q819" s="4">
        <v>1</v>
      </c>
      <c r="R819" s="4">
        <v>0</v>
      </c>
      <c r="S819" s="4">
        <f>(H819*INDEX('Stages'!$D$2:$D$7,MATCH(F819,'Stages'!$A$2:$A$7,0)))</f>
        <v>0</v>
      </c>
      <c r="T819" s="4">
        <f>(H819*I819)</f>
        <v>12200</v>
      </c>
      <c r="U819" s="4">
        <f>(H819*(I819-1))</f>
        <v>0</v>
      </c>
      <c r="V819" s="0" t="str">
        <f>INDEX('Account executives'!$B$2:$B$25,MATCH(C819,'Account executives'!$A$2:$A$25,0))</f>
        <v>amer_west</v>
      </c>
      <c r="W819" s="0" t="str">
        <f>INDEX('Account executives'!$C$2:$C$25,MATCH(C819,'Account executives'!$A$2:$A$25,0))</f>
        <v>smb</v>
      </c>
      <c r="X819" s="0" t="str">
        <f>SUBSTITUTE(LOWER(INDEX('Periods'!$G$2:$G$22,MATCH(N819,'Periods'!$A$2:$A$22,0)))," ","_")</f>
        <v>q2_2025</v>
      </c>
    </row>
    <row r="820">
      <c r="A820" s="0" t="inlineStr">
        <is>
          <t xml:space="preserve">o0819</t>
        </is>
      </c>
      <c r="B820" s="0" t="inlineStr">
        <is>
          <t xml:space="preserve">a0854</t>
        </is>
      </c>
      <c r="C820" s="0" t="inlineStr">
        <is>
          <t xml:space="preserve">r12</t>
        </is>
      </c>
      <c r="D820" s="0"/>
      <c r="E820" s="0" t="inlineStr">
        <is>
          <t xml:space="preserve">referral</t>
        </is>
      </c>
      <c r="F820" s="0" t="inlineStr">
        <is>
          <t xml:space="preserve">closed_lost</t>
        </is>
      </c>
      <c r="G820" s="4">
        <v>1</v>
      </c>
      <c r="H820" s="4">
        <v>20000</v>
      </c>
      <c r="I820" s="4">
        <v>1</v>
      </c>
      <c r="J820" s="4">
        <v>1</v>
      </c>
      <c r="K820" s="16">
        <v>46120</v>
      </c>
      <c r="L820" s="16">
        <v>46201</v>
      </c>
      <c r="M820" s="0" t="inlineStr">
        <is>
          <t xml:space="preserve">apr26</t>
        </is>
      </c>
      <c r="N820" s="0" t="inlineStr">
        <is>
          <t xml:space="preserve">jun26</t>
        </is>
      </c>
      <c r="O820" s="4">
        <v>81</v>
      </c>
      <c r="P820" s="4">
        <v>0</v>
      </c>
      <c r="Q820" s="4">
        <v>1</v>
      </c>
      <c r="R820" s="4">
        <v>0</v>
      </c>
      <c r="S820" s="4">
        <f>(H820*INDEX('Stages'!$D$2:$D$7,MATCH(F820,'Stages'!$A$2:$A$7,0)))</f>
        <v>0</v>
      </c>
      <c r="T820" s="4">
        <f>(H820*I820)</f>
        <v>20000</v>
      </c>
      <c r="U820" s="4">
        <f>(H820*(I820-1))</f>
        <v>0</v>
      </c>
      <c r="V820" s="0" t="str">
        <f>INDEX('Account executives'!$B$2:$B$25,MATCH(C820,'Account executives'!$A$2:$A$25,0))</f>
        <v>amer_west</v>
      </c>
      <c r="W820" s="0" t="str">
        <f>INDEX('Account executives'!$C$2:$C$25,MATCH(C820,'Account executives'!$A$2:$A$25,0))</f>
        <v>smb</v>
      </c>
      <c r="X820" s="0" t="str">
        <f>SUBSTITUTE(LOWER(INDEX('Periods'!$G$2:$G$22,MATCH(N820,'Periods'!$A$2:$A$22,0)))," ","_")</f>
        <v>q2_2026</v>
      </c>
    </row>
    <row r="821">
      <c r="A821" s="0" t="inlineStr">
        <is>
          <t xml:space="preserve">o0820</t>
        </is>
      </c>
      <c r="B821" s="0" t="inlineStr">
        <is>
          <t xml:space="preserve">a0607</t>
        </is>
      </c>
      <c r="C821" s="0" t="inlineStr">
        <is>
          <t xml:space="preserve">r01</t>
        </is>
      </c>
      <c r="D821" s="0" t="inlineStr">
        <is>
          <t xml:space="preserve">s_amer_east_in</t>
        </is>
      </c>
      <c r="E821" s="0" t="inlineStr">
        <is>
          <t xml:space="preserve">inbound</t>
        </is>
      </c>
      <c r="F821" s="0" t="inlineStr">
        <is>
          <t xml:space="preserve">closed_lost</t>
        </is>
      </c>
      <c r="G821" s="4">
        <v>1</v>
      </c>
      <c r="H821" s="4">
        <v>250300</v>
      </c>
      <c r="I821" s="4">
        <v>3</v>
      </c>
      <c r="J821" s="4">
        <v>0</v>
      </c>
      <c r="K821" s="16">
        <v>46041</v>
      </c>
      <c r="L821" s="16">
        <v>46203</v>
      </c>
      <c r="M821" s="0" t="inlineStr">
        <is>
          <t xml:space="preserve">jan26</t>
        </is>
      </c>
      <c r="N821" s="0" t="inlineStr">
        <is>
          <t xml:space="preserve">jun26</t>
        </is>
      </c>
      <c r="O821" s="4">
        <v>162</v>
      </c>
      <c r="P821" s="4">
        <v>0</v>
      </c>
      <c r="Q821" s="4">
        <v>1</v>
      </c>
      <c r="R821" s="4">
        <v>0</v>
      </c>
      <c r="S821" s="4">
        <f>(H821*INDEX('Stages'!$D$2:$D$7,MATCH(F821,'Stages'!$A$2:$A$7,0)))</f>
        <v>0</v>
      </c>
      <c r="T821" s="4">
        <f>(H821*I821)</f>
        <v>750900</v>
      </c>
      <c r="U821" s="4">
        <f>(H821*(I821-1))</f>
        <v>500600</v>
      </c>
      <c r="V821" s="0" t="str">
        <f>INDEX('Account executives'!$B$2:$B$25,MATCH(C821,'Account executives'!$A$2:$A$25,0))</f>
        <v>amer_east</v>
      </c>
      <c r="W821" s="0" t="str">
        <f>INDEX('Account executives'!$C$2:$C$25,MATCH(C821,'Account executives'!$A$2:$A$25,0))</f>
        <v>enterprise</v>
      </c>
      <c r="X821" s="0" t="str">
        <f>SUBSTITUTE(LOWER(INDEX('Periods'!$G$2:$G$22,MATCH(N821,'Periods'!$A$2:$A$22,0)))," ","_")</f>
        <v>q2_2026</v>
      </c>
    </row>
    <row r="822">
      <c r="A822" s="0" t="inlineStr">
        <is>
          <t xml:space="preserve">o0821</t>
        </is>
      </c>
      <c r="B822" s="0" t="inlineStr">
        <is>
          <t xml:space="preserve">a0256</t>
        </is>
      </c>
      <c r="C822" s="0" t="inlineStr">
        <is>
          <t xml:space="preserve">r12</t>
        </is>
      </c>
      <c r="D822" s="0" t="inlineStr">
        <is>
          <t xml:space="preserve">s_amer_west_in</t>
        </is>
      </c>
      <c r="E822" s="0" t="inlineStr">
        <is>
          <t xml:space="preserve">inbound</t>
        </is>
      </c>
      <c r="F822" s="0" t="inlineStr">
        <is>
          <t xml:space="preserve">closed_won</t>
        </is>
      </c>
      <c r="G822" s="4">
        <v>1</v>
      </c>
      <c r="H822" s="4">
        <v>17600</v>
      </c>
      <c r="I822" s="4">
        <v>1</v>
      </c>
      <c r="J822" s="4">
        <v>0</v>
      </c>
      <c r="K822" s="16">
        <v>45840</v>
      </c>
      <c r="L822" s="16">
        <v>45864</v>
      </c>
      <c r="M822" s="0" t="inlineStr">
        <is>
          <t xml:space="preserve">jul25</t>
        </is>
      </c>
      <c r="N822" s="0" t="inlineStr">
        <is>
          <t xml:space="preserve">jul25</t>
        </is>
      </c>
      <c r="O822" s="4">
        <v>24</v>
      </c>
      <c r="P822" s="4">
        <v>1</v>
      </c>
      <c r="Q822" s="4">
        <v>0</v>
      </c>
      <c r="R822" s="4">
        <v>0</v>
      </c>
      <c r="S822" s="4">
        <f>(H822*INDEX('Stages'!$D$2:$D$7,MATCH(F822,'Stages'!$A$2:$A$7,0)))</f>
        <v>17600</v>
      </c>
      <c r="T822" s="4">
        <f>(H822*I822)</f>
        <v>17600</v>
      </c>
      <c r="U822" s="4">
        <f>(H822*(I822-1))</f>
        <v>0</v>
      </c>
      <c r="V822" s="0" t="str">
        <f>INDEX('Account executives'!$B$2:$B$25,MATCH(C822,'Account executives'!$A$2:$A$25,0))</f>
        <v>amer_west</v>
      </c>
      <c r="W822" s="0" t="str">
        <f>INDEX('Account executives'!$C$2:$C$25,MATCH(C822,'Account executives'!$A$2:$A$25,0))</f>
        <v>smb</v>
      </c>
      <c r="X822" s="0" t="str">
        <f>SUBSTITUTE(LOWER(INDEX('Periods'!$G$2:$G$22,MATCH(N822,'Periods'!$A$2:$A$22,0)))," ","_")</f>
        <v>q3_2025</v>
      </c>
    </row>
    <row r="823">
      <c r="A823" s="0" t="inlineStr">
        <is>
          <t xml:space="preserve">o0822</t>
        </is>
      </c>
      <c r="B823" s="0" t="inlineStr">
        <is>
          <t xml:space="preserve">a1065</t>
        </is>
      </c>
      <c r="C823" s="0" t="inlineStr">
        <is>
          <t xml:space="preserve">r06</t>
        </is>
      </c>
      <c r="D823" s="0" t="inlineStr">
        <is>
          <t xml:space="preserve">s_amer_east_in</t>
        </is>
      </c>
      <c r="E823" s="0" t="inlineStr">
        <is>
          <t xml:space="preserve">inbound</t>
        </is>
      </c>
      <c r="F823" s="0" t="inlineStr">
        <is>
          <t xml:space="preserve">closed_won</t>
        </is>
      </c>
      <c r="G823" s="4">
        <v>1</v>
      </c>
      <c r="H823" s="4">
        <v>12600</v>
      </c>
      <c r="I823" s="4">
        <v>1</v>
      </c>
      <c r="J823" s="4">
        <v>1</v>
      </c>
      <c r="K823" s="16">
        <v>46209</v>
      </c>
      <c r="L823" s="16">
        <v>46245</v>
      </c>
      <c r="M823" s="0" t="inlineStr">
        <is>
          <t xml:space="preserve">jul26</t>
        </is>
      </c>
      <c r="N823" s="0" t="inlineStr">
        <is>
          <t xml:space="preserve">aug26</t>
        </is>
      </c>
      <c r="O823" s="4">
        <v>36</v>
      </c>
      <c r="P823" s="4">
        <v>1</v>
      </c>
      <c r="Q823" s="4">
        <v>0</v>
      </c>
      <c r="R823" s="4">
        <v>0</v>
      </c>
      <c r="S823" s="4">
        <f>(H823*INDEX('Stages'!$D$2:$D$7,MATCH(F823,'Stages'!$A$2:$A$7,0)))</f>
        <v>12600</v>
      </c>
      <c r="T823" s="4">
        <f>(H823*I823)</f>
        <v>12600</v>
      </c>
      <c r="U823" s="4">
        <f>(H823*(I823-1))</f>
        <v>0</v>
      </c>
      <c r="V823" s="0" t="str">
        <f>INDEX('Account executives'!$B$2:$B$25,MATCH(C823,'Account executives'!$A$2:$A$25,0))</f>
        <v>amer_east</v>
      </c>
      <c r="W823" s="0" t="str">
        <f>INDEX('Account executives'!$C$2:$C$25,MATCH(C823,'Account executives'!$A$2:$A$25,0))</f>
        <v>smb</v>
      </c>
      <c r="X823" s="0" t="str">
        <f>SUBSTITUTE(LOWER(INDEX('Periods'!$G$2:$G$22,MATCH(N823,'Periods'!$A$2:$A$22,0)))," ","_")</f>
        <v>q3_2026</v>
      </c>
    </row>
    <row r="824">
      <c r="A824" s="0" t="inlineStr">
        <is>
          <t xml:space="preserve">o0823</t>
        </is>
      </c>
      <c r="B824" s="0" t="inlineStr">
        <is>
          <t xml:space="preserve">a0761</t>
        </is>
      </c>
      <c r="C824" s="0" t="inlineStr">
        <is>
          <t xml:space="preserve">r12</t>
        </is>
      </c>
      <c r="D824" s="0"/>
      <c r="E824" s="0" t="inlineStr">
        <is>
          <t xml:space="preserve">events</t>
        </is>
      </c>
      <c r="F824" s="0" t="inlineStr">
        <is>
          <t xml:space="preserve">closed_lost</t>
        </is>
      </c>
      <c r="G824" s="4">
        <v>1</v>
      </c>
      <c r="H824" s="4">
        <v>27900</v>
      </c>
      <c r="I824" s="4">
        <v>1</v>
      </c>
      <c r="J824" s="4">
        <v>1</v>
      </c>
      <c r="K824" s="16">
        <v>46083</v>
      </c>
      <c r="L824" s="16">
        <v>46104</v>
      </c>
      <c r="M824" s="0" t="inlineStr">
        <is>
          <t xml:space="preserve">mar26</t>
        </is>
      </c>
      <c r="N824" s="0" t="inlineStr">
        <is>
          <t xml:space="preserve">mar26</t>
        </is>
      </c>
      <c r="O824" s="4">
        <v>21</v>
      </c>
      <c r="P824" s="4">
        <v>0</v>
      </c>
      <c r="Q824" s="4">
        <v>1</v>
      </c>
      <c r="R824" s="4">
        <v>0</v>
      </c>
      <c r="S824" s="4">
        <f>(H824*INDEX('Stages'!$D$2:$D$7,MATCH(F824,'Stages'!$A$2:$A$7,0)))</f>
        <v>0</v>
      </c>
      <c r="T824" s="4">
        <f>(H824*I824)</f>
        <v>27900</v>
      </c>
      <c r="U824" s="4">
        <f>(H824*(I824-1))</f>
        <v>0</v>
      </c>
      <c r="V824" s="0" t="str">
        <f>INDEX('Account executives'!$B$2:$B$25,MATCH(C824,'Account executives'!$A$2:$A$25,0))</f>
        <v>amer_west</v>
      </c>
      <c r="W824" s="0" t="str">
        <f>INDEX('Account executives'!$C$2:$C$25,MATCH(C824,'Account executives'!$A$2:$A$25,0))</f>
        <v>smb</v>
      </c>
      <c r="X824" s="0" t="str">
        <f>SUBSTITUTE(LOWER(INDEX('Periods'!$G$2:$G$22,MATCH(N824,'Periods'!$A$2:$A$22,0)))," ","_")</f>
        <v>q1_2026</v>
      </c>
    </row>
    <row r="825">
      <c r="A825" s="0" t="inlineStr">
        <is>
          <t xml:space="preserve">o0824</t>
        </is>
      </c>
      <c r="B825" s="0" t="inlineStr">
        <is>
          <t xml:space="preserve">a1090</t>
        </is>
      </c>
      <c r="C825" s="0" t="inlineStr">
        <is>
          <t xml:space="preserve">r08</t>
        </is>
      </c>
      <c r="D825" s="0" t="inlineStr">
        <is>
          <t xml:space="preserve">s_amer_west_in</t>
        </is>
      </c>
      <c r="E825" s="0" t="inlineStr">
        <is>
          <t xml:space="preserve">inbound</t>
        </is>
      </c>
      <c r="F825" s="0" t="inlineStr">
        <is>
          <t xml:space="preserve">evaluation</t>
        </is>
      </c>
      <c r="G825" s="4">
        <v>1</v>
      </c>
      <c r="H825" s="4">
        <v>60900</v>
      </c>
      <c r="I825" s="4">
        <v>2</v>
      </c>
      <c r="J825" s="4">
        <v>0</v>
      </c>
      <c r="K825" s="16">
        <v>46226</v>
      </c>
      <c r="L825" s="16">
        <v>46371</v>
      </c>
      <c r="M825" s="0" t="inlineStr">
        <is>
          <t xml:space="preserve">jul26</t>
        </is>
      </c>
      <c r="N825" s="0" t="inlineStr">
        <is>
          <t xml:space="preserve">dec26</t>
        </is>
      </c>
      <c r="O825" s="4">
        <v>69</v>
      </c>
      <c r="P825" s="4">
        <v>0</v>
      </c>
      <c r="Q825" s="4">
        <v>0</v>
      </c>
      <c r="R825" s="4">
        <v>1</v>
      </c>
      <c r="S825" s="4">
        <f>(H825*INDEX('Stages'!$D$2:$D$7,MATCH(F825,'Stages'!$A$2:$A$7,0)))</f>
        <v>15225</v>
      </c>
      <c r="T825" s="4">
        <f>(H825*I825)</f>
        <v>121800</v>
      </c>
      <c r="U825" s="4">
        <f>(H825*(I825-1))</f>
        <v>60900</v>
      </c>
      <c r="V825" s="0" t="str">
        <f>INDEX('Account executives'!$B$2:$B$25,MATCH(C825,'Account executives'!$A$2:$A$25,0))</f>
        <v>amer_west</v>
      </c>
      <c r="W825" s="0" t="str">
        <f>INDEX('Account executives'!$C$2:$C$25,MATCH(C825,'Account executives'!$A$2:$A$25,0))</f>
        <v>enterprise</v>
      </c>
      <c r="X825" s="0" t="str">
        <f>SUBSTITUTE(LOWER(INDEX('Periods'!$G$2:$G$22,MATCH(N825,'Periods'!$A$2:$A$22,0)))," ","_")</f>
        <v>q4_2026</v>
      </c>
    </row>
    <row r="826">
      <c r="A826" s="0" t="inlineStr">
        <is>
          <t xml:space="preserve">o0825</t>
        </is>
      </c>
      <c r="B826" s="0" t="inlineStr">
        <is>
          <t xml:space="preserve">a0410</t>
        </is>
      </c>
      <c r="C826" s="0" t="inlineStr">
        <is>
          <t xml:space="preserve">r22</t>
        </is>
      </c>
      <c r="D826" s="0" t="inlineStr">
        <is>
          <t xml:space="preserve">s_apac_in</t>
        </is>
      </c>
      <c r="E826" s="0" t="inlineStr">
        <is>
          <t xml:space="preserve">paid</t>
        </is>
      </c>
      <c r="F826" s="0" t="inlineStr">
        <is>
          <t xml:space="preserve">closed_lost</t>
        </is>
      </c>
      <c r="G826" s="4">
        <v>1</v>
      </c>
      <c r="H826" s="4">
        <v>34900</v>
      </c>
      <c r="I826" s="4">
        <v>2</v>
      </c>
      <c r="J826" s="4">
        <v>0</v>
      </c>
      <c r="K826" s="16">
        <v>45904</v>
      </c>
      <c r="L826" s="16">
        <v>45955</v>
      </c>
      <c r="M826" s="0" t="inlineStr">
        <is>
          <t xml:space="preserve">sep25</t>
        </is>
      </c>
      <c r="N826" s="0" t="inlineStr">
        <is>
          <t xml:space="preserve">oct25</t>
        </is>
      </c>
      <c r="O826" s="4">
        <v>51</v>
      </c>
      <c r="P826" s="4">
        <v>0</v>
      </c>
      <c r="Q826" s="4">
        <v>1</v>
      </c>
      <c r="R826" s="4">
        <v>0</v>
      </c>
      <c r="S826" s="4">
        <f>(H826*INDEX('Stages'!$D$2:$D$7,MATCH(F826,'Stages'!$A$2:$A$7,0)))</f>
        <v>0</v>
      </c>
      <c r="T826" s="4">
        <f>(H826*I826)</f>
        <v>69800</v>
      </c>
      <c r="U826" s="4">
        <f>(H826*(I826-1))</f>
        <v>34900</v>
      </c>
      <c r="V826" s="0" t="str">
        <f>INDEX('Account executives'!$B$2:$B$25,MATCH(C826,'Account executives'!$A$2:$A$25,0))</f>
        <v>apac</v>
      </c>
      <c r="W826" s="0" t="str">
        <f>INDEX('Account executives'!$C$2:$C$25,MATCH(C826,'Account executives'!$A$2:$A$25,0))</f>
        <v>mid_market</v>
      </c>
      <c r="X826" s="0" t="str">
        <f>SUBSTITUTE(LOWER(INDEX('Periods'!$G$2:$G$22,MATCH(N826,'Periods'!$A$2:$A$22,0)))," ","_")</f>
        <v>q4_2025</v>
      </c>
    </row>
    <row r="827">
      <c r="A827" s="0" t="inlineStr">
        <is>
          <t xml:space="preserve">o0826</t>
        </is>
      </c>
      <c r="B827" s="0" t="inlineStr">
        <is>
          <t xml:space="preserve">a0670</t>
        </is>
      </c>
      <c r="C827" s="0" t="inlineStr">
        <is>
          <t xml:space="preserve">r01</t>
        </is>
      </c>
      <c r="D827" s="0" t="inlineStr">
        <is>
          <t xml:space="preserve">s_amer_east_out</t>
        </is>
      </c>
      <c r="E827" s="0" t="inlineStr">
        <is>
          <t xml:space="preserve">outbound</t>
        </is>
      </c>
      <c r="F827" s="0" t="inlineStr">
        <is>
          <t xml:space="preserve">closed_lost</t>
        </is>
      </c>
      <c r="G827" s="4">
        <v>1</v>
      </c>
      <c r="H827" s="4">
        <v>357300</v>
      </c>
      <c r="I827" s="4">
        <v>2</v>
      </c>
      <c r="J827" s="4">
        <v>1</v>
      </c>
      <c r="K827" s="16">
        <v>46056</v>
      </c>
      <c r="L827" s="16">
        <v>46217</v>
      </c>
      <c r="M827" s="0" t="inlineStr">
        <is>
          <t xml:space="preserve">feb26</t>
        </is>
      </c>
      <c r="N827" s="0" t="inlineStr">
        <is>
          <t xml:space="preserve">jul26</t>
        </is>
      </c>
      <c r="O827" s="4">
        <v>161</v>
      </c>
      <c r="P827" s="4">
        <v>0</v>
      </c>
      <c r="Q827" s="4">
        <v>1</v>
      </c>
      <c r="R827" s="4">
        <v>0</v>
      </c>
      <c r="S827" s="4">
        <f>(H827*INDEX('Stages'!$D$2:$D$7,MATCH(F827,'Stages'!$A$2:$A$7,0)))</f>
        <v>0</v>
      </c>
      <c r="T827" s="4">
        <f>(H827*I827)</f>
        <v>714600</v>
      </c>
      <c r="U827" s="4">
        <f>(H827*(I827-1))</f>
        <v>357300</v>
      </c>
      <c r="V827" s="0" t="str">
        <f>INDEX('Account executives'!$B$2:$B$25,MATCH(C827,'Account executives'!$A$2:$A$25,0))</f>
        <v>amer_east</v>
      </c>
      <c r="W827" s="0" t="str">
        <f>INDEX('Account executives'!$C$2:$C$25,MATCH(C827,'Account executives'!$A$2:$A$25,0))</f>
        <v>enterprise</v>
      </c>
      <c r="X827" s="0" t="str">
        <f>SUBSTITUTE(LOWER(INDEX('Periods'!$G$2:$G$22,MATCH(N827,'Periods'!$A$2:$A$22,0)))," ","_")</f>
        <v>q3_2026</v>
      </c>
    </row>
    <row r="828">
      <c r="A828" s="0" t="inlineStr">
        <is>
          <t xml:space="preserve">o0827</t>
        </is>
      </c>
      <c r="B828" s="0" t="inlineStr">
        <is>
          <t xml:space="preserve">a1069</t>
        </is>
      </c>
      <c r="C828" s="0" t="inlineStr">
        <is>
          <t xml:space="preserve">r06</t>
        </is>
      </c>
      <c r="D828" s="0" t="inlineStr">
        <is>
          <t xml:space="preserve">s_amer_east_in</t>
        </is>
      </c>
      <c r="E828" s="0" t="inlineStr">
        <is>
          <t xml:space="preserve">inbound</t>
        </is>
      </c>
      <c r="F828" s="0" t="inlineStr">
        <is>
          <t xml:space="preserve">closed_lost</t>
        </is>
      </c>
      <c r="G828" s="4">
        <v>1</v>
      </c>
      <c r="H828" s="4">
        <v>10900</v>
      </c>
      <c r="I828" s="4">
        <v>1</v>
      </c>
      <c r="J828" s="4">
        <v>0</v>
      </c>
      <c r="K828" s="16">
        <v>46207</v>
      </c>
      <c r="L828" s="16">
        <v>46229</v>
      </c>
      <c r="M828" s="0" t="inlineStr">
        <is>
          <t xml:space="preserve">jul26</t>
        </is>
      </c>
      <c r="N828" s="0" t="inlineStr">
        <is>
          <t xml:space="preserve">jul26</t>
        </is>
      </c>
      <c r="O828" s="4">
        <v>22</v>
      </c>
      <c r="P828" s="4">
        <v>0</v>
      </c>
      <c r="Q828" s="4">
        <v>1</v>
      </c>
      <c r="R828" s="4">
        <v>0</v>
      </c>
      <c r="S828" s="4">
        <f>(H828*INDEX('Stages'!$D$2:$D$7,MATCH(F828,'Stages'!$A$2:$A$7,0)))</f>
        <v>0</v>
      </c>
      <c r="T828" s="4">
        <f>(H828*I828)</f>
        <v>10900</v>
      </c>
      <c r="U828" s="4">
        <f>(H828*(I828-1))</f>
        <v>0</v>
      </c>
      <c r="V828" s="0" t="str">
        <f>INDEX('Account executives'!$B$2:$B$25,MATCH(C828,'Account executives'!$A$2:$A$25,0))</f>
        <v>amer_east</v>
      </c>
      <c r="W828" s="0" t="str">
        <f>INDEX('Account executives'!$C$2:$C$25,MATCH(C828,'Account executives'!$A$2:$A$25,0))</f>
        <v>smb</v>
      </c>
      <c r="X828" s="0" t="str">
        <f>SUBSTITUTE(LOWER(INDEX('Periods'!$G$2:$G$22,MATCH(N828,'Periods'!$A$2:$A$22,0)))," ","_")</f>
        <v>q3_2026</v>
      </c>
    </row>
    <row r="829">
      <c r="A829" s="0" t="inlineStr">
        <is>
          <t xml:space="preserve">o0828</t>
        </is>
      </c>
      <c r="B829" s="0" t="inlineStr">
        <is>
          <t xml:space="preserve">a0223</t>
        </is>
      </c>
      <c r="C829" s="0" t="inlineStr">
        <is>
          <t xml:space="preserve">r21</t>
        </is>
      </c>
      <c r="D829" s="0" t="inlineStr">
        <is>
          <t xml:space="preserve">s_apac_in</t>
        </is>
      </c>
      <c r="E829" s="0" t="inlineStr">
        <is>
          <t xml:space="preserve">paid</t>
        </is>
      </c>
      <c r="F829" s="0" t="inlineStr">
        <is>
          <t xml:space="preserve">closed_lost</t>
        </is>
      </c>
      <c r="G829" s="4">
        <v>0</v>
      </c>
      <c r="H829" s="4">
        <v>11900</v>
      </c>
      <c r="I829" s="4">
        <v>1</v>
      </c>
      <c r="J829" s="4">
        <v>1</v>
      </c>
      <c r="K829" s="16">
        <v>45944</v>
      </c>
      <c r="L829" s="16">
        <v>45978</v>
      </c>
      <c r="M829" s="0" t="inlineStr">
        <is>
          <t xml:space="preserve">oct25</t>
        </is>
      </c>
      <c r="N829" s="0" t="inlineStr">
        <is>
          <t xml:space="preserve">nov25</t>
        </is>
      </c>
      <c r="O829" s="4">
        <v>34</v>
      </c>
      <c r="P829" s="4">
        <v>0</v>
      </c>
      <c r="Q829" s="4">
        <v>1</v>
      </c>
      <c r="R829" s="4">
        <v>0</v>
      </c>
      <c r="S829" s="4">
        <f>(H829*INDEX('Stages'!$D$2:$D$7,MATCH(F829,'Stages'!$A$2:$A$7,0)))</f>
        <v>0</v>
      </c>
      <c r="T829" s="4">
        <f>(H829*I829)</f>
        <v>11900</v>
      </c>
      <c r="U829" s="4">
        <f>(H829*(I829-1))</f>
        <v>0</v>
      </c>
      <c r="V829" s="0" t="str">
        <f>INDEX('Account executives'!$B$2:$B$25,MATCH(C829,'Account executives'!$A$2:$A$25,0))</f>
        <v>apac</v>
      </c>
      <c r="W829" s="0" t="str">
        <f>INDEX('Account executives'!$C$2:$C$25,MATCH(C829,'Account executives'!$A$2:$A$25,0))</f>
        <v>mid_market</v>
      </c>
      <c r="X829" s="0" t="str">
        <f>SUBSTITUTE(LOWER(INDEX('Periods'!$G$2:$G$22,MATCH(N829,'Periods'!$A$2:$A$22,0)))," ","_")</f>
        <v>q4_2025</v>
      </c>
    </row>
    <row r="830">
      <c r="A830" s="0" t="inlineStr">
        <is>
          <t xml:space="preserve">o0829</t>
        </is>
      </c>
      <c r="B830" s="0" t="inlineStr">
        <is>
          <t xml:space="preserve">a0833</t>
        </is>
      </c>
      <c r="C830" s="0" t="inlineStr">
        <is>
          <t xml:space="preserve">r01</t>
        </is>
      </c>
      <c r="D830" s="0"/>
      <c r="E830" s="0" t="inlineStr">
        <is>
          <t xml:space="preserve">partner</t>
        </is>
      </c>
      <c r="F830" s="0" t="inlineStr">
        <is>
          <t xml:space="preserve">closed_lost</t>
        </is>
      </c>
      <c r="G830" s="4">
        <v>1</v>
      </c>
      <c r="H830" s="4">
        <v>50300</v>
      </c>
      <c r="I830" s="4">
        <v>1</v>
      </c>
      <c r="J830" s="4">
        <v>1</v>
      </c>
      <c r="K830" s="16">
        <v>46113</v>
      </c>
      <c r="L830" s="16">
        <v>46222</v>
      </c>
      <c r="M830" s="0" t="inlineStr">
        <is>
          <t xml:space="preserve">apr26</t>
        </is>
      </c>
      <c r="N830" s="0" t="inlineStr">
        <is>
          <t xml:space="preserve">jul26</t>
        </is>
      </c>
      <c r="O830" s="4">
        <v>109</v>
      </c>
      <c r="P830" s="4">
        <v>0</v>
      </c>
      <c r="Q830" s="4">
        <v>1</v>
      </c>
      <c r="R830" s="4">
        <v>0</v>
      </c>
      <c r="S830" s="4">
        <f>(H830*INDEX('Stages'!$D$2:$D$7,MATCH(F830,'Stages'!$A$2:$A$7,0)))</f>
        <v>0</v>
      </c>
      <c r="T830" s="4">
        <f>(H830*I830)</f>
        <v>50300</v>
      </c>
      <c r="U830" s="4">
        <f>(H830*(I830-1))</f>
        <v>0</v>
      </c>
      <c r="V830" s="0" t="str">
        <f>INDEX('Account executives'!$B$2:$B$25,MATCH(C830,'Account executives'!$A$2:$A$25,0))</f>
        <v>amer_east</v>
      </c>
      <c r="W830" s="0" t="str">
        <f>INDEX('Account executives'!$C$2:$C$25,MATCH(C830,'Account executives'!$A$2:$A$25,0))</f>
        <v>enterprise</v>
      </c>
      <c r="X830" s="0" t="str">
        <f>SUBSTITUTE(LOWER(INDEX('Periods'!$G$2:$G$22,MATCH(N830,'Periods'!$A$2:$A$22,0)))," ","_")</f>
        <v>q3_2026</v>
      </c>
    </row>
    <row r="831">
      <c r="A831" s="0" t="inlineStr">
        <is>
          <t xml:space="preserve">o0830</t>
        </is>
      </c>
      <c r="B831" s="0" t="inlineStr">
        <is>
          <t xml:space="preserve">a0034</t>
        </is>
      </c>
      <c r="C831" s="0" t="inlineStr">
        <is>
          <t xml:space="preserve">r11</t>
        </is>
      </c>
      <c r="D831" s="0"/>
      <c r="E831" s="0" t="inlineStr">
        <is>
          <t xml:space="preserve">partner</t>
        </is>
      </c>
      <c r="F831" s="0" t="inlineStr">
        <is>
          <t xml:space="preserve">closed_won</t>
        </is>
      </c>
      <c r="G831" s="4">
        <v>1</v>
      </c>
      <c r="H831" s="4">
        <v>6800</v>
      </c>
      <c r="I831" s="4">
        <v>1</v>
      </c>
      <c r="J831" s="4">
        <v>0</v>
      </c>
      <c r="K831" s="16">
        <v>45773</v>
      </c>
      <c r="L831" s="16">
        <v>45802</v>
      </c>
      <c r="M831" s="0" t="inlineStr">
        <is>
          <t xml:space="preserve">apr25</t>
        </is>
      </c>
      <c r="N831" s="0" t="inlineStr">
        <is>
          <t xml:space="preserve">may25</t>
        </is>
      </c>
      <c r="O831" s="4">
        <v>29</v>
      </c>
      <c r="P831" s="4">
        <v>1</v>
      </c>
      <c r="Q831" s="4">
        <v>0</v>
      </c>
      <c r="R831" s="4">
        <v>0</v>
      </c>
      <c r="S831" s="4">
        <f>(H831*INDEX('Stages'!$D$2:$D$7,MATCH(F831,'Stages'!$A$2:$A$7,0)))</f>
        <v>6800</v>
      </c>
      <c r="T831" s="4">
        <f>(H831*I831)</f>
        <v>6800</v>
      </c>
      <c r="U831" s="4">
        <f>(H831*(I831-1))</f>
        <v>0</v>
      </c>
      <c r="V831" s="0" t="str">
        <f>INDEX('Account executives'!$B$2:$B$25,MATCH(C831,'Account executives'!$A$2:$A$25,0))</f>
        <v>amer_west</v>
      </c>
      <c r="W831" s="0" t="str">
        <f>INDEX('Account executives'!$C$2:$C$25,MATCH(C831,'Account executives'!$A$2:$A$25,0))</f>
        <v>smb</v>
      </c>
      <c r="X831" s="0" t="str">
        <f>SUBSTITUTE(LOWER(INDEX('Periods'!$G$2:$G$22,MATCH(N831,'Periods'!$A$2:$A$22,0)))," ","_")</f>
        <v>q2_2025</v>
      </c>
    </row>
    <row r="832">
      <c r="A832" s="0" t="inlineStr">
        <is>
          <t xml:space="preserve">o0831</t>
        </is>
      </c>
      <c r="B832" s="0" t="inlineStr">
        <is>
          <t xml:space="preserve">a0177</t>
        </is>
      </c>
      <c r="C832" s="0" t="inlineStr">
        <is>
          <t xml:space="preserve">r01</t>
        </is>
      </c>
      <c r="D832" s="0"/>
      <c r="E832" s="0" t="inlineStr">
        <is>
          <t xml:space="preserve">events</t>
        </is>
      </c>
      <c r="F832" s="0" t="inlineStr">
        <is>
          <t xml:space="preserve">closed_lost</t>
        </is>
      </c>
      <c r="G832" s="4">
        <v>1</v>
      </c>
      <c r="H832" s="4">
        <v>164900</v>
      </c>
      <c r="I832" s="4">
        <v>1</v>
      </c>
      <c r="J832" s="4">
        <v>1</v>
      </c>
      <c r="K832" s="16">
        <v>45822</v>
      </c>
      <c r="L832" s="16">
        <v>46008</v>
      </c>
      <c r="M832" s="0" t="inlineStr">
        <is>
          <t xml:space="preserve">jun25</t>
        </is>
      </c>
      <c r="N832" s="0" t="inlineStr">
        <is>
          <t xml:space="preserve">dec25</t>
        </is>
      </c>
      <c r="O832" s="4">
        <v>186</v>
      </c>
      <c r="P832" s="4">
        <v>0</v>
      </c>
      <c r="Q832" s="4">
        <v>1</v>
      </c>
      <c r="R832" s="4">
        <v>0</v>
      </c>
      <c r="S832" s="4">
        <f>(H832*INDEX('Stages'!$D$2:$D$7,MATCH(F832,'Stages'!$A$2:$A$7,0)))</f>
        <v>0</v>
      </c>
      <c r="T832" s="4">
        <f>(H832*I832)</f>
        <v>164900</v>
      </c>
      <c r="U832" s="4">
        <f>(H832*(I832-1))</f>
        <v>0</v>
      </c>
      <c r="V832" s="0" t="str">
        <f>INDEX('Account executives'!$B$2:$B$25,MATCH(C832,'Account executives'!$A$2:$A$25,0))</f>
        <v>amer_east</v>
      </c>
      <c r="W832" s="0" t="str">
        <f>INDEX('Account executives'!$C$2:$C$25,MATCH(C832,'Account executives'!$A$2:$A$25,0))</f>
        <v>enterprise</v>
      </c>
      <c r="X832" s="0" t="str">
        <f>SUBSTITUTE(LOWER(INDEX('Periods'!$G$2:$G$22,MATCH(N832,'Periods'!$A$2:$A$22,0)))," ","_")</f>
        <v>q4_2025</v>
      </c>
    </row>
    <row r="833">
      <c r="A833" s="0" t="inlineStr">
        <is>
          <t xml:space="preserve">o0832</t>
        </is>
      </c>
      <c r="B833" s="0" t="inlineStr">
        <is>
          <t xml:space="preserve">a0434</t>
        </is>
      </c>
      <c r="C833" s="0" t="inlineStr">
        <is>
          <t xml:space="preserve">r12</t>
        </is>
      </c>
      <c r="D833" s="0"/>
      <c r="E833" s="0" t="inlineStr">
        <is>
          <t xml:space="preserve">events</t>
        </is>
      </c>
      <c r="F833" s="0" t="inlineStr">
        <is>
          <t xml:space="preserve">closed_won</t>
        </is>
      </c>
      <c r="G833" s="4">
        <v>1</v>
      </c>
      <c r="H833" s="4">
        <v>20600</v>
      </c>
      <c r="I833" s="4">
        <v>1</v>
      </c>
      <c r="J833" s="4">
        <v>0</v>
      </c>
      <c r="K833" s="16">
        <v>45949</v>
      </c>
      <c r="L833" s="16">
        <v>45986</v>
      </c>
      <c r="M833" s="0" t="inlineStr">
        <is>
          <t xml:space="preserve">oct25</t>
        </is>
      </c>
      <c r="N833" s="0" t="inlineStr">
        <is>
          <t xml:space="preserve">nov25</t>
        </is>
      </c>
      <c r="O833" s="4">
        <v>37</v>
      </c>
      <c r="P833" s="4">
        <v>1</v>
      </c>
      <c r="Q833" s="4">
        <v>0</v>
      </c>
      <c r="R833" s="4">
        <v>0</v>
      </c>
      <c r="S833" s="4">
        <f>(H833*INDEX('Stages'!$D$2:$D$7,MATCH(F833,'Stages'!$A$2:$A$7,0)))</f>
        <v>20600</v>
      </c>
      <c r="T833" s="4">
        <f>(H833*I833)</f>
        <v>20600</v>
      </c>
      <c r="U833" s="4">
        <f>(H833*(I833-1))</f>
        <v>0</v>
      </c>
      <c r="V833" s="0" t="str">
        <f>INDEX('Account executives'!$B$2:$B$25,MATCH(C833,'Account executives'!$A$2:$A$25,0))</f>
        <v>amer_west</v>
      </c>
      <c r="W833" s="0" t="str">
        <f>INDEX('Account executives'!$C$2:$C$25,MATCH(C833,'Account executives'!$A$2:$A$25,0))</f>
        <v>smb</v>
      </c>
      <c r="X833" s="0" t="str">
        <f>SUBSTITUTE(LOWER(INDEX('Periods'!$G$2:$G$22,MATCH(N833,'Periods'!$A$2:$A$22,0)))," ","_")</f>
        <v>q4_2025</v>
      </c>
    </row>
    <row r="834">
      <c r="A834" s="0" t="inlineStr">
        <is>
          <t xml:space="preserve">o0833</t>
        </is>
      </c>
      <c r="B834" s="0" t="inlineStr">
        <is>
          <t xml:space="preserve">a0128</t>
        </is>
      </c>
      <c r="C834" s="0" t="inlineStr">
        <is>
          <t xml:space="preserve">r18</t>
        </is>
      </c>
      <c r="D834" s="0"/>
      <c r="E834" s="0" t="inlineStr">
        <is>
          <t xml:space="preserve">events</t>
        </is>
      </c>
      <c r="F834" s="0" t="inlineStr">
        <is>
          <t xml:space="preserve">closed_lost</t>
        </is>
      </c>
      <c r="G834" s="4">
        <v>1</v>
      </c>
      <c r="H834" s="4">
        <v>16100</v>
      </c>
      <c r="I834" s="4">
        <v>1</v>
      </c>
      <c r="J834" s="4">
        <v>0</v>
      </c>
      <c r="K834" s="16">
        <v>45800</v>
      </c>
      <c r="L834" s="16">
        <v>45841</v>
      </c>
      <c r="M834" s="0" t="inlineStr">
        <is>
          <t xml:space="preserve">may25</t>
        </is>
      </c>
      <c r="N834" s="0" t="inlineStr">
        <is>
          <t xml:space="preserve">jul25</t>
        </is>
      </c>
      <c r="O834" s="4">
        <v>41</v>
      </c>
      <c r="P834" s="4">
        <v>0</v>
      </c>
      <c r="Q834" s="4">
        <v>1</v>
      </c>
      <c r="R834" s="4">
        <v>0</v>
      </c>
      <c r="S834" s="4">
        <f>(H834*INDEX('Stages'!$D$2:$D$7,MATCH(F834,'Stages'!$A$2:$A$7,0)))</f>
        <v>0</v>
      </c>
      <c r="T834" s="4">
        <f>(H834*I834)</f>
        <v>16100</v>
      </c>
      <c r="U834" s="4">
        <f>(H834*(I834-1))</f>
        <v>0</v>
      </c>
      <c r="V834" s="0" t="str">
        <f>INDEX('Account executives'!$B$2:$B$25,MATCH(C834,'Account executives'!$A$2:$A$25,0))</f>
        <v>emea</v>
      </c>
      <c r="W834" s="0" t="str">
        <f>INDEX('Account executives'!$C$2:$C$25,MATCH(C834,'Account executives'!$A$2:$A$25,0))</f>
        <v>smb</v>
      </c>
      <c r="X834" s="0" t="str">
        <f>SUBSTITUTE(LOWER(INDEX('Periods'!$G$2:$G$22,MATCH(N834,'Periods'!$A$2:$A$22,0)))," ","_")</f>
        <v>q3_2025</v>
      </c>
    </row>
    <row r="835">
      <c r="A835" s="0" t="inlineStr">
        <is>
          <t xml:space="preserve">o0834</t>
        </is>
      </c>
      <c r="B835" s="0" t="inlineStr">
        <is>
          <t xml:space="preserve">a0383</t>
        </is>
      </c>
      <c r="C835" s="0" t="inlineStr">
        <is>
          <t xml:space="preserve">r12</t>
        </is>
      </c>
      <c r="D835" s="0"/>
      <c r="E835" s="0" t="inlineStr">
        <is>
          <t xml:space="preserve">events</t>
        </is>
      </c>
      <c r="F835" s="0" t="inlineStr">
        <is>
          <t xml:space="preserve">closed_lost</t>
        </is>
      </c>
      <c r="G835" s="4">
        <v>0</v>
      </c>
      <c r="H835" s="4">
        <v>15600</v>
      </c>
      <c r="I835" s="4">
        <v>1</v>
      </c>
      <c r="J835" s="4">
        <v>1</v>
      </c>
      <c r="K835" s="16">
        <v>46183</v>
      </c>
      <c r="L835" s="16">
        <v>46213</v>
      </c>
      <c r="M835" s="0" t="inlineStr">
        <is>
          <t xml:space="preserve">jun26</t>
        </is>
      </c>
      <c r="N835" s="0" t="inlineStr">
        <is>
          <t xml:space="preserve">jul26</t>
        </is>
      </c>
      <c r="O835" s="4">
        <v>30</v>
      </c>
      <c r="P835" s="4">
        <v>0</v>
      </c>
      <c r="Q835" s="4">
        <v>1</v>
      </c>
      <c r="R835" s="4">
        <v>0</v>
      </c>
      <c r="S835" s="4">
        <f>(H835*INDEX('Stages'!$D$2:$D$7,MATCH(F835,'Stages'!$A$2:$A$7,0)))</f>
        <v>0</v>
      </c>
      <c r="T835" s="4">
        <f>(H835*I835)</f>
        <v>15600</v>
      </c>
      <c r="U835" s="4">
        <f>(H835*(I835-1))</f>
        <v>0</v>
      </c>
      <c r="V835" s="0" t="str">
        <f>INDEX('Account executives'!$B$2:$B$25,MATCH(C835,'Account executives'!$A$2:$A$25,0))</f>
        <v>amer_west</v>
      </c>
      <c r="W835" s="0" t="str">
        <f>INDEX('Account executives'!$C$2:$C$25,MATCH(C835,'Account executives'!$A$2:$A$25,0))</f>
        <v>smb</v>
      </c>
      <c r="X835" s="0" t="str">
        <f>SUBSTITUTE(LOWER(INDEX('Periods'!$G$2:$G$22,MATCH(N835,'Periods'!$A$2:$A$22,0)))," ","_")</f>
        <v>q3_2026</v>
      </c>
    </row>
    <row r="836">
      <c r="A836" s="0" t="inlineStr">
        <is>
          <t xml:space="preserve">o0835</t>
        </is>
      </c>
      <c r="B836" s="0" t="inlineStr">
        <is>
          <t xml:space="preserve">a0897</t>
        </is>
      </c>
      <c r="C836" s="0" t="inlineStr">
        <is>
          <t xml:space="preserve">r04</t>
        </is>
      </c>
      <c r="D836" s="0" t="inlineStr">
        <is>
          <t xml:space="preserve">s_amer_east_in</t>
        </is>
      </c>
      <c r="E836" s="0" t="inlineStr">
        <is>
          <t xml:space="preserve">paid</t>
        </is>
      </c>
      <c r="F836" s="0" t="inlineStr">
        <is>
          <t xml:space="preserve">closed_lost</t>
        </is>
      </c>
      <c r="G836" s="4">
        <v>1</v>
      </c>
      <c r="H836" s="4">
        <v>36000</v>
      </c>
      <c r="I836" s="4">
        <v>1</v>
      </c>
      <c r="J836" s="4">
        <v>0</v>
      </c>
      <c r="K836" s="16">
        <v>46168</v>
      </c>
      <c r="L836" s="16">
        <v>46223</v>
      </c>
      <c r="M836" s="0" t="inlineStr">
        <is>
          <t xml:space="preserve">may26</t>
        </is>
      </c>
      <c r="N836" s="0" t="inlineStr">
        <is>
          <t xml:space="preserve">jul26</t>
        </is>
      </c>
      <c r="O836" s="4">
        <v>55</v>
      </c>
      <c r="P836" s="4">
        <v>0</v>
      </c>
      <c r="Q836" s="4">
        <v>1</v>
      </c>
      <c r="R836" s="4">
        <v>0</v>
      </c>
      <c r="S836" s="4">
        <f>(H836*INDEX('Stages'!$D$2:$D$7,MATCH(F836,'Stages'!$A$2:$A$7,0)))</f>
        <v>0</v>
      </c>
      <c r="T836" s="4">
        <f>(H836*I836)</f>
        <v>36000</v>
      </c>
      <c r="U836" s="4">
        <f>(H836*(I836-1))</f>
        <v>0</v>
      </c>
      <c r="V836" s="0" t="str">
        <f>INDEX('Account executives'!$B$2:$B$25,MATCH(C836,'Account executives'!$A$2:$A$25,0))</f>
        <v>amer_east</v>
      </c>
      <c r="W836" s="0" t="str">
        <f>INDEX('Account executives'!$C$2:$C$25,MATCH(C836,'Account executives'!$A$2:$A$25,0))</f>
        <v>mid_market</v>
      </c>
      <c r="X836" s="0" t="str">
        <f>SUBSTITUTE(LOWER(INDEX('Periods'!$G$2:$G$22,MATCH(N836,'Periods'!$A$2:$A$22,0)))," ","_")</f>
        <v>q3_2026</v>
      </c>
    </row>
    <row r="837">
      <c r="A837" s="0" t="inlineStr">
        <is>
          <t xml:space="preserve">o0836</t>
        </is>
      </c>
      <c r="B837" s="0" t="inlineStr">
        <is>
          <t xml:space="preserve">a0478</t>
        </is>
      </c>
      <c r="C837" s="0" t="inlineStr">
        <is>
          <t xml:space="preserve">r06</t>
        </is>
      </c>
      <c r="D837" s="0" t="inlineStr">
        <is>
          <t xml:space="preserve">s_amer_east_in</t>
        </is>
      </c>
      <c r="E837" s="0" t="inlineStr">
        <is>
          <t xml:space="preserve">inbound</t>
        </is>
      </c>
      <c r="F837" s="0" t="inlineStr">
        <is>
          <t xml:space="preserve">closed_lost</t>
        </is>
      </c>
      <c r="G837" s="4">
        <v>1</v>
      </c>
      <c r="H837" s="4">
        <v>24100</v>
      </c>
      <c r="I837" s="4">
        <v>1</v>
      </c>
      <c r="J837" s="4">
        <v>0</v>
      </c>
      <c r="K837" s="16">
        <v>45962</v>
      </c>
      <c r="L837" s="16">
        <v>46019</v>
      </c>
      <c r="M837" s="0" t="inlineStr">
        <is>
          <t xml:space="preserve">nov25</t>
        </is>
      </c>
      <c r="N837" s="0" t="inlineStr">
        <is>
          <t xml:space="preserve">dec25</t>
        </is>
      </c>
      <c r="O837" s="4">
        <v>57</v>
      </c>
      <c r="P837" s="4">
        <v>0</v>
      </c>
      <c r="Q837" s="4">
        <v>1</v>
      </c>
      <c r="R837" s="4">
        <v>0</v>
      </c>
      <c r="S837" s="4">
        <f>(H837*INDEX('Stages'!$D$2:$D$7,MATCH(F837,'Stages'!$A$2:$A$7,0)))</f>
        <v>0</v>
      </c>
      <c r="T837" s="4">
        <f>(H837*I837)</f>
        <v>24100</v>
      </c>
      <c r="U837" s="4">
        <f>(H837*(I837-1))</f>
        <v>0</v>
      </c>
      <c r="V837" s="0" t="str">
        <f>INDEX('Account executives'!$B$2:$B$25,MATCH(C837,'Account executives'!$A$2:$A$25,0))</f>
        <v>amer_east</v>
      </c>
      <c r="W837" s="0" t="str">
        <f>INDEX('Account executives'!$C$2:$C$25,MATCH(C837,'Account executives'!$A$2:$A$25,0))</f>
        <v>smb</v>
      </c>
      <c r="X837" s="0" t="str">
        <f>SUBSTITUTE(LOWER(INDEX('Periods'!$G$2:$G$22,MATCH(N837,'Periods'!$A$2:$A$22,0)))," ","_")</f>
        <v>q4_2025</v>
      </c>
    </row>
    <row r="838">
      <c r="A838" s="0" t="inlineStr">
        <is>
          <t xml:space="preserve">o0837</t>
        </is>
      </c>
      <c r="B838" s="0" t="inlineStr">
        <is>
          <t xml:space="preserve">a0596</t>
        </is>
      </c>
      <c r="C838" s="0" t="inlineStr">
        <is>
          <t xml:space="preserve">r18</t>
        </is>
      </c>
      <c r="D838" s="0" t="inlineStr">
        <is>
          <t xml:space="preserve">s_emea_out</t>
        </is>
      </c>
      <c r="E838" s="0" t="inlineStr">
        <is>
          <t xml:space="preserve">outbound</t>
        </is>
      </c>
      <c r="F838" s="0" t="inlineStr">
        <is>
          <t xml:space="preserve">closed_won</t>
        </is>
      </c>
      <c r="G838" s="4">
        <v>1</v>
      </c>
      <c r="H838" s="4">
        <v>11900</v>
      </c>
      <c r="I838" s="4">
        <v>1</v>
      </c>
      <c r="J838" s="4">
        <v>0</v>
      </c>
      <c r="K838" s="16">
        <v>46012</v>
      </c>
      <c r="L838" s="16">
        <v>46109</v>
      </c>
      <c r="M838" s="0" t="inlineStr">
        <is>
          <t xml:space="preserve">dec25</t>
        </is>
      </c>
      <c r="N838" s="0" t="inlineStr">
        <is>
          <t xml:space="preserve">mar26</t>
        </is>
      </c>
      <c r="O838" s="4">
        <v>97</v>
      </c>
      <c r="P838" s="4">
        <v>1</v>
      </c>
      <c r="Q838" s="4">
        <v>0</v>
      </c>
      <c r="R838" s="4">
        <v>0</v>
      </c>
      <c r="S838" s="4">
        <f>(H838*INDEX('Stages'!$D$2:$D$7,MATCH(F838,'Stages'!$A$2:$A$7,0)))</f>
        <v>11900</v>
      </c>
      <c r="T838" s="4">
        <f>(H838*I838)</f>
        <v>11900</v>
      </c>
      <c r="U838" s="4">
        <f>(H838*(I838-1))</f>
        <v>0</v>
      </c>
      <c r="V838" s="0" t="str">
        <f>INDEX('Account executives'!$B$2:$B$25,MATCH(C838,'Account executives'!$A$2:$A$25,0))</f>
        <v>emea</v>
      </c>
      <c r="W838" s="0" t="str">
        <f>INDEX('Account executives'!$C$2:$C$25,MATCH(C838,'Account executives'!$A$2:$A$25,0))</f>
        <v>smb</v>
      </c>
      <c r="X838" s="0" t="str">
        <f>SUBSTITUTE(LOWER(INDEX('Periods'!$G$2:$G$22,MATCH(N838,'Periods'!$A$2:$A$22,0)))," ","_")</f>
        <v>q1_2026</v>
      </c>
    </row>
    <row r="839">
      <c r="A839" s="0" t="inlineStr">
        <is>
          <t xml:space="preserve">o0838</t>
        </is>
      </c>
      <c r="B839" s="0" t="inlineStr">
        <is>
          <t xml:space="preserve">a0020</t>
        </is>
      </c>
      <c r="C839" s="0" t="inlineStr">
        <is>
          <t xml:space="preserve">r01</t>
        </is>
      </c>
      <c r="D839" s="0" t="inlineStr">
        <is>
          <t xml:space="preserve">s_amer_east_out</t>
        </is>
      </c>
      <c r="E839" s="0" t="inlineStr">
        <is>
          <t xml:space="preserve">outbound</t>
        </is>
      </c>
      <c r="F839" s="0" t="inlineStr">
        <is>
          <t xml:space="preserve">closed_lost</t>
        </is>
      </c>
      <c r="G839" s="4">
        <v>1</v>
      </c>
      <c r="H839" s="4">
        <v>98600</v>
      </c>
      <c r="I839" s="4">
        <v>3</v>
      </c>
      <c r="J839" s="4">
        <v>1</v>
      </c>
      <c r="K839" s="16">
        <v>45770</v>
      </c>
      <c r="L839" s="16">
        <v>45890</v>
      </c>
      <c r="M839" s="0" t="inlineStr">
        <is>
          <t xml:space="preserve">apr25</t>
        </is>
      </c>
      <c r="N839" s="0" t="inlineStr">
        <is>
          <t xml:space="preserve">aug25</t>
        </is>
      </c>
      <c r="O839" s="4">
        <v>120</v>
      </c>
      <c r="P839" s="4">
        <v>0</v>
      </c>
      <c r="Q839" s="4">
        <v>1</v>
      </c>
      <c r="R839" s="4">
        <v>0</v>
      </c>
      <c r="S839" s="4">
        <f>(H839*INDEX('Stages'!$D$2:$D$7,MATCH(F839,'Stages'!$A$2:$A$7,0)))</f>
        <v>0</v>
      </c>
      <c r="T839" s="4">
        <f>(H839*I839)</f>
        <v>295800</v>
      </c>
      <c r="U839" s="4">
        <f>(H839*(I839-1))</f>
        <v>197200</v>
      </c>
      <c r="V839" s="0" t="str">
        <f>INDEX('Account executives'!$B$2:$B$25,MATCH(C839,'Account executives'!$A$2:$A$25,0))</f>
        <v>amer_east</v>
      </c>
      <c r="W839" s="0" t="str">
        <f>INDEX('Account executives'!$C$2:$C$25,MATCH(C839,'Account executives'!$A$2:$A$25,0))</f>
        <v>enterprise</v>
      </c>
      <c r="X839" s="0" t="str">
        <f>SUBSTITUTE(LOWER(INDEX('Periods'!$G$2:$G$22,MATCH(N839,'Periods'!$A$2:$A$22,0)))," ","_")</f>
        <v>q3_2025</v>
      </c>
    </row>
    <row r="840">
      <c r="A840" s="0" t="inlineStr">
        <is>
          <t xml:space="preserve">o0839</t>
        </is>
      </c>
      <c r="B840" s="0" t="inlineStr">
        <is>
          <t xml:space="preserve">a0962</t>
        </is>
      </c>
      <c r="C840" s="0" t="inlineStr">
        <is>
          <t xml:space="preserve">r01</t>
        </is>
      </c>
      <c r="D840" s="0" t="inlineStr">
        <is>
          <t xml:space="preserve">s_amer_east_in</t>
        </is>
      </c>
      <c r="E840" s="0" t="inlineStr">
        <is>
          <t xml:space="preserve">inbound</t>
        </is>
      </c>
      <c r="F840" s="0" t="inlineStr">
        <is>
          <t xml:space="preserve">evaluation</t>
        </is>
      </c>
      <c r="G840" s="4">
        <v>1</v>
      </c>
      <c r="H840" s="4">
        <v>258700</v>
      </c>
      <c r="I840" s="4">
        <v>1</v>
      </c>
      <c r="J840" s="4">
        <v>0</v>
      </c>
      <c r="K840" s="16">
        <v>46196</v>
      </c>
      <c r="L840" s="16">
        <v>46293</v>
      </c>
      <c r="M840" s="0" t="inlineStr">
        <is>
          <t xml:space="preserve">jun26</t>
        </is>
      </c>
      <c r="N840" s="0" t="inlineStr">
        <is>
          <t xml:space="preserve">sep26</t>
        </is>
      </c>
      <c r="O840" s="4">
        <v>136</v>
      </c>
      <c r="P840" s="4">
        <v>0</v>
      </c>
      <c r="Q840" s="4">
        <v>0</v>
      </c>
      <c r="R840" s="4">
        <v>1</v>
      </c>
      <c r="S840" s="4">
        <f>(H840*INDEX('Stages'!$D$2:$D$7,MATCH(F840,'Stages'!$A$2:$A$7,0)))</f>
        <v>64675</v>
      </c>
      <c r="T840" s="4">
        <f>(H840*I840)</f>
        <v>258700</v>
      </c>
      <c r="U840" s="4">
        <f>(H840*(I840-1))</f>
        <v>0</v>
      </c>
      <c r="V840" s="0" t="str">
        <f>INDEX('Account executives'!$B$2:$B$25,MATCH(C840,'Account executives'!$A$2:$A$25,0))</f>
        <v>amer_east</v>
      </c>
      <c r="W840" s="0" t="str">
        <f>INDEX('Account executives'!$C$2:$C$25,MATCH(C840,'Account executives'!$A$2:$A$25,0))</f>
        <v>enterprise</v>
      </c>
      <c r="X840" s="0" t="str">
        <f>SUBSTITUTE(LOWER(INDEX('Periods'!$G$2:$G$22,MATCH(N840,'Periods'!$A$2:$A$22,0)))," ","_")</f>
        <v>q3_2026</v>
      </c>
    </row>
    <row r="841">
      <c r="A841" s="0" t="inlineStr">
        <is>
          <t xml:space="preserve">o0840</t>
        </is>
      </c>
      <c r="B841" s="0" t="inlineStr">
        <is>
          <t xml:space="preserve">a0132</t>
        </is>
      </c>
      <c r="C841" s="0" t="inlineStr">
        <is>
          <t xml:space="preserve">r15</t>
        </is>
      </c>
      <c r="D841" s="0"/>
      <c r="E841" s="0" t="inlineStr">
        <is>
          <t xml:space="preserve">events</t>
        </is>
      </c>
      <c r="F841" s="0" t="inlineStr">
        <is>
          <t xml:space="preserve">closed_won</t>
        </is>
      </c>
      <c r="G841" s="4">
        <v>1</v>
      </c>
      <c r="H841" s="4">
        <v>41600</v>
      </c>
      <c r="I841" s="4">
        <v>1</v>
      </c>
      <c r="J841" s="4">
        <v>0</v>
      </c>
      <c r="K841" s="16">
        <v>45795</v>
      </c>
      <c r="L841" s="16">
        <v>45928</v>
      </c>
      <c r="M841" s="0" t="inlineStr">
        <is>
          <t xml:space="preserve">may25</t>
        </is>
      </c>
      <c r="N841" s="0" t="inlineStr">
        <is>
          <t xml:space="preserve">sep25</t>
        </is>
      </c>
      <c r="O841" s="4">
        <v>133</v>
      </c>
      <c r="P841" s="4">
        <v>1</v>
      </c>
      <c r="Q841" s="4">
        <v>0</v>
      </c>
      <c r="R841" s="4">
        <v>0</v>
      </c>
      <c r="S841" s="4">
        <f>(H841*INDEX('Stages'!$D$2:$D$7,MATCH(F841,'Stages'!$A$2:$A$7,0)))</f>
        <v>41600</v>
      </c>
      <c r="T841" s="4">
        <f>(H841*I841)</f>
        <v>41600</v>
      </c>
      <c r="U841" s="4">
        <f>(H841*(I841-1))</f>
        <v>0</v>
      </c>
      <c r="V841" s="0" t="str">
        <f>INDEX('Account executives'!$B$2:$B$25,MATCH(C841,'Account executives'!$A$2:$A$25,0))</f>
        <v>emea</v>
      </c>
      <c r="W841" s="0" t="str">
        <f>INDEX('Account executives'!$C$2:$C$25,MATCH(C841,'Account executives'!$A$2:$A$25,0))</f>
        <v>mid_market</v>
      </c>
      <c r="X841" s="0" t="str">
        <f>SUBSTITUTE(LOWER(INDEX('Periods'!$G$2:$G$22,MATCH(N841,'Periods'!$A$2:$A$22,0)))," ","_")</f>
        <v>q3_2025</v>
      </c>
    </row>
    <row r="842">
      <c r="A842" s="0" t="inlineStr">
        <is>
          <t xml:space="preserve">o0841</t>
        </is>
      </c>
      <c r="B842" s="0" t="inlineStr">
        <is>
          <t xml:space="preserve">a0485</t>
        </is>
      </c>
      <c r="C842" s="0" t="inlineStr">
        <is>
          <t xml:space="preserve">r03</t>
        </is>
      </c>
      <c r="D842" s="0"/>
      <c r="E842" s="0" t="inlineStr">
        <is>
          <t xml:space="preserve">referral</t>
        </is>
      </c>
      <c r="F842" s="0" t="inlineStr">
        <is>
          <t xml:space="preserve">closed_won</t>
        </is>
      </c>
      <c r="G842" s="4">
        <v>0</v>
      </c>
      <c r="H842" s="4">
        <v>9700</v>
      </c>
      <c r="I842" s="4">
        <v>1</v>
      </c>
      <c r="J842" s="4">
        <v>0</v>
      </c>
      <c r="K842" s="16">
        <v>46027</v>
      </c>
      <c r="L842" s="16">
        <v>46089</v>
      </c>
      <c r="M842" s="0" t="inlineStr">
        <is>
          <t xml:space="preserve">jan26</t>
        </is>
      </c>
      <c r="N842" s="0" t="inlineStr">
        <is>
          <t xml:space="preserve">mar26</t>
        </is>
      </c>
      <c r="O842" s="4">
        <v>62</v>
      </c>
      <c r="P842" s="4">
        <v>1</v>
      </c>
      <c r="Q842" s="4">
        <v>0</v>
      </c>
      <c r="R842" s="4">
        <v>0</v>
      </c>
      <c r="S842" s="4">
        <f>(H842*INDEX('Stages'!$D$2:$D$7,MATCH(F842,'Stages'!$A$2:$A$7,0)))</f>
        <v>9700</v>
      </c>
      <c r="T842" s="4">
        <f>(H842*I842)</f>
        <v>9700</v>
      </c>
      <c r="U842" s="4">
        <f>(H842*(I842-1))</f>
        <v>0</v>
      </c>
      <c r="V842" s="0" t="str">
        <f>INDEX('Account executives'!$B$2:$B$25,MATCH(C842,'Account executives'!$A$2:$A$25,0))</f>
        <v>amer_east</v>
      </c>
      <c r="W842" s="0" t="str">
        <f>INDEX('Account executives'!$C$2:$C$25,MATCH(C842,'Account executives'!$A$2:$A$25,0))</f>
        <v>mid_market</v>
      </c>
      <c r="X842" s="0" t="str">
        <f>SUBSTITUTE(LOWER(INDEX('Periods'!$G$2:$G$22,MATCH(N842,'Periods'!$A$2:$A$22,0)))," ","_")</f>
        <v>q1_2026</v>
      </c>
    </row>
    <row r="843">
      <c r="A843" s="0" t="inlineStr">
        <is>
          <t xml:space="preserve">o0842</t>
        </is>
      </c>
      <c r="B843" s="0" t="inlineStr">
        <is>
          <t xml:space="preserve">a0989</t>
        </is>
      </c>
      <c r="C843" s="0" t="inlineStr">
        <is>
          <t xml:space="preserve">r12</t>
        </is>
      </c>
      <c r="D843" s="0" t="inlineStr">
        <is>
          <t xml:space="preserve">s_amer_west_in</t>
        </is>
      </c>
      <c r="E843" s="0" t="inlineStr">
        <is>
          <t xml:space="preserve">paid</t>
        </is>
      </c>
      <c r="F843" s="0" t="inlineStr">
        <is>
          <t xml:space="preserve">closed_won</t>
        </is>
      </c>
      <c r="G843" s="4">
        <v>1</v>
      </c>
      <c r="H843" s="4">
        <v>10600</v>
      </c>
      <c r="I843" s="4">
        <v>1</v>
      </c>
      <c r="J843" s="4">
        <v>1</v>
      </c>
      <c r="K843" s="16">
        <v>46183</v>
      </c>
      <c r="L843" s="16">
        <v>46202</v>
      </c>
      <c r="M843" s="0" t="inlineStr">
        <is>
          <t xml:space="preserve">jun26</t>
        </is>
      </c>
      <c r="N843" s="0" t="inlineStr">
        <is>
          <t xml:space="preserve">jun26</t>
        </is>
      </c>
      <c r="O843" s="4">
        <v>19</v>
      </c>
      <c r="P843" s="4">
        <v>1</v>
      </c>
      <c r="Q843" s="4">
        <v>0</v>
      </c>
      <c r="R843" s="4">
        <v>0</v>
      </c>
      <c r="S843" s="4">
        <f>(H843*INDEX('Stages'!$D$2:$D$7,MATCH(F843,'Stages'!$A$2:$A$7,0)))</f>
        <v>10600</v>
      </c>
      <c r="T843" s="4">
        <f>(H843*I843)</f>
        <v>10600</v>
      </c>
      <c r="U843" s="4">
        <f>(H843*(I843-1))</f>
        <v>0</v>
      </c>
      <c r="V843" s="0" t="str">
        <f>INDEX('Account executives'!$B$2:$B$25,MATCH(C843,'Account executives'!$A$2:$A$25,0))</f>
        <v>amer_west</v>
      </c>
      <c r="W843" s="0" t="str">
        <f>INDEX('Account executives'!$C$2:$C$25,MATCH(C843,'Account executives'!$A$2:$A$25,0))</f>
        <v>smb</v>
      </c>
      <c r="X843" s="0" t="str">
        <f>SUBSTITUTE(LOWER(INDEX('Periods'!$G$2:$G$22,MATCH(N843,'Periods'!$A$2:$A$22,0)))," ","_")</f>
        <v>q2_2026</v>
      </c>
    </row>
    <row r="844">
      <c r="A844" s="0" t="inlineStr">
        <is>
          <t xml:space="preserve">o0843</t>
        </is>
      </c>
      <c r="B844" s="0" t="inlineStr">
        <is>
          <t xml:space="preserve">a0046</t>
        </is>
      </c>
      <c r="C844" s="0" t="inlineStr">
        <is>
          <t xml:space="preserve">r17</t>
        </is>
      </c>
      <c r="D844" s="0"/>
      <c r="E844" s="0" t="inlineStr">
        <is>
          <t xml:space="preserve">events</t>
        </is>
      </c>
      <c r="F844" s="0" t="inlineStr">
        <is>
          <t xml:space="preserve">closed_won</t>
        </is>
      </c>
      <c r="G844" s="4">
        <v>0</v>
      </c>
      <c r="H844" s="4">
        <v>3500</v>
      </c>
      <c r="I844" s="4">
        <v>1</v>
      </c>
      <c r="J844" s="4">
        <v>1</v>
      </c>
      <c r="K844" s="16">
        <v>45773</v>
      </c>
      <c r="L844" s="16">
        <v>45789</v>
      </c>
      <c r="M844" s="0" t="inlineStr">
        <is>
          <t xml:space="preserve">apr25</t>
        </is>
      </c>
      <c r="N844" s="0" t="inlineStr">
        <is>
          <t xml:space="preserve">may25</t>
        </is>
      </c>
      <c r="O844" s="4">
        <v>16</v>
      </c>
      <c r="P844" s="4">
        <v>1</v>
      </c>
      <c r="Q844" s="4">
        <v>0</v>
      </c>
      <c r="R844" s="4">
        <v>0</v>
      </c>
      <c r="S844" s="4">
        <f>(H844*INDEX('Stages'!$D$2:$D$7,MATCH(F844,'Stages'!$A$2:$A$7,0)))</f>
        <v>3500</v>
      </c>
      <c r="T844" s="4">
        <f>(H844*I844)</f>
        <v>3500</v>
      </c>
      <c r="U844" s="4">
        <f>(H844*(I844-1))</f>
        <v>0</v>
      </c>
      <c r="V844" s="0" t="str">
        <f>INDEX('Account executives'!$B$2:$B$25,MATCH(C844,'Account executives'!$A$2:$A$25,0))</f>
        <v>emea</v>
      </c>
      <c r="W844" s="0" t="str">
        <f>INDEX('Account executives'!$C$2:$C$25,MATCH(C844,'Account executives'!$A$2:$A$25,0))</f>
        <v>smb</v>
      </c>
      <c r="X844" s="0" t="str">
        <f>SUBSTITUTE(LOWER(INDEX('Periods'!$G$2:$G$22,MATCH(N844,'Periods'!$A$2:$A$22,0)))," ","_")</f>
        <v>q2_2025</v>
      </c>
    </row>
    <row r="845">
      <c r="A845" s="0" t="inlineStr">
        <is>
          <t xml:space="preserve">o0844</t>
        </is>
      </c>
      <c r="B845" s="0" t="inlineStr">
        <is>
          <t xml:space="preserve">a0889</t>
        </is>
      </c>
      <c r="C845" s="0" t="inlineStr">
        <is>
          <t xml:space="preserve">r01</t>
        </is>
      </c>
      <c r="D845" s="0" t="inlineStr">
        <is>
          <t xml:space="preserve">s_amer_east_in</t>
        </is>
      </c>
      <c r="E845" s="0" t="inlineStr">
        <is>
          <t xml:space="preserve">inbound</t>
        </is>
      </c>
      <c r="F845" s="0" t="inlineStr">
        <is>
          <t xml:space="preserve">closed_lost</t>
        </is>
      </c>
      <c r="G845" s="4">
        <v>1</v>
      </c>
      <c r="H845" s="4">
        <v>78000</v>
      </c>
      <c r="I845" s="4">
        <v>2</v>
      </c>
      <c r="J845" s="4">
        <v>0</v>
      </c>
      <c r="K845" s="16">
        <v>46148</v>
      </c>
      <c r="L845" s="16">
        <v>46238</v>
      </c>
      <c r="M845" s="0" t="inlineStr">
        <is>
          <t xml:space="preserve">may26</t>
        </is>
      </c>
      <c r="N845" s="0" t="inlineStr">
        <is>
          <t xml:space="preserve">aug26</t>
        </is>
      </c>
      <c r="O845" s="4">
        <v>90</v>
      </c>
      <c r="P845" s="4">
        <v>0</v>
      </c>
      <c r="Q845" s="4">
        <v>1</v>
      </c>
      <c r="R845" s="4">
        <v>0</v>
      </c>
      <c r="S845" s="4">
        <f>(H845*INDEX('Stages'!$D$2:$D$7,MATCH(F845,'Stages'!$A$2:$A$7,0)))</f>
        <v>0</v>
      </c>
      <c r="T845" s="4">
        <f>(H845*I845)</f>
        <v>156000</v>
      </c>
      <c r="U845" s="4">
        <f>(H845*(I845-1))</f>
        <v>78000</v>
      </c>
      <c r="V845" s="0" t="str">
        <f>INDEX('Account executives'!$B$2:$B$25,MATCH(C845,'Account executives'!$A$2:$A$25,0))</f>
        <v>amer_east</v>
      </c>
      <c r="W845" s="0" t="str">
        <f>INDEX('Account executives'!$C$2:$C$25,MATCH(C845,'Account executives'!$A$2:$A$25,0))</f>
        <v>enterprise</v>
      </c>
      <c r="X845" s="0" t="str">
        <f>SUBSTITUTE(LOWER(INDEX('Periods'!$G$2:$G$22,MATCH(N845,'Periods'!$A$2:$A$22,0)))," ","_")</f>
        <v>q3_2026</v>
      </c>
    </row>
    <row r="846">
      <c r="A846" s="0" t="inlineStr">
        <is>
          <t xml:space="preserve">o0845</t>
        </is>
      </c>
      <c r="B846" s="0" t="inlineStr">
        <is>
          <t xml:space="preserve">a0368</t>
        </is>
      </c>
      <c r="C846" s="0" t="inlineStr">
        <is>
          <t xml:space="preserve">r01</t>
        </is>
      </c>
      <c r="D846" s="0"/>
      <c r="E846" s="0" t="inlineStr">
        <is>
          <t xml:space="preserve">partner</t>
        </is>
      </c>
      <c r="F846" s="0" t="inlineStr">
        <is>
          <t xml:space="preserve">closed_lost</t>
        </is>
      </c>
      <c r="G846" s="4">
        <v>1</v>
      </c>
      <c r="H846" s="4">
        <v>187800</v>
      </c>
      <c r="I846" s="4">
        <v>1</v>
      </c>
      <c r="J846" s="4">
        <v>1</v>
      </c>
      <c r="K846" s="16">
        <v>45923</v>
      </c>
      <c r="L846" s="16">
        <v>46012</v>
      </c>
      <c r="M846" s="0" t="inlineStr">
        <is>
          <t xml:space="preserve">sep25</t>
        </is>
      </c>
      <c r="N846" s="0" t="inlineStr">
        <is>
          <t xml:space="preserve">dec25</t>
        </is>
      </c>
      <c r="O846" s="4">
        <v>89</v>
      </c>
      <c r="P846" s="4">
        <v>0</v>
      </c>
      <c r="Q846" s="4">
        <v>1</v>
      </c>
      <c r="R846" s="4">
        <v>0</v>
      </c>
      <c r="S846" s="4">
        <f>(H846*INDEX('Stages'!$D$2:$D$7,MATCH(F846,'Stages'!$A$2:$A$7,0)))</f>
        <v>0</v>
      </c>
      <c r="T846" s="4">
        <f>(H846*I846)</f>
        <v>187800</v>
      </c>
      <c r="U846" s="4">
        <f>(H846*(I846-1))</f>
        <v>0</v>
      </c>
      <c r="V846" s="0" t="str">
        <f>INDEX('Account executives'!$B$2:$B$25,MATCH(C846,'Account executives'!$A$2:$A$25,0))</f>
        <v>amer_east</v>
      </c>
      <c r="W846" s="0" t="str">
        <f>INDEX('Account executives'!$C$2:$C$25,MATCH(C846,'Account executives'!$A$2:$A$25,0))</f>
        <v>enterprise</v>
      </c>
      <c r="X846" s="0" t="str">
        <f>SUBSTITUTE(LOWER(INDEX('Periods'!$G$2:$G$22,MATCH(N846,'Periods'!$A$2:$A$22,0)))," ","_")</f>
        <v>q4_2025</v>
      </c>
    </row>
    <row r="847">
      <c r="A847" s="0" t="inlineStr">
        <is>
          <t xml:space="preserve">o0846</t>
        </is>
      </c>
      <c r="B847" s="0" t="inlineStr">
        <is>
          <t xml:space="preserve">a0095</t>
        </is>
      </c>
      <c r="C847" s="0" t="inlineStr">
        <is>
          <t xml:space="preserve">r09</t>
        </is>
      </c>
      <c r="D847" s="0" t="inlineStr">
        <is>
          <t xml:space="preserve">s_amer_west_in</t>
        </is>
      </c>
      <c r="E847" s="0" t="inlineStr">
        <is>
          <t xml:space="preserve">paid</t>
        </is>
      </c>
      <c r="F847" s="0" t="inlineStr">
        <is>
          <t xml:space="preserve">closed_lost</t>
        </is>
      </c>
      <c r="G847" s="4">
        <v>1</v>
      </c>
      <c r="H847" s="4">
        <v>61200</v>
      </c>
      <c r="I847" s="4">
        <v>1</v>
      </c>
      <c r="J847" s="4">
        <v>0</v>
      </c>
      <c r="K847" s="16">
        <v>45787</v>
      </c>
      <c r="L847" s="16">
        <v>45813</v>
      </c>
      <c r="M847" s="0" t="inlineStr">
        <is>
          <t xml:space="preserve">may25</t>
        </is>
      </c>
      <c r="N847" s="0" t="inlineStr">
        <is>
          <t xml:space="preserve">jun25</t>
        </is>
      </c>
      <c r="O847" s="4">
        <v>26</v>
      </c>
      <c r="P847" s="4">
        <v>0</v>
      </c>
      <c r="Q847" s="4">
        <v>1</v>
      </c>
      <c r="R847" s="4">
        <v>0</v>
      </c>
      <c r="S847" s="4">
        <f>(H847*INDEX('Stages'!$D$2:$D$7,MATCH(F847,'Stages'!$A$2:$A$7,0)))</f>
        <v>0</v>
      </c>
      <c r="T847" s="4">
        <f>(H847*I847)</f>
        <v>61200</v>
      </c>
      <c r="U847" s="4">
        <f>(H847*(I847-1))</f>
        <v>0</v>
      </c>
      <c r="V847" s="0" t="str">
        <f>INDEX('Account executives'!$B$2:$B$25,MATCH(C847,'Account executives'!$A$2:$A$25,0))</f>
        <v>amer_west</v>
      </c>
      <c r="W847" s="0" t="str">
        <f>INDEX('Account executives'!$C$2:$C$25,MATCH(C847,'Account executives'!$A$2:$A$25,0))</f>
        <v>mid_market</v>
      </c>
      <c r="X847" s="0" t="str">
        <f>SUBSTITUTE(LOWER(INDEX('Periods'!$G$2:$G$22,MATCH(N847,'Periods'!$A$2:$A$22,0)))," ","_")</f>
        <v>q2_2025</v>
      </c>
    </row>
    <row r="848">
      <c r="A848" s="0" t="inlineStr">
        <is>
          <t xml:space="preserve">o0847</t>
        </is>
      </c>
      <c r="B848" s="0" t="inlineStr">
        <is>
          <t xml:space="preserve">a0207</t>
        </is>
      </c>
      <c r="C848" s="0" t="inlineStr">
        <is>
          <t xml:space="preserve">r16</t>
        </is>
      </c>
      <c r="D848" s="0" t="inlineStr">
        <is>
          <t xml:space="preserve">s_emea_in</t>
        </is>
      </c>
      <c r="E848" s="0" t="inlineStr">
        <is>
          <t xml:space="preserve">inbound</t>
        </is>
      </c>
      <c r="F848" s="0" t="inlineStr">
        <is>
          <t xml:space="preserve">closed_won</t>
        </is>
      </c>
      <c r="G848" s="4">
        <v>0</v>
      </c>
      <c r="H848" s="4">
        <v>16600</v>
      </c>
      <c r="I848" s="4">
        <v>1</v>
      </c>
      <c r="J848" s="4">
        <v>0</v>
      </c>
      <c r="K848" s="16">
        <v>45956</v>
      </c>
      <c r="L848" s="16">
        <v>46029</v>
      </c>
      <c r="M848" s="0" t="inlineStr">
        <is>
          <t xml:space="preserve">oct25</t>
        </is>
      </c>
      <c r="N848" s="0" t="inlineStr">
        <is>
          <t xml:space="preserve">jan26</t>
        </is>
      </c>
      <c r="O848" s="4">
        <v>73</v>
      </c>
      <c r="P848" s="4">
        <v>1</v>
      </c>
      <c r="Q848" s="4">
        <v>0</v>
      </c>
      <c r="R848" s="4">
        <v>0</v>
      </c>
      <c r="S848" s="4">
        <f>(H848*INDEX('Stages'!$D$2:$D$7,MATCH(F848,'Stages'!$A$2:$A$7,0)))</f>
        <v>16600</v>
      </c>
      <c r="T848" s="4">
        <f>(H848*I848)</f>
        <v>16600</v>
      </c>
      <c r="U848" s="4">
        <f>(H848*(I848-1))</f>
        <v>0</v>
      </c>
      <c r="V848" s="0" t="str">
        <f>INDEX('Account executives'!$B$2:$B$25,MATCH(C848,'Account executives'!$A$2:$A$25,0))</f>
        <v>emea</v>
      </c>
      <c r="W848" s="0" t="str">
        <f>INDEX('Account executives'!$C$2:$C$25,MATCH(C848,'Account executives'!$A$2:$A$25,0))</f>
        <v>mid_market</v>
      </c>
      <c r="X848" s="0" t="str">
        <f>SUBSTITUTE(LOWER(INDEX('Periods'!$G$2:$G$22,MATCH(N848,'Periods'!$A$2:$A$22,0)))," ","_")</f>
        <v>q1_2026</v>
      </c>
    </row>
    <row r="849">
      <c r="A849" s="0" t="inlineStr">
        <is>
          <t xml:space="preserve">o0848</t>
        </is>
      </c>
      <c r="B849" s="0" t="inlineStr">
        <is>
          <t xml:space="preserve">a0133</t>
        </is>
      </c>
      <c r="C849" s="0" t="inlineStr">
        <is>
          <t xml:space="preserve">r15</t>
        </is>
      </c>
      <c r="D849" s="0" t="inlineStr">
        <is>
          <t xml:space="preserve">s_emea_in</t>
        </is>
      </c>
      <c r="E849" s="0" t="inlineStr">
        <is>
          <t xml:space="preserve">inbound</t>
        </is>
      </c>
      <c r="F849" s="0" t="inlineStr">
        <is>
          <t xml:space="preserve">closed_won</t>
        </is>
      </c>
      <c r="G849" s="4">
        <v>0</v>
      </c>
      <c r="H849" s="4">
        <v>42700</v>
      </c>
      <c r="I849" s="4">
        <v>1</v>
      </c>
      <c r="J849" s="4">
        <v>0</v>
      </c>
      <c r="K849" s="16">
        <v>45873</v>
      </c>
      <c r="L849" s="16">
        <v>45942</v>
      </c>
      <c r="M849" s="0" t="inlineStr">
        <is>
          <t xml:space="preserve">aug25</t>
        </is>
      </c>
      <c r="N849" s="0" t="inlineStr">
        <is>
          <t xml:space="preserve">oct25</t>
        </is>
      </c>
      <c r="O849" s="4">
        <v>69</v>
      </c>
      <c r="P849" s="4">
        <v>1</v>
      </c>
      <c r="Q849" s="4">
        <v>0</v>
      </c>
      <c r="R849" s="4">
        <v>0</v>
      </c>
      <c r="S849" s="4">
        <f>(H849*INDEX('Stages'!$D$2:$D$7,MATCH(F849,'Stages'!$A$2:$A$7,0)))</f>
        <v>42700</v>
      </c>
      <c r="T849" s="4">
        <f>(H849*I849)</f>
        <v>42700</v>
      </c>
      <c r="U849" s="4">
        <f>(H849*(I849-1))</f>
        <v>0</v>
      </c>
      <c r="V849" s="0" t="str">
        <f>INDEX('Account executives'!$B$2:$B$25,MATCH(C849,'Account executives'!$A$2:$A$25,0))</f>
        <v>emea</v>
      </c>
      <c r="W849" s="0" t="str">
        <f>INDEX('Account executives'!$C$2:$C$25,MATCH(C849,'Account executives'!$A$2:$A$25,0))</f>
        <v>mid_market</v>
      </c>
      <c r="X849" s="0" t="str">
        <f>SUBSTITUTE(LOWER(INDEX('Periods'!$G$2:$G$22,MATCH(N849,'Periods'!$A$2:$A$22,0)))," ","_")</f>
        <v>q4_2025</v>
      </c>
    </row>
    <row r="850">
      <c r="A850" s="0" t="inlineStr">
        <is>
          <t xml:space="preserve">o0849</t>
        </is>
      </c>
      <c r="B850" s="0" t="inlineStr">
        <is>
          <t xml:space="preserve">a1074</t>
        </is>
      </c>
      <c r="C850" s="0" t="inlineStr">
        <is>
          <t xml:space="preserve">r05</t>
        </is>
      </c>
      <c r="D850" s="0" t="inlineStr">
        <is>
          <t xml:space="preserve">s_amer_east_in</t>
        </is>
      </c>
      <c r="E850" s="0" t="inlineStr">
        <is>
          <t xml:space="preserve">paid</t>
        </is>
      </c>
      <c r="F850" s="0" t="inlineStr">
        <is>
          <t xml:space="preserve">proposal</t>
        </is>
      </c>
      <c r="G850" s="4">
        <v>1</v>
      </c>
      <c r="H850" s="4">
        <v>23600</v>
      </c>
      <c r="I850" s="4">
        <v>1</v>
      </c>
      <c r="J850" s="4">
        <v>0</v>
      </c>
      <c r="K850" s="16">
        <v>46209</v>
      </c>
      <c r="L850" s="16">
        <v>46293</v>
      </c>
      <c r="M850" s="0" t="inlineStr">
        <is>
          <t xml:space="preserve">jul26</t>
        </is>
      </c>
      <c r="N850" s="0" t="inlineStr">
        <is>
          <t xml:space="preserve">sep26</t>
        </is>
      </c>
      <c r="O850" s="4">
        <v>84</v>
      </c>
      <c r="P850" s="4">
        <v>0</v>
      </c>
      <c r="Q850" s="4">
        <v>0</v>
      </c>
      <c r="R850" s="4">
        <v>1</v>
      </c>
      <c r="S850" s="4">
        <f>(H850*INDEX('Stages'!$D$2:$D$7,MATCH(F850,'Stages'!$A$2:$A$7,0)))</f>
        <v>11800</v>
      </c>
      <c r="T850" s="4">
        <f>(H850*I850)</f>
        <v>23600</v>
      </c>
      <c r="U850" s="4">
        <f>(H850*(I850-1))</f>
        <v>0</v>
      </c>
      <c r="V850" s="0" t="str">
        <f>INDEX('Account executives'!$B$2:$B$25,MATCH(C850,'Account executives'!$A$2:$A$25,0))</f>
        <v>amer_east</v>
      </c>
      <c r="W850" s="0" t="str">
        <f>INDEX('Account executives'!$C$2:$C$25,MATCH(C850,'Account executives'!$A$2:$A$25,0))</f>
        <v>smb</v>
      </c>
      <c r="X850" s="0" t="str">
        <f>SUBSTITUTE(LOWER(INDEX('Periods'!$G$2:$G$22,MATCH(N850,'Periods'!$A$2:$A$22,0)))," ","_")</f>
        <v>q3_2026</v>
      </c>
    </row>
    <row r="851">
      <c r="A851" s="0" t="inlineStr">
        <is>
          <t xml:space="preserve">o0850</t>
        </is>
      </c>
      <c r="B851" s="0" t="inlineStr">
        <is>
          <t xml:space="preserve">a0577</t>
        </is>
      </c>
      <c r="C851" s="0" t="inlineStr">
        <is>
          <t xml:space="preserve">r11</t>
        </is>
      </c>
      <c r="D851" s="0" t="inlineStr">
        <is>
          <t xml:space="preserve">s_amer_west_out</t>
        </is>
      </c>
      <c r="E851" s="0" t="inlineStr">
        <is>
          <t xml:space="preserve">outbound</t>
        </is>
      </c>
      <c r="F851" s="0" t="inlineStr">
        <is>
          <t xml:space="preserve">closed_lost</t>
        </is>
      </c>
      <c r="G851" s="4">
        <v>1</v>
      </c>
      <c r="H851" s="4">
        <v>11200</v>
      </c>
      <c r="I851" s="4">
        <v>1</v>
      </c>
      <c r="J851" s="4">
        <v>0</v>
      </c>
      <c r="K851" s="16">
        <v>46003</v>
      </c>
      <c r="L851" s="16">
        <v>46036</v>
      </c>
      <c r="M851" s="0" t="inlineStr">
        <is>
          <t xml:space="preserve">dec25</t>
        </is>
      </c>
      <c r="N851" s="0" t="inlineStr">
        <is>
          <t xml:space="preserve">jan26</t>
        </is>
      </c>
      <c r="O851" s="4">
        <v>33</v>
      </c>
      <c r="P851" s="4">
        <v>0</v>
      </c>
      <c r="Q851" s="4">
        <v>1</v>
      </c>
      <c r="R851" s="4">
        <v>0</v>
      </c>
      <c r="S851" s="4">
        <f>(H851*INDEX('Stages'!$D$2:$D$7,MATCH(F851,'Stages'!$A$2:$A$7,0)))</f>
        <v>0</v>
      </c>
      <c r="T851" s="4">
        <f>(H851*I851)</f>
        <v>11200</v>
      </c>
      <c r="U851" s="4">
        <f>(H851*(I851-1))</f>
        <v>0</v>
      </c>
      <c r="V851" s="0" t="str">
        <f>INDEX('Account executives'!$B$2:$B$25,MATCH(C851,'Account executives'!$A$2:$A$25,0))</f>
        <v>amer_west</v>
      </c>
      <c r="W851" s="0" t="str">
        <f>INDEX('Account executives'!$C$2:$C$25,MATCH(C851,'Account executives'!$A$2:$A$25,0))</f>
        <v>smb</v>
      </c>
      <c r="X851" s="0" t="str">
        <f>SUBSTITUTE(LOWER(INDEX('Periods'!$G$2:$G$22,MATCH(N851,'Periods'!$A$2:$A$22,0)))," ","_")</f>
        <v>q1_2026</v>
      </c>
    </row>
    <row r="852">
      <c r="A852" s="0" t="inlineStr">
        <is>
          <t xml:space="preserve">o0851</t>
        </is>
      </c>
      <c r="B852" s="0" t="inlineStr">
        <is>
          <t xml:space="preserve">a0180</t>
        </is>
      </c>
      <c r="C852" s="0" t="inlineStr">
        <is>
          <t xml:space="preserve">r04</t>
        </is>
      </c>
      <c r="D852" s="0"/>
      <c r="E852" s="0" t="inlineStr">
        <is>
          <t xml:space="preserve">referral</t>
        </is>
      </c>
      <c r="F852" s="0" t="inlineStr">
        <is>
          <t xml:space="preserve">closed_lost</t>
        </is>
      </c>
      <c r="G852" s="4">
        <v>0</v>
      </c>
      <c r="H852" s="4">
        <v>6300</v>
      </c>
      <c r="I852" s="4">
        <v>2</v>
      </c>
      <c r="J852" s="4">
        <v>1</v>
      </c>
      <c r="K852" s="16">
        <v>45848</v>
      </c>
      <c r="L852" s="16">
        <v>45904</v>
      </c>
      <c r="M852" s="0" t="inlineStr">
        <is>
          <t xml:space="preserve">jul25</t>
        </is>
      </c>
      <c r="N852" s="0" t="inlineStr">
        <is>
          <t xml:space="preserve">sep25</t>
        </is>
      </c>
      <c r="O852" s="4">
        <v>56</v>
      </c>
      <c r="P852" s="4">
        <v>0</v>
      </c>
      <c r="Q852" s="4">
        <v>1</v>
      </c>
      <c r="R852" s="4">
        <v>0</v>
      </c>
      <c r="S852" s="4">
        <f>(H852*INDEX('Stages'!$D$2:$D$7,MATCH(F852,'Stages'!$A$2:$A$7,0)))</f>
        <v>0</v>
      </c>
      <c r="T852" s="4">
        <f>(H852*I852)</f>
        <v>12600</v>
      </c>
      <c r="U852" s="4">
        <f>(H852*(I852-1))</f>
        <v>6300</v>
      </c>
      <c r="V852" s="0" t="str">
        <f>INDEX('Account executives'!$B$2:$B$25,MATCH(C852,'Account executives'!$A$2:$A$25,0))</f>
        <v>amer_east</v>
      </c>
      <c r="W852" s="0" t="str">
        <f>INDEX('Account executives'!$C$2:$C$25,MATCH(C852,'Account executives'!$A$2:$A$25,0))</f>
        <v>mid_market</v>
      </c>
      <c r="X852" s="0" t="str">
        <f>SUBSTITUTE(LOWER(INDEX('Periods'!$G$2:$G$22,MATCH(N852,'Periods'!$A$2:$A$22,0)))," ","_")</f>
        <v>q3_2025</v>
      </c>
    </row>
    <row r="853">
      <c r="A853" s="0" t="inlineStr">
        <is>
          <t xml:space="preserve">o0852</t>
        </is>
      </c>
      <c r="B853" s="0" t="inlineStr">
        <is>
          <t xml:space="preserve">a0488</t>
        </is>
      </c>
      <c r="C853" s="0" t="inlineStr">
        <is>
          <t xml:space="preserve">r03</t>
        </is>
      </c>
      <c r="D853" s="0" t="inlineStr">
        <is>
          <t xml:space="preserve">s_amer_east_out</t>
        </is>
      </c>
      <c r="E853" s="0" t="inlineStr">
        <is>
          <t xml:space="preserve">outbound</t>
        </is>
      </c>
      <c r="F853" s="0" t="inlineStr">
        <is>
          <t xml:space="preserve">closed_lost</t>
        </is>
      </c>
      <c r="G853" s="4">
        <v>1</v>
      </c>
      <c r="H853" s="4">
        <v>78300</v>
      </c>
      <c r="I853" s="4">
        <v>1</v>
      </c>
      <c r="J853" s="4">
        <v>0</v>
      </c>
      <c r="K853" s="16">
        <v>45983</v>
      </c>
      <c r="L853" s="16">
        <v>46064</v>
      </c>
      <c r="M853" s="0" t="inlineStr">
        <is>
          <t xml:space="preserve">nov25</t>
        </is>
      </c>
      <c r="N853" s="0" t="inlineStr">
        <is>
          <t xml:space="preserve">feb26</t>
        </is>
      </c>
      <c r="O853" s="4">
        <v>81</v>
      </c>
      <c r="P853" s="4">
        <v>0</v>
      </c>
      <c r="Q853" s="4">
        <v>1</v>
      </c>
      <c r="R853" s="4">
        <v>0</v>
      </c>
      <c r="S853" s="4">
        <f>(H853*INDEX('Stages'!$D$2:$D$7,MATCH(F853,'Stages'!$A$2:$A$7,0)))</f>
        <v>0</v>
      </c>
      <c r="T853" s="4">
        <f>(H853*I853)</f>
        <v>78300</v>
      </c>
      <c r="U853" s="4">
        <f>(H853*(I853-1))</f>
        <v>0</v>
      </c>
      <c r="V853" s="0" t="str">
        <f>INDEX('Account executives'!$B$2:$B$25,MATCH(C853,'Account executives'!$A$2:$A$25,0))</f>
        <v>amer_east</v>
      </c>
      <c r="W853" s="0" t="str">
        <f>INDEX('Account executives'!$C$2:$C$25,MATCH(C853,'Account executives'!$A$2:$A$25,0))</f>
        <v>mid_market</v>
      </c>
      <c r="X853" s="0" t="str">
        <f>SUBSTITUTE(LOWER(INDEX('Periods'!$G$2:$G$22,MATCH(N853,'Periods'!$A$2:$A$22,0)))," ","_")</f>
        <v>q1_2026</v>
      </c>
    </row>
    <row r="854">
      <c r="A854" s="0" t="inlineStr">
        <is>
          <t xml:space="preserve">o0853</t>
        </is>
      </c>
      <c r="B854" s="0" t="inlineStr">
        <is>
          <t xml:space="preserve">a0464</t>
        </is>
      </c>
      <c r="C854" s="0" t="inlineStr">
        <is>
          <t xml:space="preserve">r17</t>
        </is>
      </c>
      <c r="D854" s="0"/>
      <c r="E854" s="0" t="inlineStr">
        <is>
          <t xml:space="preserve">events</t>
        </is>
      </c>
      <c r="F854" s="0" t="inlineStr">
        <is>
          <t xml:space="preserve">closed_lost</t>
        </is>
      </c>
      <c r="G854" s="4">
        <v>0</v>
      </c>
      <c r="H854" s="4">
        <v>6900</v>
      </c>
      <c r="I854" s="4">
        <v>2</v>
      </c>
      <c r="J854" s="4">
        <v>0</v>
      </c>
      <c r="K854" s="16">
        <v>46154</v>
      </c>
      <c r="L854" s="16">
        <v>46179</v>
      </c>
      <c r="M854" s="0" t="inlineStr">
        <is>
          <t xml:space="preserve">may26</t>
        </is>
      </c>
      <c r="N854" s="0" t="inlineStr">
        <is>
          <t xml:space="preserve">jun26</t>
        </is>
      </c>
      <c r="O854" s="4">
        <v>25</v>
      </c>
      <c r="P854" s="4">
        <v>0</v>
      </c>
      <c r="Q854" s="4">
        <v>1</v>
      </c>
      <c r="R854" s="4">
        <v>0</v>
      </c>
      <c r="S854" s="4">
        <f>(H854*INDEX('Stages'!$D$2:$D$7,MATCH(F854,'Stages'!$A$2:$A$7,0)))</f>
        <v>0</v>
      </c>
      <c r="T854" s="4">
        <f>(H854*I854)</f>
        <v>13800</v>
      </c>
      <c r="U854" s="4">
        <f>(H854*(I854-1))</f>
        <v>6900</v>
      </c>
      <c r="V854" s="0" t="str">
        <f>INDEX('Account executives'!$B$2:$B$25,MATCH(C854,'Account executives'!$A$2:$A$25,0))</f>
        <v>emea</v>
      </c>
      <c r="W854" s="0" t="str">
        <f>INDEX('Account executives'!$C$2:$C$25,MATCH(C854,'Account executives'!$A$2:$A$25,0))</f>
        <v>smb</v>
      </c>
      <c r="X854" s="0" t="str">
        <f>SUBSTITUTE(LOWER(INDEX('Periods'!$G$2:$G$22,MATCH(N854,'Periods'!$A$2:$A$22,0)))," ","_")</f>
        <v>q2_2026</v>
      </c>
    </row>
    <row r="855">
      <c r="A855" s="0" t="inlineStr">
        <is>
          <t xml:space="preserve">o0854</t>
        </is>
      </c>
      <c r="B855" s="0" t="inlineStr">
        <is>
          <t xml:space="preserve">a0270</t>
        </is>
      </c>
      <c r="C855" s="0" t="inlineStr">
        <is>
          <t xml:space="preserve">r12</t>
        </is>
      </c>
      <c r="D855" s="0" t="inlineStr">
        <is>
          <t xml:space="preserve">s_amer_west_out</t>
        </is>
      </c>
      <c r="E855" s="0" t="inlineStr">
        <is>
          <t xml:space="preserve">outbound</t>
        </is>
      </c>
      <c r="F855" s="0" t="inlineStr">
        <is>
          <t xml:space="preserve">closed_lost</t>
        </is>
      </c>
      <c r="G855" s="4">
        <v>1</v>
      </c>
      <c r="H855" s="4">
        <v>15700</v>
      </c>
      <c r="I855" s="4">
        <v>1</v>
      </c>
      <c r="J855" s="4">
        <v>0</v>
      </c>
      <c r="K855" s="16">
        <v>45860</v>
      </c>
      <c r="L855" s="16">
        <v>45893</v>
      </c>
      <c r="M855" s="0" t="inlineStr">
        <is>
          <t xml:space="preserve">jul25</t>
        </is>
      </c>
      <c r="N855" s="0" t="inlineStr">
        <is>
          <t xml:space="preserve">aug25</t>
        </is>
      </c>
      <c r="O855" s="4">
        <v>33</v>
      </c>
      <c r="P855" s="4">
        <v>0</v>
      </c>
      <c r="Q855" s="4">
        <v>1</v>
      </c>
      <c r="R855" s="4">
        <v>0</v>
      </c>
      <c r="S855" s="4">
        <f>(H855*INDEX('Stages'!$D$2:$D$7,MATCH(F855,'Stages'!$A$2:$A$7,0)))</f>
        <v>0</v>
      </c>
      <c r="T855" s="4">
        <f>(H855*I855)</f>
        <v>15700</v>
      </c>
      <c r="U855" s="4">
        <f>(H855*(I855-1))</f>
        <v>0</v>
      </c>
      <c r="V855" s="0" t="str">
        <f>INDEX('Account executives'!$B$2:$B$25,MATCH(C855,'Account executives'!$A$2:$A$25,0))</f>
        <v>amer_west</v>
      </c>
      <c r="W855" s="0" t="str">
        <f>INDEX('Account executives'!$C$2:$C$25,MATCH(C855,'Account executives'!$A$2:$A$25,0))</f>
        <v>smb</v>
      </c>
      <c r="X855" s="0" t="str">
        <f>SUBSTITUTE(LOWER(INDEX('Periods'!$G$2:$G$22,MATCH(N855,'Periods'!$A$2:$A$22,0)))," ","_")</f>
        <v>q3_2025</v>
      </c>
    </row>
    <row r="856">
      <c r="A856" s="0" t="inlineStr">
        <is>
          <t xml:space="preserve">o0855</t>
        </is>
      </c>
      <c r="B856" s="0" t="inlineStr">
        <is>
          <t xml:space="preserve">a0091</t>
        </is>
      </c>
      <c r="C856" s="0" t="inlineStr">
        <is>
          <t xml:space="preserve">r12</t>
        </is>
      </c>
      <c r="D856" s="0" t="inlineStr">
        <is>
          <t xml:space="preserve">s_amer_west_in</t>
        </is>
      </c>
      <c r="E856" s="0" t="inlineStr">
        <is>
          <t xml:space="preserve">inbound</t>
        </is>
      </c>
      <c r="F856" s="0" t="inlineStr">
        <is>
          <t xml:space="preserve">closed_lost</t>
        </is>
      </c>
      <c r="G856" s="4">
        <v>1</v>
      </c>
      <c r="H856" s="4">
        <v>13400</v>
      </c>
      <c r="I856" s="4">
        <v>1</v>
      </c>
      <c r="J856" s="4">
        <v>0</v>
      </c>
      <c r="K856" s="16">
        <v>45781</v>
      </c>
      <c r="L856" s="16">
        <v>45821</v>
      </c>
      <c r="M856" s="0" t="inlineStr">
        <is>
          <t xml:space="preserve">may25</t>
        </is>
      </c>
      <c r="N856" s="0" t="inlineStr">
        <is>
          <t xml:space="preserve">jun25</t>
        </is>
      </c>
      <c r="O856" s="4">
        <v>40</v>
      </c>
      <c r="P856" s="4">
        <v>0</v>
      </c>
      <c r="Q856" s="4">
        <v>1</v>
      </c>
      <c r="R856" s="4">
        <v>0</v>
      </c>
      <c r="S856" s="4">
        <f>(H856*INDEX('Stages'!$D$2:$D$7,MATCH(F856,'Stages'!$A$2:$A$7,0)))</f>
        <v>0</v>
      </c>
      <c r="T856" s="4">
        <f>(H856*I856)</f>
        <v>13400</v>
      </c>
      <c r="U856" s="4">
        <f>(H856*(I856-1))</f>
        <v>0</v>
      </c>
      <c r="V856" s="0" t="str">
        <f>INDEX('Account executives'!$B$2:$B$25,MATCH(C856,'Account executives'!$A$2:$A$25,0))</f>
        <v>amer_west</v>
      </c>
      <c r="W856" s="0" t="str">
        <f>INDEX('Account executives'!$C$2:$C$25,MATCH(C856,'Account executives'!$A$2:$A$25,0))</f>
        <v>smb</v>
      </c>
      <c r="X856" s="0" t="str">
        <f>SUBSTITUTE(LOWER(INDEX('Periods'!$G$2:$G$22,MATCH(N856,'Periods'!$A$2:$A$22,0)))," ","_")</f>
        <v>q2_2025</v>
      </c>
    </row>
    <row r="857">
      <c r="A857" s="0" t="inlineStr">
        <is>
          <t xml:space="preserve">o0856</t>
        </is>
      </c>
      <c r="B857" s="0" t="inlineStr">
        <is>
          <t xml:space="preserve">a0180</t>
        </is>
      </c>
      <c r="C857" s="0" t="inlineStr">
        <is>
          <t xml:space="preserve">r03</t>
        </is>
      </c>
      <c r="D857" s="0" t="inlineStr">
        <is>
          <t xml:space="preserve">s_amer_east_in</t>
        </is>
      </c>
      <c r="E857" s="0" t="inlineStr">
        <is>
          <t xml:space="preserve">inbound</t>
        </is>
      </c>
      <c r="F857" s="0" t="inlineStr">
        <is>
          <t xml:space="preserve">closed_won</t>
        </is>
      </c>
      <c r="G857" s="4">
        <v>0</v>
      </c>
      <c r="H857" s="4">
        <v>23600</v>
      </c>
      <c r="I857" s="4">
        <v>2</v>
      </c>
      <c r="J857" s="4">
        <v>0</v>
      </c>
      <c r="K857" s="16">
        <v>46122</v>
      </c>
      <c r="L857" s="16">
        <v>46145</v>
      </c>
      <c r="M857" s="0" t="inlineStr">
        <is>
          <t xml:space="preserve">apr26</t>
        </is>
      </c>
      <c r="N857" s="0" t="inlineStr">
        <is>
          <t xml:space="preserve">may26</t>
        </is>
      </c>
      <c r="O857" s="4">
        <v>23</v>
      </c>
      <c r="P857" s="4">
        <v>1</v>
      </c>
      <c r="Q857" s="4">
        <v>0</v>
      </c>
      <c r="R857" s="4">
        <v>0</v>
      </c>
      <c r="S857" s="4">
        <f>(H857*INDEX('Stages'!$D$2:$D$7,MATCH(F857,'Stages'!$A$2:$A$7,0)))</f>
        <v>23600</v>
      </c>
      <c r="T857" s="4">
        <f>(H857*I857)</f>
        <v>47200</v>
      </c>
      <c r="U857" s="4">
        <f>(H857*(I857-1))</f>
        <v>23600</v>
      </c>
      <c r="V857" s="0" t="str">
        <f>INDEX('Account executives'!$B$2:$B$25,MATCH(C857,'Account executives'!$A$2:$A$25,0))</f>
        <v>amer_east</v>
      </c>
      <c r="W857" s="0" t="str">
        <f>INDEX('Account executives'!$C$2:$C$25,MATCH(C857,'Account executives'!$A$2:$A$25,0))</f>
        <v>mid_market</v>
      </c>
      <c r="X857" s="0" t="str">
        <f>SUBSTITUTE(LOWER(INDEX('Periods'!$G$2:$G$22,MATCH(N857,'Periods'!$A$2:$A$22,0)))," ","_")</f>
        <v>q2_2026</v>
      </c>
    </row>
    <row r="858">
      <c r="A858" s="0" t="inlineStr">
        <is>
          <t xml:space="preserve">o0857</t>
        </is>
      </c>
      <c r="B858" s="0" t="inlineStr">
        <is>
          <t xml:space="preserve">a0568</t>
        </is>
      </c>
      <c r="C858" s="0" t="inlineStr">
        <is>
          <t xml:space="preserve">r12</t>
        </is>
      </c>
      <c r="D858" s="0" t="inlineStr">
        <is>
          <t xml:space="preserve">s_amer_west_in</t>
        </is>
      </c>
      <c r="E858" s="0" t="inlineStr">
        <is>
          <t xml:space="preserve">paid</t>
        </is>
      </c>
      <c r="F858" s="0" t="inlineStr">
        <is>
          <t xml:space="preserve">closed_lost</t>
        </is>
      </c>
      <c r="G858" s="4">
        <v>1</v>
      </c>
      <c r="H858" s="4">
        <v>30500</v>
      </c>
      <c r="I858" s="4">
        <v>1</v>
      </c>
      <c r="J858" s="4">
        <v>0</v>
      </c>
      <c r="K858" s="16">
        <v>46008</v>
      </c>
      <c r="L858" s="16">
        <v>46015</v>
      </c>
      <c r="M858" s="0" t="inlineStr">
        <is>
          <t xml:space="preserve">dec25</t>
        </is>
      </c>
      <c r="N858" s="0" t="inlineStr">
        <is>
          <t xml:space="preserve">dec25</t>
        </is>
      </c>
      <c r="O858" s="4">
        <v>7</v>
      </c>
      <c r="P858" s="4">
        <v>0</v>
      </c>
      <c r="Q858" s="4">
        <v>1</v>
      </c>
      <c r="R858" s="4">
        <v>0</v>
      </c>
      <c r="S858" s="4">
        <f>(H858*INDEX('Stages'!$D$2:$D$7,MATCH(F858,'Stages'!$A$2:$A$7,0)))</f>
        <v>0</v>
      </c>
      <c r="T858" s="4">
        <f>(H858*I858)</f>
        <v>30500</v>
      </c>
      <c r="U858" s="4">
        <f>(H858*(I858-1))</f>
        <v>0</v>
      </c>
      <c r="V858" s="0" t="str">
        <f>INDEX('Account executives'!$B$2:$B$25,MATCH(C858,'Account executives'!$A$2:$A$25,0))</f>
        <v>amer_west</v>
      </c>
      <c r="W858" s="0" t="str">
        <f>INDEX('Account executives'!$C$2:$C$25,MATCH(C858,'Account executives'!$A$2:$A$25,0))</f>
        <v>smb</v>
      </c>
      <c r="X858" s="0" t="str">
        <f>SUBSTITUTE(LOWER(INDEX('Periods'!$G$2:$G$22,MATCH(N858,'Periods'!$A$2:$A$22,0)))," ","_")</f>
        <v>q4_2025</v>
      </c>
    </row>
    <row r="859">
      <c r="A859" s="0" t="inlineStr">
        <is>
          <t xml:space="preserve">o0858</t>
        </is>
      </c>
      <c r="B859" s="0" t="inlineStr">
        <is>
          <t xml:space="preserve">a0197</t>
        </is>
      </c>
      <c r="C859" s="0" t="inlineStr">
        <is>
          <t xml:space="preserve">r11</t>
        </is>
      </c>
      <c r="D859" s="0" t="inlineStr">
        <is>
          <t xml:space="preserve">s_amer_west_out</t>
        </is>
      </c>
      <c r="E859" s="0" t="inlineStr">
        <is>
          <t xml:space="preserve">outbound</t>
        </is>
      </c>
      <c r="F859" s="0" t="inlineStr">
        <is>
          <t xml:space="preserve">closed_lost</t>
        </is>
      </c>
      <c r="G859" s="4">
        <v>0</v>
      </c>
      <c r="H859" s="4">
        <v>6700</v>
      </c>
      <c r="I859" s="4">
        <v>1</v>
      </c>
      <c r="J859" s="4">
        <v>0</v>
      </c>
      <c r="K859" s="16">
        <v>46257</v>
      </c>
      <c r="L859" s="16">
        <v>46282</v>
      </c>
      <c r="M859" s="0" t="inlineStr">
        <is>
          <t xml:space="preserve">aug26</t>
        </is>
      </c>
      <c r="N859" s="0" t="inlineStr">
        <is>
          <t xml:space="preserve">sep26</t>
        </is>
      </c>
      <c r="O859" s="4">
        <v>25</v>
      </c>
      <c r="P859" s="4">
        <v>0</v>
      </c>
      <c r="Q859" s="4">
        <v>1</v>
      </c>
      <c r="R859" s="4">
        <v>0</v>
      </c>
      <c r="S859" s="4">
        <f>(H859*INDEX('Stages'!$D$2:$D$7,MATCH(F859,'Stages'!$A$2:$A$7,0)))</f>
        <v>0</v>
      </c>
      <c r="T859" s="4">
        <f>(H859*I859)</f>
        <v>6700</v>
      </c>
      <c r="U859" s="4">
        <f>(H859*(I859-1))</f>
        <v>0</v>
      </c>
      <c r="V859" s="0" t="str">
        <f>INDEX('Account executives'!$B$2:$B$25,MATCH(C859,'Account executives'!$A$2:$A$25,0))</f>
        <v>amer_west</v>
      </c>
      <c r="W859" s="0" t="str">
        <f>INDEX('Account executives'!$C$2:$C$25,MATCH(C859,'Account executives'!$A$2:$A$25,0))</f>
        <v>smb</v>
      </c>
      <c r="X859" s="0" t="str">
        <f>SUBSTITUTE(LOWER(INDEX('Periods'!$G$2:$G$22,MATCH(N859,'Periods'!$A$2:$A$22,0)))," ","_")</f>
        <v>q3_2026</v>
      </c>
    </row>
    <row r="860">
      <c r="A860" s="0" t="inlineStr">
        <is>
          <t xml:space="preserve">o0859</t>
        </is>
      </c>
      <c r="B860" s="0" t="inlineStr">
        <is>
          <t xml:space="preserve">a0222</t>
        </is>
      </c>
      <c r="C860" s="0" t="inlineStr">
        <is>
          <t xml:space="preserve">r18</t>
        </is>
      </c>
      <c r="D860" s="0" t="inlineStr">
        <is>
          <t xml:space="preserve">s_emea_out</t>
        </is>
      </c>
      <c r="E860" s="0" t="inlineStr">
        <is>
          <t xml:space="preserve">outbound</t>
        </is>
      </c>
      <c r="F860" s="0" t="inlineStr">
        <is>
          <t xml:space="preserve">closed_lost</t>
        </is>
      </c>
      <c r="G860" s="4">
        <v>1</v>
      </c>
      <c r="H860" s="4">
        <v>12800</v>
      </c>
      <c r="I860" s="4">
        <v>1</v>
      </c>
      <c r="J860" s="4">
        <v>1</v>
      </c>
      <c r="K860" s="16">
        <v>45822</v>
      </c>
      <c r="L860" s="16">
        <v>45858</v>
      </c>
      <c r="M860" s="0" t="inlineStr">
        <is>
          <t xml:space="preserve">jun25</t>
        </is>
      </c>
      <c r="N860" s="0" t="inlineStr">
        <is>
          <t xml:space="preserve">jul25</t>
        </is>
      </c>
      <c r="O860" s="4">
        <v>36</v>
      </c>
      <c r="P860" s="4">
        <v>0</v>
      </c>
      <c r="Q860" s="4">
        <v>1</v>
      </c>
      <c r="R860" s="4">
        <v>0</v>
      </c>
      <c r="S860" s="4">
        <f>(H860*INDEX('Stages'!$D$2:$D$7,MATCH(F860,'Stages'!$A$2:$A$7,0)))</f>
        <v>0</v>
      </c>
      <c r="T860" s="4">
        <f>(H860*I860)</f>
        <v>12800</v>
      </c>
      <c r="U860" s="4">
        <f>(H860*(I860-1))</f>
        <v>0</v>
      </c>
      <c r="V860" s="0" t="str">
        <f>INDEX('Account executives'!$B$2:$B$25,MATCH(C860,'Account executives'!$A$2:$A$25,0))</f>
        <v>emea</v>
      </c>
      <c r="W860" s="0" t="str">
        <f>INDEX('Account executives'!$C$2:$C$25,MATCH(C860,'Account executives'!$A$2:$A$25,0))</f>
        <v>smb</v>
      </c>
      <c r="X860" s="0" t="str">
        <f>SUBSTITUTE(LOWER(INDEX('Periods'!$G$2:$G$22,MATCH(N860,'Periods'!$A$2:$A$22,0)))," ","_")</f>
        <v>q3_2025</v>
      </c>
    </row>
    <row r="861">
      <c r="A861" s="0" t="inlineStr">
        <is>
          <t xml:space="preserve">o0860</t>
        </is>
      </c>
      <c r="B861" s="0" t="inlineStr">
        <is>
          <t xml:space="preserve">a0938</t>
        </is>
      </c>
      <c r="C861" s="0" t="inlineStr">
        <is>
          <t xml:space="preserve">r14</t>
        </is>
      </c>
      <c r="D861" s="0"/>
      <c r="E861" s="0" t="inlineStr">
        <is>
          <t xml:space="preserve">partner</t>
        </is>
      </c>
      <c r="F861" s="0" t="inlineStr">
        <is>
          <t xml:space="preserve">closed_lost</t>
        </is>
      </c>
      <c r="G861" s="4">
        <v>1</v>
      </c>
      <c r="H861" s="4">
        <v>60400</v>
      </c>
      <c r="I861" s="4">
        <v>2</v>
      </c>
      <c r="J861" s="4">
        <v>1</v>
      </c>
      <c r="K861" s="16">
        <v>46168</v>
      </c>
      <c r="L861" s="16">
        <v>46228</v>
      </c>
      <c r="M861" s="0" t="inlineStr">
        <is>
          <t xml:space="preserve">may26</t>
        </is>
      </c>
      <c r="N861" s="0" t="inlineStr">
        <is>
          <t xml:space="preserve">jul26</t>
        </is>
      </c>
      <c r="O861" s="4">
        <v>60</v>
      </c>
      <c r="P861" s="4">
        <v>0</v>
      </c>
      <c r="Q861" s="4">
        <v>1</v>
      </c>
      <c r="R861" s="4">
        <v>0</v>
      </c>
      <c r="S861" s="4">
        <f>(H861*INDEX('Stages'!$D$2:$D$7,MATCH(F861,'Stages'!$A$2:$A$7,0)))</f>
        <v>0</v>
      </c>
      <c r="T861" s="4">
        <f>(H861*I861)</f>
        <v>120800</v>
      </c>
      <c r="U861" s="4">
        <f>(H861*(I861-1))</f>
        <v>60400</v>
      </c>
      <c r="V861" s="0" t="str">
        <f>INDEX('Account executives'!$B$2:$B$25,MATCH(C861,'Account executives'!$A$2:$A$25,0))</f>
        <v>emea</v>
      </c>
      <c r="W861" s="0" t="str">
        <f>INDEX('Account executives'!$C$2:$C$25,MATCH(C861,'Account executives'!$A$2:$A$25,0))</f>
        <v>enterprise</v>
      </c>
      <c r="X861" s="0" t="str">
        <f>SUBSTITUTE(LOWER(INDEX('Periods'!$G$2:$G$22,MATCH(N861,'Periods'!$A$2:$A$22,0)))," ","_")</f>
        <v>q3_2026</v>
      </c>
    </row>
    <row r="862">
      <c r="A862" s="0" t="inlineStr">
        <is>
          <t xml:space="preserve">o0861</t>
        </is>
      </c>
      <c r="B862" s="0" t="inlineStr">
        <is>
          <t xml:space="preserve">a0590</t>
        </is>
      </c>
      <c r="C862" s="0" t="inlineStr">
        <is>
          <t xml:space="preserve">r18</t>
        </is>
      </c>
      <c r="D862" s="0" t="inlineStr">
        <is>
          <t xml:space="preserve">s_emea_in</t>
        </is>
      </c>
      <c r="E862" s="0" t="inlineStr">
        <is>
          <t xml:space="preserve">paid</t>
        </is>
      </c>
      <c r="F862" s="0" t="inlineStr">
        <is>
          <t xml:space="preserve">closed_lost</t>
        </is>
      </c>
      <c r="G862" s="4">
        <v>1</v>
      </c>
      <c r="H862" s="4">
        <v>9500</v>
      </c>
      <c r="I862" s="4">
        <v>1</v>
      </c>
      <c r="J862" s="4">
        <v>1</v>
      </c>
      <c r="K862" s="16">
        <v>46017</v>
      </c>
      <c r="L862" s="16">
        <v>46037</v>
      </c>
      <c r="M862" s="0" t="inlineStr">
        <is>
          <t xml:space="preserve">dec25</t>
        </is>
      </c>
      <c r="N862" s="0" t="inlineStr">
        <is>
          <t xml:space="preserve">jan26</t>
        </is>
      </c>
      <c r="O862" s="4">
        <v>20</v>
      </c>
      <c r="P862" s="4">
        <v>0</v>
      </c>
      <c r="Q862" s="4">
        <v>1</v>
      </c>
      <c r="R862" s="4">
        <v>0</v>
      </c>
      <c r="S862" s="4">
        <f>(H862*INDEX('Stages'!$D$2:$D$7,MATCH(F862,'Stages'!$A$2:$A$7,0)))</f>
        <v>0</v>
      </c>
      <c r="T862" s="4">
        <f>(H862*I862)</f>
        <v>9500</v>
      </c>
      <c r="U862" s="4">
        <f>(H862*(I862-1))</f>
        <v>0</v>
      </c>
      <c r="V862" s="0" t="str">
        <f>INDEX('Account executives'!$B$2:$B$25,MATCH(C862,'Account executives'!$A$2:$A$25,0))</f>
        <v>emea</v>
      </c>
      <c r="W862" s="0" t="str">
        <f>INDEX('Account executives'!$C$2:$C$25,MATCH(C862,'Account executives'!$A$2:$A$25,0))</f>
        <v>smb</v>
      </c>
      <c r="X862" s="0" t="str">
        <f>SUBSTITUTE(LOWER(INDEX('Periods'!$G$2:$G$22,MATCH(N862,'Periods'!$A$2:$A$22,0)))," ","_")</f>
        <v>q1_2026</v>
      </c>
    </row>
    <row r="863">
      <c r="A863" s="0" t="inlineStr">
        <is>
          <t xml:space="preserve">o0862</t>
        </is>
      </c>
      <c r="B863" s="0" t="inlineStr">
        <is>
          <t xml:space="preserve">a1107</t>
        </is>
      </c>
      <c r="C863" s="0" t="inlineStr">
        <is>
          <t xml:space="preserve">r11</t>
        </is>
      </c>
      <c r="D863" s="0" t="inlineStr">
        <is>
          <t xml:space="preserve">s_amer_west_out</t>
        </is>
      </c>
      <c r="E863" s="0" t="inlineStr">
        <is>
          <t xml:space="preserve">outbound</t>
        </is>
      </c>
      <c r="F863" s="0" t="inlineStr">
        <is>
          <t xml:space="preserve">closed_lost</t>
        </is>
      </c>
      <c r="G863" s="4">
        <v>1</v>
      </c>
      <c r="H863" s="4">
        <v>20900</v>
      </c>
      <c r="I863" s="4">
        <v>1</v>
      </c>
      <c r="J863" s="4">
        <v>1</v>
      </c>
      <c r="K863" s="16">
        <v>46212</v>
      </c>
      <c r="L863" s="16">
        <v>46236</v>
      </c>
      <c r="M863" s="0" t="inlineStr">
        <is>
          <t xml:space="preserve">jul26</t>
        </is>
      </c>
      <c r="N863" s="0" t="inlineStr">
        <is>
          <t xml:space="preserve">aug26</t>
        </is>
      </c>
      <c r="O863" s="4">
        <v>24</v>
      </c>
      <c r="P863" s="4">
        <v>0</v>
      </c>
      <c r="Q863" s="4">
        <v>1</v>
      </c>
      <c r="R863" s="4">
        <v>0</v>
      </c>
      <c r="S863" s="4">
        <f>(H863*INDEX('Stages'!$D$2:$D$7,MATCH(F863,'Stages'!$A$2:$A$7,0)))</f>
        <v>0</v>
      </c>
      <c r="T863" s="4">
        <f>(H863*I863)</f>
        <v>20900</v>
      </c>
      <c r="U863" s="4">
        <f>(H863*(I863-1))</f>
        <v>0</v>
      </c>
      <c r="V863" s="0" t="str">
        <f>INDEX('Account executives'!$B$2:$B$25,MATCH(C863,'Account executives'!$A$2:$A$25,0))</f>
        <v>amer_west</v>
      </c>
      <c r="W863" s="0" t="str">
        <f>INDEX('Account executives'!$C$2:$C$25,MATCH(C863,'Account executives'!$A$2:$A$25,0))</f>
        <v>smb</v>
      </c>
      <c r="X863" s="0" t="str">
        <f>SUBSTITUTE(LOWER(INDEX('Periods'!$G$2:$G$22,MATCH(N863,'Periods'!$A$2:$A$22,0)))," ","_")</f>
        <v>q3_2026</v>
      </c>
    </row>
    <row r="864">
      <c r="A864" s="0" t="inlineStr">
        <is>
          <t xml:space="preserve">o0863</t>
        </is>
      </c>
      <c r="B864" s="0" t="inlineStr">
        <is>
          <t xml:space="preserve">a0436</t>
        </is>
      </c>
      <c r="C864" s="0" t="inlineStr">
        <is>
          <t xml:space="preserve">r11</t>
        </is>
      </c>
      <c r="D864" s="0"/>
      <c r="E864" s="0" t="inlineStr">
        <is>
          <t xml:space="preserve">events</t>
        </is>
      </c>
      <c r="F864" s="0" t="inlineStr">
        <is>
          <t xml:space="preserve">closed_lost</t>
        </is>
      </c>
      <c r="G864" s="4">
        <v>1</v>
      </c>
      <c r="H864" s="4">
        <v>17300</v>
      </c>
      <c r="I864" s="4">
        <v>1</v>
      </c>
      <c r="J864" s="4">
        <v>0</v>
      </c>
      <c r="K864" s="16">
        <v>45951</v>
      </c>
      <c r="L864" s="16">
        <v>45960</v>
      </c>
      <c r="M864" s="0" t="inlineStr">
        <is>
          <t xml:space="preserve">oct25</t>
        </is>
      </c>
      <c r="N864" s="0" t="inlineStr">
        <is>
          <t xml:space="preserve">oct25</t>
        </is>
      </c>
      <c r="O864" s="4">
        <v>9</v>
      </c>
      <c r="P864" s="4">
        <v>0</v>
      </c>
      <c r="Q864" s="4">
        <v>1</v>
      </c>
      <c r="R864" s="4">
        <v>0</v>
      </c>
      <c r="S864" s="4">
        <f>(H864*INDEX('Stages'!$D$2:$D$7,MATCH(F864,'Stages'!$A$2:$A$7,0)))</f>
        <v>0</v>
      </c>
      <c r="T864" s="4">
        <f>(H864*I864)</f>
        <v>17300</v>
      </c>
      <c r="U864" s="4">
        <f>(H864*(I864-1))</f>
        <v>0</v>
      </c>
      <c r="V864" s="0" t="str">
        <f>INDEX('Account executives'!$B$2:$B$25,MATCH(C864,'Account executives'!$A$2:$A$25,0))</f>
        <v>amer_west</v>
      </c>
      <c r="W864" s="0" t="str">
        <f>INDEX('Account executives'!$C$2:$C$25,MATCH(C864,'Account executives'!$A$2:$A$25,0))</f>
        <v>smb</v>
      </c>
      <c r="X864" s="0" t="str">
        <f>SUBSTITUTE(LOWER(INDEX('Periods'!$G$2:$G$22,MATCH(N864,'Periods'!$A$2:$A$22,0)))," ","_")</f>
        <v>q4_2025</v>
      </c>
    </row>
    <row r="865">
      <c r="A865" s="0" t="inlineStr">
        <is>
          <t xml:space="preserve">o0864</t>
        </is>
      </c>
      <c r="B865" s="0" t="inlineStr">
        <is>
          <t xml:space="preserve">a0416</t>
        </is>
      </c>
      <c r="C865" s="0" t="inlineStr">
        <is>
          <t xml:space="preserve">r05</t>
        </is>
      </c>
      <c r="D865" s="0" t="inlineStr">
        <is>
          <t xml:space="preserve">s_amer_east_out</t>
        </is>
      </c>
      <c r="E865" s="0" t="inlineStr">
        <is>
          <t xml:space="preserve">outbound</t>
        </is>
      </c>
      <c r="F865" s="0" t="inlineStr">
        <is>
          <t xml:space="preserve">closed_won</t>
        </is>
      </c>
      <c r="G865" s="4">
        <v>0</v>
      </c>
      <c r="H865" s="4">
        <v>9100</v>
      </c>
      <c r="I865" s="4">
        <v>1</v>
      </c>
      <c r="J865" s="4">
        <v>0</v>
      </c>
      <c r="K865" s="16">
        <v>46010</v>
      </c>
      <c r="L865" s="16">
        <v>46028</v>
      </c>
      <c r="M865" s="0" t="inlineStr">
        <is>
          <t xml:space="preserve">dec25</t>
        </is>
      </c>
      <c r="N865" s="0" t="inlineStr">
        <is>
          <t xml:space="preserve">jan26</t>
        </is>
      </c>
      <c r="O865" s="4">
        <v>18</v>
      </c>
      <c r="P865" s="4">
        <v>1</v>
      </c>
      <c r="Q865" s="4">
        <v>0</v>
      </c>
      <c r="R865" s="4">
        <v>0</v>
      </c>
      <c r="S865" s="4">
        <f>(H865*INDEX('Stages'!$D$2:$D$7,MATCH(F865,'Stages'!$A$2:$A$7,0)))</f>
        <v>9100</v>
      </c>
      <c r="T865" s="4">
        <f>(H865*I865)</f>
        <v>9100</v>
      </c>
      <c r="U865" s="4">
        <f>(H865*(I865-1))</f>
        <v>0</v>
      </c>
      <c r="V865" s="0" t="str">
        <f>INDEX('Account executives'!$B$2:$B$25,MATCH(C865,'Account executives'!$A$2:$A$25,0))</f>
        <v>amer_east</v>
      </c>
      <c r="W865" s="0" t="str">
        <f>INDEX('Account executives'!$C$2:$C$25,MATCH(C865,'Account executives'!$A$2:$A$25,0))</f>
        <v>smb</v>
      </c>
      <c r="X865" s="0" t="str">
        <f>SUBSTITUTE(LOWER(INDEX('Periods'!$G$2:$G$22,MATCH(N865,'Periods'!$A$2:$A$22,0)))," ","_")</f>
        <v>q1_2026</v>
      </c>
    </row>
    <row r="866">
      <c r="A866" s="0" t="inlineStr">
        <is>
          <t xml:space="preserve">o0865</t>
        </is>
      </c>
      <c r="B866" s="0" t="inlineStr">
        <is>
          <t xml:space="preserve">a0375</t>
        </is>
      </c>
      <c r="C866" s="0" t="inlineStr">
        <is>
          <t xml:space="preserve">r11</t>
        </is>
      </c>
      <c r="D866" s="0"/>
      <c r="E866" s="0" t="inlineStr">
        <is>
          <t xml:space="preserve">referral</t>
        </is>
      </c>
      <c r="F866" s="0" t="inlineStr">
        <is>
          <t xml:space="preserve">closed_won</t>
        </is>
      </c>
      <c r="G866" s="4">
        <v>0</v>
      </c>
      <c r="H866" s="4">
        <v>5700</v>
      </c>
      <c r="I866" s="4">
        <v>2</v>
      </c>
      <c r="J866" s="4">
        <v>1</v>
      </c>
      <c r="K866" s="16">
        <v>46039</v>
      </c>
      <c r="L866" s="16">
        <v>46109</v>
      </c>
      <c r="M866" s="0" t="inlineStr">
        <is>
          <t xml:space="preserve">jan26</t>
        </is>
      </c>
      <c r="N866" s="0" t="inlineStr">
        <is>
          <t xml:space="preserve">mar26</t>
        </is>
      </c>
      <c r="O866" s="4">
        <v>70</v>
      </c>
      <c r="P866" s="4">
        <v>1</v>
      </c>
      <c r="Q866" s="4">
        <v>0</v>
      </c>
      <c r="R866" s="4">
        <v>0</v>
      </c>
      <c r="S866" s="4">
        <f>(H866*INDEX('Stages'!$D$2:$D$7,MATCH(F866,'Stages'!$A$2:$A$7,0)))</f>
        <v>5700</v>
      </c>
      <c r="T866" s="4">
        <f>(H866*I866)</f>
        <v>11400</v>
      </c>
      <c r="U866" s="4">
        <f>(H866*(I866-1))</f>
        <v>5700</v>
      </c>
      <c r="V866" s="0" t="str">
        <f>INDEX('Account executives'!$B$2:$B$25,MATCH(C866,'Account executives'!$A$2:$A$25,0))</f>
        <v>amer_west</v>
      </c>
      <c r="W866" s="0" t="str">
        <f>INDEX('Account executives'!$C$2:$C$25,MATCH(C866,'Account executives'!$A$2:$A$25,0))</f>
        <v>smb</v>
      </c>
      <c r="X866" s="0" t="str">
        <f>SUBSTITUTE(LOWER(INDEX('Periods'!$G$2:$G$22,MATCH(N866,'Periods'!$A$2:$A$22,0)))," ","_")</f>
        <v>q1_2026</v>
      </c>
    </row>
    <row r="867">
      <c r="A867" s="0" t="inlineStr">
        <is>
          <t xml:space="preserve">o0866</t>
        </is>
      </c>
      <c r="B867" s="0" t="inlineStr">
        <is>
          <t xml:space="preserve">a0299</t>
        </is>
      </c>
      <c r="C867" s="0" t="inlineStr">
        <is>
          <t xml:space="preserve">r24</t>
        </is>
      </c>
      <c r="D867" s="0" t="inlineStr">
        <is>
          <t xml:space="preserve">s_apac_in</t>
        </is>
      </c>
      <c r="E867" s="0" t="inlineStr">
        <is>
          <t xml:space="preserve">inbound</t>
        </is>
      </c>
      <c r="F867" s="0" t="inlineStr">
        <is>
          <t xml:space="preserve">closed_lost</t>
        </is>
      </c>
      <c r="G867" s="4">
        <v>1</v>
      </c>
      <c r="H867" s="4">
        <v>13900</v>
      </c>
      <c r="I867" s="4">
        <v>1</v>
      </c>
      <c r="J867" s="4">
        <v>1</v>
      </c>
      <c r="K867" s="16">
        <v>45846</v>
      </c>
      <c r="L867" s="16">
        <v>45871</v>
      </c>
      <c r="M867" s="0" t="inlineStr">
        <is>
          <t xml:space="preserve">jul25</t>
        </is>
      </c>
      <c r="N867" s="0" t="inlineStr">
        <is>
          <t xml:space="preserve">aug25</t>
        </is>
      </c>
      <c r="O867" s="4">
        <v>25</v>
      </c>
      <c r="P867" s="4">
        <v>0</v>
      </c>
      <c r="Q867" s="4">
        <v>1</v>
      </c>
      <c r="R867" s="4">
        <v>0</v>
      </c>
      <c r="S867" s="4">
        <f>(H867*INDEX('Stages'!$D$2:$D$7,MATCH(F867,'Stages'!$A$2:$A$7,0)))</f>
        <v>0</v>
      </c>
      <c r="T867" s="4">
        <f>(H867*I867)</f>
        <v>13900</v>
      </c>
      <c r="U867" s="4">
        <f>(H867*(I867-1))</f>
        <v>0</v>
      </c>
      <c r="V867" s="0" t="str">
        <f>INDEX('Account executives'!$B$2:$B$25,MATCH(C867,'Account executives'!$A$2:$A$25,0))</f>
        <v>apac</v>
      </c>
      <c r="W867" s="0" t="str">
        <f>INDEX('Account executives'!$C$2:$C$25,MATCH(C867,'Account executives'!$A$2:$A$25,0))</f>
        <v>smb</v>
      </c>
      <c r="X867" s="0" t="str">
        <f>SUBSTITUTE(LOWER(INDEX('Periods'!$G$2:$G$22,MATCH(N867,'Periods'!$A$2:$A$22,0)))," ","_")</f>
        <v>q3_2025</v>
      </c>
    </row>
    <row r="868">
      <c r="A868" s="0" t="inlineStr">
        <is>
          <t xml:space="preserve">o0867</t>
        </is>
      </c>
      <c r="B868" s="0" t="inlineStr">
        <is>
          <t xml:space="preserve">a0696</t>
        </is>
      </c>
      <c r="C868" s="0" t="inlineStr">
        <is>
          <t xml:space="preserve">r18</t>
        </is>
      </c>
      <c r="D868" s="0" t="inlineStr">
        <is>
          <t xml:space="preserve">s_emea_in</t>
        </is>
      </c>
      <c r="E868" s="0" t="inlineStr">
        <is>
          <t xml:space="preserve">inbound</t>
        </is>
      </c>
      <c r="F868" s="0" t="inlineStr">
        <is>
          <t xml:space="preserve">closed_lost</t>
        </is>
      </c>
      <c r="G868" s="4">
        <v>0</v>
      </c>
      <c r="H868" s="4">
        <v>5700</v>
      </c>
      <c r="I868" s="4">
        <v>1</v>
      </c>
      <c r="J868" s="4">
        <v>1</v>
      </c>
      <c r="K868" s="16">
        <v>46116</v>
      </c>
      <c r="L868" s="16">
        <v>46132</v>
      </c>
      <c r="M868" s="0" t="inlineStr">
        <is>
          <t xml:space="preserve">apr26</t>
        </is>
      </c>
      <c r="N868" s="0" t="inlineStr">
        <is>
          <t xml:space="preserve">apr26</t>
        </is>
      </c>
      <c r="O868" s="4">
        <v>16</v>
      </c>
      <c r="P868" s="4">
        <v>0</v>
      </c>
      <c r="Q868" s="4">
        <v>1</v>
      </c>
      <c r="R868" s="4">
        <v>0</v>
      </c>
      <c r="S868" s="4">
        <f>(H868*INDEX('Stages'!$D$2:$D$7,MATCH(F868,'Stages'!$A$2:$A$7,0)))</f>
        <v>0</v>
      </c>
      <c r="T868" s="4">
        <f>(H868*I868)</f>
        <v>5700</v>
      </c>
      <c r="U868" s="4">
        <f>(H868*(I868-1))</f>
        <v>0</v>
      </c>
      <c r="V868" s="0" t="str">
        <f>INDEX('Account executives'!$B$2:$B$25,MATCH(C868,'Account executives'!$A$2:$A$25,0))</f>
        <v>emea</v>
      </c>
      <c r="W868" s="0" t="str">
        <f>INDEX('Account executives'!$C$2:$C$25,MATCH(C868,'Account executives'!$A$2:$A$25,0))</f>
        <v>smb</v>
      </c>
      <c r="X868" s="0" t="str">
        <f>SUBSTITUTE(LOWER(INDEX('Periods'!$G$2:$G$22,MATCH(N868,'Periods'!$A$2:$A$22,0)))," ","_")</f>
        <v>q2_2026</v>
      </c>
    </row>
    <row r="869">
      <c r="A869" s="0" t="inlineStr">
        <is>
          <t xml:space="preserve">o0868</t>
        </is>
      </c>
      <c r="B869" s="0" t="inlineStr">
        <is>
          <t xml:space="preserve">a0725</t>
        </is>
      </c>
      <c r="C869" s="0" t="inlineStr">
        <is>
          <t xml:space="preserve">r06</t>
        </is>
      </c>
      <c r="D869" s="0" t="inlineStr">
        <is>
          <t xml:space="preserve">s_amer_east_in</t>
        </is>
      </c>
      <c r="E869" s="0" t="inlineStr">
        <is>
          <t xml:space="preserve">inbound</t>
        </is>
      </c>
      <c r="F869" s="0" t="inlineStr">
        <is>
          <t xml:space="preserve">closed_lost</t>
        </is>
      </c>
      <c r="G869" s="4">
        <v>1</v>
      </c>
      <c r="H869" s="4">
        <v>5300</v>
      </c>
      <c r="I869" s="4">
        <v>1</v>
      </c>
      <c r="J869" s="4">
        <v>1</v>
      </c>
      <c r="K869" s="16">
        <v>46104</v>
      </c>
      <c r="L869" s="16">
        <v>46130</v>
      </c>
      <c r="M869" s="0" t="inlineStr">
        <is>
          <t xml:space="preserve">mar26</t>
        </is>
      </c>
      <c r="N869" s="0" t="inlineStr">
        <is>
          <t xml:space="preserve">apr26</t>
        </is>
      </c>
      <c r="O869" s="4">
        <v>26</v>
      </c>
      <c r="P869" s="4">
        <v>0</v>
      </c>
      <c r="Q869" s="4">
        <v>1</v>
      </c>
      <c r="R869" s="4">
        <v>0</v>
      </c>
      <c r="S869" s="4">
        <f>(H869*INDEX('Stages'!$D$2:$D$7,MATCH(F869,'Stages'!$A$2:$A$7,0)))</f>
        <v>0</v>
      </c>
      <c r="T869" s="4">
        <f>(H869*I869)</f>
        <v>5300</v>
      </c>
      <c r="U869" s="4">
        <f>(H869*(I869-1))</f>
        <v>0</v>
      </c>
      <c r="V869" s="0" t="str">
        <f>INDEX('Account executives'!$B$2:$B$25,MATCH(C869,'Account executives'!$A$2:$A$25,0))</f>
        <v>amer_east</v>
      </c>
      <c r="W869" s="0" t="str">
        <f>INDEX('Account executives'!$C$2:$C$25,MATCH(C869,'Account executives'!$A$2:$A$25,0))</f>
        <v>smb</v>
      </c>
      <c r="X869" s="0" t="str">
        <f>SUBSTITUTE(LOWER(INDEX('Periods'!$G$2:$G$22,MATCH(N869,'Periods'!$A$2:$A$22,0)))," ","_")</f>
        <v>q2_2026</v>
      </c>
    </row>
    <row r="870">
      <c r="A870" s="0" t="inlineStr">
        <is>
          <t xml:space="preserve">o0869</t>
        </is>
      </c>
      <c r="B870" s="0" t="inlineStr">
        <is>
          <t xml:space="preserve">a0546</t>
        </is>
      </c>
      <c r="C870" s="0" t="inlineStr">
        <is>
          <t xml:space="preserve">r04</t>
        </is>
      </c>
      <c r="D870" s="0" t="inlineStr">
        <is>
          <t xml:space="preserve">s_amer_east_in</t>
        </is>
      </c>
      <c r="E870" s="0" t="inlineStr">
        <is>
          <t xml:space="preserve">inbound</t>
        </is>
      </c>
      <c r="F870" s="0" t="inlineStr">
        <is>
          <t xml:space="preserve">closed_lost</t>
        </is>
      </c>
      <c r="G870" s="4">
        <v>1</v>
      </c>
      <c r="H870" s="4">
        <v>42200</v>
      </c>
      <c r="I870" s="4">
        <v>1</v>
      </c>
      <c r="J870" s="4">
        <v>0</v>
      </c>
      <c r="K870" s="16">
        <v>46006</v>
      </c>
      <c r="L870" s="16">
        <v>46060</v>
      </c>
      <c r="M870" s="0" t="inlineStr">
        <is>
          <t xml:space="preserve">dec25</t>
        </is>
      </c>
      <c r="N870" s="0" t="inlineStr">
        <is>
          <t xml:space="preserve">feb26</t>
        </is>
      </c>
      <c r="O870" s="4">
        <v>54</v>
      </c>
      <c r="P870" s="4">
        <v>0</v>
      </c>
      <c r="Q870" s="4">
        <v>1</v>
      </c>
      <c r="R870" s="4">
        <v>0</v>
      </c>
      <c r="S870" s="4">
        <f>(H870*INDEX('Stages'!$D$2:$D$7,MATCH(F870,'Stages'!$A$2:$A$7,0)))</f>
        <v>0</v>
      </c>
      <c r="T870" s="4">
        <f>(H870*I870)</f>
        <v>42200</v>
      </c>
      <c r="U870" s="4">
        <f>(H870*(I870-1))</f>
        <v>0</v>
      </c>
      <c r="V870" s="0" t="str">
        <f>INDEX('Account executives'!$B$2:$B$25,MATCH(C870,'Account executives'!$A$2:$A$25,0))</f>
        <v>amer_east</v>
      </c>
      <c r="W870" s="0" t="str">
        <f>INDEX('Account executives'!$C$2:$C$25,MATCH(C870,'Account executives'!$A$2:$A$25,0))</f>
        <v>mid_market</v>
      </c>
      <c r="X870" s="0" t="str">
        <f>SUBSTITUTE(LOWER(INDEX('Periods'!$G$2:$G$22,MATCH(N870,'Periods'!$A$2:$A$22,0)))," ","_")</f>
        <v>q1_2026</v>
      </c>
    </row>
    <row r="871">
      <c r="A871" s="0" t="inlineStr">
        <is>
          <t xml:space="preserve">o0870</t>
        </is>
      </c>
      <c r="B871" s="0" t="inlineStr">
        <is>
          <t xml:space="preserve">a1191</t>
        </is>
      </c>
      <c r="C871" s="0" t="inlineStr">
        <is>
          <t xml:space="preserve">r15</t>
        </is>
      </c>
      <c r="D871" s="0"/>
      <c r="E871" s="0" t="inlineStr">
        <is>
          <t xml:space="preserve">events</t>
        </is>
      </c>
      <c r="F871" s="0" t="inlineStr">
        <is>
          <t xml:space="preserve">closed_won</t>
        </is>
      </c>
      <c r="G871" s="4">
        <v>1</v>
      </c>
      <c r="H871" s="4">
        <v>45800</v>
      </c>
      <c r="I871" s="4">
        <v>1</v>
      </c>
      <c r="J871" s="4">
        <v>0</v>
      </c>
      <c r="K871" s="16">
        <v>46235</v>
      </c>
      <c r="L871" s="16">
        <v>46275</v>
      </c>
      <c r="M871" s="0" t="inlineStr">
        <is>
          <t xml:space="preserve">aug26</t>
        </is>
      </c>
      <c r="N871" s="0" t="inlineStr">
        <is>
          <t xml:space="preserve">sep26</t>
        </is>
      </c>
      <c r="O871" s="4">
        <v>40</v>
      </c>
      <c r="P871" s="4">
        <v>1</v>
      </c>
      <c r="Q871" s="4">
        <v>0</v>
      </c>
      <c r="R871" s="4">
        <v>0</v>
      </c>
      <c r="S871" s="4">
        <f>(H871*INDEX('Stages'!$D$2:$D$7,MATCH(F871,'Stages'!$A$2:$A$7,0)))</f>
        <v>45800</v>
      </c>
      <c r="T871" s="4">
        <f>(H871*I871)</f>
        <v>45800</v>
      </c>
      <c r="U871" s="4">
        <f>(H871*(I871-1))</f>
        <v>0</v>
      </c>
      <c r="V871" s="0" t="str">
        <f>INDEX('Account executives'!$B$2:$B$25,MATCH(C871,'Account executives'!$A$2:$A$25,0))</f>
        <v>emea</v>
      </c>
      <c r="W871" s="0" t="str">
        <f>INDEX('Account executives'!$C$2:$C$25,MATCH(C871,'Account executives'!$A$2:$A$25,0))</f>
        <v>mid_market</v>
      </c>
      <c r="X871" s="0" t="str">
        <f>SUBSTITUTE(LOWER(INDEX('Periods'!$G$2:$G$22,MATCH(N871,'Periods'!$A$2:$A$22,0)))," ","_")</f>
        <v>q3_2026</v>
      </c>
    </row>
    <row r="872">
      <c r="A872" s="0" t="inlineStr">
        <is>
          <t xml:space="preserve">o0871</t>
        </is>
      </c>
      <c r="B872" s="0" t="inlineStr">
        <is>
          <t xml:space="preserve">a0210</t>
        </is>
      </c>
      <c r="C872" s="0" t="inlineStr">
        <is>
          <t xml:space="preserve">r13</t>
        </is>
      </c>
      <c r="D872" s="0" t="inlineStr">
        <is>
          <t xml:space="preserve">s_emea_in</t>
        </is>
      </c>
      <c r="E872" s="0" t="inlineStr">
        <is>
          <t xml:space="preserve">inbound</t>
        </is>
      </c>
      <c r="F872" s="0" t="inlineStr">
        <is>
          <t xml:space="preserve">closed_lost</t>
        </is>
      </c>
      <c r="G872" s="4">
        <v>1</v>
      </c>
      <c r="H872" s="4">
        <v>172900</v>
      </c>
      <c r="I872" s="4">
        <v>2</v>
      </c>
      <c r="J872" s="4">
        <v>1</v>
      </c>
      <c r="K872" s="16">
        <v>45826</v>
      </c>
      <c r="L872" s="16">
        <v>45916</v>
      </c>
      <c r="M872" s="0" t="inlineStr">
        <is>
          <t xml:space="preserve">jun25</t>
        </is>
      </c>
      <c r="N872" s="0" t="inlineStr">
        <is>
          <t xml:space="preserve">sep25</t>
        </is>
      </c>
      <c r="O872" s="4">
        <v>90</v>
      </c>
      <c r="P872" s="4">
        <v>0</v>
      </c>
      <c r="Q872" s="4">
        <v>1</v>
      </c>
      <c r="R872" s="4">
        <v>0</v>
      </c>
      <c r="S872" s="4">
        <f>(H872*INDEX('Stages'!$D$2:$D$7,MATCH(F872,'Stages'!$A$2:$A$7,0)))</f>
        <v>0</v>
      </c>
      <c r="T872" s="4">
        <f>(H872*I872)</f>
        <v>345800</v>
      </c>
      <c r="U872" s="4">
        <f>(H872*(I872-1))</f>
        <v>172900</v>
      </c>
      <c r="V872" s="0" t="str">
        <f>INDEX('Account executives'!$B$2:$B$25,MATCH(C872,'Account executives'!$A$2:$A$25,0))</f>
        <v>emea</v>
      </c>
      <c r="W872" s="0" t="str">
        <f>INDEX('Account executives'!$C$2:$C$25,MATCH(C872,'Account executives'!$A$2:$A$25,0))</f>
        <v>enterprise</v>
      </c>
      <c r="X872" s="0" t="str">
        <f>SUBSTITUTE(LOWER(INDEX('Periods'!$G$2:$G$22,MATCH(N872,'Periods'!$A$2:$A$22,0)))," ","_")</f>
        <v>q3_2025</v>
      </c>
    </row>
    <row r="873">
      <c r="A873" s="0" t="inlineStr">
        <is>
          <t xml:space="preserve">o0872</t>
        </is>
      </c>
      <c r="B873" s="0" t="inlineStr">
        <is>
          <t xml:space="preserve">a0871</t>
        </is>
      </c>
      <c r="C873" s="0" t="inlineStr">
        <is>
          <t xml:space="preserve">r17</t>
        </is>
      </c>
      <c r="D873" s="0"/>
      <c r="E873" s="0" t="inlineStr">
        <is>
          <t xml:space="preserve">partner</t>
        </is>
      </c>
      <c r="F873" s="0" t="inlineStr">
        <is>
          <t xml:space="preserve">closed_lost</t>
        </is>
      </c>
      <c r="G873" s="4">
        <v>1</v>
      </c>
      <c r="H873" s="4">
        <v>20800</v>
      </c>
      <c r="I873" s="4">
        <v>1</v>
      </c>
      <c r="J873" s="4">
        <v>0</v>
      </c>
      <c r="K873" s="16">
        <v>46123</v>
      </c>
      <c r="L873" s="16">
        <v>46201</v>
      </c>
      <c r="M873" s="0" t="inlineStr">
        <is>
          <t xml:space="preserve">apr26</t>
        </is>
      </c>
      <c r="N873" s="0" t="inlineStr">
        <is>
          <t xml:space="preserve">jun26</t>
        </is>
      </c>
      <c r="O873" s="4">
        <v>78</v>
      </c>
      <c r="P873" s="4">
        <v>0</v>
      </c>
      <c r="Q873" s="4">
        <v>1</v>
      </c>
      <c r="R873" s="4">
        <v>0</v>
      </c>
      <c r="S873" s="4">
        <f>(H873*INDEX('Stages'!$D$2:$D$7,MATCH(F873,'Stages'!$A$2:$A$7,0)))</f>
        <v>0</v>
      </c>
      <c r="T873" s="4">
        <f>(H873*I873)</f>
        <v>20800</v>
      </c>
      <c r="U873" s="4">
        <f>(H873*(I873-1))</f>
        <v>0</v>
      </c>
      <c r="V873" s="0" t="str">
        <f>INDEX('Account executives'!$B$2:$B$25,MATCH(C873,'Account executives'!$A$2:$A$25,0))</f>
        <v>emea</v>
      </c>
      <c r="W873" s="0" t="str">
        <f>INDEX('Account executives'!$C$2:$C$25,MATCH(C873,'Account executives'!$A$2:$A$25,0))</f>
        <v>smb</v>
      </c>
      <c r="X873" s="0" t="str">
        <f>SUBSTITUTE(LOWER(INDEX('Periods'!$G$2:$G$22,MATCH(N873,'Periods'!$A$2:$A$22,0)))," ","_")</f>
        <v>q2_2026</v>
      </c>
    </row>
    <row r="874">
      <c r="A874" s="0" t="inlineStr">
        <is>
          <t xml:space="preserve">o0873</t>
        </is>
      </c>
      <c r="B874" s="0" t="inlineStr">
        <is>
          <t xml:space="preserve">a0504</t>
        </is>
      </c>
      <c r="C874" s="0" t="inlineStr">
        <is>
          <t xml:space="preserve">r11</t>
        </is>
      </c>
      <c r="D874" s="0"/>
      <c r="E874" s="0" t="inlineStr">
        <is>
          <t xml:space="preserve">events</t>
        </is>
      </c>
      <c r="F874" s="0" t="inlineStr">
        <is>
          <t xml:space="preserve">closed_lost</t>
        </is>
      </c>
      <c r="G874" s="4">
        <v>0</v>
      </c>
      <c r="H874" s="4">
        <v>6100</v>
      </c>
      <c r="I874" s="4">
        <v>1</v>
      </c>
      <c r="J874" s="4">
        <v>0</v>
      </c>
      <c r="K874" s="16">
        <v>46178</v>
      </c>
      <c r="L874" s="16">
        <v>46199</v>
      </c>
      <c r="M874" s="0" t="inlineStr">
        <is>
          <t xml:space="preserve">jun26</t>
        </is>
      </c>
      <c r="N874" s="0" t="inlineStr">
        <is>
          <t xml:space="preserve">jun26</t>
        </is>
      </c>
      <c r="O874" s="4">
        <v>21</v>
      </c>
      <c r="P874" s="4">
        <v>0</v>
      </c>
      <c r="Q874" s="4">
        <v>1</v>
      </c>
      <c r="R874" s="4">
        <v>0</v>
      </c>
      <c r="S874" s="4">
        <f>(H874*INDEX('Stages'!$D$2:$D$7,MATCH(F874,'Stages'!$A$2:$A$7,0)))</f>
        <v>0</v>
      </c>
      <c r="T874" s="4">
        <f>(H874*I874)</f>
        <v>6100</v>
      </c>
      <c r="U874" s="4">
        <f>(H874*(I874-1))</f>
        <v>0</v>
      </c>
      <c r="V874" s="0" t="str">
        <f>INDEX('Account executives'!$B$2:$B$25,MATCH(C874,'Account executives'!$A$2:$A$25,0))</f>
        <v>amer_west</v>
      </c>
      <c r="W874" s="0" t="str">
        <f>INDEX('Account executives'!$C$2:$C$25,MATCH(C874,'Account executives'!$A$2:$A$25,0))</f>
        <v>smb</v>
      </c>
      <c r="X874" s="0" t="str">
        <f>SUBSTITUTE(LOWER(INDEX('Periods'!$G$2:$G$22,MATCH(N874,'Periods'!$A$2:$A$22,0)))," ","_")</f>
        <v>q2_2026</v>
      </c>
    </row>
    <row r="875">
      <c r="A875" s="0" t="inlineStr">
        <is>
          <t xml:space="preserve">o0874</t>
        </is>
      </c>
      <c r="B875" s="0" t="inlineStr">
        <is>
          <t xml:space="preserve">a0227</t>
        </is>
      </c>
      <c r="C875" s="0" t="inlineStr">
        <is>
          <t xml:space="preserve">r22</t>
        </is>
      </c>
      <c r="D875" s="0" t="inlineStr">
        <is>
          <t xml:space="preserve">s_apac_in</t>
        </is>
      </c>
      <c r="E875" s="0" t="inlineStr">
        <is>
          <t xml:space="preserve">paid</t>
        </is>
      </c>
      <c r="F875" s="0" t="inlineStr">
        <is>
          <t xml:space="preserve">closed_lost</t>
        </is>
      </c>
      <c r="G875" s="4">
        <v>1</v>
      </c>
      <c r="H875" s="4">
        <v>97000</v>
      </c>
      <c r="I875" s="4">
        <v>2</v>
      </c>
      <c r="J875" s="4">
        <v>0</v>
      </c>
      <c r="K875" s="16">
        <v>45833</v>
      </c>
      <c r="L875" s="16">
        <v>45927</v>
      </c>
      <c r="M875" s="0" t="inlineStr">
        <is>
          <t xml:space="preserve">jun25</t>
        </is>
      </c>
      <c r="N875" s="0" t="inlineStr">
        <is>
          <t xml:space="preserve">sep25</t>
        </is>
      </c>
      <c r="O875" s="4">
        <v>94</v>
      </c>
      <c r="P875" s="4">
        <v>0</v>
      </c>
      <c r="Q875" s="4">
        <v>1</v>
      </c>
      <c r="R875" s="4">
        <v>0</v>
      </c>
      <c r="S875" s="4">
        <f>(H875*INDEX('Stages'!$D$2:$D$7,MATCH(F875,'Stages'!$A$2:$A$7,0)))</f>
        <v>0</v>
      </c>
      <c r="T875" s="4">
        <f>(H875*I875)</f>
        <v>194000</v>
      </c>
      <c r="U875" s="4">
        <f>(H875*(I875-1))</f>
        <v>97000</v>
      </c>
      <c r="V875" s="0" t="str">
        <f>INDEX('Account executives'!$B$2:$B$25,MATCH(C875,'Account executives'!$A$2:$A$25,0))</f>
        <v>apac</v>
      </c>
      <c r="W875" s="0" t="str">
        <f>INDEX('Account executives'!$C$2:$C$25,MATCH(C875,'Account executives'!$A$2:$A$25,0))</f>
        <v>mid_market</v>
      </c>
      <c r="X875" s="0" t="str">
        <f>SUBSTITUTE(LOWER(INDEX('Periods'!$G$2:$G$22,MATCH(N875,'Periods'!$A$2:$A$22,0)))," ","_")</f>
        <v>q3_2025</v>
      </c>
    </row>
    <row r="876">
      <c r="A876" s="0" t="inlineStr">
        <is>
          <t xml:space="preserve">o0875</t>
        </is>
      </c>
      <c r="B876" s="0" t="inlineStr">
        <is>
          <t xml:space="preserve">a0251</t>
        </is>
      </c>
      <c r="C876" s="0" t="inlineStr">
        <is>
          <t xml:space="preserve">r06</t>
        </is>
      </c>
      <c r="D876" s="0" t="inlineStr">
        <is>
          <t xml:space="preserve">s_amer_east_out</t>
        </is>
      </c>
      <c r="E876" s="0" t="inlineStr">
        <is>
          <t xml:space="preserve">outbound</t>
        </is>
      </c>
      <c r="F876" s="0" t="inlineStr">
        <is>
          <t xml:space="preserve">closed_lost</t>
        </is>
      </c>
      <c r="G876" s="4">
        <v>1</v>
      </c>
      <c r="H876" s="4">
        <v>10000</v>
      </c>
      <c r="I876" s="4">
        <v>1</v>
      </c>
      <c r="J876" s="4">
        <v>0</v>
      </c>
      <c r="K876" s="16">
        <v>45864</v>
      </c>
      <c r="L876" s="16">
        <v>45885</v>
      </c>
      <c r="M876" s="0" t="inlineStr">
        <is>
          <t xml:space="preserve">jul25</t>
        </is>
      </c>
      <c r="N876" s="0" t="inlineStr">
        <is>
          <t xml:space="preserve">aug25</t>
        </is>
      </c>
      <c r="O876" s="4">
        <v>21</v>
      </c>
      <c r="P876" s="4">
        <v>0</v>
      </c>
      <c r="Q876" s="4">
        <v>1</v>
      </c>
      <c r="R876" s="4">
        <v>0</v>
      </c>
      <c r="S876" s="4">
        <f>(H876*INDEX('Stages'!$D$2:$D$7,MATCH(F876,'Stages'!$A$2:$A$7,0)))</f>
        <v>0</v>
      </c>
      <c r="T876" s="4">
        <f>(H876*I876)</f>
        <v>10000</v>
      </c>
      <c r="U876" s="4">
        <f>(H876*(I876-1))</f>
        <v>0</v>
      </c>
      <c r="V876" s="0" t="str">
        <f>INDEX('Account executives'!$B$2:$B$25,MATCH(C876,'Account executives'!$A$2:$A$25,0))</f>
        <v>amer_east</v>
      </c>
      <c r="W876" s="0" t="str">
        <f>INDEX('Account executives'!$C$2:$C$25,MATCH(C876,'Account executives'!$A$2:$A$25,0))</f>
        <v>smb</v>
      </c>
      <c r="X876" s="0" t="str">
        <f>SUBSTITUTE(LOWER(INDEX('Periods'!$G$2:$G$22,MATCH(N876,'Periods'!$A$2:$A$22,0)))," ","_")</f>
        <v>q3_2025</v>
      </c>
    </row>
    <row r="877">
      <c r="A877" s="0" t="inlineStr">
        <is>
          <t xml:space="preserve">o0876</t>
        </is>
      </c>
      <c r="B877" s="0" t="inlineStr">
        <is>
          <t xml:space="preserve">a0733</t>
        </is>
      </c>
      <c r="C877" s="0" t="inlineStr">
        <is>
          <t xml:space="preserve">r05</t>
        </is>
      </c>
      <c r="D877" s="0"/>
      <c r="E877" s="0" t="inlineStr">
        <is>
          <t xml:space="preserve">events</t>
        </is>
      </c>
      <c r="F877" s="0" t="inlineStr">
        <is>
          <t xml:space="preserve">closed_lost</t>
        </is>
      </c>
      <c r="G877" s="4">
        <v>1</v>
      </c>
      <c r="H877" s="4">
        <v>18900</v>
      </c>
      <c r="I877" s="4">
        <v>1</v>
      </c>
      <c r="J877" s="4">
        <v>1</v>
      </c>
      <c r="K877" s="16">
        <v>46087</v>
      </c>
      <c r="L877" s="16">
        <v>46121</v>
      </c>
      <c r="M877" s="0" t="inlineStr">
        <is>
          <t xml:space="preserve">mar26</t>
        </is>
      </c>
      <c r="N877" s="0" t="inlineStr">
        <is>
          <t xml:space="preserve">apr26</t>
        </is>
      </c>
      <c r="O877" s="4">
        <v>34</v>
      </c>
      <c r="P877" s="4">
        <v>0</v>
      </c>
      <c r="Q877" s="4">
        <v>1</v>
      </c>
      <c r="R877" s="4">
        <v>0</v>
      </c>
      <c r="S877" s="4">
        <f>(H877*INDEX('Stages'!$D$2:$D$7,MATCH(F877,'Stages'!$A$2:$A$7,0)))</f>
        <v>0</v>
      </c>
      <c r="T877" s="4">
        <f>(H877*I877)</f>
        <v>18900</v>
      </c>
      <c r="U877" s="4">
        <f>(H877*(I877-1))</f>
        <v>0</v>
      </c>
      <c r="V877" s="0" t="str">
        <f>INDEX('Account executives'!$B$2:$B$25,MATCH(C877,'Account executives'!$A$2:$A$25,0))</f>
        <v>amer_east</v>
      </c>
      <c r="W877" s="0" t="str">
        <f>INDEX('Account executives'!$C$2:$C$25,MATCH(C877,'Account executives'!$A$2:$A$25,0))</f>
        <v>smb</v>
      </c>
      <c r="X877" s="0" t="str">
        <f>SUBSTITUTE(LOWER(INDEX('Periods'!$G$2:$G$22,MATCH(N877,'Periods'!$A$2:$A$22,0)))," ","_")</f>
        <v>q2_2026</v>
      </c>
    </row>
    <row r="878">
      <c r="A878" s="0" t="inlineStr">
        <is>
          <t xml:space="preserve">o0877</t>
        </is>
      </c>
      <c r="B878" s="0" t="inlineStr">
        <is>
          <t xml:space="preserve">a0296</t>
        </is>
      </c>
      <c r="C878" s="0" t="inlineStr">
        <is>
          <t xml:space="preserve">r21</t>
        </is>
      </c>
      <c r="D878" s="0" t="inlineStr">
        <is>
          <t xml:space="preserve">s_apac_in</t>
        </is>
      </c>
      <c r="E878" s="0" t="inlineStr">
        <is>
          <t xml:space="preserve">inbound</t>
        </is>
      </c>
      <c r="F878" s="0" t="inlineStr">
        <is>
          <t xml:space="preserve">closed_lost</t>
        </is>
      </c>
      <c r="G878" s="4">
        <v>1</v>
      </c>
      <c r="H878" s="4">
        <v>51800</v>
      </c>
      <c r="I878" s="4">
        <v>2</v>
      </c>
      <c r="J878" s="4">
        <v>0</v>
      </c>
      <c r="K878" s="16">
        <v>45866</v>
      </c>
      <c r="L878" s="16">
        <v>45943</v>
      </c>
      <c r="M878" s="0" t="inlineStr">
        <is>
          <t xml:space="preserve">jul25</t>
        </is>
      </c>
      <c r="N878" s="0" t="inlineStr">
        <is>
          <t xml:space="preserve">oct25</t>
        </is>
      </c>
      <c r="O878" s="4">
        <v>77</v>
      </c>
      <c r="P878" s="4">
        <v>0</v>
      </c>
      <c r="Q878" s="4">
        <v>1</v>
      </c>
      <c r="R878" s="4">
        <v>0</v>
      </c>
      <c r="S878" s="4">
        <f>(H878*INDEX('Stages'!$D$2:$D$7,MATCH(F878,'Stages'!$A$2:$A$7,0)))</f>
        <v>0</v>
      </c>
      <c r="T878" s="4">
        <f>(H878*I878)</f>
        <v>103600</v>
      </c>
      <c r="U878" s="4">
        <f>(H878*(I878-1))</f>
        <v>51800</v>
      </c>
      <c r="V878" s="0" t="str">
        <f>INDEX('Account executives'!$B$2:$B$25,MATCH(C878,'Account executives'!$A$2:$A$25,0))</f>
        <v>apac</v>
      </c>
      <c r="W878" s="0" t="str">
        <f>INDEX('Account executives'!$C$2:$C$25,MATCH(C878,'Account executives'!$A$2:$A$25,0))</f>
        <v>mid_market</v>
      </c>
      <c r="X878" s="0" t="str">
        <f>SUBSTITUTE(LOWER(INDEX('Periods'!$G$2:$G$22,MATCH(N878,'Periods'!$A$2:$A$22,0)))," ","_")</f>
        <v>q4_2025</v>
      </c>
    </row>
    <row r="879">
      <c r="A879" s="0" t="inlineStr">
        <is>
          <t xml:space="preserve">o0878</t>
        </is>
      </c>
      <c r="B879" s="0" t="inlineStr">
        <is>
          <t xml:space="preserve">a0525</t>
        </is>
      </c>
      <c r="C879" s="0" t="inlineStr">
        <is>
          <t xml:space="preserve">r21</t>
        </is>
      </c>
      <c r="D879" s="0"/>
      <c r="E879" s="0" t="inlineStr">
        <is>
          <t xml:space="preserve">events</t>
        </is>
      </c>
      <c r="F879" s="0" t="inlineStr">
        <is>
          <t xml:space="preserve">closed_won</t>
        </is>
      </c>
      <c r="G879" s="4">
        <v>1</v>
      </c>
      <c r="H879" s="4">
        <v>71500</v>
      </c>
      <c r="I879" s="4">
        <v>1</v>
      </c>
      <c r="J879" s="4">
        <v>0</v>
      </c>
      <c r="K879" s="16">
        <v>45964</v>
      </c>
      <c r="L879" s="16">
        <v>46014</v>
      </c>
      <c r="M879" s="0" t="inlineStr">
        <is>
          <t xml:space="preserve">nov25</t>
        </is>
      </c>
      <c r="N879" s="0" t="inlineStr">
        <is>
          <t xml:space="preserve">dec25</t>
        </is>
      </c>
      <c r="O879" s="4">
        <v>50</v>
      </c>
      <c r="P879" s="4">
        <v>1</v>
      </c>
      <c r="Q879" s="4">
        <v>0</v>
      </c>
      <c r="R879" s="4">
        <v>0</v>
      </c>
      <c r="S879" s="4">
        <f>(H879*INDEX('Stages'!$D$2:$D$7,MATCH(F879,'Stages'!$A$2:$A$7,0)))</f>
        <v>71500</v>
      </c>
      <c r="T879" s="4">
        <f>(H879*I879)</f>
        <v>71500</v>
      </c>
      <c r="U879" s="4">
        <f>(H879*(I879-1))</f>
        <v>0</v>
      </c>
      <c r="V879" s="0" t="str">
        <f>INDEX('Account executives'!$B$2:$B$25,MATCH(C879,'Account executives'!$A$2:$A$25,0))</f>
        <v>apac</v>
      </c>
      <c r="W879" s="0" t="str">
        <f>INDEX('Account executives'!$C$2:$C$25,MATCH(C879,'Account executives'!$A$2:$A$25,0))</f>
        <v>mid_market</v>
      </c>
      <c r="X879" s="0" t="str">
        <f>SUBSTITUTE(LOWER(INDEX('Periods'!$G$2:$G$22,MATCH(N879,'Periods'!$A$2:$A$22,0)))," ","_")</f>
        <v>q4_2025</v>
      </c>
    </row>
    <row r="880">
      <c r="A880" s="0" t="inlineStr">
        <is>
          <t xml:space="preserve">o0879</t>
        </is>
      </c>
      <c r="B880" s="0" t="inlineStr">
        <is>
          <t xml:space="preserve">a0893</t>
        </is>
      </c>
      <c r="C880" s="0" t="inlineStr">
        <is>
          <t xml:space="preserve">r06</t>
        </is>
      </c>
      <c r="D880" s="0" t="inlineStr">
        <is>
          <t xml:space="preserve">s_amer_east_in</t>
        </is>
      </c>
      <c r="E880" s="0" t="inlineStr">
        <is>
          <t xml:space="preserve">inbound</t>
        </is>
      </c>
      <c r="F880" s="0" t="inlineStr">
        <is>
          <t xml:space="preserve">closed_lost</t>
        </is>
      </c>
      <c r="G880" s="4">
        <v>1</v>
      </c>
      <c r="H880" s="4">
        <v>13700</v>
      </c>
      <c r="I880" s="4">
        <v>1</v>
      </c>
      <c r="J880" s="4">
        <v>1</v>
      </c>
      <c r="K880" s="16">
        <v>46155</v>
      </c>
      <c r="L880" s="16">
        <v>46190</v>
      </c>
      <c r="M880" s="0" t="inlineStr">
        <is>
          <t xml:space="preserve">may26</t>
        </is>
      </c>
      <c r="N880" s="0" t="inlineStr">
        <is>
          <t xml:space="preserve">jun26</t>
        </is>
      </c>
      <c r="O880" s="4">
        <v>35</v>
      </c>
      <c r="P880" s="4">
        <v>0</v>
      </c>
      <c r="Q880" s="4">
        <v>1</v>
      </c>
      <c r="R880" s="4">
        <v>0</v>
      </c>
      <c r="S880" s="4">
        <f>(H880*INDEX('Stages'!$D$2:$D$7,MATCH(F880,'Stages'!$A$2:$A$7,0)))</f>
        <v>0</v>
      </c>
      <c r="T880" s="4">
        <f>(H880*I880)</f>
        <v>13700</v>
      </c>
      <c r="U880" s="4">
        <f>(H880*(I880-1))</f>
        <v>0</v>
      </c>
      <c r="V880" s="0" t="str">
        <f>INDEX('Account executives'!$B$2:$B$25,MATCH(C880,'Account executives'!$A$2:$A$25,0))</f>
        <v>amer_east</v>
      </c>
      <c r="W880" s="0" t="str">
        <f>INDEX('Account executives'!$C$2:$C$25,MATCH(C880,'Account executives'!$A$2:$A$25,0))</f>
        <v>smb</v>
      </c>
      <c r="X880" s="0" t="str">
        <f>SUBSTITUTE(LOWER(INDEX('Periods'!$G$2:$G$22,MATCH(N880,'Periods'!$A$2:$A$22,0)))," ","_")</f>
        <v>q2_2026</v>
      </c>
    </row>
    <row r="881">
      <c r="A881" s="0" t="inlineStr">
        <is>
          <t xml:space="preserve">o0880</t>
        </is>
      </c>
      <c r="B881" s="0" t="inlineStr">
        <is>
          <t xml:space="preserve">a0148</t>
        </is>
      </c>
      <c r="C881" s="0" t="inlineStr">
        <is>
          <t xml:space="preserve">r20</t>
        </is>
      </c>
      <c r="D881" s="0"/>
      <c r="E881" s="0" t="inlineStr">
        <is>
          <t xml:space="preserve">events</t>
        </is>
      </c>
      <c r="F881" s="0" t="inlineStr">
        <is>
          <t xml:space="preserve">closed_lost</t>
        </is>
      </c>
      <c r="G881" s="4">
        <v>1</v>
      </c>
      <c r="H881" s="4">
        <v>176800</v>
      </c>
      <c r="I881" s="4">
        <v>2</v>
      </c>
      <c r="J881" s="4">
        <v>1</v>
      </c>
      <c r="K881" s="16">
        <v>45787</v>
      </c>
      <c r="L881" s="16">
        <v>45875</v>
      </c>
      <c r="M881" s="0" t="inlineStr">
        <is>
          <t xml:space="preserve">may25</t>
        </is>
      </c>
      <c r="N881" s="0" t="inlineStr">
        <is>
          <t xml:space="preserve">aug25</t>
        </is>
      </c>
      <c r="O881" s="4">
        <v>88</v>
      </c>
      <c r="P881" s="4">
        <v>0</v>
      </c>
      <c r="Q881" s="4">
        <v>1</v>
      </c>
      <c r="R881" s="4">
        <v>0</v>
      </c>
      <c r="S881" s="4">
        <f>(H881*INDEX('Stages'!$D$2:$D$7,MATCH(F881,'Stages'!$A$2:$A$7,0)))</f>
        <v>0</v>
      </c>
      <c r="T881" s="4">
        <f>(H881*I881)</f>
        <v>353600</v>
      </c>
      <c r="U881" s="4">
        <f>(H881*(I881-1))</f>
        <v>176800</v>
      </c>
      <c r="V881" s="0" t="str">
        <f>INDEX('Account executives'!$B$2:$B$25,MATCH(C881,'Account executives'!$A$2:$A$25,0))</f>
        <v>apac</v>
      </c>
      <c r="W881" s="0" t="str">
        <f>INDEX('Account executives'!$C$2:$C$25,MATCH(C881,'Account executives'!$A$2:$A$25,0))</f>
        <v>enterprise</v>
      </c>
      <c r="X881" s="0" t="str">
        <f>SUBSTITUTE(LOWER(INDEX('Periods'!$G$2:$G$22,MATCH(N881,'Periods'!$A$2:$A$22,0)))," ","_")</f>
        <v>q3_2025</v>
      </c>
    </row>
    <row r="882">
      <c r="A882" s="0" t="inlineStr">
        <is>
          <t xml:space="preserve">o0881</t>
        </is>
      </c>
      <c r="B882" s="0" t="inlineStr">
        <is>
          <t xml:space="preserve">a0765</t>
        </is>
      </c>
      <c r="C882" s="0" t="inlineStr">
        <is>
          <t xml:space="preserve">r08</t>
        </is>
      </c>
      <c r="D882" s="0"/>
      <c r="E882" s="0" t="inlineStr">
        <is>
          <t xml:space="preserve">events</t>
        </is>
      </c>
      <c r="F882" s="0" t="inlineStr">
        <is>
          <t xml:space="preserve">closed_lost</t>
        </is>
      </c>
      <c r="G882" s="4">
        <v>1</v>
      </c>
      <c r="H882" s="4">
        <v>64600</v>
      </c>
      <c r="I882" s="4">
        <v>2</v>
      </c>
      <c r="J882" s="4">
        <v>0</v>
      </c>
      <c r="K882" s="16">
        <v>46098</v>
      </c>
      <c r="L882" s="16">
        <v>46248</v>
      </c>
      <c r="M882" s="0" t="inlineStr">
        <is>
          <t xml:space="preserve">mar26</t>
        </is>
      </c>
      <c r="N882" s="0" t="inlineStr">
        <is>
          <t xml:space="preserve">aug26</t>
        </is>
      </c>
      <c r="O882" s="4">
        <v>150</v>
      </c>
      <c r="P882" s="4">
        <v>0</v>
      </c>
      <c r="Q882" s="4">
        <v>1</v>
      </c>
      <c r="R882" s="4">
        <v>0</v>
      </c>
      <c r="S882" s="4">
        <f>(H882*INDEX('Stages'!$D$2:$D$7,MATCH(F882,'Stages'!$A$2:$A$7,0)))</f>
        <v>0</v>
      </c>
      <c r="T882" s="4">
        <f>(H882*I882)</f>
        <v>129200</v>
      </c>
      <c r="U882" s="4">
        <f>(H882*(I882-1))</f>
        <v>64600</v>
      </c>
      <c r="V882" s="0" t="str">
        <f>INDEX('Account executives'!$B$2:$B$25,MATCH(C882,'Account executives'!$A$2:$A$25,0))</f>
        <v>amer_west</v>
      </c>
      <c r="W882" s="0" t="str">
        <f>INDEX('Account executives'!$C$2:$C$25,MATCH(C882,'Account executives'!$A$2:$A$25,0))</f>
        <v>enterprise</v>
      </c>
      <c r="X882" s="0" t="str">
        <f>SUBSTITUTE(LOWER(INDEX('Periods'!$G$2:$G$22,MATCH(N882,'Periods'!$A$2:$A$22,0)))," ","_")</f>
        <v>q3_2026</v>
      </c>
    </row>
    <row r="883">
      <c r="A883" s="0" t="inlineStr">
        <is>
          <t xml:space="preserve">o0882</t>
        </is>
      </c>
      <c r="B883" s="0" t="inlineStr">
        <is>
          <t xml:space="preserve">a0046</t>
        </is>
      </c>
      <c r="C883" s="0" t="inlineStr">
        <is>
          <t xml:space="preserve">r18</t>
        </is>
      </c>
      <c r="D883" s="0"/>
      <c r="E883" s="0" t="inlineStr">
        <is>
          <t xml:space="preserve">events</t>
        </is>
      </c>
      <c r="F883" s="0" t="inlineStr">
        <is>
          <t xml:space="preserve">closed_won</t>
        </is>
      </c>
      <c r="G883" s="4">
        <v>0</v>
      </c>
      <c r="H883" s="4">
        <v>10000</v>
      </c>
      <c r="I883" s="4">
        <v>1</v>
      </c>
      <c r="J883" s="4">
        <v>1</v>
      </c>
      <c r="K883" s="16">
        <v>45857</v>
      </c>
      <c r="L883" s="16">
        <v>45875</v>
      </c>
      <c r="M883" s="0" t="inlineStr">
        <is>
          <t xml:space="preserve">jul25</t>
        </is>
      </c>
      <c r="N883" s="0" t="inlineStr">
        <is>
          <t xml:space="preserve">aug25</t>
        </is>
      </c>
      <c r="O883" s="4">
        <v>18</v>
      </c>
      <c r="P883" s="4">
        <v>1</v>
      </c>
      <c r="Q883" s="4">
        <v>0</v>
      </c>
      <c r="R883" s="4">
        <v>0</v>
      </c>
      <c r="S883" s="4">
        <f>(H883*INDEX('Stages'!$D$2:$D$7,MATCH(F883,'Stages'!$A$2:$A$7,0)))</f>
        <v>10000</v>
      </c>
      <c r="T883" s="4">
        <f>(H883*I883)</f>
        <v>10000</v>
      </c>
      <c r="U883" s="4">
        <f>(H883*(I883-1))</f>
        <v>0</v>
      </c>
      <c r="V883" s="0" t="str">
        <f>INDEX('Account executives'!$B$2:$B$25,MATCH(C883,'Account executives'!$A$2:$A$25,0))</f>
        <v>emea</v>
      </c>
      <c r="W883" s="0" t="str">
        <f>INDEX('Account executives'!$C$2:$C$25,MATCH(C883,'Account executives'!$A$2:$A$25,0))</f>
        <v>smb</v>
      </c>
      <c r="X883" s="0" t="str">
        <f>SUBSTITUTE(LOWER(INDEX('Periods'!$G$2:$G$22,MATCH(N883,'Periods'!$A$2:$A$22,0)))," ","_")</f>
        <v>q3_2025</v>
      </c>
    </row>
    <row r="884">
      <c r="A884" s="0" t="inlineStr">
        <is>
          <t xml:space="preserve">o0883</t>
        </is>
      </c>
      <c r="B884" s="0" t="inlineStr">
        <is>
          <t xml:space="preserve">a0564</t>
        </is>
      </c>
      <c r="C884" s="0" t="inlineStr">
        <is>
          <t xml:space="preserve">r08</t>
        </is>
      </c>
      <c r="D884" s="0" t="inlineStr">
        <is>
          <t xml:space="preserve">s_amer_west_in</t>
        </is>
      </c>
      <c r="E884" s="0" t="inlineStr">
        <is>
          <t xml:space="preserve">inbound</t>
        </is>
      </c>
      <c r="F884" s="0" t="inlineStr">
        <is>
          <t xml:space="preserve">closed_lost</t>
        </is>
      </c>
      <c r="G884" s="4">
        <v>1</v>
      </c>
      <c r="H884" s="4">
        <v>138900</v>
      </c>
      <c r="I884" s="4">
        <v>1</v>
      </c>
      <c r="J884" s="4">
        <v>0</v>
      </c>
      <c r="K884" s="16">
        <v>46016</v>
      </c>
      <c r="L884" s="16">
        <v>46173</v>
      </c>
      <c r="M884" s="0" t="inlineStr">
        <is>
          <t xml:space="preserve">dec25</t>
        </is>
      </c>
      <c r="N884" s="0" t="inlineStr">
        <is>
          <t xml:space="preserve">may26</t>
        </is>
      </c>
      <c r="O884" s="4">
        <v>157</v>
      </c>
      <c r="P884" s="4">
        <v>0</v>
      </c>
      <c r="Q884" s="4">
        <v>1</v>
      </c>
      <c r="R884" s="4">
        <v>0</v>
      </c>
      <c r="S884" s="4">
        <f>(H884*INDEX('Stages'!$D$2:$D$7,MATCH(F884,'Stages'!$A$2:$A$7,0)))</f>
        <v>0</v>
      </c>
      <c r="T884" s="4">
        <f>(H884*I884)</f>
        <v>138900</v>
      </c>
      <c r="U884" s="4">
        <f>(H884*(I884-1))</f>
        <v>0</v>
      </c>
      <c r="V884" s="0" t="str">
        <f>INDEX('Account executives'!$B$2:$B$25,MATCH(C884,'Account executives'!$A$2:$A$25,0))</f>
        <v>amer_west</v>
      </c>
      <c r="W884" s="0" t="str">
        <f>INDEX('Account executives'!$C$2:$C$25,MATCH(C884,'Account executives'!$A$2:$A$25,0))</f>
        <v>enterprise</v>
      </c>
      <c r="X884" s="0" t="str">
        <f>SUBSTITUTE(LOWER(INDEX('Periods'!$G$2:$G$22,MATCH(N884,'Periods'!$A$2:$A$22,0)))," ","_")</f>
        <v>q2_2026</v>
      </c>
    </row>
    <row r="885">
      <c r="A885" s="0" t="inlineStr">
        <is>
          <t xml:space="preserve">o0884</t>
        </is>
      </c>
      <c r="B885" s="0" t="inlineStr">
        <is>
          <t xml:space="preserve">a0616</t>
        </is>
      </c>
      <c r="C885" s="0" t="inlineStr">
        <is>
          <t xml:space="preserve">r04</t>
        </is>
      </c>
      <c r="D885" s="0" t="inlineStr">
        <is>
          <t xml:space="preserve">s_amer_east_out</t>
        </is>
      </c>
      <c r="E885" s="0" t="inlineStr">
        <is>
          <t xml:space="preserve">outbound</t>
        </is>
      </c>
      <c r="F885" s="0" t="inlineStr">
        <is>
          <t xml:space="preserve">closed_lost</t>
        </is>
      </c>
      <c r="G885" s="4">
        <v>1</v>
      </c>
      <c r="H885" s="4">
        <v>42800</v>
      </c>
      <c r="I885" s="4">
        <v>1</v>
      </c>
      <c r="J885" s="4">
        <v>0</v>
      </c>
      <c r="K885" s="16">
        <v>46035</v>
      </c>
      <c r="L885" s="16">
        <v>46112</v>
      </c>
      <c r="M885" s="0" t="inlineStr">
        <is>
          <t xml:space="preserve">jan26</t>
        </is>
      </c>
      <c r="N885" s="0" t="inlineStr">
        <is>
          <t xml:space="preserve">mar26</t>
        </is>
      </c>
      <c r="O885" s="4">
        <v>77</v>
      </c>
      <c r="P885" s="4">
        <v>0</v>
      </c>
      <c r="Q885" s="4">
        <v>1</v>
      </c>
      <c r="R885" s="4">
        <v>0</v>
      </c>
      <c r="S885" s="4">
        <f>(H885*INDEX('Stages'!$D$2:$D$7,MATCH(F885,'Stages'!$A$2:$A$7,0)))</f>
        <v>0</v>
      </c>
      <c r="T885" s="4">
        <f>(H885*I885)</f>
        <v>42800</v>
      </c>
      <c r="U885" s="4">
        <f>(H885*(I885-1))</f>
        <v>0</v>
      </c>
      <c r="V885" s="0" t="str">
        <f>INDEX('Account executives'!$B$2:$B$25,MATCH(C885,'Account executives'!$A$2:$A$25,0))</f>
        <v>amer_east</v>
      </c>
      <c r="W885" s="0" t="str">
        <f>INDEX('Account executives'!$C$2:$C$25,MATCH(C885,'Account executives'!$A$2:$A$25,0))</f>
        <v>mid_market</v>
      </c>
      <c r="X885" s="0" t="str">
        <f>SUBSTITUTE(LOWER(INDEX('Periods'!$G$2:$G$22,MATCH(N885,'Periods'!$A$2:$A$22,0)))," ","_")</f>
        <v>q1_2026</v>
      </c>
    </row>
    <row r="886">
      <c r="A886" s="0" t="inlineStr">
        <is>
          <t xml:space="preserve">o0885</t>
        </is>
      </c>
      <c r="B886" s="0" t="inlineStr">
        <is>
          <t xml:space="preserve">a0147</t>
        </is>
      </c>
      <c r="C886" s="0" t="inlineStr">
        <is>
          <t xml:space="preserve">r24</t>
        </is>
      </c>
      <c r="D886" s="0"/>
      <c r="E886" s="0" t="inlineStr">
        <is>
          <t xml:space="preserve">events</t>
        </is>
      </c>
      <c r="F886" s="0" t="inlineStr">
        <is>
          <t xml:space="preserve">closed_lost</t>
        </is>
      </c>
      <c r="G886" s="4">
        <v>1</v>
      </c>
      <c r="H886" s="4">
        <v>17700</v>
      </c>
      <c r="I886" s="4">
        <v>1</v>
      </c>
      <c r="J886" s="4">
        <v>0</v>
      </c>
      <c r="K886" s="16">
        <v>45787</v>
      </c>
      <c r="L886" s="16">
        <v>45830</v>
      </c>
      <c r="M886" s="0" t="inlineStr">
        <is>
          <t xml:space="preserve">may25</t>
        </is>
      </c>
      <c r="N886" s="0" t="inlineStr">
        <is>
          <t xml:space="preserve">jun25</t>
        </is>
      </c>
      <c r="O886" s="4">
        <v>43</v>
      </c>
      <c r="P886" s="4">
        <v>0</v>
      </c>
      <c r="Q886" s="4">
        <v>1</v>
      </c>
      <c r="R886" s="4">
        <v>0</v>
      </c>
      <c r="S886" s="4">
        <f>(H886*INDEX('Stages'!$D$2:$D$7,MATCH(F886,'Stages'!$A$2:$A$7,0)))</f>
        <v>0</v>
      </c>
      <c r="T886" s="4">
        <f>(H886*I886)</f>
        <v>17700</v>
      </c>
      <c r="U886" s="4">
        <f>(H886*(I886-1))</f>
        <v>0</v>
      </c>
      <c r="V886" s="0" t="str">
        <f>INDEX('Account executives'!$B$2:$B$25,MATCH(C886,'Account executives'!$A$2:$A$25,0))</f>
        <v>apac</v>
      </c>
      <c r="W886" s="0" t="str">
        <f>INDEX('Account executives'!$C$2:$C$25,MATCH(C886,'Account executives'!$A$2:$A$25,0))</f>
        <v>smb</v>
      </c>
      <c r="X886" s="0" t="str">
        <f>SUBSTITUTE(LOWER(INDEX('Periods'!$G$2:$G$22,MATCH(N886,'Periods'!$A$2:$A$22,0)))," ","_")</f>
        <v>q2_2025</v>
      </c>
    </row>
    <row r="887">
      <c r="A887" s="0" t="inlineStr">
        <is>
          <t xml:space="preserve">o0886</t>
        </is>
      </c>
      <c r="B887" s="0" t="inlineStr">
        <is>
          <t xml:space="preserve">a1053</t>
        </is>
      </c>
      <c r="C887" s="0" t="inlineStr">
        <is>
          <t xml:space="preserve">r24</t>
        </is>
      </c>
      <c r="D887" s="0"/>
      <c r="E887" s="0" t="inlineStr">
        <is>
          <t xml:space="preserve">partner</t>
        </is>
      </c>
      <c r="F887" s="0" t="inlineStr">
        <is>
          <t xml:space="preserve">closed_won</t>
        </is>
      </c>
      <c r="G887" s="4">
        <v>1</v>
      </c>
      <c r="H887" s="4">
        <v>60000</v>
      </c>
      <c r="I887" s="4">
        <v>1</v>
      </c>
      <c r="J887" s="4">
        <v>0</v>
      </c>
      <c r="K887" s="16">
        <v>46189</v>
      </c>
      <c r="L887" s="16">
        <v>46226</v>
      </c>
      <c r="M887" s="0" t="inlineStr">
        <is>
          <t xml:space="preserve">jun26</t>
        </is>
      </c>
      <c r="N887" s="0" t="inlineStr">
        <is>
          <t xml:space="preserve">jul26</t>
        </is>
      </c>
      <c r="O887" s="4">
        <v>37</v>
      </c>
      <c r="P887" s="4">
        <v>1</v>
      </c>
      <c r="Q887" s="4">
        <v>0</v>
      </c>
      <c r="R887" s="4">
        <v>0</v>
      </c>
      <c r="S887" s="4">
        <f>(H887*INDEX('Stages'!$D$2:$D$7,MATCH(F887,'Stages'!$A$2:$A$7,0)))</f>
        <v>60000</v>
      </c>
      <c r="T887" s="4">
        <f>(H887*I887)</f>
        <v>60000</v>
      </c>
      <c r="U887" s="4">
        <f>(H887*(I887-1))</f>
        <v>0</v>
      </c>
      <c r="V887" s="0" t="str">
        <f>INDEX('Account executives'!$B$2:$B$25,MATCH(C887,'Account executives'!$A$2:$A$25,0))</f>
        <v>apac</v>
      </c>
      <c r="W887" s="0" t="str">
        <f>INDEX('Account executives'!$C$2:$C$25,MATCH(C887,'Account executives'!$A$2:$A$25,0))</f>
        <v>smb</v>
      </c>
      <c r="X887" s="0" t="str">
        <f>SUBSTITUTE(LOWER(INDEX('Periods'!$G$2:$G$22,MATCH(N887,'Periods'!$A$2:$A$22,0)))," ","_")</f>
        <v>q3_2026</v>
      </c>
    </row>
    <row r="888">
      <c r="A888" s="0" t="inlineStr">
        <is>
          <t xml:space="preserve">o0887</t>
        </is>
      </c>
      <c r="B888" s="0" t="inlineStr">
        <is>
          <t xml:space="preserve">a0050</t>
        </is>
      </c>
      <c r="C888" s="0" t="inlineStr">
        <is>
          <t xml:space="preserve">r16</t>
        </is>
      </c>
      <c r="D888" s="0"/>
      <c r="E888" s="0" t="inlineStr">
        <is>
          <t xml:space="preserve">partner</t>
        </is>
      </c>
      <c r="F888" s="0" t="inlineStr">
        <is>
          <t xml:space="preserve">closed_lost</t>
        </is>
      </c>
      <c r="G888" s="4">
        <v>0</v>
      </c>
      <c r="H888" s="4">
        <v>37600</v>
      </c>
      <c r="I888" s="4">
        <v>1</v>
      </c>
      <c r="J888" s="4">
        <v>1</v>
      </c>
      <c r="K888" s="16">
        <v>45779</v>
      </c>
      <c r="L888" s="16">
        <v>45831</v>
      </c>
      <c r="M888" s="0" t="inlineStr">
        <is>
          <t xml:space="preserve">may25</t>
        </is>
      </c>
      <c r="N888" s="0" t="inlineStr">
        <is>
          <t xml:space="preserve">jun25</t>
        </is>
      </c>
      <c r="O888" s="4">
        <v>52</v>
      </c>
      <c r="P888" s="4">
        <v>0</v>
      </c>
      <c r="Q888" s="4">
        <v>1</v>
      </c>
      <c r="R888" s="4">
        <v>0</v>
      </c>
      <c r="S888" s="4">
        <f>(H888*INDEX('Stages'!$D$2:$D$7,MATCH(F888,'Stages'!$A$2:$A$7,0)))</f>
        <v>0</v>
      </c>
      <c r="T888" s="4">
        <f>(H888*I888)</f>
        <v>37600</v>
      </c>
      <c r="U888" s="4">
        <f>(H888*(I888-1))</f>
        <v>0</v>
      </c>
      <c r="V888" s="0" t="str">
        <f>INDEX('Account executives'!$B$2:$B$25,MATCH(C888,'Account executives'!$A$2:$A$25,0))</f>
        <v>emea</v>
      </c>
      <c r="W888" s="0" t="str">
        <f>INDEX('Account executives'!$C$2:$C$25,MATCH(C888,'Account executives'!$A$2:$A$25,0))</f>
        <v>mid_market</v>
      </c>
      <c r="X888" s="0" t="str">
        <f>SUBSTITUTE(LOWER(INDEX('Periods'!$G$2:$G$22,MATCH(N888,'Periods'!$A$2:$A$22,0)))," ","_")</f>
        <v>q2_2025</v>
      </c>
    </row>
    <row r="889">
      <c r="A889" s="0" t="inlineStr">
        <is>
          <t xml:space="preserve">o0888</t>
        </is>
      </c>
      <c r="B889" s="0" t="inlineStr">
        <is>
          <t xml:space="preserve">a0738</t>
        </is>
      </c>
      <c r="C889" s="0" t="inlineStr">
        <is>
          <t xml:space="preserve">r03</t>
        </is>
      </c>
      <c r="D889" s="0"/>
      <c r="E889" s="0" t="inlineStr">
        <is>
          <t xml:space="preserve">events</t>
        </is>
      </c>
      <c r="F889" s="0" t="inlineStr">
        <is>
          <t xml:space="preserve">closed_lost</t>
        </is>
      </c>
      <c r="G889" s="4">
        <v>1</v>
      </c>
      <c r="H889" s="4">
        <v>37800</v>
      </c>
      <c r="I889" s="4">
        <v>2</v>
      </c>
      <c r="J889" s="4">
        <v>0</v>
      </c>
      <c r="K889" s="16">
        <v>46106</v>
      </c>
      <c r="L889" s="16">
        <v>46167</v>
      </c>
      <c r="M889" s="0" t="inlineStr">
        <is>
          <t xml:space="preserve">mar26</t>
        </is>
      </c>
      <c r="N889" s="0" t="inlineStr">
        <is>
          <t xml:space="preserve">may26</t>
        </is>
      </c>
      <c r="O889" s="4">
        <v>61</v>
      </c>
      <c r="P889" s="4">
        <v>0</v>
      </c>
      <c r="Q889" s="4">
        <v>1</v>
      </c>
      <c r="R889" s="4">
        <v>0</v>
      </c>
      <c r="S889" s="4">
        <f>(H889*INDEX('Stages'!$D$2:$D$7,MATCH(F889,'Stages'!$A$2:$A$7,0)))</f>
        <v>0</v>
      </c>
      <c r="T889" s="4">
        <f>(H889*I889)</f>
        <v>75600</v>
      </c>
      <c r="U889" s="4">
        <f>(H889*(I889-1))</f>
        <v>37800</v>
      </c>
      <c r="V889" s="0" t="str">
        <f>INDEX('Account executives'!$B$2:$B$25,MATCH(C889,'Account executives'!$A$2:$A$25,0))</f>
        <v>amer_east</v>
      </c>
      <c r="W889" s="0" t="str">
        <f>INDEX('Account executives'!$C$2:$C$25,MATCH(C889,'Account executives'!$A$2:$A$25,0))</f>
        <v>mid_market</v>
      </c>
      <c r="X889" s="0" t="str">
        <f>SUBSTITUTE(LOWER(INDEX('Periods'!$G$2:$G$22,MATCH(N889,'Periods'!$A$2:$A$22,0)))," ","_")</f>
        <v>q2_2026</v>
      </c>
    </row>
    <row r="890">
      <c r="A890" s="0" t="inlineStr">
        <is>
          <t xml:space="preserve">o0889</t>
        </is>
      </c>
      <c r="B890" s="0" t="inlineStr">
        <is>
          <t xml:space="preserve">a0380</t>
        </is>
      </c>
      <c r="C890" s="0" t="inlineStr">
        <is>
          <t xml:space="preserve">r09</t>
        </is>
      </c>
      <c r="D890" s="0" t="inlineStr">
        <is>
          <t xml:space="preserve">s_amer_west_in</t>
        </is>
      </c>
      <c r="E890" s="0" t="inlineStr">
        <is>
          <t xml:space="preserve">paid</t>
        </is>
      </c>
      <c r="F890" s="0" t="inlineStr">
        <is>
          <t xml:space="preserve">closed_lost</t>
        </is>
      </c>
      <c r="G890" s="4">
        <v>1</v>
      </c>
      <c r="H890" s="4">
        <v>65800</v>
      </c>
      <c r="I890" s="4">
        <v>1</v>
      </c>
      <c r="J890" s="4">
        <v>1</v>
      </c>
      <c r="K890" s="16">
        <v>45903</v>
      </c>
      <c r="L890" s="16">
        <v>45944</v>
      </c>
      <c r="M890" s="0" t="inlineStr">
        <is>
          <t xml:space="preserve">sep25</t>
        </is>
      </c>
      <c r="N890" s="0" t="inlineStr">
        <is>
          <t xml:space="preserve">oct25</t>
        </is>
      </c>
      <c r="O890" s="4">
        <v>41</v>
      </c>
      <c r="P890" s="4">
        <v>0</v>
      </c>
      <c r="Q890" s="4">
        <v>1</v>
      </c>
      <c r="R890" s="4">
        <v>0</v>
      </c>
      <c r="S890" s="4">
        <f>(H890*INDEX('Stages'!$D$2:$D$7,MATCH(F890,'Stages'!$A$2:$A$7,0)))</f>
        <v>0</v>
      </c>
      <c r="T890" s="4">
        <f>(H890*I890)</f>
        <v>65800</v>
      </c>
      <c r="U890" s="4">
        <f>(H890*(I890-1))</f>
        <v>0</v>
      </c>
      <c r="V890" s="0" t="str">
        <f>INDEX('Account executives'!$B$2:$B$25,MATCH(C890,'Account executives'!$A$2:$A$25,0))</f>
        <v>amer_west</v>
      </c>
      <c r="W890" s="0" t="str">
        <f>INDEX('Account executives'!$C$2:$C$25,MATCH(C890,'Account executives'!$A$2:$A$25,0))</f>
        <v>mid_market</v>
      </c>
      <c r="X890" s="0" t="str">
        <f>SUBSTITUTE(LOWER(INDEX('Periods'!$G$2:$G$22,MATCH(N890,'Periods'!$A$2:$A$22,0)))," ","_")</f>
        <v>q4_2025</v>
      </c>
    </row>
    <row r="891">
      <c r="A891" s="0" t="inlineStr">
        <is>
          <t xml:space="preserve">o0890</t>
        </is>
      </c>
      <c r="B891" s="0" t="inlineStr">
        <is>
          <t xml:space="preserve">a0048</t>
        </is>
      </c>
      <c r="C891" s="0" t="inlineStr">
        <is>
          <t xml:space="preserve">r13</t>
        </is>
      </c>
      <c r="D891" s="0" t="inlineStr">
        <is>
          <t xml:space="preserve">s_emea_in</t>
        </is>
      </c>
      <c r="E891" s="0" t="inlineStr">
        <is>
          <t xml:space="preserve">inbound</t>
        </is>
      </c>
      <c r="F891" s="0" t="inlineStr">
        <is>
          <t xml:space="preserve">closed_lost</t>
        </is>
      </c>
      <c r="G891" s="4">
        <v>0</v>
      </c>
      <c r="H891" s="4">
        <v>53800</v>
      </c>
      <c r="I891" s="4">
        <v>2</v>
      </c>
      <c r="J891" s="4">
        <v>1</v>
      </c>
      <c r="K891" s="16">
        <v>45799</v>
      </c>
      <c r="L891" s="16">
        <v>45890</v>
      </c>
      <c r="M891" s="0" t="inlineStr">
        <is>
          <t xml:space="preserve">may25</t>
        </is>
      </c>
      <c r="N891" s="0" t="inlineStr">
        <is>
          <t xml:space="preserve">aug25</t>
        </is>
      </c>
      <c r="O891" s="4">
        <v>91</v>
      </c>
      <c r="P891" s="4">
        <v>0</v>
      </c>
      <c r="Q891" s="4">
        <v>1</v>
      </c>
      <c r="R891" s="4">
        <v>0</v>
      </c>
      <c r="S891" s="4">
        <f>(H891*INDEX('Stages'!$D$2:$D$7,MATCH(F891,'Stages'!$A$2:$A$7,0)))</f>
        <v>0</v>
      </c>
      <c r="T891" s="4">
        <f>(H891*I891)</f>
        <v>107600</v>
      </c>
      <c r="U891" s="4">
        <f>(H891*(I891-1))</f>
        <v>53800</v>
      </c>
      <c r="V891" s="0" t="str">
        <f>INDEX('Account executives'!$B$2:$B$25,MATCH(C891,'Account executives'!$A$2:$A$25,0))</f>
        <v>emea</v>
      </c>
      <c r="W891" s="0" t="str">
        <f>INDEX('Account executives'!$C$2:$C$25,MATCH(C891,'Account executives'!$A$2:$A$25,0))</f>
        <v>enterprise</v>
      </c>
      <c r="X891" s="0" t="str">
        <f>SUBSTITUTE(LOWER(INDEX('Periods'!$G$2:$G$22,MATCH(N891,'Periods'!$A$2:$A$22,0)))," ","_")</f>
        <v>q3_2025</v>
      </c>
    </row>
    <row r="892">
      <c r="A892" s="0" t="inlineStr">
        <is>
          <t xml:space="preserve">o0891</t>
        </is>
      </c>
      <c r="B892" s="0" t="inlineStr">
        <is>
          <t xml:space="preserve">a0109</t>
        </is>
      </c>
      <c r="C892" s="0" t="inlineStr">
        <is>
          <t xml:space="preserve">r12</t>
        </is>
      </c>
      <c r="D892" s="0" t="inlineStr">
        <is>
          <t xml:space="preserve">s_amer_west_in</t>
        </is>
      </c>
      <c r="E892" s="0" t="inlineStr">
        <is>
          <t xml:space="preserve">inbound</t>
        </is>
      </c>
      <c r="F892" s="0" t="inlineStr">
        <is>
          <t xml:space="preserve">discovery</t>
        </is>
      </c>
      <c r="G892" s="4">
        <v>0</v>
      </c>
      <c r="H892" s="4">
        <v>4300</v>
      </c>
      <c r="I892" s="4">
        <v>2</v>
      </c>
      <c r="J892" s="4">
        <v>0</v>
      </c>
      <c r="K892" s="16">
        <v>46279</v>
      </c>
      <c r="L892" s="16">
        <v>46371</v>
      </c>
      <c r="M892" s="0" t="inlineStr">
        <is>
          <t xml:space="preserve">sep26</t>
        </is>
      </c>
      <c r="N892" s="0" t="inlineStr">
        <is>
          <t xml:space="preserve">dec26</t>
        </is>
      </c>
      <c r="O892" s="4">
        <v>29</v>
      </c>
      <c r="P892" s="4">
        <v>0</v>
      </c>
      <c r="Q892" s="4">
        <v>0</v>
      </c>
      <c r="R892" s="4">
        <v>1</v>
      </c>
      <c r="S892" s="4">
        <f>(H892*INDEX('Stages'!$D$2:$D$7,MATCH(F892,'Stages'!$A$2:$A$7,0)))</f>
        <v>430</v>
      </c>
      <c r="T892" s="4">
        <f>(H892*I892)</f>
        <v>8600</v>
      </c>
      <c r="U892" s="4">
        <f>(H892*(I892-1))</f>
        <v>4300</v>
      </c>
      <c r="V892" s="0" t="str">
        <f>INDEX('Account executives'!$B$2:$B$25,MATCH(C892,'Account executives'!$A$2:$A$25,0))</f>
        <v>amer_west</v>
      </c>
      <c r="W892" s="0" t="str">
        <f>INDEX('Account executives'!$C$2:$C$25,MATCH(C892,'Account executives'!$A$2:$A$25,0))</f>
        <v>smb</v>
      </c>
      <c r="X892" s="0" t="str">
        <f>SUBSTITUTE(LOWER(INDEX('Periods'!$G$2:$G$22,MATCH(N892,'Periods'!$A$2:$A$22,0)))," ","_")</f>
        <v>q4_2026</v>
      </c>
    </row>
    <row r="893">
      <c r="A893" s="0" t="inlineStr">
        <is>
          <t xml:space="preserve">o0892</t>
        </is>
      </c>
      <c r="B893" s="0" t="inlineStr">
        <is>
          <t xml:space="preserve">a0330</t>
        </is>
      </c>
      <c r="C893" s="0" t="inlineStr">
        <is>
          <t xml:space="preserve">r09</t>
        </is>
      </c>
      <c r="D893" s="0" t="inlineStr">
        <is>
          <t xml:space="preserve">s_amer_west_in</t>
        </is>
      </c>
      <c r="E893" s="0" t="inlineStr">
        <is>
          <t xml:space="preserve">paid</t>
        </is>
      </c>
      <c r="F893" s="0" t="inlineStr">
        <is>
          <t xml:space="preserve">closed_won</t>
        </is>
      </c>
      <c r="G893" s="4">
        <v>1</v>
      </c>
      <c r="H893" s="4">
        <v>54500</v>
      </c>
      <c r="I893" s="4">
        <v>2</v>
      </c>
      <c r="J893" s="4">
        <v>0</v>
      </c>
      <c r="K893" s="16">
        <v>45887</v>
      </c>
      <c r="L893" s="16">
        <v>45968</v>
      </c>
      <c r="M893" s="0" t="inlineStr">
        <is>
          <t xml:space="preserve">aug25</t>
        </is>
      </c>
      <c r="N893" s="0" t="inlineStr">
        <is>
          <t xml:space="preserve">nov25</t>
        </is>
      </c>
      <c r="O893" s="4">
        <v>81</v>
      </c>
      <c r="P893" s="4">
        <v>1</v>
      </c>
      <c r="Q893" s="4">
        <v>0</v>
      </c>
      <c r="R893" s="4">
        <v>0</v>
      </c>
      <c r="S893" s="4">
        <f>(H893*INDEX('Stages'!$D$2:$D$7,MATCH(F893,'Stages'!$A$2:$A$7,0)))</f>
        <v>54500</v>
      </c>
      <c r="T893" s="4">
        <f>(H893*I893)</f>
        <v>109000</v>
      </c>
      <c r="U893" s="4">
        <f>(H893*(I893-1))</f>
        <v>54500</v>
      </c>
      <c r="V893" s="0" t="str">
        <f>INDEX('Account executives'!$B$2:$B$25,MATCH(C893,'Account executives'!$A$2:$A$25,0))</f>
        <v>amer_west</v>
      </c>
      <c r="W893" s="0" t="str">
        <f>INDEX('Account executives'!$C$2:$C$25,MATCH(C893,'Account executives'!$A$2:$A$25,0))</f>
        <v>mid_market</v>
      </c>
      <c r="X893" s="0" t="str">
        <f>SUBSTITUTE(LOWER(INDEX('Periods'!$G$2:$G$22,MATCH(N893,'Periods'!$A$2:$A$22,0)))," ","_")</f>
        <v>q4_2025</v>
      </c>
    </row>
    <row r="894">
      <c r="A894" s="0" t="inlineStr">
        <is>
          <t xml:space="preserve">o0893</t>
        </is>
      </c>
      <c r="B894" s="0" t="inlineStr">
        <is>
          <t xml:space="preserve">a0139</t>
        </is>
      </c>
      <c r="C894" s="0" t="inlineStr">
        <is>
          <t xml:space="preserve">r18</t>
        </is>
      </c>
      <c r="D894" s="0" t="inlineStr">
        <is>
          <t xml:space="preserve">s_emea_out</t>
        </is>
      </c>
      <c r="E894" s="0" t="inlineStr">
        <is>
          <t xml:space="preserve">outbound</t>
        </is>
      </c>
      <c r="F894" s="0" t="inlineStr">
        <is>
          <t xml:space="preserve">closed_lost</t>
        </is>
      </c>
      <c r="G894" s="4">
        <v>1</v>
      </c>
      <c r="H894" s="4">
        <v>24900</v>
      </c>
      <c r="I894" s="4">
        <v>1</v>
      </c>
      <c r="J894" s="4">
        <v>0</v>
      </c>
      <c r="K894" s="16">
        <v>45798</v>
      </c>
      <c r="L894" s="16">
        <v>45830</v>
      </c>
      <c r="M894" s="0" t="inlineStr">
        <is>
          <t xml:space="preserve">may25</t>
        </is>
      </c>
      <c r="N894" s="0" t="inlineStr">
        <is>
          <t xml:space="preserve">jun25</t>
        </is>
      </c>
      <c r="O894" s="4">
        <v>32</v>
      </c>
      <c r="P894" s="4">
        <v>0</v>
      </c>
      <c r="Q894" s="4">
        <v>1</v>
      </c>
      <c r="R894" s="4">
        <v>0</v>
      </c>
      <c r="S894" s="4">
        <f>(H894*INDEX('Stages'!$D$2:$D$7,MATCH(F894,'Stages'!$A$2:$A$7,0)))</f>
        <v>0</v>
      </c>
      <c r="T894" s="4">
        <f>(H894*I894)</f>
        <v>24900</v>
      </c>
      <c r="U894" s="4">
        <f>(H894*(I894-1))</f>
        <v>0</v>
      </c>
      <c r="V894" s="0" t="str">
        <f>INDEX('Account executives'!$B$2:$B$25,MATCH(C894,'Account executives'!$A$2:$A$25,0))</f>
        <v>emea</v>
      </c>
      <c r="W894" s="0" t="str">
        <f>INDEX('Account executives'!$C$2:$C$25,MATCH(C894,'Account executives'!$A$2:$A$25,0))</f>
        <v>smb</v>
      </c>
      <c r="X894" s="0" t="str">
        <f>SUBSTITUTE(LOWER(INDEX('Periods'!$G$2:$G$22,MATCH(N894,'Periods'!$A$2:$A$22,0)))," ","_")</f>
        <v>q2_2025</v>
      </c>
    </row>
    <row r="895">
      <c r="A895" s="0" t="inlineStr">
        <is>
          <t xml:space="preserve">o0894</t>
        </is>
      </c>
      <c r="B895" s="0" t="inlineStr">
        <is>
          <t xml:space="preserve">a0017</t>
        </is>
      </c>
      <c r="C895" s="0" t="inlineStr">
        <is>
          <t xml:space="preserve">r04</t>
        </is>
      </c>
      <c r="D895" s="0"/>
      <c r="E895" s="0" t="inlineStr">
        <is>
          <t xml:space="preserve">partner</t>
        </is>
      </c>
      <c r="F895" s="0" t="inlineStr">
        <is>
          <t xml:space="preserve">closed_won</t>
        </is>
      </c>
      <c r="G895" s="4">
        <v>1</v>
      </c>
      <c r="H895" s="4">
        <v>66500</v>
      </c>
      <c r="I895" s="4">
        <v>1</v>
      </c>
      <c r="J895" s="4">
        <v>0</v>
      </c>
      <c r="K895" s="16">
        <v>45771</v>
      </c>
      <c r="L895" s="16">
        <v>45849</v>
      </c>
      <c r="M895" s="0" t="inlineStr">
        <is>
          <t xml:space="preserve">apr25</t>
        </is>
      </c>
      <c r="N895" s="0" t="inlineStr">
        <is>
          <t xml:space="preserve">jul25</t>
        </is>
      </c>
      <c r="O895" s="4">
        <v>78</v>
      </c>
      <c r="P895" s="4">
        <v>1</v>
      </c>
      <c r="Q895" s="4">
        <v>0</v>
      </c>
      <c r="R895" s="4">
        <v>0</v>
      </c>
      <c r="S895" s="4">
        <f>(H895*INDEX('Stages'!$D$2:$D$7,MATCH(F895,'Stages'!$A$2:$A$7,0)))</f>
        <v>66500</v>
      </c>
      <c r="T895" s="4">
        <f>(H895*I895)</f>
        <v>66500</v>
      </c>
      <c r="U895" s="4">
        <f>(H895*(I895-1))</f>
        <v>0</v>
      </c>
      <c r="V895" s="0" t="str">
        <f>INDEX('Account executives'!$B$2:$B$25,MATCH(C895,'Account executives'!$A$2:$A$25,0))</f>
        <v>amer_east</v>
      </c>
      <c r="W895" s="0" t="str">
        <f>INDEX('Account executives'!$C$2:$C$25,MATCH(C895,'Account executives'!$A$2:$A$25,0))</f>
        <v>mid_market</v>
      </c>
      <c r="X895" s="0" t="str">
        <f>SUBSTITUTE(LOWER(INDEX('Periods'!$G$2:$G$22,MATCH(N895,'Periods'!$A$2:$A$22,0)))," ","_")</f>
        <v>q3_2025</v>
      </c>
    </row>
    <row r="896">
      <c r="A896" s="0" t="inlineStr">
        <is>
          <t xml:space="preserve">o0895</t>
        </is>
      </c>
      <c r="B896" s="0" t="inlineStr">
        <is>
          <t xml:space="preserve">a0184</t>
        </is>
      </c>
      <c r="C896" s="0" t="inlineStr">
        <is>
          <t xml:space="preserve">r05</t>
        </is>
      </c>
      <c r="D896" s="0" t="inlineStr">
        <is>
          <t xml:space="preserve">s_amer_east_out</t>
        </is>
      </c>
      <c r="E896" s="0" t="inlineStr">
        <is>
          <t xml:space="preserve">outbound</t>
        </is>
      </c>
      <c r="F896" s="0" t="inlineStr">
        <is>
          <t xml:space="preserve">closed_won</t>
        </is>
      </c>
      <c r="G896" s="4">
        <v>1</v>
      </c>
      <c r="H896" s="4">
        <v>10600</v>
      </c>
      <c r="I896" s="4">
        <v>1</v>
      </c>
      <c r="J896" s="4">
        <v>0</v>
      </c>
      <c r="K896" s="16">
        <v>45809</v>
      </c>
      <c r="L896" s="16">
        <v>45831</v>
      </c>
      <c r="M896" s="0" t="inlineStr">
        <is>
          <t xml:space="preserve">jun25</t>
        </is>
      </c>
      <c r="N896" s="0" t="inlineStr">
        <is>
          <t xml:space="preserve">jun25</t>
        </is>
      </c>
      <c r="O896" s="4">
        <v>22</v>
      </c>
      <c r="P896" s="4">
        <v>1</v>
      </c>
      <c r="Q896" s="4">
        <v>0</v>
      </c>
      <c r="R896" s="4">
        <v>0</v>
      </c>
      <c r="S896" s="4">
        <f>(H896*INDEX('Stages'!$D$2:$D$7,MATCH(F896,'Stages'!$A$2:$A$7,0)))</f>
        <v>10600</v>
      </c>
      <c r="T896" s="4">
        <f>(H896*I896)</f>
        <v>10600</v>
      </c>
      <c r="U896" s="4">
        <f>(H896*(I896-1))</f>
        <v>0</v>
      </c>
      <c r="V896" s="0" t="str">
        <f>INDEX('Account executives'!$B$2:$B$25,MATCH(C896,'Account executives'!$A$2:$A$25,0))</f>
        <v>amer_east</v>
      </c>
      <c r="W896" s="0" t="str">
        <f>INDEX('Account executives'!$C$2:$C$25,MATCH(C896,'Account executives'!$A$2:$A$25,0))</f>
        <v>smb</v>
      </c>
      <c r="X896" s="0" t="str">
        <f>SUBSTITUTE(LOWER(INDEX('Periods'!$G$2:$G$22,MATCH(N896,'Periods'!$A$2:$A$22,0)))," ","_")</f>
        <v>q2_2025</v>
      </c>
    </row>
    <row r="897">
      <c r="A897" s="0" t="inlineStr">
        <is>
          <t xml:space="preserve">o0896</t>
        </is>
      </c>
      <c r="B897" s="0" t="inlineStr">
        <is>
          <t xml:space="preserve">a1261</t>
        </is>
      </c>
      <c r="C897" s="0" t="inlineStr">
        <is>
          <t xml:space="preserve">r21</t>
        </is>
      </c>
      <c r="D897" s="0" t="inlineStr">
        <is>
          <t xml:space="preserve">s_apac_in</t>
        </is>
      </c>
      <c r="E897" s="0" t="inlineStr">
        <is>
          <t xml:space="preserve">paid</t>
        </is>
      </c>
      <c r="F897" s="0" t="inlineStr">
        <is>
          <t xml:space="preserve">discovery</t>
        </is>
      </c>
      <c r="G897" s="4">
        <v>1</v>
      </c>
      <c r="H897" s="4">
        <v>51100</v>
      </c>
      <c r="I897" s="4">
        <v>1</v>
      </c>
      <c r="J897" s="4">
        <v>0</v>
      </c>
      <c r="K897" s="16">
        <v>46273</v>
      </c>
      <c r="L897" s="16">
        <v>46311</v>
      </c>
      <c r="M897" s="0" t="inlineStr">
        <is>
          <t xml:space="preserve">sep26</t>
        </is>
      </c>
      <c r="N897" s="0" t="inlineStr">
        <is>
          <t xml:space="preserve">oct26</t>
        </is>
      </c>
      <c r="O897" s="4">
        <v>60</v>
      </c>
      <c r="P897" s="4">
        <v>0</v>
      </c>
      <c r="Q897" s="4">
        <v>0</v>
      </c>
      <c r="R897" s="4">
        <v>1</v>
      </c>
      <c r="S897" s="4">
        <f>(H897*INDEX('Stages'!$D$2:$D$7,MATCH(F897,'Stages'!$A$2:$A$7,0)))</f>
        <v>5110</v>
      </c>
      <c r="T897" s="4">
        <f>(H897*I897)</f>
        <v>51100</v>
      </c>
      <c r="U897" s="4">
        <f>(H897*(I897-1))</f>
        <v>0</v>
      </c>
      <c r="V897" s="0" t="str">
        <f>INDEX('Account executives'!$B$2:$B$25,MATCH(C897,'Account executives'!$A$2:$A$25,0))</f>
        <v>apac</v>
      </c>
      <c r="W897" s="0" t="str">
        <f>INDEX('Account executives'!$C$2:$C$25,MATCH(C897,'Account executives'!$A$2:$A$25,0))</f>
        <v>mid_market</v>
      </c>
      <c r="X897" s="0" t="str">
        <f>SUBSTITUTE(LOWER(INDEX('Periods'!$G$2:$G$22,MATCH(N897,'Periods'!$A$2:$A$22,0)))," ","_")</f>
        <v>q4_2026</v>
      </c>
    </row>
    <row r="898">
      <c r="A898" s="0" t="inlineStr">
        <is>
          <t xml:space="preserve">o0897</t>
        </is>
      </c>
      <c r="B898" s="0" t="inlineStr">
        <is>
          <t xml:space="preserve">a0247</t>
        </is>
      </c>
      <c r="C898" s="0" t="inlineStr">
        <is>
          <t xml:space="preserve">r05</t>
        </is>
      </c>
      <c r="D898" s="0"/>
      <c r="E898" s="0" t="inlineStr">
        <is>
          <t xml:space="preserve">partner</t>
        </is>
      </c>
      <c r="F898" s="0" t="inlineStr">
        <is>
          <t xml:space="preserve">closed_lost</t>
        </is>
      </c>
      <c r="G898" s="4">
        <v>1</v>
      </c>
      <c r="H898" s="4">
        <v>21000</v>
      </c>
      <c r="I898" s="4">
        <v>1</v>
      </c>
      <c r="J898" s="4">
        <v>0</v>
      </c>
      <c r="K898" s="16">
        <v>45853</v>
      </c>
      <c r="L898" s="16">
        <v>45886</v>
      </c>
      <c r="M898" s="0" t="inlineStr">
        <is>
          <t xml:space="preserve">jul25</t>
        </is>
      </c>
      <c r="N898" s="0" t="inlineStr">
        <is>
          <t xml:space="preserve">aug25</t>
        </is>
      </c>
      <c r="O898" s="4">
        <v>33</v>
      </c>
      <c r="P898" s="4">
        <v>0</v>
      </c>
      <c r="Q898" s="4">
        <v>1</v>
      </c>
      <c r="R898" s="4">
        <v>0</v>
      </c>
      <c r="S898" s="4">
        <f>(H898*INDEX('Stages'!$D$2:$D$7,MATCH(F898,'Stages'!$A$2:$A$7,0)))</f>
        <v>0</v>
      </c>
      <c r="T898" s="4">
        <f>(H898*I898)</f>
        <v>21000</v>
      </c>
      <c r="U898" s="4">
        <f>(H898*(I898-1))</f>
        <v>0</v>
      </c>
      <c r="V898" s="0" t="str">
        <f>INDEX('Account executives'!$B$2:$B$25,MATCH(C898,'Account executives'!$A$2:$A$25,0))</f>
        <v>amer_east</v>
      </c>
      <c r="W898" s="0" t="str">
        <f>INDEX('Account executives'!$C$2:$C$25,MATCH(C898,'Account executives'!$A$2:$A$25,0))</f>
        <v>smb</v>
      </c>
      <c r="X898" s="0" t="str">
        <f>SUBSTITUTE(LOWER(INDEX('Periods'!$G$2:$G$22,MATCH(N898,'Periods'!$A$2:$A$22,0)))," ","_")</f>
        <v>q3_2025</v>
      </c>
    </row>
    <row r="899">
      <c r="A899" s="0" t="inlineStr">
        <is>
          <t xml:space="preserve">o0898</t>
        </is>
      </c>
      <c r="B899" s="0" t="inlineStr">
        <is>
          <t xml:space="preserve">a0057</t>
        </is>
      </c>
      <c r="C899" s="0" t="inlineStr">
        <is>
          <t xml:space="preserve">r22</t>
        </is>
      </c>
      <c r="D899" s="0" t="inlineStr">
        <is>
          <t xml:space="preserve">s_apac_in</t>
        </is>
      </c>
      <c r="E899" s="0" t="inlineStr">
        <is>
          <t xml:space="preserve">inbound</t>
        </is>
      </c>
      <c r="F899" s="0" t="inlineStr">
        <is>
          <t xml:space="preserve">closed_lost</t>
        </is>
      </c>
      <c r="G899" s="4">
        <v>0</v>
      </c>
      <c r="H899" s="4">
        <v>13700</v>
      </c>
      <c r="I899" s="4">
        <v>1</v>
      </c>
      <c r="J899" s="4">
        <v>0</v>
      </c>
      <c r="K899" s="16">
        <v>45923</v>
      </c>
      <c r="L899" s="16">
        <v>45978</v>
      </c>
      <c r="M899" s="0" t="inlineStr">
        <is>
          <t xml:space="preserve">sep25</t>
        </is>
      </c>
      <c r="N899" s="0" t="inlineStr">
        <is>
          <t xml:space="preserve">nov25</t>
        </is>
      </c>
      <c r="O899" s="4">
        <v>55</v>
      </c>
      <c r="P899" s="4">
        <v>0</v>
      </c>
      <c r="Q899" s="4">
        <v>1</v>
      </c>
      <c r="R899" s="4">
        <v>0</v>
      </c>
      <c r="S899" s="4">
        <f>(H899*INDEX('Stages'!$D$2:$D$7,MATCH(F899,'Stages'!$A$2:$A$7,0)))</f>
        <v>0</v>
      </c>
      <c r="T899" s="4">
        <f>(H899*I899)</f>
        <v>13700</v>
      </c>
      <c r="U899" s="4">
        <f>(H899*(I899-1))</f>
        <v>0</v>
      </c>
      <c r="V899" s="0" t="str">
        <f>INDEX('Account executives'!$B$2:$B$25,MATCH(C899,'Account executives'!$A$2:$A$25,0))</f>
        <v>apac</v>
      </c>
      <c r="W899" s="0" t="str">
        <f>INDEX('Account executives'!$C$2:$C$25,MATCH(C899,'Account executives'!$A$2:$A$25,0))</f>
        <v>mid_market</v>
      </c>
      <c r="X899" s="0" t="str">
        <f>SUBSTITUTE(LOWER(INDEX('Periods'!$G$2:$G$22,MATCH(N899,'Periods'!$A$2:$A$22,0)))," ","_")</f>
        <v>q4_2025</v>
      </c>
    </row>
    <row r="900">
      <c r="A900" s="0" t="inlineStr">
        <is>
          <t xml:space="preserve">o0899</t>
        </is>
      </c>
      <c r="B900" s="0" t="inlineStr">
        <is>
          <t xml:space="preserve">a1011</t>
        </is>
      </c>
      <c r="C900" s="0" t="inlineStr">
        <is>
          <t xml:space="preserve">r18</t>
        </is>
      </c>
      <c r="D900" s="0" t="inlineStr">
        <is>
          <t xml:space="preserve">s_emea_in</t>
        </is>
      </c>
      <c r="E900" s="0" t="inlineStr">
        <is>
          <t xml:space="preserve">inbound</t>
        </is>
      </c>
      <c r="F900" s="0" t="inlineStr">
        <is>
          <t xml:space="preserve">closed_lost</t>
        </is>
      </c>
      <c r="G900" s="4">
        <v>1</v>
      </c>
      <c r="H900" s="4">
        <v>39100</v>
      </c>
      <c r="I900" s="4">
        <v>1</v>
      </c>
      <c r="J900" s="4">
        <v>0</v>
      </c>
      <c r="K900" s="16">
        <v>46189</v>
      </c>
      <c r="L900" s="16">
        <v>46226</v>
      </c>
      <c r="M900" s="0" t="inlineStr">
        <is>
          <t xml:space="preserve">jun26</t>
        </is>
      </c>
      <c r="N900" s="0" t="inlineStr">
        <is>
          <t xml:space="preserve">jul26</t>
        </is>
      </c>
      <c r="O900" s="4">
        <v>37</v>
      </c>
      <c r="P900" s="4">
        <v>0</v>
      </c>
      <c r="Q900" s="4">
        <v>1</v>
      </c>
      <c r="R900" s="4">
        <v>0</v>
      </c>
      <c r="S900" s="4">
        <f>(H900*INDEX('Stages'!$D$2:$D$7,MATCH(F900,'Stages'!$A$2:$A$7,0)))</f>
        <v>0</v>
      </c>
      <c r="T900" s="4">
        <f>(H900*I900)</f>
        <v>39100</v>
      </c>
      <c r="U900" s="4">
        <f>(H900*(I900-1))</f>
        <v>0</v>
      </c>
      <c r="V900" s="0" t="str">
        <f>INDEX('Account executives'!$B$2:$B$25,MATCH(C900,'Account executives'!$A$2:$A$25,0))</f>
        <v>emea</v>
      </c>
      <c r="W900" s="0" t="str">
        <f>INDEX('Account executives'!$C$2:$C$25,MATCH(C900,'Account executives'!$A$2:$A$25,0))</f>
        <v>smb</v>
      </c>
      <c r="X900" s="0" t="str">
        <f>SUBSTITUTE(LOWER(INDEX('Periods'!$G$2:$G$22,MATCH(N900,'Periods'!$A$2:$A$22,0)))," ","_")</f>
        <v>q3_2026</v>
      </c>
    </row>
    <row r="901">
      <c r="A901" s="0" t="inlineStr">
        <is>
          <t xml:space="preserve">o0900</t>
        </is>
      </c>
      <c r="B901" s="0" t="inlineStr">
        <is>
          <t xml:space="preserve">a0529</t>
        </is>
      </c>
      <c r="C901" s="0" t="inlineStr">
        <is>
          <t xml:space="preserve">r24</t>
        </is>
      </c>
      <c r="D901" s="0" t="inlineStr">
        <is>
          <t xml:space="preserve">s_apac_out</t>
        </is>
      </c>
      <c r="E901" s="0" t="inlineStr">
        <is>
          <t xml:space="preserve">outbound</t>
        </is>
      </c>
      <c r="F901" s="0" t="inlineStr">
        <is>
          <t xml:space="preserve">closed_lost</t>
        </is>
      </c>
      <c r="G901" s="4">
        <v>1</v>
      </c>
      <c r="H901" s="4">
        <v>15400</v>
      </c>
      <c r="I901" s="4">
        <v>1</v>
      </c>
      <c r="J901" s="4">
        <v>1</v>
      </c>
      <c r="K901" s="16">
        <v>45979</v>
      </c>
      <c r="L901" s="16">
        <v>45996</v>
      </c>
      <c r="M901" s="0" t="inlineStr">
        <is>
          <t xml:space="preserve">nov25</t>
        </is>
      </c>
      <c r="N901" s="0" t="inlineStr">
        <is>
          <t xml:space="preserve">dec25</t>
        </is>
      </c>
      <c r="O901" s="4">
        <v>17</v>
      </c>
      <c r="P901" s="4">
        <v>0</v>
      </c>
      <c r="Q901" s="4">
        <v>1</v>
      </c>
      <c r="R901" s="4">
        <v>0</v>
      </c>
      <c r="S901" s="4">
        <f>(H901*INDEX('Stages'!$D$2:$D$7,MATCH(F901,'Stages'!$A$2:$A$7,0)))</f>
        <v>0</v>
      </c>
      <c r="T901" s="4">
        <f>(H901*I901)</f>
        <v>15400</v>
      </c>
      <c r="U901" s="4">
        <f>(H901*(I901-1))</f>
        <v>0</v>
      </c>
      <c r="V901" s="0" t="str">
        <f>INDEX('Account executives'!$B$2:$B$25,MATCH(C901,'Account executives'!$A$2:$A$25,0))</f>
        <v>apac</v>
      </c>
      <c r="W901" s="0" t="str">
        <f>INDEX('Account executives'!$C$2:$C$25,MATCH(C901,'Account executives'!$A$2:$A$25,0))</f>
        <v>smb</v>
      </c>
      <c r="X901" s="0" t="str">
        <f>SUBSTITUTE(LOWER(INDEX('Periods'!$G$2:$G$22,MATCH(N901,'Periods'!$A$2:$A$22,0)))," ","_")</f>
        <v>q4_2025</v>
      </c>
    </row>
    <row r="902">
      <c r="A902" s="0" t="inlineStr">
        <is>
          <t xml:space="preserve">o0901</t>
        </is>
      </c>
      <c r="B902" s="0" t="inlineStr">
        <is>
          <t xml:space="preserve">a0200</t>
        </is>
      </c>
      <c r="C902" s="0" t="inlineStr">
        <is>
          <t xml:space="preserve">r09</t>
        </is>
      </c>
      <c r="D902" s="0" t="inlineStr">
        <is>
          <t xml:space="preserve">s_amer_west_out</t>
        </is>
      </c>
      <c r="E902" s="0" t="inlineStr">
        <is>
          <t xml:space="preserve">outbound</t>
        </is>
      </c>
      <c r="F902" s="0" t="inlineStr">
        <is>
          <t xml:space="preserve">evaluation</t>
        </is>
      </c>
      <c r="G902" s="4">
        <v>0</v>
      </c>
      <c r="H902" s="4">
        <v>35700</v>
      </c>
      <c r="I902" s="4">
        <v>1</v>
      </c>
      <c r="J902" s="4">
        <v>0</v>
      </c>
      <c r="K902" s="16">
        <v>46249</v>
      </c>
      <c r="L902" s="16">
        <v>46297</v>
      </c>
      <c r="M902" s="0" t="inlineStr">
        <is>
          <t xml:space="preserve">aug26</t>
        </is>
      </c>
      <c r="N902" s="0" t="inlineStr">
        <is>
          <t xml:space="preserve">oct26</t>
        </is>
      </c>
      <c r="O902" s="4">
        <v>63</v>
      </c>
      <c r="P902" s="4">
        <v>0</v>
      </c>
      <c r="Q902" s="4">
        <v>0</v>
      </c>
      <c r="R902" s="4">
        <v>1</v>
      </c>
      <c r="S902" s="4">
        <f>(H902*INDEX('Stages'!$D$2:$D$7,MATCH(F902,'Stages'!$A$2:$A$7,0)))</f>
        <v>8925</v>
      </c>
      <c r="T902" s="4">
        <f>(H902*I902)</f>
        <v>35700</v>
      </c>
      <c r="U902" s="4">
        <f>(H902*(I902-1))</f>
        <v>0</v>
      </c>
      <c r="V902" s="0" t="str">
        <f>INDEX('Account executives'!$B$2:$B$25,MATCH(C902,'Account executives'!$A$2:$A$25,0))</f>
        <v>amer_west</v>
      </c>
      <c r="W902" s="0" t="str">
        <f>INDEX('Account executives'!$C$2:$C$25,MATCH(C902,'Account executives'!$A$2:$A$25,0))</f>
        <v>mid_market</v>
      </c>
      <c r="X902" s="0" t="str">
        <f>SUBSTITUTE(LOWER(INDEX('Periods'!$G$2:$G$22,MATCH(N902,'Periods'!$A$2:$A$22,0)))," ","_")</f>
        <v>q4_2026</v>
      </c>
    </row>
    <row r="903">
      <c r="A903" s="0" t="inlineStr">
        <is>
          <t xml:space="preserve">o0902</t>
        </is>
      </c>
      <c r="B903" s="0" t="inlineStr">
        <is>
          <t xml:space="preserve">a0054</t>
        </is>
      </c>
      <c r="C903" s="0" t="inlineStr">
        <is>
          <t xml:space="preserve">r16</t>
        </is>
      </c>
      <c r="D903" s="0"/>
      <c r="E903" s="0" t="inlineStr">
        <is>
          <t xml:space="preserve">referral</t>
        </is>
      </c>
      <c r="F903" s="0" t="inlineStr">
        <is>
          <t xml:space="preserve">closed_lost</t>
        </is>
      </c>
      <c r="G903" s="4">
        <v>1</v>
      </c>
      <c r="H903" s="4">
        <v>20000</v>
      </c>
      <c r="I903" s="4">
        <v>1</v>
      </c>
      <c r="J903" s="4">
        <v>0</v>
      </c>
      <c r="K903" s="16">
        <v>45773</v>
      </c>
      <c r="L903" s="16">
        <v>45805</v>
      </c>
      <c r="M903" s="0" t="inlineStr">
        <is>
          <t xml:space="preserve">apr25</t>
        </is>
      </c>
      <c r="N903" s="0" t="inlineStr">
        <is>
          <t xml:space="preserve">may25</t>
        </is>
      </c>
      <c r="O903" s="4">
        <v>32</v>
      </c>
      <c r="P903" s="4">
        <v>0</v>
      </c>
      <c r="Q903" s="4">
        <v>1</v>
      </c>
      <c r="R903" s="4">
        <v>0</v>
      </c>
      <c r="S903" s="4">
        <f>(H903*INDEX('Stages'!$D$2:$D$7,MATCH(F903,'Stages'!$A$2:$A$7,0)))</f>
        <v>0</v>
      </c>
      <c r="T903" s="4">
        <f>(H903*I903)</f>
        <v>20000</v>
      </c>
      <c r="U903" s="4">
        <f>(H903*(I903-1))</f>
        <v>0</v>
      </c>
      <c r="V903" s="0" t="str">
        <f>INDEX('Account executives'!$B$2:$B$25,MATCH(C903,'Account executives'!$A$2:$A$25,0))</f>
        <v>emea</v>
      </c>
      <c r="W903" s="0" t="str">
        <f>INDEX('Account executives'!$C$2:$C$25,MATCH(C903,'Account executives'!$A$2:$A$25,0))</f>
        <v>mid_market</v>
      </c>
      <c r="X903" s="0" t="str">
        <f>SUBSTITUTE(LOWER(INDEX('Periods'!$G$2:$G$22,MATCH(N903,'Periods'!$A$2:$A$22,0)))," ","_")</f>
        <v>q2_2025</v>
      </c>
    </row>
    <row r="904">
      <c r="A904" s="0" t="inlineStr">
        <is>
          <t xml:space="preserve">o0903</t>
        </is>
      </c>
      <c r="B904" s="0" t="inlineStr">
        <is>
          <t xml:space="preserve">a0465</t>
        </is>
      </c>
      <c r="C904" s="0" t="inlineStr">
        <is>
          <t xml:space="preserve">r15</t>
        </is>
      </c>
      <c r="D904" s="0" t="inlineStr">
        <is>
          <t xml:space="preserve">s_emea_out</t>
        </is>
      </c>
      <c r="E904" s="0" t="inlineStr">
        <is>
          <t xml:space="preserve">outbound</t>
        </is>
      </c>
      <c r="F904" s="0" t="inlineStr">
        <is>
          <t xml:space="preserve">closed_lost</t>
        </is>
      </c>
      <c r="G904" s="4">
        <v>1</v>
      </c>
      <c r="H904" s="4">
        <v>44200</v>
      </c>
      <c r="I904" s="4">
        <v>1</v>
      </c>
      <c r="J904" s="4">
        <v>1</v>
      </c>
      <c r="K904" s="16">
        <v>45941</v>
      </c>
      <c r="L904" s="16">
        <v>45996</v>
      </c>
      <c r="M904" s="0" t="inlineStr">
        <is>
          <t xml:space="preserve">oct25</t>
        </is>
      </c>
      <c r="N904" s="0" t="inlineStr">
        <is>
          <t xml:space="preserve">dec25</t>
        </is>
      </c>
      <c r="O904" s="4">
        <v>55</v>
      </c>
      <c r="P904" s="4">
        <v>0</v>
      </c>
      <c r="Q904" s="4">
        <v>1</v>
      </c>
      <c r="R904" s="4">
        <v>0</v>
      </c>
      <c r="S904" s="4">
        <f>(H904*INDEX('Stages'!$D$2:$D$7,MATCH(F904,'Stages'!$A$2:$A$7,0)))</f>
        <v>0</v>
      </c>
      <c r="T904" s="4">
        <f>(H904*I904)</f>
        <v>44200</v>
      </c>
      <c r="U904" s="4">
        <f>(H904*(I904-1))</f>
        <v>0</v>
      </c>
      <c r="V904" s="0" t="str">
        <f>INDEX('Account executives'!$B$2:$B$25,MATCH(C904,'Account executives'!$A$2:$A$25,0))</f>
        <v>emea</v>
      </c>
      <c r="W904" s="0" t="str">
        <f>INDEX('Account executives'!$C$2:$C$25,MATCH(C904,'Account executives'!$A$2:$A$25,0))</f>
        <v>mid_market</v>
      </c>
      <c r="X904" s="0" t="str">
        <f>SUBSTITUTE(LOWER(INDEX('Periods'!$G$2:$G$22,MATCH(N904,'Periods'!$A$2:$A$22,0)))," ","_")</f>
        <v>q4_2025</v>
      </c>
    </row>
    <row r="905">
      <c r="A905" s="0" t="inlineStr">
        <is>
          <t xml:space="preserve">o0904</t>
        </is>
      </c>
      <c r="B905" s="0" t="inlineStr">
        <is>
          <t xml:space="preserve">a0131</t>
        </is>
      </c>
      <c r="C905" s="0" t="inlineStr">
        <is>
          <t xml:space="preserve">r13</t>
        </is>
      </c>
      <c r="D905" s="0"/>
      <c r="E905" s="0" t="inlineStr">
        <is>
          <t xml:space="preserve">events</t>
        </is>
      </c>
      <c r="F905" s="0" t="inlineStr">
        <is>
          <t xml:space="preserve">closed_lost</t>
        </is>
      </c>
      <c r="G905" s="4">
        <v>1</v>
      </c>
      <c r="H905" s="4">
        <v>128000</v>
      </c>
      <c r="I905" s="4">
        <v>3</v>
      </c>
      <c r="J905" s="4">
        <v>0</v>
      </c>
      <c r="K905" s="16">
        <v>45789</v>
      </c>
      <c r="L905" s="16">
        <v>45946</v>
      </c>
      <c r="M905" s="0" t="inlineStr">
        <is>
          <t xml:space="preserve">may25</t>
        </is>
      </c>
      <c r="N905" s="0" t="inlineStr">
        <is>
          <t xml:space="preserve">oct25</t>
        </is>
      </c>
      <c r="O905" s="4">
        <v>157</v>
      </c>
      <c r="P905" s="4">
        <v>0</v>
      </c>
      <c r="Q905" s="4">
        <v>1</v>
      </c>
      <c r="R905" s="4">
        <v>0</v>
      </c>
      <c r="S905" s="4">
        <f>(H905*INDEX('Stages'!$D$2:$D$7,MATCH(F905,'Stages'!$A$2:$A$7,0)))</f>
        <v>0</v>
      </c>
      <c r="T905" s="4">
        <f>(H905*I905)</f>
        <v>384000</v>
      </c>
      <c r="U905" s="4">
        <f>(H905*(I905-1))</f>
        <v>256000</v>
      </c>
      <c r="V905" s="0" t="str">
        <f>INDEX('Account executives'!$B$2:$B$25,MATCH(C905,'Account executives'!$A$2:$A$25,0))</f>
        <v>emea</v>
      </c>
      <c r="W905" s="0" t="str">
        <f>INDEX('Account executives'!$C$2:$C$25,MATCH(C905,'Account executives'!$A$2:$A$25,0))</f>
        <v>enterprise</v>
      </c>
      <c r="X905" s="0" t="str">
        <f>SUBSTITUTE(LOWER(INDEX('Periods'!$G$2:$G$22,MATCH(N905,'Periods'!$A$2:$A$22,0)))," ","_")</f>
        <v>q4_2025</v>
      </c>
    </row>
    <row r="906">
      <c r="A906" s="0" t="inlineStr">
        <is>
          <t xml:space="preserve">o0905</t>
        </is>
      </c>
      <c r="B906" s="0" t="inlineStr">
        <is>
          <t xml:space="preserve">a0078</t>
        </is>
      </c>
      <c r="C906" s="0" t="inlineStr">
        <is>
          <t xml:space="preserve">r04</t>
        </is>
      </c>
      <c r="D906" s="0"/>
      <c r="E906" s="0" t="inlineStr">
        <is>
          <t xml:space="preserve">events</t>
        </is>
      </c>
      <c r="F906" s="0" t="inlineStr">
        <is>
          <t xml:space="preserve">closed_lost</t>
        </is>
      </c>
      <c r="G906" s="4">
        <v>1</v>
      </c>
      <c r="H906" s="4">
        <v>42500</v>
      </c>
      <c r="I906" s="4">
        <v>1</v>
      </c>
      <c r="J906" s="4">
        <v>0</v>
      </c>
      <c r="K906" s="16">
        <v>45802</v>
      </c>
      <c r="L906" s="16">
        <v>45824</v>
      </c>
      <c r="M906" s="0" t="inlineStr">
        <is>
          <t xml:space="preserve">may25</t>
        </is>
      </c>
      <c r="N906" s="0" t="inlineStr">
        <is>
          <t xml:space="preserve">jun25</t>
        </is>
      </c>
      <c r="O906" s="4">
        <v>22</v>
      </c>
      <c r="P906" s="4">
        <v>0</v>
      </c>
      <c r="Q906" s="4">
        <v>1</v>
      </c>
      <c r="R906" s="4">
        <v>0</v>
      </c>
      <c r="S906" s="4">
        <f>(H906*INDEX('Stages'!$D$2:$D$7,MATCH(F906,'Stages'!$A$2:$A$7,0)))</f>
        <v>0</v>
      </c>
      <c r="T906" s="4">
        <f>(H906*I906)</f>
        <v>42500</v>
      </c>
      <c r="U906" s="4">
        <f>(H906*(I906-1))</f>
        <v>0</v>
      </c>
      <c r="V906" s="0" t="str">
        <f>INDEX('Account executives'!$B$2:$B$25,MATCH(C906,'Account executives'!$A$2:$A$25,0))</f>
        <v>amer_east</v>
      </c>
      <c r="W906" s="0" t="str">
        <f>INDEX('Account executives'!$C$2:$C$25,MATCH(C906,'Account executives'!$A$2:$A$25,0))</f>
        <v>mid_market</v>
      </c>
      <c r="X906" s="0" t="str">
        <f>SUBSTITUTE(LOWER(INDEX('Periods'!$G$2:$G$22,MATCH(N906,'Periods'!$A$2:$A$22,0)))," ","_")</f>
        <v>q2_2025</v>
      </c>
    </row>
    <row r="907">
      <c r="A907" s="0" t="inlineStr">
        <is>
          <t xml:space="preserve">o0906</t>
        </is>
      </c>
      <c r="B907" s="0" t="inlineStr">
        <is>
          <t xml:space="preserve">a0388</t>
        </is>
      </c>
      <c r="C907" s="0" t="inlineStr">
        <is>
          <t xml:space="preserve">r09</t>
        </is>
      </c>
      <c r="D907" s="0"/>
      <c r="E907" s="0" t="inlineStr">
        <is>
          <t xml:space="preserve">referral</t>
        </is>
      </c>
      <c r="F907" s="0" t="inlineStr">
        <is>
          <t xml:space="preserve">closed_lost</t>
        </is>
      </c>
      <c r="G907" s="4">
        <v>1</v>
      </c>
      <c r="H907" s="4">
        <v>66600</v>
      </c>
      <c r="I907" s="4">
        <v>1</v>
      </c>
      <c r="J907" s="4">
        <v>1</v>
      </c>
      <c r="K907" s="16">
        <v>45925</v>
      </c>
      <c r="L907" s="16">
        <v>45977</v>
      </c>
      <c r="M907" s="0" t="inlineStr">
        <is>
          <t xml:space="preserve">sep25</t>
        </is>
      </c>
      <c r="N907" s="0" t="inlineStr">
        <is>
          <t xml:space="preserve">nov25</t>
        </is>
      </c>
      <c r="O907" s="4">
        <v>52</v>
      </c>
      <c r="P907" s="4">
        <v>0</v>
      </c>
      <c r="Q907" s="4">
        <v>1</v>
      </c>
      <c r="R907" s="4">
        <v>0</v>
      </c>
      <c r="S907" s="4">
        <f>(H907*INDEX('Stages'!$D$2:$D$7,MATCH(F907,'Stages'!$A$2:$A$7,0)))</f>
        <v>0</v>
      </c>
      <c r="T907" s="4">
        <f>(H907*I907)</f>
        <v>66600</v>
      </c>
      <c r="U907" s="4">
        <f>(H907*(I907-1))</f>
        <v>0</v>
      </c>
      <c r="V907" s="0" t="str">
        <f>INDEX('Account executives'!$B$2:$B$25,MATCH(C907,'Account executives'!$A$2:$A$25,0))</f>
        <v>amer_west</v>
      </c>
      <c r="W907" s="0" t="str">
        <f>INDEX('Account executives'!$C$2:$C$25,MATCH(C907,'Account executives'!$A$2:$A$25,0))</f>
        <v>mid_market</v>
      </c>
      <c r="X907" s="0" t="str">
        <f>SUBSTITUTE(LOWER(INDEX('Periods'!$G$2:$G$22,MATCH(N907,'Periods'!$A$2:$A$22,0)))," ","_")</f>
        <v>q4_2025</v>
      </c>
    </row>
    <row r="908">
      <c r="A908" s="0" t="inlineStr">
        <is>
          <t xml:space="preserve">o0907</t>
        </is>
      </c>
      <c r="B908" s="0" t="inlineStr">
        <is>
          <t xml:space="preserve">a0048</t>
        </is>
      </c>
      <c r="C908" s="0" t="inlineStr">
        <is>
          <t xml:space="preserve">r13</t>
        </is>
      </c>
      <c r="D908" s="0" t="inlineStr">
        <is>
          <t xml:space="preserve">s_emea_in</t>
        </is>
      </c>
      <c r="E908" s="0" t="inlineStr">
        <is>
          <t xml:space="preserve">paid</t>
        </is>
      </c>
      <c r="F908" s="0" t="inlineStr">
        <is>
          <t xml:space="preserve">closed_lost</t>
        </is>
      </c>
      <c r="G908" s="4">
        <v>0</v>
      </c>
      <c r="H908" s="4">
        <v>63000</v>
      </c>
      <c r="I908" s="4">
        <v>2</v>
      </c>
      <c r="J908" s="4">
        <v>0</v>
      </c>
      <c r="K908" s="16">
        <v>45810</v>
      </c>
      <c r="L908" s="16">
        <v>45909</v>
      </c>
      <c r="M908" s="0" t="inlineStr">
        <is>
          <t xml:space="preserve">jun25</t>
        </is>
      </c>
      <c r="N908" s="0" t="inlineStr">
        <is>
          <t xml:space="preserve">sep25</t>
        </is>
      </c>
      <c r="O908" s="4">
        <v>99</v>
      </c>
      <c r="P908" s="4">
        <v>0</v>
      </c>
      <c r="Q908" s="4">
        <v>1</v>
      </c>
      <c r="R908" s="4">
        <v>0</v>
      </c>
      <c r="S908" s="4">
        <f>(H908*INDEX('Stages'!$D$2:$D$7,MATCH(F908,'Stages'!$A$2:$A$7,0)))</f>
        <v>0</v>
      </c>
      <c r="T908" s="4">
        <f>(H908*I908)</f>
        <v>126000</v>
      </c>
      <c r="U908" s="4">
        <f>(H908*(I908-1))</f>
        <v>63000</v>
      </c>
      <c r="V908" s="0" t="str">
        <f>INDEX('Account executives'!$B$2:$B$25,MATCH(C908,'Account executives'!$A$2:$A$25,0))</f>
        <v>emea</v>
      </c>
      <c r="W908" s="0" t="str">
        <f>INDEX('Account executives'!$C$2:$C$25,MATCH(C908,'Account executives'!$A$2:$A$25,0))</f>
        <v>enterprise</v>
      </c>
      <c r="X908" s="0" t="str">
        <f>SUBSTITUTE(LOWER(INDEX('Periods'!$G$2:$G$22,MATCH(N908,'Periods'!$A$2:$A$22,0)))," ","_")</f>
        <v>q3_2025</v>
      </c>
    </row>
    <row r="909">
      <c r="A909" s="0" t="inlineStr">
        <is>
          <t xml:space="preserve">o0908</t>
        </is>
      </c>
      <c r="B909" s="0" t="inlineStr">
        <is>
          <t xml:space="preserve">a1209</t>
        </is>
      </c>
      <c r="C909" s="0" t="inlineStr">
        <is>
          <t xml:space="preserve">r19</t>
        </is>
      </c>
      <c r="D909" s="0"/>
      <c r="E909" s="0" t="inlineStr">
        <is>
          <t xml:space="preserve">referral</t>
        </is>
      </c>
      <c r="F909" s="0" t="inlineStr">
        <is>
          <t xml:space="preserve">discovery</t>
        </is>
      </c>
      <c r="G909" s="4">
        <v>1</v>
      </c>
      <c r="H909" s="4">
        <v>485300</v>
      </c>
      <c r="I909" s="4">
        <v>1</v>
      </c>
      <c r="J909" s="4">
        <v>0</v>
      </c>
      <c r="K909" s="16">
        <v>46258</v>
      </c>
      <c r="L909" s="16">
        <v>46371</v>
      </c>
      <c r="M909" s="0" t="inlineStr">
        <is>
          <t xml:space="preserve">aug26</t>
        </is>
      </c>
      <c r="N909" s="0" t="inlineStr">
        <is>
          <t xml:space="preserve">dec26</t>
        </is>
      </c>
      <c r="O909" s="4">
        <v>115</v>
      </c>
      <c r="P909" s="4">
        <v>0</v>
      </c>
      <c r="Q909" s="4">
        <v>0</v>
      </c>
      <c r="R909" s="4">
        <v>1</v>
      </c>
      <c r="S909" s="4">
        <f>(H909*INDEX('Stages'!$D$2:$D$7,MATCH(F909,'Stages'!$A$2:$A$7,0)))</f>
        <v>48530</v>
      </c>
      <c r="T909" s="4">
        <f>(H909*I909)</f>
        <v>485300</v>
      </c>
      <c r="U909" s="4">
        <f>(H909*(I909-1))</f>
        <v>0</v>
      </c>
      <c r="V909" s="0" t="str">
        <f>INDEX('Account executives'!$B$2:$B$25,MATCH(C909,'Account executives'!$A$2:$A$25,0))</f>
        <v>apac</v>
      </c>
      <c r="W909" s="0" t="str">
        <f>INDEX('Account executives'!$C$2:$C$25,MATCH(C909,'Account executives'!$A$2:$A$25,0))</f>
        <v>enterprise</v>
      </c>
      <c r="X909" s="0" t="str">
        <f>SUBSTITUTE(LOWER(INDEX('Periods'!$G$2:$G$22,MATCH(N909,'Periods'!$A$2:$A$22,0)))," ","_")</f>
        <v>q4_2026</v>
      </c>
    </row>
    <row r="910">
      <c r="A910" s="0" t="inlineStr">
        <is>
          <t xml:space="preserve">o0909</t>
        </is>
      </c>
      <c r="B910" s="0" t="inlineStr">
        <is>
          <t xml:space="preserve">a0572</t>
        </is>
      </c>
      <c r="C910" s="0" t="inlineStr">
        <is>
          <t xml:space="preserve">r11</t>
        </is>
      </c>
      <c r="D910" s="0" t="inlineStr">
        <is>
          <t xml:space="preserve">s_amer_west_out</t>
        </is>
      </c>
      <c r="E910" s="0" t="inlineStr">
        <is>
          <t xml:space="preserve">outbound</t>
        </is>
      </c>
      <c r="F910" s="0" t="inlineStr">
        <is>
          <t xml:space="preserve">closed_won</t>
        </is>
      </c>
      <c r="G910" s="4">
        <v>1</v>
      </c>
      <c r="H910" s="4">
        <v>7700</v>
      </c>
      <c r="I910" s="4">
        <v>2</v>
      </c>
      <c r="J910" s="4">
        <v>1</v>
      </c>
      <c r="K910" s="16">
        <v>46016</v>
      </c>
      <c r="L910" s="16">
        <v>46109</v>
      </c>
      <c r="M910" s="0" t="inlineStr">
        <is>
          <t xml:space="preserve">dec25</t>
        </is>
      </c>
      <c r="N910" s="0" t="inlineStr">
        <is>
          <t xml:space="preserve">mar26</t>
        </is>
      </c>
      <c r="O910" s="4">
        <v>93</v>
      </c>
      <c r="P910" s="4">
        <v>1</v>
      </c>
      <c r="Q910" s="4">
        <v>0</v>
      </c>
      <c r="R910" s="4">
        <v>0</v>
      </c>
      <c r="S910" s="4">
        <f>(H910*INDEX('Stages'!$D$2:$D$7,MATCH(F910,'Stages'!$A$2:$A$7,0)))</f>
        <v>7700</v>
      </c>
      <c r="T910" s="4">
        <f>(H910*I910)</f>
        <v>15400</v>
      </c>
      <c r="U910" s="4">
        <f>(H910*(I910-1))</f>
        <v>7700</v>
      </c>
      <c r="V910" s="0" t="str">
        <f>INDEX('Account executives'!$B$2:$B$25,MATCH(C910,'Account executives'!$A$2:$A$25,0))</f>
        <v>amer_west</v>
      </c>
      <c r="W910" s="0" t="str">
        <f>INDEX('Account executives'!$C$2:$C$25,MATCH(C910,'Account executives'!$A$2:$A$25,0))</f>
        <v>smb</v>
      </c>
      <c r="X910" s="0" t="str">
        <f>SUBSTITUTE(LOWER(INDEX('Periods'!$G$2:$G$22,MATCH(N910,'Periods'!$A$2:$A$22,0)))," ","_")</f>
        <v>q1_2026</v>
      </c>
    </row>
    <row r="911">
      <c r="A911" s="0" t="inlineStr">
        <is>
          <t xml:space="preserve">o0910</t>
        </is>
      </c>
      <c r="B911" s="0" t="inlineStr">
        <is>
          <t xml:space="preserve">a1091</t>
        </is>
      </c>
      <c r="C911" s="0" t="inlineStr">
        <is>
          <t xml:space="preserve">r10</t>
        </is>
      </c>
      <c r="D911" s="0" t="inlineStr">
        <is>
          <t xml:space="preserve">s_amer_west_in</t>
        </is>
      </c>
      <c r="E911" s="0" t="inlineStr">
        <is>
          <t xml:space="preserve">inbound</t>
        </is>
      </c>
      <c r="F911" s="0" t="inlineStr">
        <is>
          <t xml:space="preserve">closed_won</t>
        </is>
      </c>
      <c r="G911" s="4">
        <v>1</v>
      </c>
      <c r="H911" s="4">
        <v>38900</v>
      </c>
      <c r="I911" s="4">
        <v>2</v>
      </c>
      <c r="J911" s="4">
        <v>0</v>
      </c>
      <c r="K911" s="16">
        <v>46221</v>
      </c>
      <c r="L911" s="16">
        <v>46270</v>
      </c>
      <c r="M911" s="0" t="inlineStr">
        <is>
          <t xml:space="preserve">jul26</t>
        </is>
      </c>
      <c r="N911" s="0" t="inlineStr">
        <is>
          <t xml:space="preserve">sep26</t>
        </is>
      </c>
      <c r="O911" s="4">
        <v>49</v>
      </c>
      <c r="P911" s="4">
        <v>1</v>
      </c>
      <c r="Q911" s="4">
        <v>0</v>
      </c>
      <c r="R911" s="4">
        <v>0</v>
      </c>
      <c r="S911" s="4">
        <f>(H911*INDEX('Stages'!$D$2:$D$7,MATCH(F911,'Stages'!$A$2:$A$7,0)))</f>
        <v>38900</v>
      </c>
      <c r="T911" s="4">
        <f>(H911*I911)</f>
        <v>77800</v>
      </c>
      <c r="U911" s="4">
        <f>(H911*(I911-1))</f>
        <v>38900</v>
      </c>
      <c r="V911" s="0" t="str">
        <f>INDEX('Account executives'!$B$2:$B$25,MATCH(C911,'Account executives'!$A$2:$A$25,0))</f>
        <v>amer_west</v>
      </c>
      <c r="W911" s="0" t="str">
        <f>INDEX('Account executives'!$C$2:$C$25,MATCH(C911,'Account executives'!$A$2:$A$25,0))</f>
        <v>mid_market</v>
      </c>
      <c r="X911" s="0" t="str">
        <f>SUBSTITUTE(LOWER(INDEX('Periods'!$G$2:$G$22,MATCH(N911,'Periods'!$A$2:$A$22,0)))," ","_")</f>
        <v>q3_2026</v>
      </c>
    </row>
    <row r="912">
      <c r="A912" s="0" t="inlineStr">
        <is>
          <t xml:space="preserve">o0911</t>
        </is>
      </c>
      <c r="B912" s="0" t="inlineStr">
        <is>
          <t xml:space="preserve">a0727</t>
        </is>
      </c>
      <c r="C912" s="0" t="inlineStr">
        <is>
          <t xml:space="preserve">r04</t>
        </is>
      </c>
      <c r="D912" s="0" t="inlineStr">
        <is>
          <t xml:space="preserve">s_amer_east_in</t>
        </is>
      </c>
      <c r="E912" s="0" t="inlineStr">
        <is>
          <t xml:space="preserve">inbound</t>
        </is>
      </c>
      <c r="F912" s="0" t="inlineStr">
        <is>
          <t xml:space="preserve">closed_lost</t>
        </is>
      </c>
      <c r="G912" s="4">
        <v>1</v>
      </c>
      <c r="H912" s="4">
        <v>68500</v>
      </c>
      <c r="I912" s="4">
        <v>1</v>
      </c>
      <c r="J912" s="4">
        <v>0</v>
      </c>
      <c r="K912" s="16">
        <v>46109</v>
      </c>
      <c r="L912" s="16">
        <v>46155</v>
      </c>
      <c r="M912" s="0" t="inlineStr">
        <is>
          <t xml:space="preserve">mar26</t>
        </is>
      </c>
      <c r="N912" s="0" t="inlineStr">
        <is>
          <t xml:space="preserve">may26</t>
        </is>
      </c>
      <c r="O912" s="4">
        <v>46</v>
      </c>
      <c r="P912" s="4">
        <v>0</v>
      </c>
      <c r="Q912" s="4">
        <v>1</v>
      </c>
      <c r="R912" s="4">
        <v>0</v>
      </c>
      <c r="S912" s="4">
        <f>(H912*INDEX('Stages'!$D$2:$D$7,MATCH(F912,'Stages'!$A$2:$A$7,0)))</f>
        <v>0</v>
      </c>
      <c r="T912" s="4">
        <f>(H912*I912)</f>
        <v>68500</v>
      </c>
      <c r="U912" s="4">
        <f>(H912*(I912-1))</f>
        <v>0</v>
      </c>
      <c r="V912" s="0" t="str">
        <f>INDEX('Account executives'!$B$2:$B$25,MATCH(C912,'Account executives'!$A$2:$A$25,0))</f>
        <v>amer_east</v>
      </c>
      <c r="W912" s="0" t="str">
        <f>INDEX('Account executives'!$C$2:$C$25,MATCH(C912,'Account executives'!$A$2:$A$25,0))</f>
        <v>mid_market</v>
      </c>
      <c r="X912" s="0" t="str">
        <f>SUBSTITUTE(LOWER(INDEX('Periods'!$G$2:$G$22,MATCH(N912,'Periods'!$A$2:$A$22,0)))," ","_")</f>
        <v>q2_2026</v>
      </c>
    </row>
    <row r="913">
      <c r="A913" s="0" t="inlineStr">
        <is>
          <t xml:space="preserve">o0912</t>
        </is>
      </c>
      <c r="B913" s="0" t="inlineStr">
        <is>
          <t xml:space="preserve">a0158</t>
        </is>
      </c>
      <c r="C913" s="0" t="inlineStr">
        <is>
          <t xml:space="preserve">r05</t>
        </is>
      </c>
      <c r="D913" s="0" t="inlineStr">
        <is>
          <t xml:space="preserve">s_amer_east_out</t>
        </is>
      </c>
      <c r="E913" s="0" t="inlineStr">
        <is>
          <t xml:space="preserve">outbound</t>
        </is>
      </c>
      <c r="F913" s="0" t="inlineStr">
        <is>
          <t xml:space="preserve">closed_lost</t>
        </is>
      </c>
      <c r="G913" s="4">
        <v>0</v>
      </c>
      <c r="H913" s="4">
        <v>7500</v>
      </c>
      <c r="I913" s="4">
        <v>1</v>
      </c>
      <c r="J913" s="4">
        <v>1</v>
      </c>
      <c r="K913" s="16">
        <v>46081</v>
      </c>
      <c r="L913" s="16">
        <v>46113</v>
      </c>
      <c r="M913" s="0" t="inlineStr">
        <is>
          <t xml:space="preserve">feb26</t>
        </is>
      </c>
      <c r="N913" s="0" t="inlineStr">
        <is>
          <t xml:space="preserve">apr26</t>
        </is>
      </c>
      <c r="O913" s="4">
        <v>32</v>
      </c>
      <c r="P913" s="4">
        <v>0</v>
      </c>
      <c r="Q913" s="4">
        <v>1</v>
      </c>
      <c r="R913" s="4">
        <v>0</v>
      </c>
      <c r="S913" s="4">
        <f>(H913*INDEX('Stages'!$D$2:$D$7,MATCH(F913,'Stages'!$A$2:$A$7,0)))</f>
        <v>0</v>
      </c>
      <c r="T913" s="4">
        <f>(H913*I913)</f>
        <v>7500</v>
      </c>
      <c r="U913" s="4">
        <f>(H913*(I913-1))</f>
        <v>0</v>
      </c>
      <c r="V913" s="0" t="str">
        <f>INDEX('Account executives'!$B$2:$B$25,MATCH(C913,'Account executives'!$A$2:$A$25,0))</f>
        <v>amer_east</v>
      </c>
      <c r="W913" s="0" t="str">
        <f>INDEX('Account executives'!$C$2:$C$25,MATCH(C913,'Account executives'!$A$2:$A$25,0))</f>
        <v>smb</v>
      </c>
      <c r="X913" s="0" t="str">
        <f>SUBSTITUTE(LOWER(INDEX('Periods'!$G$2:$G$22,MATCH(N913,'Periods'!$A$2:$A$22,0)))," ","_")</f>
        <v>q2_2026</v>
      </c>
    </row>
    <row r="914">
      <c r="A914" s="0" t="inlineStr">
        <is>
          <t xml:space="preserve">o0913</t>
        </is>
      </c>
      <c r="B914" s="0" t="inlineStr">
        <is>
          <t xml:space="preserve">a0789</t>
        </is>
      </c>
      <c r="C914" s="0" t="inlineStr">
        <is>
          <t xml:space="preserve">r19</t>
        </is>
      </c>
      <c r="D914" s="0" t="inlineStr">
        <is>
          <t xml:space="preserve">s_apac_in</t>
        </is>
      </c>
      <c r="E914" s="0" t="inlineStr">
        <is>
          <t xml:space="preserve">inbound</t>
        </is>
      </c>
      <c r="F914" s="0" t="inlineStr">
        <is>
          <t xml:space="preserve">closed_lost</t>
        </is>
      </c>
      <c r="G914" s="4">
        <v>1</v>
      </c>
      <c r="H914" s="4">
        <v>56900</v>
      </c>
      <c r="I914" s="4">
        <v>2</v>
      </c>
      <c r="J914" s="4">
        <v>0</v>
      </c>
      <c r="K914" s="16">
        <v>46084</v>
      </c>
      <c r="L914" s="16">
        <v>46212</v>
      </c>
      <c r="M914" s="0" t="inlineStr">
        <is>
          <t xml:space="preserve">mar26</t>
        </is>
      </c>
      <c r="N914" s="0" t="inlineStr">
        <is>
          <t xml:space="preserve">jul26</t>
        </is>
      </c>
      <c r="O914" s="4">
        <v>128</v>
      </c>
      <c r="P914" s="4">
        <v>0</v>
      </c>
      <c r="Q914" s="4">
        <v>1</v>
      </c>
      <c r="R914" s="4">
        <v>0</v>
      </c>
      <c r="S914" s="4">
        <f>(H914*INDEX('Stages'!$D$2:$D$7,MATCH(F914,'Stages'!$A$2:$A$7,0)))</f>
        <v>0</v>
      </c>
      <c r="T914" s="4">
        <f>(H914*I914)</f>
        <v>113800</v>
      </c>
      <c r="U914" s="4">
        <f>(H914*(I914-1))</f>
        <v>56900</v>
      </c>
      <c r="V914" s="0" t="str">
        <f>INDEX('Account executives'!$B$2:$B$25,MATCH(C914,'Account executives'!$A$2:$A$25,0))</f>
        <v>apac</v>
      </c>
      <c r="W914" s="0" t="str">
        <f>INDEX('Account executives'!$C$2:$C$25,MATCH(C914,'Account executives'!$A$2:$A$25,0))</f>
        <v>enterprise</v>
      </c>
      <c r="X914" s="0" t="str">
        <f>SUBSTITUTE(LOWER(INDEX('Periods'!$G$2:$G$22,MATCH(N914,'Periods'!$A$2:$A$22,0)))," ","_")</f>
        <v>q3_2026</v>
      </c>
    </row>
    <row r="915">
      <c r="A915" s="0" t="inlineStr">
        <is>
          <t xml:space="preserve">o0914</t>
        </is>
      </c>
      <c r="B915" s="0" t="inlineStr">
        <is>
          <t xml:space="preserve">a0023</t>
        </is>
      </c>
      <c r="C915" s="0" t="inlineStr">
        <is>
          <t xml:space="preserve">r06</t>
        </is>
      </c>
      <c r="D915" s="0"/>
      <c r="E915" s="0" t="inlineStr">
        <is>
          <t xml:space="preserve">referral</t>
        </is>
      </c>
      <c r="F915" s="0" t="inlineStr">
        <is>
          <t xml:space="preserve">closed_lost</t>
        </is>
      </c>
      <c r="G915" s="4">
        <v>1</v>
      </c>
      <c r="H915" s="4">
        <v>16600</v>
      </c>
      <c r="I915" s="4">
        <v>1</v>
      </c>
      <c r="J915" s="4">
        <v>0</v>
      </c>
      <c r="K915" s="16">
        <v>45773</v>
      </c>
      <c r="L915" s="16">
        <v>45819</v>
      </c>
      <c r="M915" s="0" t="inlineStr">
        <is>
          <t xml:space="preserve">apr25</t>
        </is>
      </c>
      <c r="N915" s="0" t="inlineStr">
        <is>
          <t xml:space="preserve">jun25</t>
        </is>
      </c>
      <c r="O915" s="4">
        <v>46</v>
      </c>
      <c r="P915" s="4">
        <v>0</v>
      </c>
      <c r="Q915" s="4">
        <v>1</v>
      </c>
      <c r="R915" s="4">
        <v>0</v>
      </c>
      <c r="S915" s="4">
        <f>(H915*INDEX('Stages'!$D$2:$D$7,MATCH(F915,'Stages'!$A$2:$A$7,0)))</f>
        <v>0</v>
      </c>
      <c r="T915" s="4">
        <f>(H915*I915)</f>
        <v>16600</v>
      </c>
      <c r="U915" s="4">
        <f>(H915*(I915-1))</f>
        <v>0</v>
      </c>
      <c r="V915" s="0" t="str">
        <f>INDEX('Account executives'!$B$2:$B$25,MATCH(C915,'Account executives'!$A$2:$A$25,0))</f>
        <v>amer_east</v>
      </c>
      <c r="W915" s="0" t="str">
        <f>INDEX('Account executives'!$C$2:$C$25,MATCH(C915,'Account executives'!$A$2:$A$25,0))</f>
        <v>smb</v>
      </c>
      <c r="X915" s="0" t="str">
        <f>SUBSTITUTE(LOWER(INDEX('Periods'!$G$2:$G$22,MATCH(N915,'Periods'!$A$2:$A$22,0)))," ","_")</f>
        <v>q2_2025</v>
      </c>
    </row>
    <row r="916">
      <c r="A916" s="0" t="inlineStr">
        <is>
          <t xml:space="preserve">o0915</t>
        </is>
      </c>
      <c r="B916" s="0" t="inlineStr">
        <is>
          <t xml:space="preserve">a0865</t>
        </is>
      </c>
      <c r="C916" s="0" t="inlineStr">
        <is>
          <t xml:space="preserve">r14</t>
        </is>
      </c>
      <c r="D916" s="0" t="inlineStr">
        <is>
          <t xml:space="preserve">s_emea_in</t>
        </is>
      </c>
      <c r="E916" s="0" t="inlineStr">
        <is>
          <t xml:space="preserve">paid</t>
        </is>
      </c>
      <c r="F916" s="0" t="inlineStr">
        <is>
          <t xml:space="preserve">closed_lost</t>
        </is>
      </c>
      <c r="G916" s="4">
        <v>1</v>
      </c>
      <c r="H916" s="4">
        <v>29900</v>
      </c>
      <c r="I916" s="4">
        <v>1</v>
      </c>
      <c r="J916" s="4">
        <v>1</v>
      </c>
      <c r="K916" s="16">
        <v>46125</v>
      </c>
      <c r="L916" s="16">
        <v>46283</v>
      </c>
      <c r="M916" s="0" t="inlineStr">
        <is>
          <t xml:space="preserve">apr26</t>
        </is>
      </c>
      <c r="N916" s="0" t="inlineStr">
        <is>
          <t xml:space="preserve">sep26</t>
        </is>
      </c>
      <c r="O916" s="4">
        <v>158</v>
      </c>
      <c r="P916" s="4">
        <v>0</v>
      </c>
      <c r="Q916" s="4">
        <v>1</v>
      </c>
      <c r="R916" s="4">
        <v>0</v>
      </c>
      <c r="S916" s="4">
        <f>(H916*INDEX('Stages'!$D$2:$D$7,MATCH(F916,'Stages'!$A$2:$A$7,0)))</f>
        <v>0</v>
      </c>
      <c r="T916" s="4">
        <f>(H916*I916)</f>
        <v>29900</v>
      </c>
      <c r="U916" s="4">
        <f>(H916*(I916-1))</f>
        <v>0</v>
      </c>
      <c r="V916" s="0" t="str">
        <f>INDEX('Account executives'!$B$2:$B$25,MATCH(C916,'Account executives'!$A$2:$A$25,0))</f>
        <v>emea</v>
      </c>
      <c r="W916" s="0" t="str">
        <f>INDEX('Account executives'!$C$2:$C$25,MATCH(C916,'Account executives'!$A$2:$A$25,0))</f>
        <v>enterprise</v>
      </c>
      <c r="X916" s="0" t="str">
        <f>SUBSTITUTE(LOWER(INDEX('Periods'!$G$2:$G$22,MATCH(N916,'Periods'!$A$2:$A$22,0)))," ","_")</f>
        <v>q3_2026</v>
      </c>
    </row>
    <row r="917">
      <c r="A917" s="0" t="inlineStr">
        <is>
          <t xml:space="preserve">o0916</t>
        </is>
      </c>
      <c r="B917" s="0" t="inlineStr">
        <is>
          <t xml:space="preserve">a0077</t>
        </is>
      </c>
      <c r="C917" s="0" t="inlineStr">
        <is>
          <t xml:space="preserve">r01</t>
        </is>
      </c>
      <c r="D917" s="0"/>
      <c r="E917" s="0" t="inlineStr">
        <is>
          <t xml:space="preserve">events</t>
        </is>
      </c>
      <c r="F917" s="0" t="inlineStr">
        <is>
          <t xml:space="preserve">closed_lost</t>
        </is>
      </c>
      <c r="G917" s="4">
        <v>1</v>
      </c>
      <c r="H917" s="4">
        <v>100600</v>
      </c>
      <c r="I917" s="4">
        <v>1</v>
      </c>
      <c r="J917" s="4">
        <v>0</v>
      </c>
      <c r="K917" s="16">
        <v>45781</v>
      </c>
      <c r="L917" s="16">
        <v>45891</v>
      </c>
      <c r="M917" s="0" t="inlineStr">
        <is>
          <t xml:space="preserve">may25</t>
        </is>
      </c>
      <c r="N917" s="0" t="inlineStr">
        <is>
          <t xml:space="preserve">aug25</t>
        </is>
      </c>
      <c r="O917" s="4">
        <v>110</v>
      </c>
      <c r="P917" s="4">
        <v>0</v>
      </c>
      <c r="Q917" s="4">
        <v>1</v>
      </c>
      <c r="R917" s="4">
        <v>0</v>
      </c>
      <c r="S917" s="4">
        <f>(H917*INDEX('Stages'!$D$2:$D$7,MATCH(F917,'Stages'!$A$2:$A$7,0)))</f>
        <v>0</v>
      </c>
      <c r="T917" s="4">
        <f>(H917*I917)</f>
        <v>100600</v>
      </c>
      <c r="U917" s="4">
        <f>(H917*(I917-1))</f>
        <v>0</v>
      </c>
      <c r="V917" s="0" t="str">
        <f>INDEX('Account executives'!$B$2:$B$25,MATCH(C917,'Account executives'!$A$2:$A$25,0))</f>
        <v>amer_east</v>
      </c>
      <c r="W917" s="0" t="str">
        <f>INDEX('Account executives'!$C$2:$C$25,MATCH(C917,'Account executives'!$A$2:$A$25,0))</f>
        <v>enterprise</v>
      </c>
      <c r="X917" s="0" t="str">
        <f>SUBSTITUTE(LOWER(INDEX('Periods'!$G$2:$G$22,MATCH(N917,'Periods'!$A$2:$A$22,0)))," ","_")</f>
        <v>q3_2025</v>
      </c>
    </row>
    <row r="918">
      <c r="A918" s="0" t="inlineStr">
        <is>
          <t xml:space="preserve">o0917</t>
        </is>
      </c>
      <c r="B918" s="0" t="inlineStr">
        <is>
          <t xml:space="preserve">a0034</t>
        </is>
      </c>
      <c r="C918" s="0" t="inlineStr">
        <is>
          <t xml:space="preserve">r11</t>
        </is>
      </c>
      <c r="D918" s="0" t="inlineStr">
        <is>
          <t xml:space="preserve">s_amer_west_in</t>
        </is>
      </c>
      <c r="E918" s="0" t="inlineStr">
        <is>
          <t xml:space="preserve">inbound</t>
        </is>
      </c>
      <c r="F918" s="0" t="inlineStr">
        <is>
          <t xml:space="preserve">closed_lost</t>
        </is>
      </c>
      <c r="G918" s="4">
        <v>0</v>
      </c>
      <c r="H918" s="4">
        <v>3200</v>
      </c>
      <c r="I918" s="4">
        <v>1</v>
      </c>
      <c r="J918" s="4">
        <v>0</v>
      </c>
      <c r="K918" s="16">
        <v>45834</v>
      </c>
      <c r="L918" s="16">
        <v>45850</v>
      </c>
      <c r="M918" s="0" t="inlineStr">
        <is>
          <t xml:space="preserve">jun25</t>
        </is>
      </c>
      <c r="N918" s="0" t="inlineStr">
        <is>
          <t xml:space="preserve">jul25</t>
        </is>
      </c>
      <c r="O918" s="4">
        <v>16</v>
      </c>
      <c r="P918" s="4">
        <v>0</v>
      </c>
      <c r="Q918" s="4">
        <v>1</v>
      </c>
      <c r="R918" s="4">
        <v>0</v>
      </c>
      <c r="S918" s="4">
        <f>(H918*INDEX('Stages'!$D$2:$D$7,MATCH(F918,'Stages'!$A$2:$A$7,0)))</f>
        <v>0</v>
      </c>
      <c r="T918" s="4">
        <f>(H918*I918)</f>
        <v>3200</v>
      </c>
      <c r="U918" s="4">
        <f>(H918*(I918-1))</f>
        <v>0</v>
      </c>
      <c r="V918" s="0" t="str">
        <f>INDEX('Account executives'!$B$2:$B$25,MATCH(C918,'Account executives'!$A$2:$A$25,0))</f>
        <v>amer_west</v>
      </c>
      <c r="W918" s="0" t="str">
        <f>INDEX('Account executives'!$C$2:$C$25,MATCH(C918,'Account executives'!$A$2:$A$25,0))</f>
        <v>smb</v>
      </c>
      <c r="X918" s="0" t="str">
        <f>SUBSTITUTE(LOWER(INDEX('Periods'!$G$2:$G$22,MATCH(N918,'Periods'!$A$2:$A$22,0)))," ","_")</f>
        <v>q3_2025</v>
      </c>
    </row>
    <row r="919">
      <c r="A919" s="0" t="inlineStr">
        <is>
          <t xml:space="preserve">o0918</t>
        </is>
      </c>
      <c r="B919" s="0" t="inlineStr">
        <is>
          <t xml:space="preserve">a0524</t>
        </is>
      </c>
      <c r="C919" s="0" t="inlineStr">
        <is>
          <t xml:space="preserve">r24</t>
        </is>
      </c>
      <c r="D919" s="0" t="inlineStr">
        <is>
          <t xml:space="preserve">s_apac_in</t>
        </is>
      </c>
      <c r="E919" s="0" t="inlineStr">
        <is>
          <t xml:space="preserve">inbound</t>
        </is>
      </c>
      <c r="F919" s="0" t="inlineStr">
        <is>
          <t xml:space="preserve">closed_lost</t>
        </is>
      </c>
      <c r="G919" s="4">
        <v>0</v>
      </c>
      <c r="H919" s="4">
        <v>9700</v>
      </c>
      <c r="I919" s="4">
        <v>1</v>
      </c>
      <c r="J919" s="4">
        <v>1</v>
      </c>
      <c r="K919" s="16">
        <v>46186</v>
      </c>
      <c r="L919" s="16">
        <v>46212</v>
      </c>
      <c r="M919" s="0" t="inlineStr">
        <is>
          <t xml:space="preserve">jun26</t>
        </is>
      </c>
      <c r="N919" s="0" t="inlineStr">
        <is>
          <t xml:space="preserve">jul26</t>
        </is>
      </c>
      <c r="O919" s="4">
        <v>26</v>
      </c>
      <c r="P919" s="4">
        <v>0</v>
      </c>
      <c r="Q919" s="4">
        <v>1</v>
      </c>
      <c r="R919" s="4">
        <v>0</v>
      </c>
      <c r="S919" s="4">
        <f>(H919*INDEX('Stages'!$D$2:$D$7,MATCH(F919,'Stages'!$A$2:$A$7,0)))</f>
        <v>0</v>
      </c>
      <c r="T919" s="4">
        <f>(H919*I919)</f>
        <v>9700</v>
      </c>
      <c r="U919" s="4">
        <f>(H919*(I919-1))</f>
        <v>0</v>
      </c>
      <c r="V919" s="0" t="str">
        <f>INDEX('Account executives'!$B$2:$B$25,MATCH(C919,'Account executives'!$A$2:$A$25,0))</f>
        <v>apac</v>
      </c>
      <c r="W919" s="0" t="str">
        <f>INDEX('Account executives'!$C$2:$C$25,MATCH(C919,'Account executives'!$A$2:$A$25,0))</f>
        <v>smb</v>
      </c>
      <c r="X919" s="0" t="str">
        <f>SUBSTITUTE(LOWER(INDEX('Periods'!$G$2:$G$22,MATCH(N919,'Periods'!$A$2:$A$22,0)))," ","_")</f>
        <v>q3_2026</v>
      </c>
    </row>
    <row r="920">
      <c r="A920" s="0" t="inlineStr">
        <is>
          <t xml:space="preserve">o0919</t>
        </is>
      </c>
      <c r="B920" s="0" t="inlineStr">
        <is>
          <t xml:space="preserve">a0278</t>
        </is>
      </c>
      <c r="C920" s="0" t="inlineStr">
        <is>
          <t xml:space="preserve">r18</t>
        </is>
      </c>
      <c r="D920" s="0" t="inlineStr">
        <is>
          <t xml:space="preserve">s_emea_in</t>
        </is>
      </c>
      <c r="E920" s="0" t="inlineStr">
        <is>
          <t xml:space="preserve">inbound</t>
        </is>
      </c>
      <c r="F920" s="0" t="inlineStr">
        <is>
          <t xml:space="preserve">closed_lost</t>
        </is>
      </c>
      <c r="G920" s="4">
        <v>0</v>
      </c>
      <c r="H920" s="4">
        <v>3000</v>
      </c>
      <c r="I920" s="4">
        <v>1</v>
      </c>
      <c r="J920" s="4">
        <v>0</v>
      </c>
      <c r="K920" s="16">
        <v>46034</v>
      </c>
      <c r="L920" s="16">
        <v>46065</v>
      </c>
      <c r="M920" s="0" t="inlineStr">
        <is>
          <t xml:space="preserve">jan26</t>
        </is>
      </c>
      <c r="N920" s="0" t="inlineStr">
        <is>
          <t xml:space="preserve">feb26</t>
        </is>
      </c>
      <c r="O920" s="4">
        <v>31</v>
      </c>
      <c r="P920" s="4">
        <v>0</v>
      </c>
      <c r="Q920" s="4">
        <v>1</v>
      </c>
      <c r="R920" s="4">
        <v>0</v>
      </c>
      <c r="S920" s="4">
        <f>(H920*INDEX('Stages'!$D$2:$D$7,MATCH(F920,'Stages'!$A$2:$A$7,0)))</f>
        <v>0</v>
      </c>
      <c r="T920" s="4">
        <f>(H920*I920)</f>
        <v>3000</v>
      </c>
      <c r="U920" s="4">
        <f>(H920*(I920-1))</f>
        <v>0</v>
      </c>
      <c r="V920" s="0" t="str">
        <f>INDEX('Account executives'!$B$2:$B$25,MATCH(C920,'Account executives'!$A$2:$A$25,0))</f>
        <v>emea</v>
      </c>
      <c r="W920" s="0" t="str">
        <f>INDEX('Account executives'!$C$2:$C$25,MATCH(C920,'Account executives'!$A$2:$A$25,0))</f>
        <v>smb</v>
      </c>
      <c r="X920" s="0" t="str">
        <f>SUBSTITUTE(LOWER(INDEX('Periods'!$G$2:$G$22,MATCH(N920,'Periods'!$A$2:$A$22,0)))," ","_")</f>
        <v>q1_2026</v>
      </c>
    </row>
    <row r="921">
      <c r="A921" s="0" t="inlineStr">
        <is>
          <t xml:space="preserve">o0920</t>
        </is>
      </c>
      <c r="B921" s="0" t="inlineStr">
        <is>
          <t xml:space="preserve">a0582</t>
        </is>
      </c>
      <c r="C921" s="0" t="inlineStr">
        <is>
          <t xml:space="preserve">r15</t>
        </is>
      </c>
      <c r="D921" s="0" t="inlineStr">
        <is>
          <t xml:space="preserve">s_emea_in</t>
        </is>
      </c>
      <c r="E921" s="0" t="inlineStr">
        <is>
          <t xml:space="preserve">inbound</t>
        </is>
      </c>
      <c r="F921" s="0" t="inlineStr">
        <is>
          <t xml:space="preserve">closed_won</t>
        </is>
      </c>
      <c r="G921" s="4">
        <v>1</v>
      </c>
      <c r="H921" s="4">
        <v>44700</v>
      </c>
      <c r="I921" s="4">
        <v>1</v>
      </c>
      <c r="J921" s="4">
        <v>0</v>
      </c>
      <c r="K921" s="16">
        <v>45993</v>
      </c>
      <c r="L921" s="16">
        <v>46022</v>
      </c>
      <c r="M921" s="0" t="inlineStr">
        <is>
          <t xml:space="preserve">dec25</t>
        </is>
      </c>
      <c r="N921" s="0" t="inlineStr">
        <is>
          <t xml:space="preserve">dec25</t>
        </is>
      </c>
      <c r="O921" s="4">
        <v>29</v>
      </c>
      <c r="P921" s="4">
        <v>1</v>
      </c>
      <c r="Q921" s="4">
        <v>0</v>
      </c>
      <c r="R921" s="4">
        <v>0</v>
      </c>
      <c r="S921" s="4">
        <f>(H921*INDEX('Stages'!$D$2:$D$7,MATCH(F921,'Stages'!$A$2:$A$7,0)))</f>
        <v>44700</v>
      </c>
      <c r="T921" s="4">
        <f>(H921*I921)</f>
        <v>44700</v>
      </c>
      <c r="U921" s="4">
        <f>(H921*(I921-1))</f>
        <v>0</v>
      </c>
      <c r="V921" s="0" t="str">
        <f>INDEX('Account executives'!$B$2:$B$25,MATCH(C921,'Account executives'!$A$2:$A$25,0))</f>
        <v>emea</v>
      </c>
      <c r="W921" s="0" t="str">
        <f>INDEX('Account executives'!$C$2:$C$25,MATCH(C921,'Account executives'!$A$2:$A$25,0))</f>
        <v>mid_market</v>
      </c>
      <c r="X921" s="0" t="str">
        <f>SUBSTITUTE(LOWER(INDEX('Periods'!$G$2:$G$22,MATCH(N921,'Periods'!$A$2:$A$22,0)))," ","_")</f>
        <v>q4_2025</v>
      </c>
    </row>
    <row r="922">
      <c r="A922" s="0" t="inlineStr">
        <is>
          <t xml:space="preserve">o0921</t>
        </is>
      </c>
      <c r="B922" s="0" t="inlineStr">
        <is>
          <t xml:space="preserve">a0430</t>
        </is>
      </c>
      <c r="C922" s="0" t="inlineStr">
        <is>
          <t xml:space="preserve">r09</t>
        </is>
      </c>
      <c r="D922" s="0" t="inlineStr">
        <is>
          <t xml:space="preserve">s_amer_west_in</t>
        </is>
      </c>
      <c r="E922" s="0" t="inlineStr">
        <is>
          <t xml:space="preserve">inbound</t>
        </is>
      </c>
      <c r="F922" s="0" t="inlineStr">
        <is>
          <t xml:space="preserve">closed_lost</t>
        </is>
      </c>
      <c r="G922" s="4">
        <v>1</v>
      </c>
      <c r="H922" s="4">
        <v>23000</v>
      </c>
      <c r="I922" s="4">
        <v>2</v>
      </c>
      <c r="J922" s="4">
        <v>1</v>
      </c>
      <c r="K922" s="16">
        <v>45935</v>
      </c>
      <c r="L922" s="16">
        <v>46019</v>
      </c>
      <c r="M922" s="0" t="inlineStr">
        <is>
          <t xml:space="preserve">oct25</t>
        </is>
      </c>
      <c r="N922" s="0" t="inlineStr">
        <is>
          <t xml:space="preserve">dec25</t>
        </is>
      </c>
      <c r="O922" s="4">
        <v>84</v>
      </c>
      <c r="P922" s="4">
        <v>0</v>
      </c>
      <c r="Q922" s="4">
        <v>1</v>
      </c>
      <c r="R922" s="4">
        <v>0</v>
      </c>
      <c r="S922" s="4">
        <f>(H922*INDEX('Stages'!$D$2:$D$7,MATCH(F922,'Stages'!$A$2:$A$7,0)))</f>
        <v>0</v>
      </c>
      <c r="T922" s="4">
        <f>(H922*I922)</f>
        <v>46000</v>
      </c>
      <c r="U922" s="4">
        <f>(H922*(I922-1))</f>
        <v>23000</v>
      </c>
      <c r="V922" s="0" t="str">
        <f>INDEX('Account executives'!$B$2:$B$25,MATCH(C922,'Account executives'!$A$2:$A$25,0))</f>
        <v>amer_west</v>
      </c>
      <c r="W922" s="0" t="str">
        <f>INDEX('Account executives'!$C$2:$C$25,MATCH(C922,'Account executives'!$A$2:$A$25,0))</f>
        <v>mid_market</v>
      </c>
      <c r="X922" s="0" t="str">
        <f>SUBSTITUTE(LOWER(INDEX('Periods'!$G$2:$G$22,MATCH(N922,'Periods'!$A$2:$A$22,0)))," ","_")</f>
        <v>q4_2025</v>
      </c>
    </row>
    <row r="923">
      <c r="A923" s="0" t="inlineStr">
        <is>
          <t xml:space="preserve">o0922</t>
        </is>
      </c>
      <c r="B923" s="0" t="inlineStr">
        <is>
          <t xml:space="preserve">a0685</t>
        </is>
      </c>
      <c r="C923" s="0" t="inlineStr">
        <is>
          <t xml:space="preserve">r10</t>
        </is>
      </c>
      <c r="D923" s="0"/>
      <c r="E923" s="0" t="inlineStr">
        <is>
          <t xml:space="preserve">partner</t>
        </is>
      </c>
      <c r="F923" s="0" t="inlineStr">
        <is>
          <t xml:space="preserve">closed_lost</t>
        </is>
      </c>
      <c r="G923" s="4">
        <v>1</v>
      </c>
      <c r="H923" s="4">
        <v>80400</v>
      </c>
      <c r="I923" s="4">
        <v>2</v>
      </c>
      <c r="J923" s="4">
        <v>0</v>
      </c>
      <c r="K923" s="16">
        <v>46072</v>
      </c>
      <c r="L923" s="16">
        <v>46109</v>
      </c>
      <c r="M923" s="0" t="inlineStr">
        <is>
          <t xml:space="preserve">feb26</t>
        </is>
      </c>
      <c r="N923" s="0" t="inlineStr">
        <is>
          <t xml:space="preserve">mar26</t>
        </is>
      </c>
      <c r="O923" s="4">
        <v>37</v>
      </c>
      <c r="P923" s="4">
        <v>0</v>
      </c>
      <c r="Q923" s="4">
        <v>1</v>
      </c>
      <c r="R923" s="4">
        <v>0</v>
      </c>
      <c r="S923" s="4">
        <f>(H923*INDEX('Stages'!$D$2:$D$7,MATCH(F923,'Stages'!$A$2:$A$7,0)))</f>
        <v>0</v>
      </c>
      <c r="T923" s="4">
        <f>(H923*I923)</f>
        <v>160800</v>
      </c>
      <c r="U923" s="4">
        <f>(H923*(I923-1))</f>
        <v>80400</v>
      </c>
      <c r="V923" s="0" t="str">
        <f>INDEX('Account executives'!$B$2:$B$25,MATCH(C923,'Account executives'!$A$2:$A$25,0))</f>
        <v>amer_west</v>
      </c>
      <c r="W923" s="0" t="str">
        <f>INDEX('Account executives'!$C$2:$C$25,MATCH(C923,'Account executives'!$A$2:$A$25,0))</f>
        <v>mid_market</v>
      </c>
      <c r="X923" s="0" t="str">
        <f>SUBSTITUTE(LOWER(INDEX('Periods'!$G$2:$G$22,MATCH(N923,'Periods'!$A$2:$A$22,0)))," ","_")</f>
        <v>q1_2026</v>
      </c>
    </row>
    <row r="924">
      <c r="A924" s="0" t="inlineStr">
        <is>
          <t xml:space="preserve">o0923</t>
        </is>
      </c>
      <c r="B924" s="0" t="inlineStr">
        <is>
          <t xml:space="preserve">a0318</t>
        </is>
      </c>
      <c r="C924" s="0" t="inlineStr">
        <is>
          <t xml:space="preserve">r04</t>
        </is>
      </c>
      <c r="D924" s="0"/>
      <c r="E924" s="0" t="inlineStr">
        <is>
          <t xml:space="preserve">events</t>
        </is>
      </c>
      <c r="F924" s="0" t="inlineStr">
        <is>
          <t xml:space="preserve">closed_lost</t>
        </is>
      </c>
      <c r="G924" s="4">
        <v>1</v>
      </c>
      <c r="H924" s="4">
        <v>46600</v>
      </c>
      <c r="I924" s="4">
        <v>1</v>
      </c>
      <c r="J924" s="4">
        <v>0</v>
      </c>
      <c r="K924" s="16">
        <v>45878</v>
      </c>
      <c r="L924" s="16">
        <v>45907</v>
      </c>
      <c r="M924" s="0" t="inlineStr">
        <is>
          <t xml:space="preserve">aug25</t>
        </is>
      </c>
      <c r="N924" s="0" t="inlineStr">
        <is>
          <t xml:space="preserve">sep25</t>
        </is>
      </c>
      <c r="O924" s="4">
        <v>29</v>
      </c>
      <c r="P924" s="4">
        <v>0</v>
      </c>
      <c r="Q924" s="4">
        <v>1</v>
      </c>
      <c r="R924" s="4">
        <v>0</v>
      </c>
      <c r="S924" s="4">
        <f>(H924*INDEX('Stages'!$D$2:$D$7,MATCH(F924,'Stages'!$A$2:$A$7,0)))</f>
        <v>0</v>
      </c>
      <c r="T924" s="4">
        <f>(H924*I924)</f>
        <v>46600</v>
      </c>
      <c r="U924" s="4">
        <f>(H924*(I924-1))</f>
        <v>0</v>
      </c>
      <c r="V924" s="0" t="str">
        <f>INDEX('Account executives'!$B$2:$B$25,MATCH(C924,'Account executives'!$A$2:$A$25,0))</f>
        <v>amer_east</v>
      </c>
      <c r="W924" s="0" t="str">
        <f>INDEX('Account executives'!$C$2:$C$25,MATCH(C924,'Account executives'!$A$2:$A$25,0))</f>
        <v>mid_market</v>
      </c>
      <c r="X924" s="0" t="str">
        <f>SUBSTITUTE(LOWER(INDEX('Periods'!$G$2:$G$22,MATCH(N924,'Periods'!$A$2:$A$22,0)))," ","_")</f>
        <v>q3_2025</v>
      </c>
    </row>
    <row r="925">
      <c r="A925" s="0" t="inlineStr">
        <is>
          <t xml:space="preserve">o0924</t>
        </is>
      </c>
      <c r="B925" s="0" t="inlineStr">
        <is>
          <t xml:space="preserve">a0506</t>
        </is>
      </c>
      <c r="C925" s="0" t="inlineStr">
        <is>
          <t xml:space="preserve">r09</t>
        </is>
      </c>
      <c r="D925" s="0" t="inlineStr">
        <is>
          <t xml:space="preserve">s_amer_west_out</t>
        </is>
      </c>
      <c r="E925" s="0" t="inlineStr">
        <is>
          <t xml:space="preserve">outbound</t>
        </is>
      </c>
      <c r="F925" s="0" t="inlineStr">
        <is>
          <t xml:space="preserve">closed_lost</t>
        </is>
      </c>
      <c r="G925" s="4">
        <v>1</v>
      </c>
      <c r="H925" s="4">
        <v>108300</v>
      </c>
      <c r="I925" s="4">
        <v>1</v>
      </c>
      <c r="J925" s="4">
        <v>1</v>
      </c>
      <c r="K925" s="16">
        <v>45968</v>
      </c>
      <c r="L925" s="16">
        <v>46043</v>
      </c>
      <c r="M925" s="0" t="inlineStr">
        <is>
          <t xml:space="preserve">nov25</t>
        </is>
      </c>
      <c r="N925" s="0" t="inlineStr">
        <is>
          <t xml:space="preserve">jan26</t>
        </is>
      </c>
      <c r="O925" s="4">
        <v>75</v>
      </c>
      <c r="P925" s="4">
        <v>0</v>
      </c>
      <c r="Q925" s="4">
        <v>1</v>
      </c>
      <c r="R925" s="4">
        <v>0</v>
      </c>
      <c r="S925" s="4">
        <f>(H925*INDEX('Stages'!$D$2:$D$7,MATCH(F925,'Stages'!$A$2:$A$7,0)))</f>
        <v>0</v>
      </c>
      <c r="T925" s="4">
        <f>(H925*I925)</f>
        <v>108300</v>
      </c>
      <c r="U925" s="4">
        <f>(H925*(I925-1))</f>
        <v>0</v>
      </c>
      <c r="V925" s="0" t="str">
        <f>INDEX('Account executives'!$B$2:$B$25,MATCH(C925,'Account executives'!$A$2:$A$25,0))</f>
        <v>amer_west</v>
      </c>
      <c r="W925" s="0" t="str">
        <f>INDEX('Account executives'!$C$2:$C$25,MATCH(C925,'Account executives'!$A$2:$A$25,0))</f>
        <v>mid_market</v>
      </c>
      <c r="X925" s="0" t="str">
        <f>SUBSTITUTE(LOWER(INDEX('Periods'!$G$2:$G$22,MATCH(N925,'Periods'!$A$2:$A$22,0)))," ","_")</f>
        <v>q1_2026</v>
      </c>
    </row>
    <row r="926">
      <c r="A926" s="0" t="inlineStr">
        <is>
          <t xml:space="preserve">o0925</t>
        </is>
      </c>
      <c r="B926" s="0" t="inlineStr">
        <is>
          <t xml:space="preserve">a0357</t>
        </is>
      </c>
      <c r="C926" s="0" t="inlineStr">
        <is>
          <t xml:space="preserve">r24</t>
        </is>
      </c>
      <c r="D926" s="0"/>
      <c r="E926" s="0" t="inlineStr">
        <is>
          <t xml:space="preserve">partner</t>
        </is>
      </c>
      <c r="F926" s="0" t="inlineStr">
        <is>
          <t xml:space="preserve">closed_lost</t>
        </is>
      </c>
      <c r="G926" s="4">
        <v>0</v>
      </c>
      <c r="H926" s="4">
        <v>7400</v>
      </c>
      <c r="I926" s="4">
        <v>1</v>
      </c>
      <c r="J926" s="4">
        <v>1</v>
      </c>
      <c r="K926" s="16">
        <v>46069</v>
      </c>
      <c r="L926" s="16">
        <v>46092</v>
      </c>
      <c r="M926" s="0" t="inlineStr">
        <is>
          <t xml:space="preserve">feb26</t>
        </is>
      </c>
      <c r="N926" s="0" t="inlineStr">
        <is>
          <t xml:space="preserve">mar26</t>
        </is>
      </c>
      <c r="O926" s="4">
        <v>23</v>
      </c>
      <c r="P926" s="4">
        <v>0</v>
      </c>
      <c r="Q926" s="4">
        <v>1</v>
      </c>
      <c r="R926" s="4">
        <v>0</v>
      </c>
      <c r="S926" s="4">
        <f>(H926*INDEX('Stages'!$D$2:$D$7,MATCH(F926,'Stages'!$A$2:$A$7,0)))</f>
        <v>0</v>
      </c>
      <c r="T926" s="4">
        <f>(H926*I926)</f>
        <v>7400</v>
      </c>
      <c r="U926" s="4">
        <f>(H926*(I926-1))</f>
        <v>0</v>
      </c>
      <c r="V926" s="0" t="str">
        <f>INDEX('Account executives'!$B$2:$B$25,MATCH(C926,'Account executives'!$A$2:$A$25,0))</f>
        <v>apac</v>
      </c>
      <c r="W926" s="0" t="str">
        <f>INDEX('Account executives'!$C$2:$C$25,MATCH(C926,'Account executives'!$A$2:$A$25,0))</f>
        <v>smb</v>
      </c>
      <c r="X926" s="0" t="str">
        <f>SUBSTITUTE(LOWER(INDEX('Periods'!$G$2:$G$22,MATCH(N926,'Periods'!$A$2:$A$22,0)))," ","_")</f>
        <v>q1_2026</v>
      </c>
    </row>
    <row r="927">
      <c r="A927" s="0" t="inlineStr">
        <is>
          <t xml:space="preserve">o0926</t>
        </is>
      </c>
      <c r="B927" s="0" t="inlineStr">
        <is>
          <t xml:space="preserve">a0260</t>
        </is>
      </c>
      <c r="C927" s="0" t="inlineStr">
        <is>
          <t xml:space="preserve">r12</t>
        </is>
      </c>
      <c r="D927" s="0" t="inlineStr">
        <is>
          <t xml:space="preserve">s_amer_west_in</t>
        </is>
      </c>
      <c r="E927" s="0" t="inlineStr">
        <is>
          <t xml:space="preserve">paid</t>
        </is>
      </c>
      <c r="F927" s="0" t="inlineStr">
        <is>
          <t xml:space="preserve">closed_won</t>
        </is>
      </c>
      <c r="G927" s="4">
        <v>0</v>
      </c>
      <c r="H927" s="4">
        <v>5100</v>
      </c>
      <c r="I927" s="4">
        <v>1</v>
      </c>
      <c r="J927" s="4">
        <v>0</v>
      </c>
      <c r="K927" s="16">
        <v>45936</v>
      </c>
      <c r="L927" s="16">
        <v>45977</v>
      </c>
      <c r="M927" s="0" t="inlineStr">
        <is>
          <t xml:space="preserve">oct25</t>
        </is>
      </c>
      <c r="N927" s="0" t="inlineStr">
        <is>
          <t xml:space="preserve">nov25</t>
        </is>
      </c>
      <c r="O927" s="4">
        <v>41</v>
      </c>
      <c r="P927" s="4">
        <v>1</v>
      </c>
      <c r="Q927" s="4">
        <v>0</v>
      </c>
      <c r="R927" s="4">
        <v>0</v>
      </c>
      <c r="S927" s="4">
        <f>(H927*INDEX('Stages'!$D$2:$D$7,MATCH(F927,'Stages'!$A$2:$A$7,0)))</f>
        <v>5100</v>
      </c>
      <c r="T927" s="4">
        <f>(H927*I927)</f>
        <v>5100</v>
      </c>
      <c r="U927" s="4">
        <f>(H927*(I927-1))</f>
        <v>0</v>
      </c>
      <c r="V927" s="0" t="str">
        <f>INDEX('Account executives'!$B$2:$B$25,MATCH(C927,'Account executives'!$A$2:$A$25,0))</f>
        <v>amer_west</v>
      </c>
      <c r="W927" s="0" t="str">
        <f>INDEX('Account executives'!$C$2:$C$25,MATCH(C927,'Account executives'!$A$2:$A$25,0))</f>
        <v>smb</v>
      </c>
      <c r="X927" s="0" t="str">
        <f>SUBSTITUTE(LOWER(INDEX('Periods'!$G$2:$G$22,MATCH(N927,'Periods'!$A$2:$A$22,0)))," ","_")</f>
        <v>q4_2025</v>
      </c>
    </row>
    <row r="928">
      <c r="A928" s="0" t="inlineStr">
        <is>
          <t xml:space="preserve">o0927</t>
        </is>
      </c>
      <c r="B928" s="0" t="inlineStr">
        <is>
          <t xml:space="preserve">a0777</t>
        </is>
      </c>
      <c r="C928" s="0" t="inlineStr">
        <is>
          <t xml:space="preserve">r17</t>
        </is>
      </c>
      <c r="D928" s="0" t="inlineStr">
        <is>
          <t xml:space="preserve">s_emea_in</t>
        </is>
      </c>
      <c r="E928" s="0" t="inlineStr">
        <is>
          <t xml:space="preserve">inbound</t>
        </is>
      </c>
      <c r="F928" s="0" t="inlineStr">
        <is>
          <t xml:space="preserve">closed_won</t>
        </is>
      </c>
      <c r="G928" s="4">
        <v>1</v>
      </c>
      <c r="H928" s="4">
        <v>13300</v>
      </c>
      <c r="I928" s="4">
        <v>1</v>
      </c>
      <c r="J928" s="4">
        <v>0</v>
      </c>
      <c r="K928" s="16">
        <v>46088</v>
      </c>
      <c r="L928" s="16">
        <v>46107</v>
      </c>
      <c r="M928" s="0" t="inlineStr">
        <is>
          <t xml:space="preserve">mar26</t>
        </is>
      </c>
      <c r="N928" s="0" t="inlineStr">
        <is>
          <t xml:space="preserve">mar26</t>
        </is>
      </c>
      <c r="O928" s="4">
        <v>19</v>
      </c>
      <c r="P928" s="4">
        <v>1</v>
      </c>
      <c r="Q928" s="4">
        <v>0</v>
      </c>
      <c r="R928" s="4">
        <v>0</v>
      </c>
      <c r="S928" s="4">
        <f>(H928*INDEX('Stages'!$D$2:$D$7,MATCH(F928,'Stages'!$A$2:$A$7,0)))</f>
        <v>13300</v>
      </c>
      <c r="T928" s="4">
        <f>(H928*I928)</f>
        <v>13300</v>
      </c>
      <c r="U928" s="4">
        <f>(H928*(I928-1))</f>
        <v>0</v>
      </c>
      <c r="V928" s="0" t="str">
        <f>INDEX('Account executives'!$B$2:$B$25,MATCH(C928,'Account executives'!$A$2:$A$25,0))</f>
        <v>emea</v>
      </c>
      <c r="W928" s="0" t="str">
        <f>INDEX('Account executives'!$C$2:$C$25,MATCH(C928,'Account executives'!$A$2:$A$25,0))</f>
        <v>smb</v>
      </c>
      <c r="X928" s="0" t="str">
        <f>SUBSTITUTE(LOWER(INDEX('Periods'!$G$2:$G$22,MATCH(N928,'Periods'!$A$2:$A$22,0)))," ","_")</f>
        <v>q1_2026</v>
      </c>
    </row>
    <row r="929">
      <c r="A929" s="0" t="inlineStr">
        <is>
          <t xml:space="preserve">o0928</t>
        </is>
      </c>
      <c r="B929" s="0" t="inlineStr">
        <is>
          <t xml:space="preserve">a0847</t>
        </is>
      </c>
      <c r="C929" s="0" t="inlineStr">
        <is>
          <t xml:space="preserve">r10</t>
        </is>
      </c>
      <c r="D929" s="0" t="inlineStr">
        <is>
          <t xml:space="preserve">s_amer_west_in</t>
        </is>
      </c>
      <c r="E929" s="0" t="inlineStr">
        <is>
          <t xml:space="preserve">inbound</t>
        </is>
      </c>
      <c r="F929" s="0" t="inlineStr">
        <is>
          <t xml:space="preserve">closed_won</t>
        </is>
      </c>
      <c r="G929" s="4">
        <v>0</v>
      </c>
      <c r="H929" s="4">
        <v>10700</v>
      </c>
      <c r="I929" s="4">
        <v>2</v>
      </c>
      <c r="J929" s="4">
        <v>1</v>
      </c>
      <c r="K929" s="16">
        <v>46188</v>
      </c>
      <c r="L929" s="16">
        <v>46240</v>
      </c>
      <c r="M929" s="0" t="inlineStr">
        <is>
          <t xml:space="preserve">jun26</t>
        </is>
      </c>
      <c r="N929" s="0" t="inlineStr">
        <is>
          <t xml:space="preserve">aug26</t>
        </is>
      </c>
      <c r="O929" s="4">
        <v>52</v>
      </c>
      <c r="P929" s="4">
        <v>1</v>
      </c>
      <c r="Q929" s="4">
        <v>0</v>
      </c>
      <c r="R929" s="4">
        <v>0</v>
      </c>
      <c r="S929" s="4">
        <f>(H929*INDEX('Stages'!$D$2:$D$7,MATCH(F929,'Stages'!$A$2:$A$7,0)))</f>
        <v>10700</v>
      </c>
      <c r="T929" s="4">
        <f>(H929*I929)</f>
        <v>21400</v>
      </c>
      <c r="U929" s="4">
        <f>(H929*(I929-1))</f>
        <v>10700</v>
      </c>
      <c r="V929" s="0" t="str">
        <f>INDEX('Account executives'!$B$2:$B$25,MATCH(C929,'Account executives'!$A$2:$A$25,0))</f>
        <v>amer_west</v>
      </c>
      <c r="W929" s="0" t="str">
        <f>INDEX('Account executives'!$C$2:$C$25,MATCH(C929,'Account executives'!$A$2:$A$25,0))</f>
        <v>mid_market</v>
      </c>
      <c r="X929" s="0" t="str">
        <f>SUBSTITUTE(LOWER(INDEX('Periods'!$G$2:$G$22,MATCH(N929,'Periods'!$A$2:$A$22,0)))," ","_")</f>
        <v>q3_2026</v>
      </c>
    </row>
    <row r="930">
      <c r="A930" s="0" t="inlineStr">
        <is>
          <t xml:space="preserve">o0929</t>
        </is>
      </c>
      <c r="B930" s="0" t="inlineStr">
        <is>
          <t xml:space="preserve">a0428</t>
        </is>
      </c>
      <c r="C930" s="0" t="inlineStr">
        <is>
          <t xml:space="preserve">r12</t>
        </is>
      </c>
      <c r="D930" s="0" t="inlineStr">
        <is>
          <t xml:space="preserve">s_amer_west_in</t>
        </is>
      </c>
      <c r="E930" s="0" t="inlineStr">
        <is>
          <t xml:space="preserve">inbound</t>
        </is>
      </c>
      <c r="F930" s="0" t="inlineStr">
        <is>
          <t xml:space="preserve">closed_won</t>
        </is>
      </c>
      <c r="G930" s="4">
        <v>1</v>
      </c>
      <c r="H930" s="4">
        <v>6900</v>
      </c>
      <c r="I930" s="4">
        <v>1</v>
      </c>
      <c r="J930" s="4">
        <v>0</v>
      </c>
      <c r="K930" s="16">
        <v>45943</v>
      </c>
      <c r="L930" s="16">
        <v>46019</v>
      </c>
      <c r="M930" s="0" t="inlineStr">
        <is>
          <t xml:space="preserve">oct25</t>
        </is>
      </c>
      <c r="N930" s="0" t="inlineStr">
        <is>
          <t xml:space="preserve">dec25</t>
        </is>
      </c>
      <c r="O930" s="4">
        <v>76</v>
      </c>
      <c r="P930" s="4">
        <v>1</v>
      </c>
      <c r="Q930" s="4">
        <v>0</v>
      </c>
      <c r="R930" s="4">
        <v>0</v>
      </c>
      <c r="S930" s="4">
        <f>(H930*INDEX('Stages'!$D$2:$D$7,MATCH(F930,'Stages'!$A$2:$A$7,0)))</f>
        <v>6900</v>
      </c>
      <c r="T930" s="4">
        <f>(H930*I930)</f>
        <v>6900</v>
      </c>
      <c r="U930" s="4">
        <f>(H930*(I930-1))</f>
        <v>0</v>
      </c>
      <c r="V930" s="0" t="str">
        <f>INDEX('Account executives'!$B$2:$B$25,MATCH(C930,'Account executives'!$A$2:$A$25,0))</f>
        <v>amer_west</v>
      </c>
      <c r="W930" s="0" t="str">
        <f>INDEX('Account executives'!$C$2:$C$25,MATCH(C930,'Account executives'!$A$2:$A$25,0))</f>
        <v>smb</v>
      </c>
      <c r="X930" s="0" t="str">
        <f>SUBSTITUTE(LOWER(INDEX('Periods'!$G$2:$G$22,MATCH(N930,'Periods'!$A$2:$A$22,0)))," ","_")</f>
        <v>q4_2025</v>
      </c>
    </row>
    <row r="931">
      <c r="A931" s="0" t="inlineStr">
        <is>
          <t xml:space="preserve">o0930</t>
        </is>
      </c>
      <c r="B931" s="0" t="inlineStr">
        <is>
          <t xml:space="preserve">a0964</t>
        </is>
      </c>
      <c r="C931" s="0" t="inlineStr">
        <is>
          <t xml:space="preserve">r06</t>
        </is>
      </c>
      <c r="D931" s="0" t="inlineStr">
        <is>
          <t xml:space="preserve">s_amer_east_in</t>
        </is>
      </c>
      <c r="E931" s="0" t="inlineStr">
        <is>
          <t xml:space="preserve">paid</t>
        </is>
      </c>
      <c r="F931" s="0" t="inlineStr">
        <is>
          <t xml:space="preserve">proposal</t>
        </is>
      </c>
      <c r="G931" s="4">
        <v>1</v>
      </c>
      <c r="H931" s="4">
        <v>9900</v>
      </c>
      <c r="I931" s="4">
        <v>1</v>
      </c>
      <c r="J931" s="4">
        <v>0</v>
      </c>
      <c r="K931" s="16">
        <v>46190</v>
      </c>
      <c r="L931" s="16">
        <v>46327</v>
      </c>
      <c r="M931" s="0" t="inlineStr">
        <is>
          <t xml:space="preserve">jun26</t>
        </is>
      </c>
      <c r="N931" s="0" t="inlineStr">
        <is>
          <t xml:space="preserve">nov26</t>
        </is>
      </c>
      <c r="O931" s="4">
        <v>103</v>
      </c>
      <c r="P931" s="4">
        <v>0</v>
      </c>
      <c r="Q931" s="4">
        <v>0</v>
      </c>
      <c r="R931" s="4">
        <v>1</v>
      </c>
      <c r="S931" s="4">
        <f>(H931*INDEX('Stages'!$D$2:$D$7,MATCH(F931,'Stages'!$A$2:$A$7,0)))</f>
        <v>4950</v>
      </c>
      <c r="T931" s="4">
        <f>(H931*I931)</f>
        <v>9900</v>
      </c>
      <c r="U931" s="4">
        <f>(H931*(I931-1))</f>
        <v>0</v>
      </c>
      <c r="V931" s="0" t="str">
        <f>INDEX('Account executives'!$B$2:$B$25,MATCH(C931,'Account executives'!$A$2:$A$25,0))</f>
        <v>amer_east</v>
      </c>
      <c r="W931" s="0" t="str">
        <f>INDEX('Account executives'!$C$2:$C$25,MATCH(C931,'Account executives'!$A$2:$A$25,0))</f>
        <v>smb</v>
      </c>
      <c r="X931" s="0" t="str">
        <f>SUBSTITUTE(LOWER(INDEX('Periods'!$G$2:$G$22,MATCH(N931,'Periods'!$A$2:$A$22,0)))," ","_")</f>
        <v>q4_2026</v>
      </c>
    </row>
    <row r="932">
      <c r="A932" s="0" t="inlineStr">
        <is>
          <t xml:space="preserve">o0931</t>
        </is>
      </c>
      <c r="B932" s="0" t="inlineStr">
        <is>
          <t xml:space="preserve">a0144</t>
        </is>
      </c>
      <c r="C932" s="0" t="inlineStr">
        <is>
          <t xml:space="preserve">r20</t>
        </is>
      </c>
      <c r="D932" s="0" t="inlineStr">
        <is>
          <t xml:space="preserve">s_apac_in</t>
        </is>
      </c>
      <c r="E932" s="0" t="inlineStr">
        <is>
          <t xml:space="preserve">inbound</t>
        </is>
      </c>
      <c r="F932" s="0" t="inlineStr">
        <is>
          <t xml:space="preserve">closed_lost</t>
        </is>
      </c>
      <c r="G932" s="4">
        <v>1</v>
      </c>
      <c r="H932" s="4">
        <v>45900</v>
      </c>
      <c r="I932" s="4">
        <v>1</v>
      </c>
      <c r="J932" s="4">
        <v>0</v>
      </c>
      <c r="K932" s="16">
        <v>45796</v>
      </c>
      <c r="L932" s="16">
        <v>45910</v>
      </c>
      <c r="M932" s="0" t="inlineStr">
        <is>
          <t xml:space="preserve">may25</t>
        </is>
      </c>
      <c r="N932" s="0" t="inlineStr">
        <is>
          <t xml:space="preserve">sep25</t>
        </is>
      </c>
      <c r="O932" s="4">
        <v>114</v>
      </c>
      <c r="P932" s="4">
        <v>0</v>
      </c>
      <c r="Q932" s="4">
        <v>1</v>
      </c>
      <c r="R932" s="4">
        <v>0</v>
      </c>
      <c r="S932" s="4">
        <f>(H932*INDEX('Stages'!$D$2:$D$7,MATCH(F932,'Stages'!$A$2:$A$7,0)))</f>
        <v>0</v>
      </c>
      <c r="T932" s="4">
        <f>(H932*I932)</f>
        <v>45900</v>
      </c>
      <c r="U932" s="4">
        <f>(H932*(I932-1))</f>
        <v>0</v>
      </c>
      <c r="V932" s="0" t="str">
        <f>INDEX('Account executives'!$B$2:$B$25,MATCH(C932,'Account executives'!$A$2:$A$25,0))</f>
        <v>apac</v>
      </c>
      <c r="W932" s="0" t="str">
        <f>INDEX('Account executives'!$C$2:$C$25,MATCH(C932,'Account executives'!$A$2:$A$25,0))</f>
        <v>enterprise</v>
      </c>
      <c r="X932" s="0" t="str">
        <f>SUBSTITUTE(LOWER(INDEX('Periods'!$G$2:$G$22,MATCH(N932,'Periods'!$A$2:$A$22,0)))," ","_")</f>
        <v>q3_2025</v>
      </c>
    </row>
    <row r="933">
      <c r="A933" s="0" t="inlineStr">
        <is>
          <t xml:space="preserve">o0932</t>
        </is>
      </c>
      <c r="B933" s="0" t="inlineStr">
        <is>
          <t xml:space="preserve">a1066</t>
        </is>
      </c>
      <c r="C933" s="0" t="inlineStr">
        <is>
          <t xml:space="preserve">r05</t>
        </is>
      </c>
      <c r="D933" s="0" t="inlineStr">
        <is>
          <t xml:space="preserve">s_amer_east_in</t>
        </is>
      </c>
      <c r="E933" s="0" t="inlineStr">
        <is>
          <t xml:space="preserve">inbound</t>
        </is>
      </c>
      <c r="F933" s="0" t="inlineStr">
        <is>
          <t xml:space="preserve">closed_lost</t>
        </is>
      </c>
      <c r="G933" s="4">
        <v>1</v>
      </c>
      <c r="H933" s="4">
        <v>20500</v>
      </c>
      <c r="I933" s="4">
        <v>1</v>
      </c>
      <c r="J933" s="4">
        <v>1</v>
      </c>
      <c r="K933" s="16">
        <v>46204</v>
      </c>
      <c r="L933" s="16">
        <v>46233</v>
      </c>
      <c r="M933" s="0" t="inlineStr">
        <is>
          <t xml:space="preserve">jul26</t>
        </is>
      </c>
      <c r="N933" s="0" t="inlineStr">
        <is>
          <t xml:space="preserve">jul26</t>
        </is>
      </c>
      <c r="O933" s="4">
        <v>29</v>
      </c>
      <c r="P933" s="4">
        <v>0</v>
      </c>
      <c r="Q933" s="4">
        <v>1</v>
      </c>
      <c r="R933" s="4">
        <v>0</v>
      </c>
      <c r="S933" s="4">
        <f>(H933*INDEX('Stages'!$D$2:$D$7,MATCH(F933,'Stages'!$A$2:$A$7,0)))</f>
        <v>0</v>
      </c>
      <c r="T933" s="4">
        <f>(H933*I933)</f>
        <v>20500</v>
      </c>
      <c r="U933" s="4">
        <f>(H933*(I933-1))</f>
        <v>0</v>
      </c>
      <c r="V933" s="0" t="str">
        <f>INDEX('Account executives'!$B$2:$B$25,MATCH(C933,'Account executives'!$A$2:$A$25,0))</f>
        <v>amer_east</v>
      </c>
      <c r="W933" s="0" t="str">
        <f>INDEX('Account executives'!$C$2:$C$25,MATCH(C933,'Account executives'!$A$2:$A$25,0))</f>
        <v>smb</v>
      </c>
      <c r="X933" s="0" t="str">
        <f>SUBSTITUTE(LOWER(INDEX('Periods'!$G$2:$G$22,MATCH(N933,'Periods'!$A$2:$A$22,0)))," ","_")</f>
        <v>q3_2026</v>
      </c>
    </row>
    <row r="934">
      <c r="A934" s="0" t="inlineStr">
        <is>
          <t xml:space="preserve">o0933</t>
        </is>
      </c>
      <c r="B934" s="0" t="inlineStr">
        <is>
          <t xml:space="preserve">a0423</t>
        </is>
      </c>
      <c r="C934" s="0" t="inlineStr">
        <is>
          <t xml:space="preserve">r05</t>
        </is>
      </c>
      <c r="D934" s="0"/>
      <c r="E934" s="0" t="inlineStr">
        <is>
          <t xml:space="preserve">partner</t>
        </is>
      </c>
      <c r="F934" s="0" t="inlineStr">
        <is>
          <t xml:space="preserve">closed_won</t>
        </is>
      </c>
      <c r="G934" s="4">
        <v>1</v>
      </c>
      <c r="H934" s="4">
        <v>13000</v>
      </c>
      <c r="I934" s="4">
        <v>1</v>
      </c>
      <c r="J934" s="4">
        <v>0</v>
      </c>
      <c r="K934" s="16">
        <v>45955</v>
      </c>
      <c r="L934" s="16">
        <v>45986</v>
      </c>
      <c r="M934" s="0" t="inlineStr">
        <is>
          <t xml:space="preserve">oct25</t>
        </is>
      </c>
      <c r="N934" s="0" t="inlineStr">
        <is>
          <t xml:space="preserve">nov25</t>
        </is>
      </c>
      <c r="O934" s="4">
        <v>31</v>
      </c>
      <c r="P934" s="4">
        <v>1</v>
      </c>
      <c r="Q934" s="4">
        <v>0</v>
      </c>
      <c r="R934" s="4">
        <v>0</v>
      </c>
      <c r="S934" s="4">
        <f>(H934*INDEX('Stages'!$D$2:$D$7,MATCH(F934,'Stages'!$A$2:$A$7,0)))</f>
        <v>13000</v>
      </c>
      <c r="T934" s="4">
        <f>(H934*I934)</f>
        <v>13000</v>
      </c>
      <c r="U934" s="4">
        <f>(H934*(I934-1))</f>
        <v>0</v>
      </c>
      <c r="V934" s="0" t="str">
        <f>INDEX('Account executives'!$B$2:$B$25,MATCH(C934,'Account executives'!$A$2:$A$25,0))</f>
        <v>amer_east</v>
      </c>
      <c r="W934" s="0" t="str">
        <f>INDEX('Account executives'!$C$2:$C$25,MATCH(C934,'Account executives'!$A$2:$A$25,0))</f>
        <v>smb</v>
      </c>
      <c r="X934" s="0" t="str">
        <f>SUBSTITUTE(LOWER(INDEX('Periods'!$G$2:$G$22,MATCH(N934,'Periods'!$A$2:$A$22,0)))," ","_")</f>
        <v>q4_2025</v>
      </c>
    </row>
    <row r="935">
      <c r="A935" s="0" t="inlineStr">
        <is>
          <t xml:space="preserve">o0934</t>
        </is>
      </c>
      <c r="B935" s="0" t="inlineStr">
        <is>
          <t xml:space="preserve">a0463</t>
        </is>
      </c>
      <c r="C935" s="0" t="inlineStr">
        <is>
          <t xml:space="preserve">r17</t>
        </is>
      </c>
      <c r="D935" s="0" t="inlineStr">
        <is>
          <t xml:space="preserve">s_emea_out</t>
        </is>
      </c>
      <c r="E935" s="0" t="inlineStr">
        <is>
          <t xml:space="preserve">outbound</t>
        </is>
      </c>
      <c r="F935" s="0" t="inlineStr">
        <is>
          <t xml:space="preserve">closed_lost</t>
        </is>
      </c>
      <c r="G935" s="4">
        <v>1</v>
      </c>
      <c r="H935" s="4">
        <v>18500</v>
      </c>
      <c r="I935" s="4">
        <v>1</v>
      </c>
      <c r="J935" s="4">
        <v>1</v>
      </c>
      <c r="K935" s="16">
        <v>45938</v>
      </c>
      <c r="L935" s="16">
        <v>45976</v>
      </c>
      <c r="M935" s="0" t="inlineStr">
        <is>
          <t xml:space="preserve">oct25</t>
        </is>
      </c>
      <c r="N935" s="0" t="inlineStr">
        <is>
          <t xml:space="preserve">nov25</t>
        </is>
      </c>
      <c r="O935" s="4">
        <v>38</v>
      </c>
      <c r="P935" s="4">
        <v>0</v>
      </c>
      <c r="Q935" s="4">
        <v>1</v>
      </c>
      <c r="R935" s="4">
        <v>0</v>
      </c>
      <c r="S935" s="4">
        <f>(H935*INDEX('Stages'!$D$2:$D$7,MATCH(F935,'Stages'!$A$2:$A$7,0)))</f>
        <v>0</v>
      </c>
      <c r="T935" s="4">
        <f>(H935*I935)</f>
        <v>18500</v>
      </c>
      <c r="U935" s="4">
        <f>(H935*(I935-1))</f>
        <v>0</v>
      </c>
      <c r="V935" s="0" t="str">
        <f>INDEX('Account executives'!$B$2:$B$25,MATCH(C935,'Account executives'!$A$2:$A$25,0))</f>
        <v>emea</v>
      </c>
      <c r="W935" s="0" t="str">
        <f>INDEX('Account executives'!$C$2:$C$25,MATCH(C935,'Account executives'!$A$2:$A$25,0))</f>
        <v>smb</v>
      </c>
      <c r="X935" s="0" t="str">
        <f>SUBSTITUTE(LOWER(INDEX('Periods'!$G$2:$G$22,MATCH(N935,'Periods'!$A$2:$A$22,0)))," ","_")</f>
        <v>q4_2025</v>
      </c>
    </row>
    <row r="936">
      <c r="A936" s="0" t="inlineStr">
        <is>
          <t xml:space="preserve">o0935</t>
        </is>
      </c>
      <c r="B936" s="0" t="inlineStr">
        <is>
          <t xml:space="preserve">a0074</t>
        </is>
      </c>
      <c r="C936" s="0" t="inlineStr">
        <is>
          <t xml:space="preserve">r05</t>
        </is>
      </c>
      <c r="D936" s="0" t="inlineStr">
        <is>
          <t xml:space="preserve">s_amer_east_in</t>
        </is>
      </c>
      <c r="E936" s="0" t="inlineStr">
        <is>
          <t xml:space="preserve">paid</t>
        </is>
      </c>
      <c r="F936" s="0" t="inlineStr">
        <is>
          <t xml:space="preserve">closed_won</t>
        </is>
      </c>
      <c r="G936" s="4">
        <v>0</v>
      </c>
      <c r="H936" s="4">
        <v>4600</v>
      </c>
      <c r="I936" s="4">
        <v>1</v>
      </c>
      <c r="J936" s="4">
        <v>0</v>
      </c>
      <c r="K936" s="16">
        <v>45890</v>
      </c>
      <c r="L936" s="16">
        <v>45911</v>
      </c>
      <c r="M936" s="0" t="inlineStr">
        <is>
          <t xml:space="preserve">aug25</t>
        </is>
      </c>
      <c r="N936" s="0" t="inlineStr">
        <is>
          <t xml:space="preserve">sep25</t>
        </is>
      </c>
      <c r="O936" s="4">
        <v>21</v>
      </c>
      <c r="P936" s="4">
        <v>1</v>
      </c>
      <c r="Q936" s="4">
        <v>0</v>
      </c>
      <c r="R936" s="4">
        <v>0</v>
      </c>
      <c r="S936" s="4">
        <f>(H936*INDEX('Stages'!$D$2:$D$7,MATCH(F936,'Stages'!$A$2:$A$7,0)))</f>
        <v>4600</v>
      </c>
      <c r="T936" s="4">
        <f>(H936*I936)</f>
        <v>4600</v>
      </c>
      <c r="U936" s="4">
        <f>(H936*(I936-1))</f>
        <v>0</v>
      </c>
      <c r="V936" s="0" t="str">
        <f>INDEX('Account executives'!$B$2:$B$25,MATCH(C936,'Account executives'!$A$2:$A$25,0))</f>
        <v>amer_east</v>
      </c>
      <c r="W936" s="0" t="str">
        <f>INDEX('Account executives'!$C$2:$C$25,MATCH(C936,'Account executives'!$A$2:$A$25,0))</f>
        <v>smb</v>
      </c>
      <c r="X936" s="0" t="str">
        <f>SUBSTITUTE(LOWER(INDEX('Periods'!$G$2:$G$22,MATCH(N936,'Periods'!$A$2:$A$22,0)))," ","_")</f>
        <v>q3_2025</v>
      </c>
    </row>
    <row r="937">
      <c r="A937" s="0" t="inlineStr">
        <is>
          <t xml:space="preserve">o0936</t>
        </is>
      </c>
      <c r="B937" s="0" t="inlineStr">
        <is>
          <t xml:space="preserve">a0035</t>
        </is>
      </c>
      <c r="C937" s="0" t="inlineStr">
        <is>
          <t xml:space="preserve">r11</t>
        </is>
      </c>
      <c r="D937" s="0" t="inlineStr">
        <is>
          <t xml:space="preserve">s_amer_west_out</t>
        </is>
      </c>
      <c r="E937" s="0" t="inlineStr">
        <is>
          <t xml:space="preserve">outbound</t>
        </is>
      </c>
      <c r="F937" s="0" t="inlineStr">
        <is>
          <t xml:space="preserve">closed_lost</t>
        </is>
      </c>
      <c r="G937" s="4">
        <v>1</v>
      </c>
      <c r="H937" s="4">
        <v>13800</v>
      </c>
      <c r="I937" s="4">
        <v>2</v>
      </c>
      <c r="J937" s="4">
        <v>0</v>
      </c>
      <c r="K937" s="16">
        <v>45765</v>
      </c>
      <c r="L937" s="16">
        <v>45793</v>
      </c>
      <c r="M937" s="0" t="inlineStr">
        <is>
          <t xml:space="preserve">apr25</t>
        </is>
      </c>
      <c r="N937" s="0" t="inlineStr">
        <is>
          <t xml:space="preserve">may25</t>
        </is>
      </c>
      <c r="O937" s="4">
        <v>28</v>
      </c>
      <c r="P937" s="4">
        <v>0</v>
      </c>
      <c r="Q937" s="4">
        <v>1</v>
      </c>
      <c r="R937" s="4">
        <v>0</v>
      </c>
      <c r="S937" s="4">
        <f>(H937*INDEX('Stages'!$D$2:$D$7,MATCH(F937,'Stages'!$A$2:$A$7,0)))</f>
        <v>0</v>
      </c>
      <c r="T937" s="4">
        <f>(H937*I937)</f>
        <v>27600</v>
      </c>
      <c r="U937" s="4">
        <f>(H937*(I937-1))</f>
        <v>13800</v>
      </c>
      <c r="V937" s="0" t="str">
        <f>INDEX('Account executives'!$B$2:$B$25,MATCH(C937,'Account executives'!$A$2:$A$25,0))</f>
        <v>amer_west</v>
      </c>
      <c r="W937" s="0" t="str">
        <f>INDEX('Account executives'!$C$2:$C$25,MATCH(C937,'Account executives'!$A$2:$A$25,0))</f>
        <v>smb</v>
      </c>
      <c r="X937" s="0" t="str">
        <f>SUBSTITUTE(LOWER(INDEX('Periods'!$G$2:$G$22,MATCH(N937,'Periods'!$A$2:$A$22,0)))," ","_")</f>
        <v>q2_2025</v>
      </c>
    </row>
    <row r="938">
      <c r="A938" s="0" t="inlineStr">
        <is>
          <t xml:space="preserve">o0937</t>
        </is>
      </c>
      <c r="B938" s="0" t="inlineStr">
        <is>
          <t xml:space="preserve">a0822</t>
        </is>
      </c>
      <c r="C938" s="0" t="inlineStr">
        <is>
          <t xml:space="preserve">r05</t>
        </is>
      </c>
      <c r="D938" s="0" t="inlineStr">
        <is>
          <t xml:space="preserve">s_amer_east_in</t>
        </is>
      </c>
      <c r="E938" s="0" t="inlineStr">
        <is>
          <t xml:space="preserve">inbound</t>
        </is>
      </c>
      <c r="F938" s="0" t="inlineStr">
        <is>
          <t xml:space="preserve">closed_lost</t>
        </is>
      </c>
      <c r="G938" s="4">
        <v>1</v>
      </c>
      <c r="H938" s="4">
        <v>6600</v>
      </c>
      <c r="I938" s="4">
        <v>1</v>
      </c>
      <c r="J938" s="4">
        <v>0</v>
      </c>
      <c r="K938" s="16">
        <v>46134</v>
      </c>
      <c r="L938" s="16">
        <v>46186</v>
      </c>
      <c r="M938" s="0" t="inlineStr">
        <is>
          <t xml:space="preserve">apr26</t>
        </is>
      </c>
      <c r="N938" s="0" t="inlineStr">
        <is>
          <t xml:space="preserve">jun26</t>
        </is>
      </c>
      <c r="O938" s="4">
        <v>52</v>
      </c>
      <c r="P938" s="4">
        <v>0</v>
      </c>
      <c r="Q938" s="4">
        <v>1</v>
      </c>
      <c r="R938" s="4">
        <v>0</v>
      </c>
      <c r="S938" s="4">
        <f>(H938*INDEX('Stages'!$D$2:$D$7,MATCH(F938,'Stages'!$A$2:$A$7,0)))</f>
        <v>0</v>
      </c>
      <c r="T938" s="4">
        <f>(H938*I938)</f>
        <v>6600</v>
      </c>
      <c r="U938" s="4">
        <f>(H938*(I938-1))</f>
        <v>0</v>
      </c>
      <c r="V938" s="0" t="str">
        <f>INDEX('Account executives'!$B$2:$B$25,MATCH(C938,'Account executives'!$A$2:$A$25,0))</f>
        <v>amer_east</v>
      </c>
      <c r="W938" s="0" t="str">
        <f>INDEX('Account executives'!$C$2:$C$25,MATCH(C938,'Account executives'!$A$2:$A$25,0))</f>
        <v>smb</v>
      </c>
      <c r="X938" s="0" t="str">
        <f>SUBSTITUTE(LOWER(INDEX('Periods'!$G$2:$G$22,MATCH(N938,'Periods'!$A$2:$A$22,0)))," ","_")</f>
        <v>q2_2026</v>
      </c>
    </row>
    <row r="939">
      <c r="A939" s="0" t="inlineStr">
        <is>
          <t xml:space="preserve">o0938</t>
        </is>
      </c>
      <c r="B939" s="0" t="inlineStr">
        <is>
          <t xml:space="preserve">a0843</t>
        </is>
      </c>
      <c r="C939" s="0" t="inlineStr">
        <is>
          <t xml:space="preserve">r09</t>
        </is>
      </c>
      <c r="D939" s="0" t="inlineStr">
        <is>
          <t xml:space="preserve">s_amer_west_in</t>
        </is>
      </c>
      <c r="E939" s="0" t="inlineStr">
        <is>
          <t xml:space="preserve">inbound</t>
        </is>
      </c>
      <c r="F939" s="0" t="inlineStr">
        <is>
          <t xml:space="preserve">closed_lost</t>
        </is>
      </c>
      <c r="G939" s="4">
        <v>1</v>
      </c>
      <c r="H939" s="4">
        <v>43100</v>
      </c>
      <c r="I939" s="4">
        <v>2</v>
      </c>
      <c r="J939" s="4">
        <v>0</v>
      </c>
      <c r="K939" s="16">
        <v>46124</v>
      </c>
      <c r="L939" s="16">
        <v>46196</v>
      </c>
      <c r="M939" s="0" t="inlineStr">
        <is>
          <t xml:space="preserve">apr26</t>
        </is>
      </c>
      <c r="N939" s="0" t="inlineStr">
        <is>
          <t xml:space="preserve">jun26</t>
        </is>
      </c>
      <c r="O939" s="4">
        <v>72</v>
      </c>
      <c r="P939" s="4">
        <v>0</v>
      </c>
      <c r="Q939" s="4">
        <v>1</v>
      </c>
      <c r="R939" s="4">
        <v>0</v>
      </c>
      <c r="S939" s="4">
        <f>(H939*INDEX('Stages'!$D$2:$D$7,MATCH(F939,'Stages'!$A$2:$A$7,0)))</f>
        <v>0</v>
      </c>
      <c r="T939" s="4">
        <f>(H939*I939)</f>
        <v>86200</v>
      </c>
      <c r="U939" s="4">
        <f>(H939*(I939-1))</f>
        <v>43100</v>
      </c>
      <c r="V939" s="0" t="str">
        <f>INDEX('Account executives'!$B$2:$B$25,MATCH(C939,'Account executives'!$A$2:$A$25,0))</f>
        <v>amer_west</v>
      </c>
      <c r="W939" s="0" t="str">
        <f>INDEX('Account executives'!$C$2:$C$25,MATCH(C939,'Account executives'!$A$2:$A$25,0))</f>
        <v>mid_market</v>
      </c>
      <c r="X939" s="0" t="str">
        <f>SUBSTITUTE(LOWER(INDEX('Periods'!$G$2:$G$22,MATCH(N939,'Periods'!$A$2:$A$22,0)))," ","_")</f>
        <v>q2_2026</v>
      </c>
    </row>
    <row r="940">
      <c r="A940" s="0" t="inlineStr">
        <is>
          <t xml:space="preserve">o0939</t>
        </is>
      </c>
      <c r="B940" s="0" t="inlineStr">
        <is>
          <t xml:space="preserve">a0837</t>
        </is>
      </c>
      <c r="C940" s="0" t="inlineStr">
        <is>
          <t xml:space="preserve">r01</t>
        </is>
      </c>
      <c r="D940" s="0" t="inlineStr">
        <is>
          <t xml:space="preserve">s_amer_east_out</t>
        </is>
      </c>
      <c r="E940" s="0" t="inlineStr">
        <is>
          <t xml:space="preserve">outbound</t>
        </is>
      </c>
      <c r="F940" s="0" t="inlineStr">
        <is>
          <t xml:space="preserve">closed_won</t>
        </is>
      </c>
      <c r="G940" s="4">
        <v>1</v>
      </c>
      <c r="H940" s="4">
        <v>24500</v>
      </c>
      <c r="I940" s="4">
        <v>1</v>
      </c>
      <c r="J940" s="4">
        <v>0</v>
      </c>
      <c r="K940" s="16">
        <v>46125</v>
      </c>
      <c r="L940" s="16">
        <v>46250</v>
      </c>
      <c r="M940" s="0" t="inlineStr">
        <is>
          <t xml:space="preserve">apr26</t>
        </is>
      </c>
      <c r="N940" s="0" t="inlineStr">
        <is>
          <t xml:space="preserve">aug26</t>
        </is>
      </c>
      <c r="O940" s="4">
        <v>125</v>
      </c>
      <c r="P940" s="4">
        <v>1</v>
      </c>
      <c r="Q940" s="4">
        <v>0</v>
      </c>
      <c r="R940" s="4">
        <v>0</v>
      </c>
      <c r="S940" s="4">
        <f>(H940*INDEX('Stages'!$D$2:$D$7,MATCH(F940,'Stages'!$A$2:$A$7,0)))</f>
        <v>24500</v>
      </c>
      <c r="T940" s="4">
        <f>(H940*I940)</f>
        <v>24500</v>
      </c>
      <c r="U940" s="4">
        <f>(H940*(I940-1))</f>
        <v>0</v>
      </c>
      <c r="V940" s="0" t="str">
        <f>INDEX('Account executives'!$B$2:$B$25,MATCH(C940,'Account executives'!$A$2:$A$25,0))</f>
        <v>amer_east</v>
      </c>
      <c r="W940" s="0" t="str">
        <f>INDEX('Account executives'!$C$2:$C$25,MATCH(C940,'Account executives'!$A$2:$A$25,0))</f>
        <v>enterprise</v>
      </c>
      <c r="X940" s="0" t="str">
        <f>SUBSTITUTE(LOWER(INDEX('Periods'!$G$2:$G$22,MATCH(N940,'Periods'!$A$2:$A$22,0)))," ","_")</f>
        <v>q3_2026</v>
      </c>
    </row>
    <row r="941">
      <c r="A941" s="0" t="inlineStr">
        <is>
          <t xml:space="preserve">o0940</t>
        </is>
      </c>
      <c r="B941" s="0" t="inlineStr">
        <is>
          <t xml:space="preserve">a0200</t>
        </is>
      </c>
      <c r="C941" s="0" t="inlineStr">
        <is>
          <t xml:space="preserve">r09</t>
        </is>
      </c>
      <c r="D941" s="0" t="inlineStr">
        <is>
          <t xml:space="preserve">s_amer_west_in</t>
        </is>
      </c>
      <c r="E941" s="0" t="inlineStr">
        <is>
          <t xml:space="preserve">paid</t>
        </is>
      </c>
      <c r="F941" s="0" t="inlineStr">
        <is>
          <t xml:space="preserve">closed_lost</t>
        </is>
      </c>
      <c r="G941" s="4">
        <v>0</v>
      </c>
      <c r="H941" s="4">
        <v>15400</v>
      </c>
      <c r="I941" s="4">
        <v>1</v>
      </c>
      <c r="J941" s="4">
        <v>0</v>
      </c>
      <c r="K941" s="16">
        <v>45954</v>
      </c>
      <c r="L941" s="16">
        <v>46001</v>
      </c>
      <c r="M941" s="0" t="inlineStr">
        <is>
          <t xml:space="preserve">oct25</t>
        </is>
      </c>
      <c r="N941" s="0" t="inlineStr">
        <is>
          <t xml:space="preserve">dec25</t>
        </is>
      </c>
      <c r="O941" s="4">
        <v>47</v>
      </c>
      <c r="P941" s="4">
        <v>0</v>
      </c>
      <c r="Q941" s="4">
        <v>1</v>
      </c>
      <c r="R941" s="4">
        <v>0</v>
      </c>
      <c r="S941" s="4">
        <f>(H941*INDEX('Stages'!$D$2:$D$7,MATCH(F941,'Stages'!$A$2:$A$7,0)))</f>
        <v>0</v>
      </c>
      <c r="T941" s="4">
        <f>(H941*I941)</f>
        <v>15400</v>
      </c>
      <c r="U941" s="4">
        <f>(H941*(I941-1))</f>
        <v>0</v>
      </c>
      <c r="V941" s="0" t="str">
        <f>INDEX('Account executives'!$B$2:$B$25,MATCH(C941,'Account executives'!$A$2:$A$25,0))</f>
        <v>amer_west</v>
      </c>
      <c r="W941" s="0" t="str">
        <f>INDEX('Account executives'!$C$2:$C$25,MATCH(C941,'Account executives'!$A$2:$A$25,0))</f>
        <v>mid_market</v>
      </c>
      <c r="X941" s="0" t="str">
        <f>SUBSTITUTE(LOWER(INDEX('Periods'!$G$2:$G$22,MATCH(N941,'Periods'!$A$2:$A$22,0)))," ","_")</f>
        <v>q4_2025</v>
      </c>
    </row>
    <row r="942">
      <c r="A942" s="0" t="inlineStr">
        <is>
          <t xml:space="preserve">o0941</t>
        </is>
      </c>
      <c r="B942" s="0" t="inlineStr">
        <is>
          <t xml:space="preserve">a0375</t>
        </is>
      </c>
      <c r="C942" s="0" t="inlineStr">
        <is>
          <t xml:space="preserve">r11</t>
        </is>
      </c>
      <c r="D942" s="0" t="inlineStr">
        <is>
          <t xml:space="preserve">s_amer_west_in</t>
        </is>
      </c>
      <c r="E942" s="0" t="inlineStr">
        <is>
          <t xml:space="preserve">inbound</t>
        </is>
      </c>
      <c r="F942" s="0" t="inlineStr">
        <is>
          <t xml:space="preserve">closed_won</t>
        </is>
      </c>
      <c r="G942" s="4">
        <v>1</v>
      </c>
      <c r="H942" s="4">
        <v>15700</v>
      </c>
      <c r="I942" s="4">
        <v>1</v>
      </c>
      <c r="J942" s="4">
        <v>0</v>
      </c>
      <c r="K942" s="16">
        <v>45902</v>
      </c>
      <c r="L942" s="16">
        <v>45926</v>
      </c>
      <c r="M942" s="0" t="inlineStr">
        <is>
          <t xml:space="preserve">sep25</t>
        </is>
      </c>
      <c r="N942" s="0" t="inlineStr">
        <is>
          <t xml:space="preserve">sep25</t>
        </is>
      </c>
      <c r="O942" s="4">
        <v>24</v>
      </c>
      <c r="P942" s="4">
        <v>1</v>
      </c>
      <c r="Q942" s="4">
        <v>0</v>
      </c>
      <c r="R942" s="4">
        <v>0</v>
      </c>
      <c r="S942" s="4">
        <f>(H942*INDEX('Stages'!$D$2:$D$7,MATCH(F942,'Stages'!$A$2:$A$7,0)))</f>
        <v>15700</v>
      </c>
      <c r="T942" s="4">
        <f>(H942*I942)</f>
        <v>15700</v>
      </c>
      <c r="U942" s="4">
        <f>(H942*(I942-1))</f>
        <v>0</v>
      </c>
      <c r="V942" s="0" t="str">
        <f>INDEX('Account executives'!$B$2:$B$25,MATCH(C942,'Account executives'!$A$2:$A$25,0))</f>
        <v>amer_west</v>
      </c>
      <c r="W942" s="0" t="str">
        <f>INDEX('Account executives'!$C$2:$C$25,MATCH(C942,'Account executives'!$A$2:$A$25,0))</f>
        <v>smb</v>
      </c>
      <c r="X942" s="0" t="str">
        <f>SUBSTITUTE(LOWER(INDEX('Periods'!$G$2:$G$22,MATCH(N942,'Periods'!$A$2:$A$22,0)))," ","_")</f>
        <v>q3_2025</v>
      </c>
    </row>
    <row r="943">
      <c r="A943" s="0" t="inlineStr">
        <is>
          <t xml:space="preserve">o0942</t>
        </is>
      </c>
      <c r="B943" s="0" t="inlineStr">
        <is>
          <t xml:space="preserve">a0320</t>
        </is>
      </c>
      <c r="C943" s="0" t="inlineStr">
        <is>
          <t xml:space="preserve">r05</t>
        </is>
      </c>
      <c r="D943" s="0"/>
      <c r="E943" s="0" t="inlineStr">
        <is>
          <t xml:space="preserve">partner</t>
        </is>
      </c>
      <c r="F943" s="0" t="inlineStr">
        <is>
          <t xml:space="preserve">closed_won</t>
        </is>
      </c>
      <c r="G943" s="4">
        <v>1</v>
      </c>
      <c r="H943" s="4">
        <v>6200</v>
      </c>
      <c r="I943" s="4">
        <v>1</v>
      </c>
      <c r="J943" s="4">
        <v>1</v>
      </c>
      <c r="K943" s="16">
        <v>45870</v>
      </c>
      <c r="L943" s="16">
        <v>45914</v>
      </c>
      <c r="M943" s="0" t="inlineStr">
        <is>
          <t xml:space="preserve">aug25</t>
        </is>
      </c>
      <c r="N943" s="0" t="inlineStr">
        <is>
          <t xml:space="preserve">sep25</t>
        </is>
      </c>
      <c r="O943" s="4">
        <v>44</v>
      </c>
      <c r="P943" s="4">
        <v>1</v>
      </c>
      <c r="Q943" s="4">
        <v>0</v>
      </c>
      <c r="R943" s="4">
        <v>0</v>
      </c>
      <c r="S943" s="4">
        <f>(H943*INDEX('Stages'!$D$2:$D$7,MATCH(F943,'Stages'!$A$2:$A$7,0)))</f>
        <v>6200</v>
      </c>
      <c r="T943" s="4">
        <f>(H943*I943)</f>
        <v>6200</v>
      </c>
      <c r="U943" s="4">
        <f>(H943*(I943-1))</f>
        <v>0</v>
      </c>
      <c r="V943" s="0" t="str">
        <f>INDEX('Account executives'!$B$2:$B$25,MATCH(C943,'Account executives'!$A$2:$A$25,0))</f>
        <v>amer_east</v>
      </c>
      <c r="W943" s="0" t="str">
        <f>INDEX('Account executives'!$C$2:$C$25,MATCH(C943,'Account executives'!$A$2:$A$25,0))</f>
        <v>smb</v>
      </c>
      <c r="X943" s="0" t="str">
        <f>SUBSTITUTE(LOWER(INDEX('Periods'!$G$2:$G$22,MATCH(N943,'Periods'!$A$2:$A$22,0)))," ","_")</f>
        <v>q3_2025</v>
      </c>
    </row>
    <row r="944">
      <c r="A944" s="0" t="inlineStr">
        <is>
          <t xml:space="preserve">o0943</t>
        </is>
      </c>
      <c r="B944" s="0" t="inlineStr">
        <is>
          <t xml:space="preserve">a0057</t>
        </is>
      </c>
      <c r="C944" s="0" t="inlineStr">
        <is>
          <t xml:space="preserve">r21</t>
        </is>
      </c>
      <c r="D944" s="0"/>
      <c r="E944" s="0" t="inlineStr">
        <is>
          <t xml:space="preserve">events</t>
        </is>
      </c>
      <c r="F944" s="0" t="inlineStr">
        <is>
          <t xml:space="preserve">closed_lost</t>
        </is>
      </c>
      <c r="G944" s="4">
        <v>0</v>
      </c>
      <c r="H944" s="4">
        <v>20700</v>
      </c>
      <c r="I944" s="4">
        <v>1</v>
      </c>
      <c r="J944" s="4">
        <v>0</v>
      </c>
      <c r="K944" s="16">
        <v>45778</v>
      </c>
      <c r="L944" s="16">
        <v>45811</v>
      </c>
      <c r="M944" s="0" t="inlineStr">
        <is>
          <t xml:space="preserve">may25</t>
        </is>
      </c>
      <c r="N944" s="0" t="inlineStr">
        <is>
          <t xml:space="preserve">jun25</t>
        </is>
      </c>
      <c r="O944" s="4">
        <v>33</v>
      </c>
      <c r="P944" s="4">
        <v>0</v>
      </c>
      <c r="Q944" s="4">
        <v>1</v>
      </c>
      <c r="R944" s="4">
        <v>0</v>
      </c>
      <c r="S944" s="4">
        <f>(H944*INDEX('Stages'!$D$2:$D$7,MATCH(F944,'Stages'!$A$2:$A$7,0)))</f>
        <v>0</v>
      </c>
      <c r="T944" s="4">
        <f>(H944*I944)</f>
        <v>20700</v>
      </c>
      <c r="U944" s="4">
        <f>(H944*(I944-1))</f>
        <v>0</v>
      </c>
      <c r="V944" s="0" t="str">
        <f>INDEX('Account executives'!$B$2:$B$25,MATCH(C944,'Account executives'!$A$2:$A$25,0))</f>
        <v>apac</v>
      </c>
      <c r="W944" s="0" t="str">
        <f>INDEX('Account executives'!$C$2:$C$25,MATCH(C944,'Account executives'!$A$2:$A$25,0))</f>
        <v>mid_market</v>
      </c>
      <c r="X944" s="0" t="str">
        <f>SUBSTITUTE(LOWER(INDEX('Periods'!$G$2:$G$22,MATCH(N944,'Periods'!$A$2:$A$22,0)))," ","_")</f>
        <v>q2_2025</v>
      </c>
    </row>
    <row r="945">
      <c r="A945" s="0" t="inlineStr">
        <is>
          <t xml:space="preserve">o0944</t>
        </is>
      </c>
      <c r="B945" s="0" t="inlineStr">
        <is>
          <t xml:space="preserve">a0405</t>
        </is>
      </c>
      <c r="C945" s="0" t="inlineStr">
        <is>
          <t xml:space="preserve">r24</t>
        </is>
      </c>
      <c r="D945" s="0" t="inlineStr">
        <is>
          <t xml:space="preserve">s_apac_in</t>
        </is>
      </c>
      <c r="E945" s="0" t="inlineStr">
        <is>
          <t xml:space="preserve">inbound</t>
        </is>
      </c>
      <c r="F945" s="0" t="inlineStr">
        <is>
          <t xml:space="preserve">closed_lost</t>
        </is>
      </c>
      <c r="G945" s="4">
        <v>1</v>
      </c>
      <c r="H945" s="4">
        <v>24700</v>
      </c>
      <c r="I945" s="4">
        <v>1</v>
      </c>
      <c r="J945" s="4">
        <v>0</v>
      </c>
      <c r="K945" s="16">
        <v>45901</v>
      </c>
      <c r="L945" s="16">
        <v>45938</v>
      </c>
      <c r="M945" s="0" t="inlineStr">
        <is>
          <t xml:space="preserve">sep25</t>
        </is>
      </c>
      <c r="N945" s="0" t="inlineStr">
        <is>
          <t xml:space="preserve">oct25</t>
        </is>
      </c>
      <c r="O945" s="4">
        <v>37</v>
      </c>
      <c r="P945" s="4">
        <v>0</v>
      </c>
      <c r="Q945" s="4">
        <v>1</v>
      </c>
      <c r="R945" s="4">
        <v>0</v>
      </c>
      <c r="S945" s="4">
        <f>(H945*INDEX('Stages'!$D$2:$D$7,MATCH(F945,'Stages'!$A$2:$A$7,0)))</f>
        <v>0</v>
      </c>
      <c r="T945" s="4">
        <f>(H945*I945)</f>
        <v>24700</v>
      </c>
      <c r="U945" s="4">
        <f>(H945*(I945-1))</f>
        <v>0</v>
      </c>
      <c r="V945" s="0" t="str">
        <f>INDEX('Account executives'!$B$2:$B$25,MATCH(C945,'Account executives'!$A$2:$A$25,0))</f>
        <v>apac</v>
      </c>
      <c r="W945" s="0" t="str">
        <f>INDEX('Account executives'!$C$2:$C$25,MATCH(C945,'Account executives'!$A$2:$A$25,0))</f>
        <v>smb</v>
      </c>
      <c r="X945" s="0" t="str">
        <f>SUBSTITUTE(LOWER(INDEX('Periods'!$G$2:$G$22,MATCH(N945,'Periods'!$A$2:$A$22,0)))," ","_")</f>
        <v>q4_2025</v>
      </c>
    </row>
    <row r="946">
      <c r="A946" s="0" t="inlineStr">
        <is>
          <t xml:space="preserve">o0945</t>
        </is>
      </c>
      <c r="B946" s="0" t="inlineStr">
        <is>
          <t xml:space="preserve">a0152</t>
        </is>
      </c>
      <c r="C946" s="0" t="inlineStr">
        <is>
          <t xml:space="preserve">r21</t>
        </is>
      </c>
      <c r="D946" s="0" t="inlineStr">
        <is>
          <t xml:space="preserve">s_apac_in</t>
        </is>
      </c>
      <c r="E946" s="0" t="inlineStr">
        <is>
          <t xml:space="preserve">inbound</t>
        </is>
      </c>
      <c r="F946" s="0" t="inlineStr">
        <is>
          <t xml:space="preserve">discovery</t>
        </is>
      </c>
      <c r="G946" s="4">
        <v>0</v>
      </c>
      <c r="H946" s="4">
        <v>41300</v>
      </c>
      <c r="I946" s="4">
        <v>3</v>
      </c>
      <c r="J946" s="4">
        <v>1</v>
      </c>
      <c r="K946" s="16">
        <v>46281</v>
      </c>
      <c r="L946" s="16">
        <v>46303</v>
      </c>
      <c r="M946" s="0" t="inlineStr">
        <is>
          <t xml:space="preserve">sep26</t>
        </is>
      </c>
      <c r="N946" s="0" t="inlineStr">
        <is>
          <t xml:space="preserve">oct26</t>
        </is>
      </c>
      <c r="O946" s="4">
        <v>33</v>
      </c>
      <c r="P946" s="4">
        <v>0</v>
      </c>
      <c r="Q946" s="4">
        <v>0</v>
      </c>
      <c r="R946" s="4">
        <v>1</v>
      </c>
      <c r="S946" s="4">
        <f>(H946*INDEX('Stages'!$D$2:$D$7,MATCH(F946,'Stages'!$A$2:$A$7,0)))</f>
        <v>4130</v>
      </c>
      <c r="T946" s="4">
        <f>(H946*I946)</f>
        <v>123900</v>
      </c>
      <c r="U946" s="4">
        <f>(H946*(I946-1))</f>
        <v>82600</v>
      </c>
      <c r="V946" s="0" t="str">
        <f>INDEX('Account executives'!$B$2:$B$25,MATCH(C946,'Account executives'!$A$2:$A$25,0))</f>
        <v>apac</v>
      </c>
      <c r="W946" s="0" t="str">
        <f>INDEX('Account executives'!$C$2:$C$25,MATCH(C946,'Account executives'!$A$2:$A$25,0))</f>
        <v>mid_market</v>
      </c>
      <c r="X946" s="0" t="str">
        <f>SUBSTITUTE(LOWER(INDEX('Periods'!$G$2:$G$22,MATCH(N946,'Periods'!$A$2:$A$22,0)))," ","_")</f>
        <v>q4_2026</v>
      </c>
    </row>
    <row r="947">
      <c r="A947" s="0" t="inlineStr">
        <is>
          <t xml:space="preserve">o0946</t>
        </is>
      </c>
      <c r="B947" s="0" t="inlineStr">
        <is>
          <t xml:space="preserve">a0464</t>
        </is>
      </c>
      <c r="C947" s="0" t="inlineStr">
        <is>
          <t xml:space="preserve">r18</t>
        </is>
      </c>
      <c r="D947" s="0" t="inlineStr">
        <is>
          <t xml:space="preserve">s_emea_in</t>
        </is>
      </c>
      <c r="E947" s="0" t="inlineStr">
        <is>
          <t xml:space="preserve">inbound</t>
        </is>
      </c>
      <c r="F947" s="0" t="inlineStr">
        <is>
          <t xml:space="preserve">closed_won</t>
        </is>
      </c>
      <c r="G947" s="4">
        <v>0</v>
      </c>
      <c r="H947" s="4">
        <v>8500</v>
      </c>
      <c r="I947" s="4">
        <v>1</v>
      </c>
      <c r="J947" s="4">
        <v>0</v>
      </c>
      <c r="K947" s="16">
        <v>46123</v>
      </c>
      <c r="L947" s="16">
        <v>46201</v>
      </c>
      <c r="M947" s="0" t="inlineStr">
        <is>
          <t xml:space="preserve">apr26</t>
        </is>
      </c>
      <c r="N947" s="0" t="inlineStr">
        <is>
          <t xml:space="preserve">jun26</t>
        </is>
      </c>
      <c r="O947" s="4">
        <v>78</v>
      </c>
      <c r="P947" s="4">
        <v>1</v>
      </c>
      <c r="Q947" s="4">
        <v>0</v>
      </c>
      <c r="R947" s="4">
        <v>0</v>
      </c>
      <c r="S947" s="4">
        <f>(H947*INDEX('Stages'!$D$2:$D$7,MATCH(F947,'Stages'!$A$2:$A$7,0)))</f>
        <v>8500</v>
      </c>
      <c r="T947" s="4">
        <f>(H947*I947)</f>
        <v>8500</v>
      </c>
      <c r="U947" s="4">
        <f>(H947*(I947-1))</f>
        <v>0</v>
      </c>
      <c r="V947" s="0" t="str">
        <f>INDEX('Account executives'!$B$2:$B$25,MATCH(C947,'Account executives'!$A$2:$A$25,0))</f>
        <v>emea</v>
      </c>
      <c r="W947" s="0" t="str">
        <f>INDEX('Account executives'!$C$2:$C$25,MATCH(C947,'Account executives'!$A$2:$A$25,0))</f>
        <v>smb</v>
      </c>
      <c r="X947" s="0" t="str">
        <f>SUBSTITUTE(LOWER(INDEX('Periods'!$G$2:$G$22,MATCH(N947,'Periods'!$A$2:$A$22,0)))," ","_")</f>
        <v>q2_2026</v>
      </c>
    </row>
    <row r="948">
      <c r="A948" s="0" t="inlineStr">
        <is>
          <t xml:space="preserve">o0947</t>
        </is>
      </c>
      <c r="B948" s="0" t="inlineStr">
        <is>
          <t xml:space="preserve">a0555</t>
        </is>
      </c>
      <c r="C948" s="0" t="inlineStr">
        <is>
          <t xml:space="preserve">r04</t>
        </is>
      </c>
      <c r="D948" s="0"/>
      <c r="E948" s="0" t="inlineStr">
        <is>
          <t xml:space="preserve">referral</t>
        </is>
      </c>
      <c r="F948" s="0" t="inlineStr">
        <is>
          <t xml:space="preserve">closed_lost</t>
        </is>
      </c>
      <c r="G948" s="4">
        <v>1</v>
      </c>
      <c r="H948" s="4">
        <v>20700</v>
      </c>
      <c r="I948" s="4">
        <v>2</v>
      </c>
      <c r="J948" s="4">
        <v>1</v>
      </c>
      <c r="K948" s="16">
        <v>45998</v>
      </c>
      <c r="L948" s="16">
        <v>46069</v>
      </c>
      <c r="M948" s="0" t="inlineStr">
        <is>
          <t xml:space="preserve">dec25</t>
        </is>
      </c>
      <c r="N948" s="0" t="inlineStr">
        <is>
          <t xml:space="preserve">feb26</t>
        </is>
      </c>
      <c r="O948" s="4">
        <v>71</v>
      </c>
      <c r="P948" s="4">
        <v>0</v>
      </c>
      <c r="Q948" s="4">
        <v>1</v>
      </c>
      <c r="R948" s="4">
        <v>0</v>
      </c>
      <c r="S948" s="4">
        <f>(H948*INDEX('Stages'!$D$2:$D$7,MATCH(F948,'Stages'!$A$2:$A$7,0)))</f>
        <v>0</v>
      </c>
      <c r="T948" s="4">
        <f>(H948*I948)</f>
        <v>41400</v>
      </c>
      <c r="U948" s="4">
        <f>(H948*(I948-1))</f>
        <v>20700</v>
      </c>
      <c r="V948" s="0" t="str">
        <f>INDEX('Account executives'!$B$2:$B$25,MATCH(C948,'Account executives'!$A$2:$A$25,0))</f>
        <v>amer_east</v>
      </c>
      <c r="W948" s="0" t="str">
        <f>INDEX('Account executives'!$C$2:$C$25,MATCH(C948,'Account executives'!$A$2:$A$25,0))</f>
        <v>mid_market</v>
      </c>
      <c r="X948" s="0" t="str">
        <f>SUBSTITUTE(LOWER(INDEX('Periods'!$G$2:$G$22,MATCH(N948,'Periods'!$A$2:$A$22,0)))," ","_")</f>
        <v>q1_2026</v>
      </c>
    </row>
    <row r="949">
      <c r="A949" s="0" t="inlineStr">
        <is>
          <t xml:space="preserve">o0948</t>
        </is>
      </c>
      <c r="B949" s="0" t="inlineStr">
        <is>
          <t xml:space="preserve">a0701</t>
        </is>
      </c>
      <c r="C949" s="0" t="inlineStr">
        <is>
          <t xml:space="preserve">r15</t>
        </is>
      </c>
      <c r="D949" s="0"/>
      <c r="E949" s="0" t="inlineStr">
        <is>
          <t xml:space="preserve">events</t>
        </is>
      </c>
      <c r="F949" s="0" t="inlineStr">
        <is>
          <t xml:space="preserve">closed_won</t>
        </is>
      </c>
      <c r="G949" s="4">
        <v>1</v>
      </c>
      <c r="H949" s="4">
        <v>28700</v>
      </c>
      <c r="I949" s="4">
        <v>2</v>
      </c>
      <c r="J949" s="4">
        <v>1</v>
      </c>
      <c r="K949" s="16">
        <v>46058</v>
      </c>
      <c r="L949" s="16">
        <v>46142</v>
      </c>
      <c r="M949" s="0" t="inlineStr">
        <is>
          <t xml:space="preserve">feb26</t>
        </is>
      </c>
      <c r="N949" s="0" t="inlineStr">
        <is>
          <t xml:space="preserve">apr26</t>
        </is>
      </c>
      <c r="O949" s="4">
        <v>84</v>
      </c>
      <c r="P949" s="4">
        <v>1</v>
      </c>
      <c r="Q949" s="4">
        <v>0</v>
      </c>
      <c r="R949" s="4">
        <v>0</v>
      </c>
      <c r="S949" s="4">
        <f>(H949*INDEX('Stages'!$D$2:$D$7,MATCH(F949,'Stages'!$A$2:$A$7,0)))</f>
        <v>28700</v>
      </c>
      <c r="T949" s="4">
        <f>(H949*I949)</f>
        <v>57400</v>
      </c>
      <c r="U949" s="4">
        <f>(H949*(I949-1))</f>
        <v>28700</v>
      </c>
      <c r="V949" s="0" t="str">
        <f>INDEX('Account executives'!$B$2:$B$25,MATCH(C949,'Account executives'!$A$2:$A$25,0))</f>
        <v>emea</v>
      </c>
      <c r="W949" s="0" t="str">
        <f>INDEX('Account executives'!$C$2:$C$25,MATCH(C949,'Account executives'!$A$2:$A$25,0))</f>
        <v>mid_market</v>
      </c>
      <c r="X949" s="0" t="str">
        <f>SUBSTITUTE(LOWER(INDEX('Periods'!$G$2:$G$22,MATCH(N949,'Periods'!$A$2:$A$22,0)))," ","_")</f>
        <v>q2_2026</v>
      </c>
    </row>
    <row r="950">
      <c r="A950" s="0" t="inlineStr">
        <is>
          <t xml:space="preserve">o0949</t>
        </is>
      </c>
      <c r="B950" s="0" t="inlineStr">
        <is>
          <t xml:space="preserve">a0557</t>
        </is>
      </c>
      <c r="C950" s="0" t="inlineStr">
        <is>
          <t xml:space="preserve">r09</t>
        </is>
      </c>
      <c r="D950" s="0" t="inlineStr">
        <is>
          <t xml:space="preserve">s_amer_west_in</t>
        </is>
      </c>
      <c r="E950" s="0" t="inlineStr">
        <is>
          <t xml:space="preserve">inbound</t>
        </is>
      </c>
      <c r="F950" s="0" t="inlineStr">
        <is>
          <t xml:space="preserve">closed_lost</t>
        </is>
      </c>
      <c r="G950" s="4">
        <v>1</v>
      </c>
      <c r="H950" s="4">
        <v>41900</v>
      </c>
      <c r="I950" s="4">
        <v>1</v>
      </c>
      <c r="J950" s="4">
        <v>0</v>
      </c>
      <c r="K950" s="16">
        <v>46017</v>
      </c>
      <c r="L950" s="16">
        <v>46072</v>
      </c>
      <c r="M950" s="0" t="inlineStr">
        <is>
          <t xml:space="preserve">dec25</t>
        </is>
      </c>
      <c r="N950" s="0" t="inlineStr">
        <is>
          <t xml:space="preserve">feb26</t>
        </is>
      </c>
      <c r="O950" s="4">
        <v>55</v>
      </c>
      <c r="P950" s="4">
        <v>0</v>
      </c>
      <c r="Q950" s="4">
        <v>1</v>
      </c>
      <c r="R950" s="4">
        <v>0</v>
      </c>
      <c r="S950" s="4">
        <f>(H950*INDEX('Stages'!$D$2:$D$7,MATCH(F950,'Stages'!$A$2:$A$7,0)))</f>
        <v>0</v>
      </c>
      <c r="T950" s="4">
        <f>(H950*I950)</f>
        <v>41900</v>
      </c>
      <c r="U950" s="4">
        <f>(H950*(I950-1))</f>
        <v>0</v>
      </c>
      <c r="V950" s="0" t="str">
        <f>INDEX('Account executives'!$B$2:$B$25,MATCH(C950,'Account executives'!$A$2:$A$25,0))</f>
        <v>amer_west</v>
      </c>
      <c r="W950" s="0" t="str">
        <f>INDEX('Account executives'!$C$2:$C$25,MATCH(C950,'Account executives'!$A$2:$A$25,0))</f>
        <v>mid_market</v>
      </c>
      <c r="X950" s="0" t="str">
        <f>SUBSTITUTE(LOWER(INDEX('Periods'!$G$2:$G$22,MATCH(N950,'Periods'!$A$2:$A$22,0)))," ","_")</f>
        <v>q1_2026</v>
      </c>
    </row>
    <row r="951">
      <c r="A951" s="0" t="inlineStr">
        <is>
          <t xml:space="preserve">o0950</t>
        </is>
      </c>
      <c r="B951" s="0" t="inlineStr">
        <is>
          <t xml:space="preserve">a0786</t>
        </is>
      </c>
      <c r="C951" s="0" t="inlineStr">
        <is>
          <t xml:space="preserve">r17</t>
        </is>
      </c>
      <c r="D951" s="0" t="inlineStr">
        <is>
          <t xml:space="preserve">s_emea_out</t>
        </is>
      </c>
      <c r="E951" s="0" t="inlineStr">
        <is>
          <t xml:space="preserve">outbound</t>
        </is>
      </c>
      <c r="F951" s="0" t="inlineStr">
        <is>
          <t xml:space="preserve">closed_lost</t>
        </is>
      </c>
      <c r="G951" s="4">
        <v>1</v>
      </c>
      <c r="H951" s="4">
        <v>18300</v>
      </c>
      <c r="I951" s="4">
        <v>1</v>
      </c>
      <c r="J951" s="4">
        <v>0</v>
      </c>
      <c r="K951" s="16">
        <v>46104</v>
      </c>
      <c r="L951" s="16">
        <v>46146</v>
      </c>
      <c r="M951" s="0" t="inlineStr">
        <is>
          <t xml:space="preserve">mar26</t>
        </is>
      </c>
      <c r="N951" s="0" t="inlineStr">
        <is>
          <t xml:space="preserve">may26</t>
        </is>
      </c>
      <c r="O951" s="4">
        <v>42</v>
      </c>
      <c r="P951" s="4">
        <v>0</v>
      </c>
      <c r="Q951" s="4">
        <v>1</v>
      </c>
      <c r="R951" s="4">
        <v>0</v>
      </c>
      <c r="S951" s="4">
        <f>(H951*INDEX('Stages'!$D$2:$D$7,MATCH(F951,'Stages'!$A$2:$A$7,0)))</f>
        <v>0</v>
      </c>
      <c r="T951" s="4">
        <f>(H951*I951)</f>
        <v>18300</v>
      </c>
      <c r="U951" s="4">
        <f>(H951*(I951-1))</f>
        <v>0</v>
      </c>
      <c r="V951" s="0" t="str">
        <f>INDEX('Account executives'!$B$2:$B$25,MATCH(C951,'Account executives'!$A$2:$A$25,0))</f>
        <v>emea</v>
      </c>
      <c r="W951" s="0" t="str">
        <f>INDEX('Account executives'!$C$2:$C$25,MATCH(C951,'Account executives'!$A$2:$A$25,0))</f>
        <v>smb</v>
      </c>
      <c r="X951" s="0" t="str">
        <f>SUBSTITUTE(LOWER(INDEX('Periods'!$G$2:$G$22,MATCH(N951,'Periods'!$A$2:$A$22,0)))," ","_")</f>
        <v>q2_2026</v>
      </c>
    </row>
    <row r="952">
      <c r="A952" s="0" t="inlineStr">
        <is>
          <t xml:space="preserve">o0951</t>
        </is>
      </c>
      <c r="B952" s="0" t="inlineStr">
        <is>
          <t xml:space="preserve">a0127</t>
        </is>
      </c>
      <c r="C952" s="0" t="inlineStr">
        <is>
          <t xml:space="preserve">r17</t>
        </is>
      </c>
      <c r="D952" s="0" t="inlineStr">
        <is>
          <t xml:space="preserve">s_emea_out</t>
        </is>
      </c>
      <c r="E952" s="0" t="inlineStr">
        <is>
          <t xml:space="preserve">outbound</t>
        </is>
      </c>
      <c r="F952" s="0" t="inlineStr">
        <is>
          <t xml:space="preserve">closed_lost</t>
        </is>
      </c>
      <c r="G952" s="4">
        <v>0</v>
      </c>
      <c r="H952" s="4">
        <v>4100</v>
      </c>
      <c r="I952" s="4">
        <v>1</v>
      </c>
      <c r="J952" s="4">
        <v>0</v>
      </c>
      <c r="K952" s="16">
        <v>46221</v>
      </c>
      <c r="L952" s="16">
        <v>46238</v>
      </c>
      <c r="M952" s="0" t="inlineStr">
        <is>
          <t xml:space="preserve">jul26</t>
        </is>
      </c>
      <c r="N952" s="0" t="inlineStr">
        <is>
          <t xml:space="preserve">aug26</t>
        </is>
      </c>
      <c r="O952" s="4">
        <v>17</v>
      </c>
      <c r="P952" s="4">
        <v>0</v>
      </c>
      <c r="Q952" s="4">
        <v>1</v>
      </c>
      <c r="R952" s="4">
        <v>0</v>
      </c>
      <c r="S952" s="4">
        <f>(H952*INDEX('Stages'!$D$2:$D$7,MATCH(F952,'Stages'!$A$2:$A$7,0)))</f>
        <v>0</v>
      </c>
      <c r="T952" s="4">
        <f>(H952*I952)</f>
        <v>4100</v>
      </c>
      <c r="U952" s="4">
        <f>(H952*(I952-1))</f>
        <v>0</v>
      </c>
      <c r="V952" s="0" t="str">
        <f>INDEX('Account executives'!$B$2:$B$25,MATCH(C952,'Account executives'!$A$2:$A$25,0))</f>
        <v>emea</v>
      </c>
      <c r="W952" s="0" t="str">
        <f>INDEX('Account executives'!$C$2:$C$25,MATCH(C952,'Account executives'!$A$2:$A$25,0))</f>
        <v>smb</v>
      </c>
      <c r="X952" s="0" t="str">
        <f>SUBSTITUTE(LOWER(INDEX('Periods'!$G$2:$G$22,MATCH(N952,'Periods'!$A$2:$A$22,0)))," ","_")</f>
        <v>q3_2026</v>
      </c>
    </row>
    <row r="953">
      <c r="A953" s="0" t="inlineStr">
        <is>
          <t xml:space="preserve">o0952</t>
        </is>
      </c>
      <c r="B953" s="0" t="inlineStr">
        <is>
          <t xml:space="preserve">a0940</t>
        </is>
      </c>
      <c r="C953" s="0" t="inlineStr">
        <is>
          <t xml:space="preserve">r16</t>
        </is>
      </c>
      <c r="D953" s="0" t="inlineStr">
        <is>
          <t xml:space="preserve">s_emea_out</t>
        </is>
      </c>
      <c r="E953" s="0" t="inlineStr">
        <is>
          <t xml:space="preserve">outbound</t>
        </is>
      </c>
      <c r="F953" s="0" t="inlineStr">
        <is>
          <t xml:space="preserve">closed_lost</t>
        </is>
      </c>
      <c r="G953" s="4">
        <v>1</v>
      </c>
      <c r="H953" s="4">
        <v>15800</v>
      </c>
      <c r="I953" s="4">
        <v>1</v>
      </c>
      <c r="J953" s="4">
        <v>0</v>
      </c>
      <c r="K953" s="16">
        <v>46160</v>
      </c>
      <c r="L953" s="16">
        <v>46201</v>
      </c>
      <c r="M953" s="0" t="inlineStr">
        <is>
          <t xml:space="preserve">may26</t>
        </is>
      </c>
      <c r="N953" s="0" t="inlineStr">
        <is>
          <t xml:space="preserve">jun26</t>
        </is>
      </c>
      <c r="O953" s="4">
        <v>41</v>
      </c>
      <c r="P953" s="4">
        <v>0</v>
      </c>
      <c r="Q953" s="4">
        <v>1</v>
      </c>
      <c r="R953" s="4">
        <v>0</v>
      </c>
      <c r="S953" s="4">
        <f>(H953*INDEX('Stages'!$D$2:$D$7,MATCH(F953,'Stages'!$A$2:$A$7,0)))</f>
        <v>0</v>
      </c>
      <c r="T953" s="4">
        <f>(H953*I953)</f>
        <v>15800</v>
      </c>
      <c r="U953" s="4">
        <f>(H953*(I953-1))</f>
        <v>0</v>
      </c>
      <c r="V953" s="0" t="str">
        <f>INDEX('Account executives'!$B$2:$B$25,MATCH(C953,'Account executives'!$A$2:$A$25,0))</f>
        <v>emea</v>
      </c>
      <c r="W953" s="0" t="str">
        <f>INDEX('Account executives'!$C$2:$C$25,MATCH(C953,'Account executives'!$A$2:$A$25,0))</f>
        <v>mid_market</v>
      </c>
      <c r="X953" s="0" t="str">
        <f>SUBSTITUTE(LOWER(INDEX('Periods'!$G$2:$G$22,MATCH(N953,'Periods'!$A$2:$A$22,0)))," ","_")</f>
        <v>q2_2026</v>
      </c>
    </row>
    <row r="954">
      <c r="A954" s="0" t="inlineStr">
        <is>
          <t xml:space="preserve">o0953</t>
        </is>
      </c>
      <c r="B954" s="0" t="inlineStr">
        <is>
          <t xml:space="preserve">a0268</t>
        </is>
      </c>
      <c r="C954" s="0" t="inlineStr">
        <is>
          <t xml:space="preserve">r11</t>
        </is>
      </c>
      <c r="D954" s="0" t="inlineStr">
        <is>
          <t xml:space="preserve">s_amer_west_in</t>
        </is>
      </c>
      <c r="E954" s="0" t="inlineStr">
        <is>
          <t xml:space="preserve">inbound</t>
        </is>
      </c>
      <c r="F954" s="0" t="inlineStr">
        <is>
          <t xml:space="preserve">closed_lost</t>
        </is>
      </c>
      <c r="G954" s="4">
        <v>0</v>
      </c>
      <c r="H954" s="4">
        <v>4000</v>
      </c>
      <c r="I954" s="4">
        <v>1</v>
      </c>
      <c r="J954" s="4">
        <v>0</v>
      </c>
      <c r="K954" s="16">
        <v>45915</v>
      </c>
      <c r="L954" s="16">
        <v>46019</v>
      </c>
      <c r="M954" s="0" t="inlineStr">
        <is>
          <t xml:space="preserve">sep25</t>
        </is>
      </c>
      <c r="N954" s="0" t="inlineStr">
        <is>
          <t xml:space="preserve">dec25</t>
        </is>
      </c>
      <c r="O954" s="4">
        <v>104</v>
      </c>
      <c r="P954" s="4">
        <v>0</v>
      </c>
      <c r="Q954" s="4">
        <v>1</v>
      </c>
      <c r="R954" s="4">
        <v>0</v>
      </c>
      <c r="S954" s="4">
        <f>(H954*INDEX('Stages'!$D$2:$D$7,MATCH(F954,'Stages'!$A$2:$A$7,0)))</f>
        <v>0</v>
      </c>
      <c r="T954" s="4">
        <f>(H954*I954)</f>
        <v>4000</v>
      </c>
      <c r="U954" s="4">
        <f>(H954*(I954-1))</f>
        <v>0</v>
      </c>
      <c r="V954" s="0" t="str">
        <f>INDEX('Account executives'!$B$2:$B$25,MATCH(C954,'Account executives'!$A$2:$A$25,0))</f>
        <v>amer_west</v>
      </c>
      <c r="W954" s="0" t="str">
        <f>INDEX('Account executives'!$C$2:$C$25,MATCH(C954,'Account executives'!$A$2:$A$25,0))</f>
        <v>smb</v>
      </c>
      <c r="X954" s="0" t="str">
        <f>SUBSTITUTE(LOWER(INDEX('Periods'!$G$2:$G$22,MATCH(N954,'Periods'!$A$2:$A$22,0)))," ","_")</f>
        <v>q4_2025</v>
      </c>
    </row>
    <row r="955">
      <c r="A955" s="0" t="inlineStr">
        <is>
          <t xml:space="preserve">o0954</t>
        </is>
      </c>
      <c r="B955" s="0" t="inlineStr">
        <is>
          <t xml:space="preserve">a0081</t>
        </is>
      </c>
      <c r="C955" s="0" t="inlineStr">
        <is>
          <t xml:space="preserve">r06</t>
        </is>
      </c>
      <c r="D955" s="0" t="inlineStr">
        <is>
          <t xml:space="preserve">s_amer_east_in</t>
        </is>
      </c>
      <c r="E955" s="0" t="inlineStr">
        <is>
          <t xml:space="preserve">paid</t>
        </is>
      </c>
      <c r="F955" s="0" t="inlineStr">
        <is>
          <t xml:space="preserve">closed_won</t>
        </is>
      </c>
      <c r="G955" s="4">
        <v>0</v>
      </c>
      <c r="H955" s="4">
        <v>7900</v>
      </c>
      <c r="I955" s="4">
        <v>2</v>
      </c>
      <c r="J955" s="4">
        <v>1</v>
      </c>
      <c r="K955" s="16">
        <v>45813</v>
      </c>
      <c r="L955" s="16">
        <v>45928</v>
      </c>
      <c r="M955" s="0" t="inlineStr">
        <is>
          <t xml:space="preserve">jun25</t>
        </is>
      </c>
      <c r="N955" s="0" t="inlineStr">
        <is>
          <t xml:space="preserve">sep25</t>
        </is>
      </c>
      <c r="O955" s="4">
        <v>115</v>
      </c>
      <c r="P955" s="4">
        <v>1</v>
      </c>
      <c r="Q955" s="4">
        <v>0</v>
      </c>
      <c r="R955" s="4">
        <v>0</v>
      </c>
      <c r="S955" s="4">
        <f>(H955*INDEX('Stages'!$D$2:$D$7,MATCH(F955,'Stages'!$A$2:$A$7,0)))</f>
        <v>7900</v>
      </c>
      <c r="T955" s="4">
        <f>(H955*I955)</f>
        <v>15800</v>
      </c>
      <c r="U955" s="4">
        <f>(H955*(I955-1))</f>
        <v>7900</v>
      </c>
      <c r="V955" s="0" t="str">
        <f>INDEX('Account executives'!$B$2:$B$25,MATCH(C955,'Account executives'!$A$2:$A$25,0))</f>
        <v>amer_east</v>
      </c>
      <c r="W955" s="0" t="str">
        <f>INDEX('Account executives'!$C$2:$C$25,MATCH(C955,'Account executives'!$A$2:$A$25,0))</f>
        <v>smb</v>
      </c>
      <c r="X955" s="0" t="str">
        <f>SUBSTITUTE(LOWER(INDEX('Periods'!$G$2:$G$22,MATCH(N955,'Periods'!$A$2:$A$22,0)))," ","_")</f>
        <v>q3_2025</v>
      </c>
    </row>
    <row r="956">
      <c r="A956" s="0" t="inlineStr">
        <is>
          <t xml:space="preserve">o0955</t>
        </is>
      </c>
      <c r="B956" s="0" t="inlineStr">
        <is>
          <t xml:space="preserve">a0331</t>
        </is>
      </c>
      <c r="C956" s="0" t="inlineStr">
        <is>
          <t xml:space="preserve">r09</t>
        </is>
      </c>
      <c r="D956" s="0" t="inlineStr">
        <is>
          <t xml:space="preserve">s_amer_west_in</t>
        </is>
      </c>
      <c r="E956" s="0" t="inlineStr">
        <is>
          <t xml:space="preserve">inbound</t>
        </is>
      </c>
      <c r="F956" s="0" t="inlineStr">
        <is>
          <t xml:space="preserve">closed_lost</t>
        </is>
      </c>
      <c r="G956" s="4">
        <v>0</v>
      </c>
      <c r="H956" s="4">
        <v>24600</v>
      </c>
      <c r="I956" s="4">
        <v>1</v>
      </c>
      <c r="J956" s="4">
        <v>0</v>
      </c>
      <c r="K956" s="16">
        <v>45966</v>
      </c>
      <c r="L956" s="16">
        <v>46015</v>
      </c>
      <c r="M956" s="0" t="inlineStr">
        <is>
          <t xml:space="preserve">nov25</t>
        </is>
      </c>
      <c r="N956" s="0" t="inlineStr">
        <is>
          <t xml:space="preserve">dec25</t>
        </is>
      </c>
      <c r="O956" s="4">
        <v>49</v>
      </c>
      <c r="P956" s="4">
        <v>0</v>
      </c>
      <c r="Q956" s="4">
        <v>1</v>
      </c>
      <c r="R956" s="4">
        <v>0</v>
      </c>
      <c r="S956" s="4">
        <f>(H956*INDEX('Stages'!$D$2:$D$7,MATCH(F956,'Stages'!$A$2:$A$7,0)))</f>
        <v>0</v>
      </c>
      <c r="T956" s="4">
        <f>(H956*I956)</f>
        <v>24600</v>
      </c>
      <c r="U956" s="4">
        <f>(H956*(I956-1))</f>
        <v>0</v>
      </c>
      <c r="V956" s="0" t="str">
        <f>INDEX('Account executives'!$B$2:$B$25,MATCH(C956,'Account executives'!$A$2:$A$25,0))</f>
        <v>amer_west</v>
      </c>
      <c r="W956" s="0" t="str">
        <f>INDEX('Account executives'!$C$2:$C$25,MATCH(C956,'Account executives'!$A$2:$A$25,0))</f>
        <v>mid_market</v>
      </c>
      <c r="X956" s="0" t="str">
        <f>SUBSTITUTE(LOWER(INDEX('Periods'!$G$2:$G$22,MATCH(N956,'Periods'!$A$2:$A$22,0)))," ","_")</f>
        <v>q4_2025</v>
      </c>
    </row>
    <row r="957">
      <c r="A957" s="0" t="inlineStr">
        <is>
          <t xml:space="preserve">o0956</t>
        </is>
      </c>
      <c r="B957" s="0" t="inlineStr">
        <is>
          <t xml:space="preserve">a0668</t>
        </is>
      </c>
      <c r="C957" s="0" t="inlineStr">
        <is>
          <t xml:space="preserve">r01</t>
        </is>
      </c>
      <c r="D957" s="0" t="inlineStr">
        <is>
          <t xml:space="preserve">s_amer_east_out</t>
        </is>
      </c>
      <c r="E957" s="0" t="inlineStr">
        <is>
          <t xml:space="preserve">outbound</t>
        </is>
      </c>
      <c r="F957" s="0" t="inlineStr">
        <is>
          <t xml:space="preserve">closed_lost</t>
        </is>
      </c>
      <c r="G957" s="4">
        <v>1</v>
      </c>
      <c r="H957" s="4">
        <v>193800</v>
      </c>
      <c r="I957" s="4">
        <v>1</v>
      </c>
      <c r="J957" s="4">
        <v>0</v>
      </c>
      <c r="K957" s="16">
        <v>46059</v>
      </c>
      <c r="L957" s="16">
        <v>46149</v>
      </c>
      <c r="M957" s="0" t="inlineStr">
        <is>
          <t xml:space="preserve">feb26</t>
        </is>
      </c>
      <c r="N957" s="0" t="inlineStr">
        <is>
          <t xml:space="preserve">may26</t>
        </is>
      </c>
      <c r="O957" s="4">
        <v>90</v>
      </c>
      <c r="P957" s="4">
        <v>0</v>
      </c>
      <c r="Q957" s="4">
        <v>1</v>
      </c>
      <c r="R957" s="4">
        <v>0</v>
      </c>
      <c r="S957" s="4">
        <f>(H957*INDEX('Stages'!$D$2:$D$7,MATCH(F957,'Stages'!$A$2:$A$7,0)))</f>
        <v>0</v>
      </c>
      <c r="T957" s="4">
        <f>(H957*I957)</f>
        <v>193800</v>
      </c>
      <c r="U957" s="4">
        <f>(H957*(I957-1))</f>
        <v>0</v>
      </c>
      <c r="V957" s="0" t="str">
        <f>INDEX('Account executives'!$B$2:$B$25,MATCH(C957,'Account executives'!$A$2:$A$25,0))</f>
        <v>amer_east</v>
      </c>
      <c r="W957" s="0" t="str">
        <f>INDEX('Account executives'!$C$2:$C$25,MATCH(C957,'Account executives'!$A$2:$A$25,0))</f>
        <v>enterprise</v>
      </c>
      <c r="X957" s="0" t="str">
        <f>SUBSTITUTE(LOWER(INDEX('Periods'!$G$2:$G$22,MATCH(N957,'Periods'!$A$2:$A$22,0)))," ","_")</f>
        <v>q2_2026</v>
      </c>
    </row>
    <row r="958">
      <c r="A958" s="0" t="inlineStr">
        <is>
          <t xml:space="preserve">o0957</t>
        </is>
      </c>
      <c r="B958" s="0" t="inlineStr">
        <is>
          <t xml:space="preserve">a0570</t>
        </is>
      </c>
      <c r="C958" s="0" t="inlineStr">
        <is>
          <t xml:space="preserve">r11</t>
        </is>
      </c>
      <c r="D958" s="0"/>
      <c r="E958" s="0" t="inlineStr">
        <is>
          <t xml:space="preserve">events</t>
        </is>
      </c>
      <c r="F958" s="0" t="inlineStr">
        <is>
          <t xml:space="preserve">closed_lost</t>
        </is>
      </c>
      <c r="G958" s="4">
        <v>1</v>
      </c>
      <c r="H958" s="4">
        <v>13300</v>
      </c>
      <c r="I958" s="4">
        <v>2</v>
      </c>
      <c r="J958" s="4">
        <v>1</v>
      </c>
      <c r="K958" s="16">
        <v>46019</v>
      </c>
      <c r="L958" s="16">
        <v>46109</v>
      </c>
      <c r="M958" s="0" t="inlineStr">
        <is>
          <t xml:space="preserve">dec25</t>
        </is>
      </c>
      <c r="N958" s="0" t="inlineStr">
        <is>
          <t xml:space="preserve">mar26</t>
        </is>
      </c>
      <c r="O958" s="4">
        <v>90</v>
      </c>
      <c r="P958" s="4">
        <v>0</v>
      </c>
      <c r="Q958" s="4">
        <v>1</v>
      </c>
      <c r="R958" s="4">
        <v>0</v>
      </c>
      <c r="S958" s="4">
        <f>(H958*INDEX('Stages'!$D$2:$D$7,MATCH(F958,'Stages'!$A$2:$A$7,0)))</f>
        <v>0</v>
      </c>
      <c r="T958" s="4">
        <f>(H958*I958)</f>
        <v>26600</v>
      </c>
      <c r="U958" s="4">
        <f>(H958*(I958-1))</f>
        <v>13300</v>
      </c>
      <c r="V958" s="0" t="str">
        <f>INDEX('Account executives'!$B$2:$B$25,MATCH(C958,'Account executives'!$A$2:$A$25,0))</f>
        <v>amer_west</v>
      </c>
      <c r="W958" s="0" t="str">
        <f>INDEX('Account executives'!$C$2:$C$25,MATCH(C958,'Account executives'!$A$2:$A$25,0))</f>
        <v>smb</v>
      </c>
      <c r="X958" s="0" t="str">
        <f>SUBSTITUTE(LOWER(INDEX('Periods'!$G$2:$G$22,MATCH(N958,'Periods'!$A$2:$A$22,0)))," ","_")</f>
        <v>q1_2026</v>
      </c>
    </row>
    <row r="959">
      <c r="A959" s="0" t="inlineStr">
        <is>
          <t xml:space="preserve">o0958</t>
        </is>
      </c>
      <c r="B959" s="0" t="inlineStr">
        <is>
          <t xml:space="preserve">a1252</t>
        </is>
      </c>
      <c r="C959" s="0" t="inlineStr">
        <is>
          <t xml:space="preserve">r15</t>
        </is>
      </c>
      <c r="D959" s="0" t="inlineStr">
        <is>
          <t xml:space="preserve">s_emea_in</t>
        </is>
      </c>
      <c r="E959" s="0" t="inlineStr">
        <is>
          <t xml:space="preserve">paid</t>
        </is>
      </c>
      <c r="F959" s="0" t="inlineStr">
        <is>
          <t xml:space="preserve">discovery</t>
        </is>
      </c>
      <c r="G959" s="4">
        <v>1</v>
      </c>
      <c r="H959" s="4">
        <v>52600</v>
      </c>
      <c r="I959" s="4">
        <v>3</v>
      </c>
      <c r="J959" s="4">
        <v>1</v>
      </c>
      <c r="K959" s="16">
        <v>46276</v>
      </c>
      <c r="L959" s="16">
        <v>46293</v>
      </c>
      <c r="M959" s="0" t="inlineStr">
        <is>
          <t xml:space="preserve">sep26</t>
        </is>
      </c>
      <c r="N959" s="0" t="inlineStr">
        <is>
          <t xml:space="preserve">sep26</t>
        </is>
      </c>
      <c r="O959" s="4">
        <v>30</v>
      </c>
      <c r="P959" s="4">
        <v>0</v>
      </c>
      <c r="Q959" s="4">
        <v>0</v>
      </c>
      <c r="R959" s="4">
        <v>1</v>
      </c>
      <c r="S959" s="4">
        <f>(H959*INDEX('Stages'!$D$2:$D$7,MATCH(F959,'Stages'!$A$2:$A$7,0)))</f>
        <v>5260</v>
      </c>
      <c r="T959" s="4">
        <f>(H959*I959)</f>
        <v>157800</v>
      </c>
      <c r="U959" s="4">
        <f>(H959*(I959-1))</f>
        <v>105200</v>
      </c>
      <c r="V959" s="0" t="str">
        <f>INDEX('Account executives'!$B$2:$B$25,MATCH(C959,'Account executives'!$A$2:$A$25,0))</f>
        <v>emea</v>
      </c>
      <c r="W959" s="0" t="str">
        <f>INDEX('Account executives'!$C$2:$C$25,MATCH(C959,'Account executives'!$A$2:$A$25,0))</f>
        <v>mid_market</v>
      </c>
      <c r="X959" s="0" t="str">
        <f>SUBSTITUTE(LOWER(INDEX('Periods'!$G$2:$G$22,MATCH(N959,'Periods'!$A$2:$A$22,0)))," ","_")</f>
        <v>q3_2026</v>
      </c>
    </row>
    <row r="960">
      <c r="A960" s="0" t="inlineStr">
        <is>
          <t xml:space="preserve">o0959</t>
        </is>
      </c>
      <c r="B960" s="0" t="inlineStr">
        <is>
          <t xml:space="preserve">a0011</t>
        </is>
      </c>
      <c r="C960" s="0" t="inlineStr">
        <is>
          <t xml:space="preserve">r04</t>
        </is>
      </c>
      <c r="D960" s="0"/>
      <c r="E960" s="0" t="inlineStr">
        <is>
          <t xml:space="preserve">referral</t>
        </is>
      </c>
      <c r="F960" s="0" t="inlineStr">
        <is>
          <t xml:space="preserve">closed_won</t>
        </is>
      </c>
      <c r="G960" s="4">
        <v>0</v>
      </c>
      <c r="H960" s="4">
        <v>11000</v>
      </c>
      <c r="I960" s="4">
        <v>2</v>
      </c>
      <c r="J960" s="4">
        <v>0</v>
      </c>
      <c r="K960" s="16">
        <v>45753</v>
      </c>
      <c r="L960" s="16">
        <v>45808</v>
      </c>
      <c r="M960" s="0" t="inlineStr">
        <is>
          <t xml:space="preserve">apr25</t>
        </is>
      </c>
      <c r="N960" s="0" t="inlineStr">
        <is>
          <t xml:space="preserve">may25</t>
        </is>
      </c>
      <c r="O960" s="4">
        <v>55</v>
      </c>
      <c r="P960" s="4">
        <v>1</v>
      </c>
      <c r="Q960" s="4">
        <v>0</v>
      </c>
      <c r="R960" s="4">
        <v>0</v>
      </c>
      <c r="S960" s="4">
        <f>(H960*INDEX('Stages'!$D$2:$D$7,MATCH(F960,'Stages'!$A$2:$A$7,0)))</f>
        <v>11000</v>
      </c>
      <c r="T960" s="4">
        <f>(H960*I960)</f>
        <v>22000</v>
      </c>
      <c r="U960" s="4">
        <f>(H960*(I960-1))</f>
        <v>11000</v>
      </c>
      <c r="V960" s="0" t="str">
        <f>INDEX('Account executives'!$B$2:$B$25,MATCH(C960,'Account executives'!$A$2:$A$25,0))</f>
        <v>amer_east</v>
      </c>
      <c r="W960" s="0" t="str">
        <f>INDEX('Account executives'!$C$2:$C$25,MATCH(C960,'Account executives'!$A$2:$A$25,0))</f>
        <v>mid_market</v>
      </c>
      <c r="X960" s="0" t="str">
        <f>SUBSTITUTE(LOWER(INDEX('Periods'!$G$2:$G$22,MATCH(N960,'Periods'!$A$2:$A$22,0)))," ","_")</f>
        <v>q2_2025</v>
      </c>
    </row>
    <row r="961">
      <c r="A961" s="0" t="inlineStr">
        <is>
          <t xml:space="preserve">o0960</t>
        </is>
      </c>
      <c r="B961" s="0" t="inlineStr">
        <is>
          <t xml:space="preserve">a0695</t>
        </is>
      </c>
      <c r="C961" s="0" t="inlineStr">
        <is>
          <t xml:space="preserve">r18</t>
        </is>
      </c>
      <c r="D961" s="0" t="inlineStr">
        <is>
          <t xml:space="preserve">s_emea_in</t>
        </is>
      </c>
      <c r="E961" s="0" t="inlineStr">
        <is>
          <t xml:space="preserve">inbound</t>
        </is>
      </c>
      <c r="F961" s="0" t="inlineStr">
        <is>
          <t xml:space="preserve">closed_lost</t>
        </is>
      </c>
      <c r="G961" s="4">
        <v>1</v>
      </c>
      <c r="H961" s="4">
        <v>8300</v>
      </c>
      <c r="I961" s="4">
        <v>1</v>
      </c>
      <c r="J961" s="4">
        <v>1</v>
      </c>
      <c r="K961" s="16">
        <v>46080</v>
      </c>
      <c r="L961" s="16">
        <v>46087</v>
      </c>
      <c r="M961" s="0" t="inlineStr">
        <is>
          <t xml:space="preserve">feb26</t>
        </is>
      </c>
      <c r="N961" s="0" t="inlineStr">
        <is>
          <t xml:space="preserve">mar26</t>
        </is>
      </c>
      <c r="O961" s="4">
        <v>7</v>
      </c>
      <c r="P961" s="4">
        <v>0</v>
      </c>
      <c r="Q961" s="4">
        <v>1</v>
      </c>
      <c r="R961" s="4">
        <v>0</v>
      </c>
      <c r="S961" s="4">
        <f>(H961*INDEX('Stages'!$D$2:$D$7,MATCH(F961,'Stages'!$A$2:$A$7,0)))</f>
        <v>0</v>
      </c>
      <c r="T961" s="4">
        <f>(H961*I961)</f>
        <v>8300</v>
      </c>
      <c r="U961" s="4">
        <f>(H961*(I961-1))</f>
        <v>0</v>
      </c>
      <c r="V961" s="0" t="str">
        <f>INDEX('Account executives'!$B$2:$B$25,MATCH(C961,'Account executives'!$A$2:$A$25,0))</f>
        <v>emea</v>
      </c>
      <c r="W961" s="0" t="str">
        <f>INDEX('Account executives'!$C$2:$C$25,MATCH(C961,'Account executives'!$A$2:$A$25,0))</f>
        <v>smb</v>
      </c>
      <c r="X961" s="0" t="str">
        <f>SUBSTITUTE(LOWER(INDEX('Periods'!$G$2:$G$22,MATCH(N961,'Periods'!$A$2:$A$22,0)))," ","_")</f>
        <v>q1_2026</v>
      </c>
    </row>
    <row r="962">
      <c r="A962" s="0" t="inlineStr">
        <is>
          <t xml:space="preserve">o0961</t>
        </is>
      </c>
      <c r="B962" s="0" t="inlineStr">
        <is>
          <t xml:space="preserve">a1001</t>
        </is>
      </c>
      <c r="C962" s="0" t="inlineStr">
        <is>
          <t xml:space="preserve">r11</t>
        </is>
      </c>
      <c r="D962" s="0"/>
      <c r="E962" s="0" t="inlineStr">
        <is>
          <t xml:space="preserve">partner</t>
        </is>
      </c>
      <c r="F962" s="0" t="inlineStr">
        <is>
          <t xml:space="preserve">closed_won</t>
        </is>
      </c>
      <c r="G962" s="4">
        <v>1</v>
      </c>
      <c r="H962" s="4">
        <v>8600</v>
      </c>
      <c r="I962" s="4">
        <v>1</v>
      </c>
      <c r="J962" s="4">
        <v>1</v>
      </c>
      <c r="K962" s="16">
        <v>46186</v>
      </c>
      <c r="L962" s="16">
        <v>46224</v>
      </c>
      <c r="M962" s="0" t="inlineStr">
        <is>
          <t xml:space="preserve">jun26</t>
        </is>
      </c>
      <c r="N962" s="0" t="inlineStr">
        <is>
          <t xml:space="preserve">jul26</t>
        </is>
      </c>
      <c r="O962" s="4">
        <v>38</v>
      </c>
      <c r="P962" s="4">
        <v>1</v>
      </c>
      <c r="Q962" s="4">
        <v>0</v>
      </c>
      <c r="R962" s="4">
        <v>0</v>
      </c>
      <c r="S962" s="4">
        <f>(H962*INDEX('Stages'!$D$2:$D$7,MATCH(F962,'Stages'!$A$2:$A$7,0)))</f>
        <v>8600</v>
      </c>
      <c r="T962" s="4">
        <f>(H962*I962)</f>
        <v>8600</v>
      </c>
      <c r="U962" s="4">
        <f>(H962*(I962-1))</f>
        <v>0</v>
      </c>
      <c r="V962" s="0" t="str">
        <f>INDEX('Account executives'!$B$2:$B$25,MATCH(C962,'Account executives'!$A$2:$A$25,0))</f>
        <v>amer_west</v>
      </c>
      <c r="W962" s="0" t="str">
        <f>INDEX('Account executives'!$C$2:$C$25,MATCH(C962,'Account executives'!$A$2:$A$25,0))</f>
        <v>smb</v>
      </c>
      <c r="X962" s="0" t="str">
        <f>SUBSTITUTE(LOWER(INDEX('Periods'!$G$2:$G$22,MATCH(N962,'Periods'!$A$2:$A$22,0)))," ","_")</f>
        <v>q3_2026</v>
      </c>
    </row>
    <row r="963">
      <c r="A963" s="0" t="inlineStr">
        <is>
          <t xml:space="preserve">o0962</t>
        </is>
      </c>
      <c r="B963" s="0" t="inlineStr">
        <is>
          <t xml:space="preserve">a0033</t>
        </is>
      </c>
      <c r="C963" s="0" t="inlineStr">
        <is>
          <t xml:space="preserve">r09</t>
        </is>
      </c>
      <c r="D963" s="0" t="inlineStr">
        <is>
          <t xml:space="preserve">s_amer_west_out</t>
        </is>
      </c>
      <c r="E963" s="0" t="inlineStr">
        <is>
          <t xml:space="preserve">outbound</t>
        </is>
      </c>
      <c r="F963" s="0" t="inlineStr">
        <is>
          <t xml:space="preserve">closed_lost</t>
        </is>
      </c>
      <c r="G963" s="4">
        <v>0</v>
      </c>
      <c r="H963" s="4">
        <v>21600</v>
      </c>
      <c r="I963" s="4">
        <v>1</v>
      </c>
      <c r="J963" s="4">
        <v>1</v>
      </c>
      <c r="K963" s="16">
        <v>45805</v>
      </c>
      <c r="L963" s="16">
        <v>45856</v>
      </c>
      <c r="M963" s="0" t="inlineStr">
        <is>
          <t xml:space="preserve">may25</t>
        </is>
      </c>
      <c r="N963" s="0" t="inlineStr">
        <is>
          <t xml:space="preserve">jul25</t>
        </is>
      </c>
      <c r="O963" s="4">
        <v>51</v>
      </c>
      <c r="P963" s="4">
        <v>0</v>
      </c>
      <c r="Q963" s="4">
        <v>1</v>
      </c>
      <c r="R963" s="4">
        <v>0</v>
      </c>
      <c r="S963" s="4">
        <f>(H963*INDEX('Stages'!$D$2:$D$7,MATCH(F963,'Stages'!$A$2:$A$7,0)))</f>
        <v>0</v>
      </c>
      <c r="T963" s="4">
        <f>(H963*I963)</f>
        <v>21600</v>
      </c>
      <c r="U963" s="4">
        <f>(H963*(I963-1))</f>
        <v>0</v>
      </c>
      <c r="V963" s="0" t="str">
        <f>INDEX('Account executives'!$B$2:$B$25,MATCH(C963,'Account executives'!$A$2:$A$25,0))</f>
        <v>amer_west</v>
      </c>
      <c r="W963" s="0" t="str">
        <f>INDEX('Account executives'!$C$2:$C$25,MATCH(C963,'Account executives'!$A$2:$A$25,0))</f>
        <v>mid_market</v>
      </c>
      <c r="X963" s="0" t="str">
        <f>SUBSTITUTE(LOWER(INDEX('Periods'!$G$2:$G$22,MATCH(N963,'Periods'!$A$2:$A$22,0)))," ","_")</f>
        <v>q3_2025</v>
      </c>
    </row>
    <row r="964">
      <c r="A964" s="0" t="inlineStr">
        <is>
          <t xml:space="preserve">o0963</t>
        </is>
      </c>
      <c r="B964" s="0" t="inlineStr">
        <is>
          <t xml:space="preserve">a0501</t>
        </is>
      </c>
      <c r="C964" s="0" t="inlineStr">
        <is>
          <t xml:space="preserve">r09</t>
        </is>
      </c>
      <c r="D964" s="0"/>
      <c r="E964" s="0" t="inlineStr">
        <is>
          <t xml:space="preserve">events</t>
        </is>
      </c>
      <c r="F964" s="0" t="inlineStr">
        <is>
          <t xml:space="preserve">closed_won</t>
        </is>
      </c>
      <c r="G964" s="4">
        <v>1</v>
      </c>
      <c r="H964" s="4">
        <v>54800</v>
      </c>
      <c r="I964" s="4">
        <v>1</v>
      </c>
      <c r="J964" s="4">
        <v>0</v>
      </c>
      <c r="K964" s="16">
        <v>45989</v>
      </c>
      <c r="L964" s="16">
        <v>46045</v>
      </c>
      <c r="M964" s="0" t="inlineStr">
        <is>
          <t xml:space="preserve">nov25</t>
        </is>
      </c>
      <c r="N964" s="0" t="inlineStr">
        <is>
          <t xml:space="preserve">jan26</t>
        </is>
      </c>
      <c r="O964" s="4">
        <v>56</v>
      </c>
      <c r="P964" s="4">
        <v>1</v>
      </c>
      <c r="Q964" s="4">
        <v>0</v>
      </c>
      <c r="R964" s="4">
        <v>0</v>
      </c>
      <c r="S964" s="4">
        <f>(H964*INDEX('Stages'!$D$2:$D$7,MATCH(F964,'Stages'!$A$2:$A$7,0)))</f>
        <v>54800</v>
      </c>
      <c r="T964" s="4">
        <f>(H964*I964)</f>
        <v>54800</v>
      </c>
      <c r="U964" s="4">
        <f>(H964*(I964-1))</f>
        <v>0</v>
      </c>
      <c r="V964" s="0" t="str">
        <f>INDEX('Account executives'!$B$2:$B$25,MATCH(C964,'Account executives'!$A$2:$A$25,0))</f>
        <v>amer_west</v>
      </c>
      <c r="W964" s="0" t="str">
        <f>INDEX('Account executives'!$C$2:$C$25,MATCH(C964,'Account executives'!$A$2:$A$25,0))</f>
        <v>mid_market</v>
      </c>
      <c r="X964" s="0" t="str">
        <f>SUBSTITUTE(LOWER(INDEX('Periods'!$G$2:$G$22,MATCH(N964,'Periods'!$A$2:$A$22,0)))," ","_")</f>
        <v>q1_2026</v>
      </c>
    </row>
    <row r="965">
      <c r="A965" s="0" t="inlineStr">
        <is>
          <t xml:space="preserve">o0964</t>
        </is>
      </c>
      <c r="B965" s="0" t="inlineStr">
        <is>
          <t xml:space="preserve">a0007</t>
        </is>
      </c>
      <c r="C965" s="0" t="inlineStr">
        <is>
          <t xml:space="preserve">r04</t>
        </is>
      </c>
      <c r="D965" s="0"/>
      <c r="E965" s="0" t="inlineStr">
        <is>
          <t xml:space="preserve">events</t>
        </is>
      </c>
      <c r="F965" s="0" t="inlineStr">
        <is>
          <t xml:space="preserve">closed_won</t>
        </is>
      </c>
      <c r="G965" s="4">
        <v>0</v>
      </c>
      <c r="H965" s="4">
        <v>37600</v>
      </c>
      <c r="I965" s="4">
        <v>1</v>
      </c>
      <c r="J965" s="4">
        <v>0</v>
      </c>
      <c r="K965" s="16">
        <v>45804</v>
      </c>
      <c r="L965" s="16">
        <v>45875</v>
      </c>
      <c r="M965" s="0" t="inlineStr">
        <is>
          <t xml:space="preserve">may25</t>
        </is>
      </c>
      <c r="N965" s="0" t="inlineStr">
        <is>
          <t xml:space="preserve">aug25</t>
        </is>
      </c>
      <c r="O965" s="4">
        <v>71</v>
      </c>
      <c r="P965" s="4">
        <v>1</v>
      </c>
      <c r="Q965" s="4">
        <v>0</v>
      </c>
      <c r="R965" s="4">
        <v>0</v>
      </c>
      <c r="S965" s="4">
        <f>(H965*INDEX('Stages'!$D$2:$D$7,MATCH(F965,'Stages'!$A$2:$A$7,0)))</f>
        <v>37600</v>
      </c>
      <c r="T965" s="4">
        <f>(H965*I965)</f>
        <v>37600</v>
      </c>
      <c r="U965" s="4">
        <f>(H965*(I965-1))</f>
        <v>0</v>
      </c>
      <c r="V965" s="0" t="str">
        <f>INDEX('Account executives'!$B$2:$B$25,MATCH(C965,'Account executives'!$A$2:$A$25,0))</f>
        <v>amer_east</v>
      </c>
      <c r="W965" s="0" t="str">
        <f>INDEX('Account executives'!$C$2:$C$25,MATCH(C965,'Account executives'!$A$2:$A$25,0))</f>
        <v>mid_market</v>
      </c>
      <c r="X965" s="0" t="str">
        <f>SUBSTITUTE(LOWER(INDEX('Periods'!$G$2:$G$22,MATCH(N965,'Periods'!$A$2:$A$22,0)))," ","_")</f>
        <v>q3_2025</v>
      </c>
    </row>
    <row r="966">
      <c r="A966" s="0" t="inlineStr">
        <is>
          <t xml:space="preserve">o0965</t>
        </is>
      </c>
      <c r="B966" s="0" t="inlineStr">
        <is>
          <t xml:space="preserve">a0306</t>
        </is>
      </c>
      <c r="C966" s="0" t="inlineStr">
        <is>
          <t xml:space="preserve">r21</t>
        </is>
      </c>
      <c r="D966" s="0"/>
      <c r="E966" s="0" t="inlineStr">
        <is>
          <t xml:space="preserve">referral</t>
        </is>
      </c>
      <c r="F966" s="0" t="inlineStr">
        <is>
          <t xml:space="preserve">closed_won</t>
        </is>
      </c>
      <c r="G966" s="4">
        <v>1</v>
      </c>
      <c r="H966" s="4">
        <v>38500</v>
      </c>
      <c r="I966" s="4">
        <v>2</v>
      </c>
      <c r="J966" s="4">
        <v>0</v>
      </c>
      <c r="K966" s="16">
        <v>45862</v>
      </c>
      <c r="L966" s="16">
        <v>45915</v>
      </c>
      <c r="M966" s="0" t="inlineStr">
        <is>
          <t xml:space="preserve">jul25</t>
        </is>
      </c>
      <c r="N966" s="0" t="inlineStr">
        <is>
          <t xml:space="preserve">sep25</t>
        </is>
      </c>
      <c r="O966" s="4">
        <v>53</v>
      </c>
      <c r="P966" s="4">
        <v>1</v>
      </c>
      <c r="Q966" s="4">
        <v>0</v>
      </c>
      <c r="R966" s="4">
        <v>0</v>
      </c>
      <c r="S966" s="4">
        <f>(H966*INDEX('Stages'!$D$2:$D$7,MATCH(F966,'Stages'!$A$2:$A$7,0)))</f>
        <v>38500</v>
      </c>
      <c r="T966" s="4">
        <f>(H966*I966)</f>
        <v>77000</v>
      </c>
      <c r="U966" s="4">
        <f>(H966*(I966-1))</f>
        <v>38500</v>
      </c>
      <c r="V966" s="0" t="str">
        <f>INDEX('Account executives'!$B$2:$B$25,MATCH(C966,'Account executives'!$A$2:$A$25,0))</f>
        <v>apac</v>
      </c>
      <c r="W966" s="0" t="str">
        <f>INDEX('Account executives'!$C$2:$C$25,MATCH(C966,'Account executives'!$A$2:$A$25,0))</f>
        <v>mid_market</v>
      </c>
      <c r="X966" s="0" t="str">
        <f>SUBSTITUTE(LOWER(INDEX('Periods'!$G$2:$G$22,MATCH(N966,'Periods'!$A$2:$A$22,0)))," ","_")</f>
        <v>q3_2025</v>
      </c>
    </row>
    <row r="967">
      <c r="A967" s="0" t="inlineStr">
        <is>
          <t xml:space="preserve">o0966</t>
        </is>
      </c>
      <c r="B967" s="0" t="inlineStr">
        <is>
          <t xml:space="preserve">a0073</t>
        </is>
      </c>
      <c r="C967" s="0" t="inlineStr">
        <is>
          <t xml:space="preserve">r06</t>
        </is>
      </c>
      <c r="D967" s="0" t="inlineStr">
        <is>
          <t xml:space="preserve">s_amer_east_in</t>
        </is>
      </c>
      <c r="E967" s="0" t="inlineStr">
        <is>
          <t xml:space="preserve">inbound</t>
        </is>
      </c>
      <c r="F967" s="0" t="inlineStr">
        <is>
          <t xml:space="preserve">closed_won</t>
        </is>
      </c>
      <c r="G967" s="4">
        <v>0</v>
      </c>
      <c r="H967" s="4">
        <v>5000</v>
      </c>
      <c r="I967" s="4">
        <v>1</v>
      </c>
      <c r="J967" s="4">
        <v>0</v>
      </c>
      <c r="K967" s="16">
        <v>45865</v>
      </c>
      <c r="L967" s="16">
        <v>45897</v>
      </c>
      <c r="M967" s="0" t="inlineStr">
        <is>
          <t xml:space="preserve">jul25</t>
        </is>
      </c>
      <c r="N967" s="0" t="inlineStr">
        <is>
          <t xml:space="preserve">aug25</t>
        </is>
      </c>
      <c r="O967" s="4">
        <v>32</v>
      </c>
      <c r="P967" s="4">
        <v>1</v>
      </c>
      <c r="Q967" s="4">
        <v>0</v>
      </c>
      <c r="R967" s="4">
        <v>0</v>
      </c>
      <c r="S967" s="4">
        <f>(H967*INDEX('Stages'!$D$2:$D$7,MATCH(F967,'Stages'!$A$2:$A$7,0)))</f>
        <v>5000</v>
      </c>
      <c r="T967" s="4">
        <f>(H967*I967)</f>
        <v>5000</v>
      </c>
      <c r="U967" s="4">
        <f>(H967*(I967-1))</f>
        <v>0</v>
      </c>
      <c r="V967" s="0" t="str">
        <f>INDEX('Account executives'!$B$2:$B$25,MATCH(C967,'Account executives'!$A$2:$A$25,0))</f>
        <v>amer_east</v>
      </c>
      <c r="W967" s="0" t="str">
        <f>INDEX('Account executives'!$C$2:$C$25,MATCH(C967,'Account executives'!$A$2:$A$25,0))</f>
        <v>smb</v>
      </c>
      <c r="X967" s="0" t="str">
        <f>SUBSTITUTE(LOWER(INDEX('Periods'!$G$2:$G$22,MATCH(N967,'Periods'!$A$2:$A$22,0)))," ","_")</f>
        <v>q3_2025</v>
      </c>
    </row>
    <row r="968">
      <c r="A968" s="0" t="inlineStr">
        <is>
          <t xml:space="preserve">o0967</t>
        </is>
      </c>
      <c r="B968" s="0" t="inlineStr">
        <is>
          <t xml:space="preserve">a0068</t>
        </is>
      </c>
      <c r="C968" s="0" t="inlineStr">
        <is>
          <t xml:space="preserve">r04</t>
        </is>
      </c>
      <c r="D968" s="0" t="inlineStr">
        <is>
          <t xml:space="preserve">s_amer_east_in</t>
        </is>
      </c>
      <c r="E968" s="0" t="inlineStr">
        <is>
          <t xml:space="preserve">inbound</t>
        </is>
      </c>
      <c r="F968" s="0" t="inlineStr">
        <is>
          <t xml:space="preserve">closed_lost</t>
        </is>
      </c>
      <c r="G968" s="4">
        <v>1</v>
      </c>
      <c r="H968" s="4">
        <v>45700</v>
      </c>
      <c r="I968" s="4">
        <v>3</v>
      </c>
      <c r="J968" s="4">
        <v>0</v>
      </c>
      <c r="K968" s="16">
        <v>45802</v>
      </c>
      <c r="L968" s="16">
        <v>45854</v>
      </c>
      <c r="M968" s="0" t="inlineStr">
        <is>
          <t xml:space="preserve">may25</t>
        </is>
      </c>
      <c r="N968" s="0" t="inlineStr">
        <is>
          <t xml:space="preserve">jul25</t>
        </is>
      </c>
      <c r="O968" s="4">
        <v>52</v>
      </c>
      <c r="P968" s="4">
        <v>0</v>
      </c>
      <c r="Q968" s="4">
        <v>1</v>
      </c>
      <c r="R968" s="4">
        <v>0</v>
      </c>
      <c r="S968" s="4">
        <f>(H968*INDEX('Stages'!$D$2:$D$7,MATCH(F968,'Stages'!$A$2:$A$7,0)))</f>
        <v>0</v>
      </c>
      <c r="T968" s="4">
        <f>(H968*I968)</f>
        <v>137100</v>
      </c>
      <c r="U968" s="4">
        <f>(H968*(I968-1))</f>
        <v>91400</v>
      </c>
      <c r="V968" s="0" t="str">
        <f>INDEX('Account executives'!$B$2:$B$25,MATCH(C968,'Account executives'!$A$2:$A$25,0))</f>
        <v>amer_east</v>
      </c>
      <c r="W968" s="0" t="str">
        <f>INDEX('Account executives'!$C$2:$C$25,MATCH(C968,'Account executives'!$A$2:$A$25,0))</f>
        <v>mid_market</v>
      </c>
      <c r="X968" s="0" t="str">
        <f>SUBSTITUTE(LOWER(INDEX('Periods'!$G$2:$G$22,MATCH(N968,'Periods'!$A$2:$A$22,0)))," ","_")</f>
        <v>q3_2025</v>
      </c>
    </row>
    <row r="969">
      <c r="A969" s="0" t="inlineStr">
        <is>
          <t xml:space="preserve">o0968</t>
        </is>
      </c>
      <c r="B969" s="0" t="inlineStr">
        <is>
          <t xml:space="preserve">a0007</t>
        </is>
      </c>
      <c r="C969" s="0" t="inlineStr">
        <is>
          <t xml:space="preserve">r03</t>
        </is>
      </c>
      <c r="D969" s="0" t="inlineStr">
        <is>
          <t xml:space="preserve">s_amer_east_in</t>
        </is>
      </c>
      <c r="E969" s="0" t="inlineStr">
        <is>
          <t xml:space="preserve">paid</t>
        </is>
      </c>
      <c r="F969" s="0" t="inlineStr">
        <is>
          <t xml:space="preserve">closed_won</t>
        </is>
      </c>
      <c r="G969" s="4">
        <v>0</v>
      </c>
      <c r="H969" s="4">
        <v>8700</v>
      </c>
      <c r="I969" s="4">
        <v>1</v>
      </c>
      <c r="J969" s="4">
        <v>0</v>
      </c>
      <c r="K969" s="16">
        <v>46219</v>
      </c>
      <c r="L969" s="16">
        <v>46272</v>
      </c>
      <c r="M969" s="0" t="inlineStr">
        <is>
          <t xml:space="preserve">jul26</t>
        </is>
      </c>
      <c r="N969" s="0" t="inlineStr">
        <is>
          <t xml:space="preserve">sep26</t>
        </is>
      </c>
      <c r="O969" s="4">
        <v>53</v>
      </c>
      <c r="P969" s="4">
        <v>1</v>
      </c>
      <c r="Q969" s="4">
        <v>0</v>
      </c>
      <c r="R969" s="4">
        <v>0</v>
      </c>
      <c r="S969" s="4">
        <f>(H969*INDEX('Stages'!$D$2:$D$7,MATCH(F969,'Stages'!$A$2:$A$7,0)))</f>
        <v>8700</v>
      </c>
      <c r="T969" s="4">
        <f>(H969*I969)</f>
        <v>8700</v>
      </c>
      <c r="U969" s="4">
        <f>(H969*(I969-1))</f>
        <v>0</v>
      </c>
      <c r="V969" s="0" t="str">
        <f>INDEX('Account executives'!$B$2:$B$25,MATCH(C969,'Account executives'!$A$2:$A$25,0))</f>
        <v>amer_east</v>
      </c>
      <c r="W969" s="0" t="str">
        <f>INDEX('Account executives'!$C$2:$C$25,MATCH(C969,'Account executives'!$A$2:$A$25,0))</f>
        <v>mid_market</v>
      </c>
      <c r="X969" s="0" t="str">
        <f>SUBSTITUTE(LOWER(INDEX('Periods'!$G$2:$G$22,MATCH(N969,'Periods'!$A$2:$A$22,0)))," ","_")</f>
        <v>q3_2026</v>
      </c>
    </row>
    <row r="970">
      <c r="A970" s="0" t="inlineStr">
        <is>
          <t xml:space="preserve">o0969</t>
        </is>
      </c>
      <c r="B970" s="0" t="inlineStr">
        <is>
          <t xml:space="preserve">a1057</t>
        </is>
      </c>
      <c r="C970" s="0" t="inlineStr">
        <is>
          <t xml:space="preserve">r19</t>
        </is>
      </c>
      <c r="D970" s="0" t="inlineStr">
        <is>
          <t xml:space="preserve">s_apac_out</t>
        </is>
      </c>
      <c r="E970" s="0" t="inlineStr">
        <is>
          <t xml:space="preserve">outbound</t>
        </is>
      </c>
      <c r="F970" s="0" t="inlineStr">
        <is>
          <t xml:space="preserve">evaluation</t>
        </is>
      </c>
      <c r="G970" s="4">
        <v>1</v>
      </c>
      <c r="H970" s="4">
        <v>122600</v>
      </c>
      <c r="I970" s="4">
        <v>1</v>
      </c>
      <c r="J970" s="4">
        <v>0</v>
      </c>
      <c r="K970" s="16">
        <v>46196</v>
      </c>
      <c r="L970" s="16">
        <v>46298</v>
      </c>
      <c r="M970" s="0" t="inlineStr">
        <is>
          <t xml:space="preserve">jun26</t>
        </is>
      </c>
      <c r="N970" s="0" t="inlineStr">
        <is>
          <t xml:space="preserve">oct26</t>
        </is>
      </c>
      <c r="O970" s="4">
        <v>133</v>
      </c>
      <c r="P970" s="4">
        <v>0</v>
      </c>
      <c r="Q970" s="4">
        <v>0</v>
      </c>
      <c r="R970" s="4">
        <v>1</v>
      </c>
      <c r="S970" s="4">
        <f>(H970*INDEX('Stages'!$D$2:$D$7,MATCH(F970,'Stages'!$A$2:$A$7,0)))</f>
        <v>30650</v>
      </c>
      <c r="T970" s="4">
        <f>(H970*I970)</f>
        <v>122600</v>
      </c>
      <c r="U970" s="4">
        <f>(H970*(I970-1))</f>
        <v>0</v>
      </c>
      <c r="V970" s="0" t="str">
        <f>INDEX('Account executives'!$B$2:$B$25,MATCH(C970,'Account executives'!$A$2:$A$25,0))</f>
        <v>apac</v>
      </c>
      <c r="W970" s="0" t="str">
        <f>INDEX('Account executives'!$C$2:$C$25,MATCH(C970,'Account executives'!$A$2:$A$25,0))</f>
        <v>enterprise</v>
      </c>
      <c r="X970" s="0" t="str">
        <f>SUBSTITUTE(LOWER(INDEX('Periods'!$G$2:$G$22,MATCH(N970,'Periods'!$A$2:$A$22,0)))," ","_")</f>
        <v>q4_2026</v>
      </c>
    </row>
    <row r="971">
      <c r="A971" s="0" t="inlineStr">
        <is>
          <t xml:space="preserve">o0970</t>
        </is>
      </c>
      <c r="B971" s="0" t="inlineStr">
        <is>
          <t xml:space="preserve">a0119</t>
        </is>
      </c>
      <c r="C971" s="0" t="inlineStr">
        <is>
          <t xml:space="preserve">r15</t>
        </is>
      </c>
      <c r="D971" s="0"/>
      <c r="E971" s="0" t="inlineStr">
        <is>
          <t xml:space="preserve">events</t>
        </is>
      </c>
      <c r="F971" s="0" t="inlineStr">
        <is>
          <t xml:space="preserve">closed_lost</t>
        </is>
      </c>
      <c r="G971" s="4">
        <v>0</v>
      </c>
      <c r="H971" s="4">
        <v>50100</v>
      </c>
      <c r="I971" s="4">
        <v>3</v>
      </c>
      <c r="J971" s="4">
        <v>0</v>
      </c>
      <c r="K971" s="16">
        <v>45901</v>
      </c>
      <c r="L971" s="16">
        <v>45980</v>
      </c>
      <c r="M971" s="0" t="inlineStr">
        <is>
          <t xml:space="preserve">sep25</t>
        </is>
      </c>
      <c r="N971" s="0" t="inlineStr">
        <is>
          <t xml:space="preserve">nov25</t>
        </is>
      </c>
      <c r="O971" s="4">
        <v>79</v>
      </c>
      <c r="P971" s="4">
        <v>0</v>
      </c>
      <c r="Q971" s="4">
        <v>1</v>
      </c>
      <c r="R971" s="4">
        <v>0</v>
      </c>
      <c r="S971" s="4">
        <f>(H971*INDEX('Stages'!$D$2:$D$7,MATCH(F971,'Stages'!$A$2:$A$7,0)))</f>
        <v>0</v>
      </c>
      <c r="T971" s="4">
        <f>(H971*I971)</f>
        <v>150300</v>
      </c>
      <c r="U971" s="4">
        <f>(H971*(I971-1))</f>
        <v>100200</v>
      </c>
      <c r="V971" s="0" t="str">
        <f>INDEX('Account executives'!$B$2:$B$25,MATCH(C971,'Account executives'!$A$2:$A$25,0))</f>
        <v>emea</v>
      </c>
      <c r="W971" s="0" t="str">
        <f>INDEX('Account executives'!$C$2:$C$25,MATCH(C971,'Account executives'!$A$2:$A$25,0))</f>
        <v>mid_market</v>
      </c>
      <c r="X971" s="0" t="str">
        <f>SUBSTITUTE(LOWER(INDEX('Periods'!$G$2:$G$22,MATCH(N971,'Periods'!$A$2:$A$22,0)))," ","_")</f>
        <v>q4_2025</v>
      </c>
    </row>
    <row r="972">
      <c r="A972" s="0" t="inlineStr">
        <is>
          <t xml:space="preserve">o0971</t>
        </is>
      </c>
      <c r="B972" s="0" t="inlineStr">
        <is>
          <t xml:space="preserve">a0586</t>
        </is>
      </c>
      <c r="C972" s="0" t="inlineStr">
        <is>
          <t xml:space="preserve">r18</t>
        </is>
      </c>
      <c r="D972" s="0" t="inlineStr">
        <is>
          <t xml:space="preserve">s_emea_in</t>
        </is>
      </c>
      <c r="E972" s="0" t="inlineStr">
        <is>
          <t xml:space="preserve">paid</t>
        </is>
      </c>
      <c r="F972" s="0" t="inlineStr">
        <is>
          <t xml:space="preserve">closed_lost</t>
        </is>
      </c>
      <c r="G972" s="4">
        <v>0</v>
      </c>
      <c r="H972" s="4">
        <v>4600</v>
      </c>
      <c r="I972" s="4">
        <v>1</v>
      </c>
      <c r="J972" s="4">
        <v>0</v>
      </c>
      <c r="K972" s="16">
        <v>46104</v>
      </c>
      <c r="L972" s="16">
        <v>46131</v>
      </c>
      <c r="M972" s="0" t="inlineStr">
        <is>
          <t xml:space="preserve">mar26</t>
        </is>
      </c>
      <c r="N972" s="0" t="inlineStr">
        <is>
          <t xml:space="preserve">apr26</t>
        </is>
      </c>
      <c r="O972" s="4">
        <v>27</v>
      </c>
      <c r="P972" s="4">
        <v>0</v>
      </c>
      <c r="Q972" s="4">
        <v>1</v>
      </c>
      <c r="R972" s="4">
        <v>0</v>
      </c>
      <c r="S972" s="4">
        <f>(H972*INDEX('Stages'!$D$2:$D$7,MATCH(F972,'Stages'!$A$2:$A$7,0)))</f>
        <v>0</v>
      </c>
      <c r="T972" s="4">
        <f>(H972*I972)</f>
        <v>4600</v>
      </c>
      <c r="U972" s="4">
        <f>(H972*(I972-1))</f>
        <v>0</v>
      </c>
      <c r="V972" s="0" t="str">
        <f>INDEX('Account executives'!$B$2:$B$25,MATCH(C972,'Account executives'!$A$2:$A$25,0))</f>
        <v>emea</v>
      </c>
      <c r="W972" s="0" t="str">
        <f>INDEX('Account executives'!$C$2:$C$25,MATCH(C972,'Account executives'!$A$2:$A$25,0))</f>
        <v>smb</v>
      </c>
      <c r="X972" s="0" t="str">
        <f>SUBSTITUTE(LOWER(INDEX('Periods'!$G$2:$G$22,MATCH(N972,'Periods'!$A$2:$A$22,0)))," ","_")</f>
        <v>q2_2026</v>
      </c>
    </row>
    <row r="973">
      <c r="A973" s="0" t="inlineStr">
        <is>
          <t xml:space="preserve">o0972</t>
        </is>
      </c>
      <c r="B973" s="0" t="inlineStr">
        <is>
          <t xml:space="preserve">a1199</t>
        </is>
      </c>
      <c r="C973" s="0" t="inlineStr">
        <is>
          <t xml:space="preserve">r23</t>
        </is>
      </c>
      <c r="D973" s="0" t="inlineStr">
        <is>
          <t xml:space="preserve">s_apac_in</t>
        </is>
      </c>
      <c r="E973" s="0" t="inlineStr">
        <is>
          <t xml:space="preserve">inbound</t>
        </is>
      </c>
      <c r="F973" s="0" t="inlineStr">
        <is>
          <t xml:space="preserve">closed_lost</t>
        </is>
      </c>
      <c r="G973" s="4">
        <v>1</v>
      </c>
      <c r="H973" s="4">
        <v>18500</v>
      </c>
      <c r="I973" s="4">
        <v>1</v>
      </c>
      <c r="J973" s="4">
        <v>0</v>
      </c>
      <c r="K973" s="16">
        <v>46242</v>
      </c>
      <c r="L973" s="16">
        <v>46278</v>
      </c>
      <c r="M973" s="0" t="inlineStr">
        <is>
          <t xml:space="preserve">aug26</t>
        </is>
      </c>
      <c r="N973" s="0" t="inlineStr">
        <is>
          <t xml:space="preserve">sep26</t>
        </is>
      </c>
      <c r="O973" s="4">
        <v>36</v>
      </c>
      <c r="P973" s="4">
        <v>0</v>
      </c>
      <c r="Q973" s="4">
        <v>1</v>
      </c>
      <c r="R973" s="4">
        <v>0</v>
      </c>
      <c r="S973" s="4">
        <f>(H973*INDEX('Stages'!$D$2:$D$7,MATCH(F973,'Stages'!$A$2:$A$7,0)))</f>
        <v>0</v>
      </c>
      <c r="T973" s="4">
        <f>(H973*I973)</f>
        <v>18500</v>
      </c>
      <c r="U973" s="4">
        <f>(H973*(I973-1))</f>
        <v>0</v>
      </c>
      <c r="V973" s="0" t="str">
        <f>INDEX('Account executives'!$B$2:$B$25,MATCH(C973,'Account executives'!$A$2:$A$25,0))</f>
        <v>apac</v>
      </c>
      <c r="W973" s="0" t="str">
        <f>INDEX('Account executives'!$C$2:$C$25,MATCH(C973,'Account executives'!$A$2:$A$25,0))</f>
        <v>smb</v>
      </c>
      <c r="X973" s="0" t="str">
        <f>SUBSTITUTE(LOWER(INDEX('Periods'!$G$2:$G$22,MATCH(N973,'Periods'!$A$2:$A$22,0)))," ","_")</f>
        <v>q3_2026</v>
      </c>
    </row>
    <row r="974">
      <c r="A974" s="0" t="inlineStr">
        <is>
          <t xml:space="preserve">o0973</t>
        </is>
      </c>
      <c r="B974" s="0" t="inlineStr">
        <is>
          <t xml:space="preserve">a0292</t>
        </is>
      </c>
      <c r="C974" s="0" t="inlineStr">
        <is>
          <t xml:space="preserve">r18</t>
        </is>
      </c>
      <c r="D974" s="0" t="inlineStr">
        <is>
          <t xml:space="preserve">s_emea_out</t>
        </is>
      </c>
      <c r="E974" s="0" t="inlineStr">
        <is>
          <t xml:space="preserve">outbound</t>
        </is>
      </c>
      <c r="F974" s="0" t="inlineStr">
        <is>
          <t xml:space="preserve">closed_lost</t>
        </is>
      </c>
      <c r="G974" s="4">
        <v>1</v>
      </c>
      <c r="H974" s="4">
        <v>12300</v>
      </c>
      <c r="I974" s="4">
        <v>1</v>
      </c>
      <c r="J974" s="4">
        <v>0</v>
      </c>
      <c r="K974" s="16">
        <v>45863</v>
      </c>
      <c r="L974" s="16">
        <v>45924</v>
      </c>
      <c r="M974" s="0" t="inlineStr">
        <is>
          <t xml:space="preserve">jul25</t>
        </is>
      </c>
      <c r="N974" s="0" t="inlineStr">
        <is>
          <t xml:space="preserve">sep25</t>
        </is>
      </c>
      <c r="O974" s="4">
        <v>61</v>
      </c>
      <c r="P974" s="4">
        <v>0</v>
      </c>
      <c r="Q974" s="4">
        <v>1</v>
      </c>
      <c r="R974" s="4">
        <v>0</v>
      </c>
      <c r="S974" s="4">
        <f>(H974*INDEX('Stages'!$D$2:$D$7,MATCH(F974,'Stages'!$A$2:$A$7,0)))</f>
        <v>0</v>
      </c>
      <c r="T974" s="4">
        <f>(H974*I974)</f>
        <v>12300</v>
      </c>
      <c r="U974" s="4">
        <f>(H974*(I974-1))</f>
        <v>0</v>
      </c>
      <c r="V974" s="0" t="str">
        <f>INDEX('Account executives'!$B$2:$B$25,MATCH(C974,'Account executives'!$A$2:$A$25,0))</f>
        <v>emea</v>
      </c>
      <c r="W974" s="0" t="str">
        <f>INDEX('Account executives'!$C$2:$C$25,MATCH(C974,'Account executives'!$A$2:$A$25,0))</f>
        <v>smb</v>
      </c>
      <c r="X974" s="0" t="str">
        <f>SUBSTITUTE(LOWER(INDEX('Periods'!$G$2:$G$22,MATCH(N974,'Periods'!$A$2:$A$22,0)))," ","_")</f>
        <v>q3_2025</v>
      </c>
    </row>
    <row r="975">
      <c r="A975" s="0" t="inlineStr">
        <is>
          <t xml:space="preserve">o0974</t>
        </is>
      </c>
      <c r="B975" s="0" t="inlineStr">
        <is>
          <t xml:space="preserve">a0378</t>
        </is>
      </c>
      <c r="C975" s="0" t="inlineStr">
        <is>
          <t xml:space="preserve">r11</t>
        </is>
      </c>
      <c r="D975" s="0" t="inlineStr">
        <is>
          <t xml:space="preserve">s_amer_west_in</t>
        </is>
      </c>
      <c r="E975" s="0" t="inlineStr">
        <is>
          <t xml:space="preserve">paid</t>
        </is>
      </c>
      <c r="F975" s="0" t="inlineStr">
        <is>
          <t xml:space="preserve">closed_lost</t>
        </is>
      </c>
      <c r="G975" s="4">
        <v>1</v>
      </c>
      <c r="H975" s="4">
        <v>12000</v>
      </c>
      <c r="I975" s="4">
        <v>1</v>
      </c>
      <c r="J975" s="4">
        <v>0</v>
      </c>
      <c r="K975" s="16">
        <v>45923</v>
      </c>
      <c r="L975" s="16">
        <v>45957</v>
      </c>
      <c r="M975" s="0" t="inlineStr">
        <is>
          <t xml:space="preserve">sep25</t>
        </is>
      </c>
      <c r="N975" s="0" t="inlineStr">
        <is>
          <t xml:space="preserve">oct25</t>
        </is>
      </c>
      <c r="O975" s="4">
        <v>34</v>
      </c>
      <c r="P975" s="4">
        <v>0</v>
      </c>
      <c r="Q975" s="4">
        <v>1</v>
      </c>
      <c r="R975" s="4">
        <v>0</v>
      </c>
      <c r="S975" s="4">
        <f>(H975*INDEX('Stages'!$D$2:$D$7,MATCH(F975,'Stages'!$A$2:$A$7,0)))</f>
        <v>0</v>
      </c>
      <c r="T975" s="4">
        <f>(H975*I975)</f>
        <v>12000</v>
      </c>
      <c r="U975" s="4">
        <f>(H975*(I975-1))</f>
        <v>0</v>
      </c>
      <c r="V975" s="0" t="str">
        <f>INDEX('Account executives'!$B$2:$B$25,MATCH(C975,'Account executives'!$A$2:$A$25,0))</f>
        <v>amer_west</v>
      </c>
      <c r="W975" s="0" t="str">
        <f>INDEX('Account executives'!$C$2:$C$25,MATCH(C975,'Account executives'!$A$2:$A$25,0))</f>
        <v>smb</v>
      </c>
      <c r="X975" s="0" t="str">
        <f>SUBSTITUTE(LOWER(INDEX('Periods'!$G$2:$G$22,MATCH(N975,'Periods'!$A$2:$A$22,0)))," ","_")</f>
        <v>q4_2025</v>
      </c>
    </row>
    <row r="976">
      <c r="A976" s="0" t="inlineStr">
        <is>
          <t xml:space="preserve">o0975</t>
        </is>
      </c>
      <c r="B976" s="0" t="inlineStr">
        <is>
          <t xml:space="preserve">a0715</t>
        </is>
      </c>
      <c r="C976" s="0" t="inlineStr">
        <is>
          <t xml:space="preserve">r24</t>
        </is>
      </c>
      <c r="D976" s="0" t="inlineStr">
        <is>
          <t xml:space="preserve">s_apac_in</t>
        </is>
      </c>
      <c r="E976" s="0" t="inlineStr">
        <is>
          <t xml:space="preserve">paid</t>
        </is>
      </c>
      <c r="F976" s="0" t="inlineStr">
        <is>
          <t xml:space="preserve">closed_lost</t>
        </is>
      </c>
      <c r="G976" s="4">
        <v>1</v>
      </c>
      <c r="H976" s="4">
        <v>21700</v>
      </c>
      <c r="I976" s="4">
        <v>1</v>
      </c>
      <c r="J976" s="4">
        <v>0</v>
      </c>
      <c r="K976" s="16">
        <v>46065</v>
      </c>
      <c r="L976" s="16">
        <v>46088</v>
      </c>
      <c r="M976" s="0" t="inlineStr">
        <is>
          <t xml:space="preserve">feb26</t>
        </is>
      </c>
      <c r="N976" s="0" t="inlineStr">
        <is>
          <t xml:space="preserve">mar26</t>
        </is>
      </c>
      <c r="O976" s="4">
        <v>23</v>
      </c>
      <c r="P976" s="4">
        <v>0</v>
      </c>
      <c r="Q976" s="4">
        <v>1</v>
      </c>
      <c r="R976" s="4">
        <v>0</v>
      </c>
      <c r="S976" s="4">
        <f>(H976*INDEX('Stages'!$D$2:$D$7,MATCH(F976,'Stages'!$A$2:$A$7,0)))</f>
        <v>0</v>
      </c>
      <c r="T976" s="4">
        <f>(H976*I976)</f>
        <v>21700</v>
      </c>
      <c r="U976" s="4">
        <f>(H976*(I976-1))</f>
        <v>0</v>
      </c>
      <c r="V976" s="0" t="str">
        <f>INDEX('Account executives'!$B$2:$B$25,MATCH(C976,'Account executives'!$A$2:$A$25,0))</f>
        <v>apac</v>
      </c>
      <c r="W976" s="0" t="str">
        <f>INDEX('Account executives'!$C$2:$C$25,MATCH(C976,'Account executives'!$A$2:$A$25,0))</f>
        <v>smb</v>
      </c>
      <c r="X976" s="0" t="str">
        <f>SUBSTITUTE(LOWER(INDEX('Periods'!$G$2:$G$22,MATCH(N976,'Periods'!$A$2:$A$22,0)))," ","_")</f>
        <v>q1_2026</v>
      </c>
    </row>
    <row r="977">
      <c r="A977" s="0" t="inlineStr">
        <is>
          <t xml:space="preserve">o0976</t>
        </is>
      </c>
      <c r="B977" s="0" t="inlineStr">
        <is>
          <t xml:space="preserve">a0839</t>
        </is>
      </c>
      <c r="C977" s="0" t="inlineStr">
        <is>
          <t xml:space="preserve">r06</t>
        </is>
      </c>
      <c r="D977" s="0"/>
      <c r="E977" s="0" t="inlineStr">
        <is>
          <t xml:space="preserve">referral</t>
        </is>
      </c>
      <c r="F977" s="0" t="inlineStr">
        <is>
          <t xml:space="preserve">closed_won</t>
        </is>
      </c>
      <c r="G977" s="4">
        <v>1</v>
      </c>
      <c r="H977" s="4">
        <v>16400</v>
      </c>
      <c r="I977" s="4">
        <v>1</v>
      </c>
      <c r="J977" s="4">
        <v>0</v>
      </c>
      <c r="K977" s="16">
        <v>46121</v>
      </c>
      <c r="L977" s="16">
        <v>46201</v>
      </c>
      <c r="M977" s="0" t="inlineStr">
        <is>
          <t xml:space="preserve">apr26</t>
        </is>
      </c>
      <c r="N977" s="0" t="inlineStr">
        <is>
          <t xml:space="preserve">jun26</t>
        </is>
      </c>
      <c r="O977" s="4">
        <v>80</v>
      </c>
      <c r="P977" s="4">
        <v>1</v>
      </c>
      <c r="Q977" s="4">
        <v>0</v>
      </c>
      <c r="R977" s="4">
        <v>0</v>
      </c>
      <c r="S977" s="4">
        <f>(H977*INDEX('Stages'!$D$2:$D$7,MATCH(F977,'Stages'!$A$2:$A$7,0)))</f>
        <v>16400</v>
      </c>
      <c r="T977" s="4">
        <f>(H977*I977)</f>
        <v>16400</v>
      </c>
      <c r="U977" s="4">
        <f>(H977*(I977-1))</f>
        <v>0</v>
      </c>
      <c r="V977" s="0" t="str">
        <f>INDEX('Account executives'!$B$2:$B$25,MATCH(C977,'Account executives'!$A$2:$A$25,0))</f>
        <v>amer_east</v>
      </c>
      <c r="W977" s="0" t="str">
        <f>INDEX('Account executives'!$C$2:$C$25,MATCH(C977,'Account executives'!$A$2:$A$25,0))</f>
        <v>smb</v>
      </c>
      <c r="X977" s="0" t="str">
        <f>SUBSTITUTE(LOWER(INDEX('Periods'!$G$2:$G$22,MATCH(N977,'Periods'!$A$2:$A$22,0)))," ","_")</f>
        <v>q2_2026</v>
      </c>
    </row>
    <row r="978">
      <c r="A978" s="0" t="inlineStr">
        <is>
          <t xml:space="preserve">o0977</t>
        </is>
      </c>
      <c r="B978" s="0" t="inlineStr">
        <is>
          <t xml:space="preserve">a1167</t>
        </is>
      </c>
      <c r="C978" s="0" t="inlineStr">
        <is>
          <t xml:space="preserve">r11</t>
        </is>
      </c>
      <c r="D978" s="0" t="inlineStr">
        <is>
          <t xml:space="preserve">s_amer_west_in</t>
        </is>
      </c>
      <c r="E978" s="0" t="inlineStr">
        <is>
          <t xml:space="preserve">inbound</t>
        </is>
      </c>
      <c r="F978" s="0" t="inlineStr">
        <is>
          <t xml:space="preserve">evaluation</t>
        </is>
      </c>
      <c r="G978" s="4">
        <v>1</v>
      </c>
      <c r="H978" s="4">
        <v>16800</v>
      </c>
      <c r="I978" s="4">
        <v>1</v>
      </c>
      <c r="J978" s="4">
        <v>1</v>
      </c>
      <c r="K978" s="16">
        <v>46258</v>
      </c>
      <c r="L978" s="16">
        <v>46301</v>
      </c>
      <c r="M978" s="0" t="inlineStr">
        <is>
          <t xml:space="preserve">aug26</t>
        </is>
      </c>
      <c r="N978" s="0" t="inlineStr">
        <is>
          <t xml:space="preserve">oct26</t>
        </is>
      </c>
      <c r="O978" s="4">
        <v>45</v>
      </c>
      <c r="P978" s="4">
        <v>0</v>
      </c>
      <c r="Q978" s="4">
        <v>0</v>
      </c>
      <c r="R978" s="4">
        <v>1</v>
      </c>
      <c r="S978" s="4">
        <f>(H978*INDEX('Stages'!$D$2:$D$7,MATCH(F978,'Stages'!$A$2:$A$7,0)))</f>
        <v>4200</v>
      </c>
      <c r="T978" s="4">
        <f>(H978*I978)</f>
        <v>16800</v>
      </c>
      <c r="U978" s="4">
        <f>(H978*(I978-1))</f>
        <v>0</v>
      </c>
      <c r="V978" s="0" t="str">
        <f>INDEX('Account executives'!$B$2:$B$25,MATCH(C978,'Account executives'!$A$2:$A$25,0))</f>
        <v>amer_west</v>
      </c>
      <c r="W978" s="0" t="str">
        <f>INDEX('Account executives'!$C$2:$C$25,MATCH(C978,'Account executives'!$A$2:$A$25,0))</f>
        <v>smb</v>
      </c>
      <c r="X978" s="0" t="str">
        <f>SUBSTITUTE(LOWER(INDEX('Periods'!$G$2:$G$22,MATCH(N978,'Periods'!$A$2:$A$22,0)))," ","_")</f>
        <v>q4_2026</v>
      </c>
    </row>
    <row r="979">
      <c r="A979" s="0" t="inlineStr">
        <is>
          <t xml:space="preserve">o0978</t>
        </is>
      </c>
      <c r="B979" s="0" t="inlineStr">
        <is>
          <t xml:space="preserve">a0493</t>
        </is>
      </c>
      <c r="C979" s="0" t="inlineStr">
        <is>
          <t xml:space="preserve">r09</t>
        </is>
      </c>
      <c r="D979" s="0" t="inlineStr">
        <is>
          <t xml:space="preserve">s_amer_west_in</t>
        </is>
      </c>
      <c r="E979" s="0" t="inlineStr">
        <is>
          <t xml:space="preserve">inbound</t>
        </is>
      </c>
      <c r="F979" s="0" t="inlineStr">
        <is>
          <t xml:space="preserve">closed_lost</t>
        </is>
      </c>
      <c r="G979" s="4">
        <v>1</v>
      </c>
      <c r="H979" s="4">
        <v>28300</v>
      </c>
      <c r="I979" s="4">
        <v>2</v>
      </c>
      <c r="J979" s="4">
        <v>1</v>
      </c>
      <c r="K979" s="16">
        <v>45963</v>
      </c>
      <c r="L979" s="16">
        <v>46023</v>
      </c>
      <c r="M979" s="0" t="inlineStr">
        <is>
          <t xml:space="preserve">nov25</t>
        </is>
      </c>
      <c r="N979" s="0" t="inlineStr">
        <is>
          <t xml:space="preserve">jan26</t>
        </is>
      </c>
      <c r="O979" s="4">
        <v>60</v>
      </c>
      <c r="P979" s="4">
        <v>0</v>
      </c>
      <c r="Q979" s="4">
        <v>1</v>
      </c>
      <c r="R979" s="4">
        <v>0</v>
      </c>
      <c r="S979" s="4">
        <f>(H979*INDEX('Stages'!$D$2:$D$7,MATCH(F979,'Stages'!$A$2:$A$7,0)))</f>
        <v>0</v>
      </c>
      <c r="T979" s="4">
        <f>(H979*I979)</f>
        <v>56600</v>
      </c>
      <c r="U979" s="4">
        <f>(H979*(I979-1))</f>
        <v>28300</v>
      </c>
      <c r="V979" s="0" t="str">
        <f>INDEX('Account executives'!$B$2:$B$25,MATCH(C979,'Account executives'!$A$2:$A$25,0))</f>
        <v>amer_west</v>
      </c>
      <c r="W979" s="0" t="str">
        <f>INDEX('Account executives'!$C$2:$C$25,MATCH(C979,'Account executives'!$A$2:$A$25,0))</f>
        <v>mid_market</v>
      </c>
      <c r="X979" s="0" t="str">
        <f>SUBSTITUTE(LOWER(INDEX('Periods'!$G$2:$G$22,MATCH(N979,'Periods'!$A$2:$A$22,0)))," ","_")</f>
        <v>q1_2026</v>
      </c>
    </row>
    <row r="980">
      <c r="A980" s="0" t="inlineStr">
        <is>
          <t xml:space="preserve">o0979</t>
        </is>
      </c>
      <c r="B980" s="0" t="inlineStr">
        <is>
          <t xml:space="preserve">a0680</t>
        </is>
      </c>
      <c r="C980" s="0" t="inlineStr">
        <is>
          <t xml:space="preserve">r07</t>
        </is>
      </c>
      <c r="D980" s="0" t="inlineStr">
        <is>
          <t xml:space="preserve">s_amer_west_in</t>
        </is>
      </c>
      <c r="E980" s="0" t="inlineStr">
        <is>
          <t xml:space="preserve">inbound</t>
        </is>
      </c>
      <c r="F980" s="0" t="inlineStr">
        <is>
          <t xml:space="preserve">closed_lost</t>
        </is>
      </c>
      <c r="G980" s="4">
        <v>1</v>
      </c>
      <c r="H980" s="4">
        <v>115400</v>
      </c>
      <c r="I980" s="4">
        <v>3</v>
      </c>
      <c r="J980" s="4">
        <v>0</v>
      </c>
      <c r="K980" s="16">
        <v>46070</v>
      </c>
      <c r="L980" s="16">
        <v>46110</v>
      </c>
      <c r="M980" s="0" t="inlineStr">
        <is>
          <t xml:space="preserve">feb26</t>
        </is>
      </c>
      <c r="N980" s="0" t="inlineStr">
        <is>
          <t xml:space="preserve">mar26</t>
        </is>
      </c>
      <c r="O980" s="4">
        <v>40</v>
      </c>
      <c r="P980" s="4">
        <v>0</v>
      </c>
      <c r="Q980" s="4">
        <v>1</v>
      </c>
      <c r="R980" s="4">
        <v>0</v>
      </c>
      <c r="S980" s="4">
        <f>(H980*INDEX('Stages'!$D$2:$D$7,MATCH(F980,'Stages'!$A$2:$A$7,0)))</f>
        <v>0</v>
      </c>
      <c r="T980" s="4">
        <f>(H980*I980)</f>
        <v>346200</v>
      </c>
      <c r="U980" s="4">
        <f>(H980*(I980-1))</f>
        <v>230800</v>
      </c>
      <c r="V980" s="0" t="str">
        <f>INDEX('Account executives'!$B$2:$B$25,MATCH(C980,'Account executives'!$A$2:$A$25,0))</f>
        <v>amer_west</v>
      </c>
      <c r="W980" s="0" t="str">
        <f>INDEX('Account executives'!$C$2:$C$25,MATCH(C980,'Account executives'!$A$2:$A$25,0))</f>
        <v>enterprise</v>
      </c>
      <c r="X980" s="0" t="str">
        <f>SUBSTITUTE(LOWER(INDEX('Periods'!$G$2:$G$22,MATCH(N980,'Periods'!$A$2:$A$22,0)))," ","_")</f>
        <v>q1_2026</v>
      </c>
    </row>
    <row r="981">
      <c r="A981" s="0" t="inlineStr">
        <is>
          <t xml:space="preserve">o0980</t>
        </is>
      </c>
      <c r="B981" s="0" t="inlineStr">
        <is>
          <t xml:space="preserve">a0542</t>
        </is>
      </c>
      <c r="C981" s="0" t="inlineStr">
        <is>
          <t xml:space="preserve">r05</t>
        </is>
      </c>
      <c r="D981" s="0" t="inlineStr">
        <is>
          <t xml:space="preserve">s_amer_east_in</t>
        </is>
      </c>
      <c r="E981" s="0" t="inlineStr">
        <is>
          <t xml:space="preserve">inbound</t>
        </is>
      </c>
      <c r="F981" s="0" t="inlineStr">
        <is>
          <t xml:space="preserve">closed_lost</t>
        </is>
      </c>
      <c r="G981" s="4">
        <v>1</v>
      </c>
      <c r="H981" s="4">
        <v>16500</v>
      </c>
      <c r="I981" s="4">
        <v>1</v>
      </c>
      <c r="J981" s="4">
        <v>0</v>
      </c>
      <c r="K981" s="16">
        <v>45995</v>
      </c>
      <c r="L981" s="16">
        <v>46023</v>
      </c>
      <c r="M981" s="0" t="inlineStr">
        <is>
          <t xml:space="preserve">dec25</t>
        </is>
      </c>
      <c r="N981" s="0" t="inlineStr">
        <is>
          <t xml:space="preserve">jan26</t>
        </is>
      </c>
      <c r="O981" s="4">
        <v>28</v>
      </c>
      <c r="P981" s="4">
        <v>0</v>
      </c>
      <c r="Q981" s="4">
        <v>1</v>
      </c>
      <c r="R981" s="4">
        <v>0</v>
      </c>
      <c r="S981" s="4">
        <f>(H981*INDEX('Stages'!$D$2:$D$7,MATCH(F981,'Stages'!$A$2:$A$7,0)))</f>
        <v>0</v>
      </c>
      <c r="T981" s="4">
        <f>(H981*I981)</f>
        <v>16500</v>
      </c>
      <c r="U981" s="4">
        <f>(H981*(I981-1))</f>
        <v>0</v>
      </c>
      <c r="V981" s="0" t="str">
        <f>INDEX('Account executives'!$B$2:$B$25,MATCH(C981,'Account executives'!$A$2:$A$25,0))</f>
        <v>amer_east</v>
      </c>
      <c r="W981" s="0" t="str">
        <f>INDEX('Account executives'!$C$2:$C$25,MATCH(C981,'Account executives'!$A$2:$A$25,0))</f>
        <v>smb</v>
      </c>
      <c r="X981" s="0" t="str">
        <f>SUBSTITUTE(LOWER(INDEX('Periods'!$G$2:$G$22,MATCH(N981,'Periods'!$A$2:$A$22,0)))," ","_")</f>
        <v>q1_2026</v>
      </c>
    </row>
    <row r="982">
      <c r="A982" s="0" t="inlineStr">
        <is>
          <t xml:space="preserve">o0981</t>
        </is>
      </c>
      <c r="B982" s="0" t="inlineStr">
        <is>
          <t xml:space="preserve">a1257</t>
        </is>
      </c>
      <c r="C982" s="0" t="inlineStr">
        <is>
          <t xml:space="preserve">r21</t>
        </is>
      </c>
      <c r="D982" s="0" t="inlineStr">
        <is>
          <t xml:space="preserve">s_apac_in</t>
        </is>
      </c>
      <c r="E982" s="0" t="inlineStr">
        <is>
          <t xml:space="preserve">inbound</t>
        </is>
      </c>
      <c r="F982" s="0" t="inlineStr">
        <is>
          <t xml:space="preserve">discovery</t>
        </is>
      </c>
      <c r="G982" s="4">
        <v>1</v>
      </c>
      <c r="H982" s="4">
        <v>48600</v>
      </c>
      <c r="I982" s="4">
        <v>2</v>
      </c>
      <c r="J982" s="4">
        <v>0</v>
      </c>
      <c r="K982" s="16">
        <v>46270</v>
      </c>
      <c r="L982" s="16">
        <v>46328</v>
      </c>
      <c r="M982" s="0" t="inlineStr">
        <is>
          <t xml:space="preserve">sep26</t>
        </is>
      </c>
      <c r="N982" s="0" t="inlineStr">
        <is>
          <t xml:space="preserve">nov26</t>
        </is>
      </c>
      <c r="O982" s="4">
        <v>64</v>
      </c>
      <c r="P982" s="4">
        <v>0</v>
      </c>
      <c r="Q982" s="4">
        <v>0</v>
      </c>
      <c r="R982" s="4">
        <v>1</v>
      </c>
      <c r="S982" s="4">
        <f>(H982*INDEX('Stages'!$D$2:$D$7,MATCH(F982,'Stages'!$A$2:$A$7,0)))</f>
        <v>4860</v>
      </c>
      <c r="T982" s="4">
        <f>(H982*I982)</f>
        <v>97200</v>
      </c>
      <c r="U982" s="4">
        <f>(H982*(I982-1))</f>
        <v>48600</v>
      </c>
      <c r="V982" s="0" t="str">
        <f>INDEX('Account executives'!$B$2:$B$25,MATCH(C982,'Account executives'!$A$2:$A$25,0))</f>
        <v>apac</v>
      </c>
      <c r="W982" s="0" t="str">
        <f>INDEX('Account executives'!$C$2:$C$25,MATCH(C982,'Account executives'!$A$2:$A$25,0))</f>
        <v>mid_market</v>
      </c>
      <c r="X982" s="0" t="str">
        <f>SUBSTITUTE(LOWER(INDEX('Periods'!$G$2:$G$22,MATCH(N982,'Periods'!$A$2:$A$22,0)))," ","_")</f>
        <v>q4_2026</v>
      </c>
    </row>
    <row r="983">
      <c r="A983" s="0" t="inlineStr">
        <is>
          <t xml:space="preserve">o0982</t>
        </is>
      </c>
      <c r="B983" s="0" t="inlineStr">
        <is>
          <t xml:space="preserve">a0242</t>
        </is>
      </c>
      <c r="C983" s="0" t="inlineStr">
        <is>
          <t xml:space="preserve">r01</t>
        </is>
      </c>
      <c r="D983" s="0" t="inlineStr">
        <is>
          <t xml:space="preserve">s_amer_east_in</t>
        </is>
      </c>
      <c r="E983" s="0" t="inlineStr">
        <is>
          <t xml:space="preserve">paid</t>
        </is>
      </c>
      <c r="F983" s="0" t="inlineStr">
        <is>
          <t xml:space="preserve">closed_lost</t>
        </is>
      </c>
      <c r="G983" s="4">
        <v>1</v>
      </c>
      <c r="H983" s="4">
        <v>44200</v>
      </c>
      <c r="I983" s="4">
        <v>2</v>
      </c>
      <c r="J983" s="4">
        <v>0</v>
      </c>
      <c r="K983" s="16">
        <v>45847</v>
      </c>
      <c r="L983" s="16">
        <v>46019</v>
      </c>
      <c r="M983" s="0" t="inlineStr">
        <is>
          <t xml:space="preserve">jul25</t>
        </is>
      </c>
      <c r="N983" s="0" t="inlineStr">
        <is>
          <t xml:space="preserve">dec25</t>
        </is>
      </c>
      <c r="O983" s="4">
        <v>172</v>
      </c>
      <c r="P983" s="4">
        <v>0</v>
      </c>
      <c r="Q983" s="4">
        <v>1</v>
      </c>
      <c r="R983" s="4">
        <v>0</v>
      </c>
      <c r="S983" s="4">
        <f>(H983*INDEX('Stages'!$D$2:$D$7,MATCH(F983,'Stages'!$A$2:$A$7,0)))</f>
        <v>0</v>
      </c>
      <c r="T983" s="4">
        <f>(H983*I983)</f>
        <v>88400</v>
      </c>
      <c r="U983" s="4">
        <f>(H983*(I983-1))</f>
        <v>44200</v>
      </c>
      <c r="V983" s="0" t="str">
        <f>INDEX('Account executives'!$B$2:$B$25,MATCH(C983,'Account executives'!$A$2:$A$25,0))</f>
        <v>amer_east</v>
      </c>
      <c r="W983" s="0" t="str">
        <f>INDEX('Account executives'!$C$2:$C$25,MATCH(C983,'Account executives'!$A$2:$A$25,0))</f>
        <v>enterprise</v>
      </c>
      <c r="X983" s="0" t="str">
        <f>SUBSTITUTE(LOWER(INDEX('Periods'!$G$2:$G$22,MATCH(N983,'Periods'!$A$2:$A$22,0)))," ","_")</f>
        <v>q4_2025</v>
      </c>
    </row>
    <row r="984">
      <c r="A984" s="0" t="inlineStr">
        <is>
          <t xml:space="preserve">o0983</t>
        </is>
      </c>
      <c r="B984" s="0" t="inlineStr">
        <is>
          <t xml:space="preserve">a0760</t>
        </is>
      </c>
      <c r="C984" s="0" t="inlineStr">
        <is>
          <t xml:space="preserve">r09</t>
        </is>
      </c>
      <c r="D984" s="0" t="inlineStr">
        <is>
          <t xml:space="preserve">s_amer_west_in</t>
        </is>
      </c>
      <c r="E984" s="0" t="inlineStr">
        <is>
          <t xml:space="preserve">paid</t>
        </is>
      </c>
      <c r="F984" s="0" t="inlineStr">
        <is>
          <t xml:space="preserve">closed_lost</t>
        </is>
      </c>
      <c r="G984" s="4">
        <v>1</v>
      </c>
      <c r="H984" s="4">
        <v>40800</v>
      </c>
      <c r="I984" s="4">
        <v>1</v>
      </c>
      <c r="J984" s="4">
        <v>0</v>
      </c>
      <c r="K984" s="16">
        <v>46091</v>
      </c>
      <c r="L984" s="16">
        <v>46142</v>
      </c>
      <c r="M984" s="0" t="inlineStr">
        <is>
          <t xml:space="preserve">mar26</t>
        </is>
      </c>
      <c r="N984" s="0" t="inlineStr">
        <is>
          <t xml:space="preserve">apr26</t>
        </is>
      </c>
      <c r="O984" s="4">
        <v>51</v>
      </c>
      <c r="P984" s="4">
        <v>0</v>
      </c>
      <c r="Q984" s="4">
        <v>1</v>
      </c>
      <c r="R984" s="4">
        <v>0</v>
      </c>
      <c r="S984" s="4">
        <f>(H984*INDEX('Stages'!$D$2:$D$7,MATCH(F984,'Stages'!$A$2:$A$7,0)))</f>
        <v>0</v>
      </c>
      <c r="T984" s="4">
        <f>(H984*I984)</f>
        <v>40800</v>
      </c>
      <c r="U984" s="4">
        <f>(H984*(I984-1))</f>
        <v>0</v>
      </c>
      <c r="V984" s="0" t="str">
        <f>INDEX('Account executives'!$B$2:$B$25,MATCH(C984,'Account executives'!$A$2:$A$25,0))</f>
        <v>amer_west</v>
      </c>
      <c r="W984" s="0" t="str">
        <f>INDEX('Account executives'!$C$2:$C$25,MATCH(C984,'Account executives'!$A$2:$A$25,0))</f>
        <v>mid_market</v>
      </c>
      <c r="X984" s="0" t="str">
        <f>SUBSTITUTE(LOWER(INDEX('Periods'!$G$2:$G$22,MATCH(N984,'Periods'!$A$2:$A$22,0)))," ","_")</f>
        <v>q2_2026</v>
      </c>
    </row>
    <row r="985">
      <c r="A985" s="0" t="inlineStr">
        <is>
          <t xml:space="preserve">o0984</t>
        </is>
      </c>
      <c r="B985" s="0" t="inlineStr">
        <is>
          <t xml:space="preserve">a0152</t>
        </is>
      </c>
      <c r="C985" s="0" t="inlineStr">
        <is>
          <t xml:space="preserve">r22</t>
        </is>
      </c>
      <c r="D985" s="0" t="inlineStr">
        <is>
          <t xml:space="preserve">s_apac_out</t>
        </is>
      </c>
      <c r="E985" s="0" t="inlineStr">
        <is>
          <t xml:space="preserve">outbound</t>
        </is>
      </c>
      <c r="F985" s="0" t="inlineStr">
        <is>
          <t xml:space="preserve">closed_won</t>
        </is>
      </c>
      <c r="G985" s="4">
        <v>1</v>
      </c>
      <c r="H985" s="4">
        <v>27100</v>
      </c>
      <c r="I985" s="4">
        <v>1</v>
      </c>
      <c r="J985" s="4">
        <v>0</v>
      </c>
      <c r="K985" s="16">
        <v>45792</v>
      </c>
      <c r="L985" s="16">
        <v>45893</v>
      </c>
      <c r="M985" s="0" t="inlineStr">
        <is>
          <t xml:space="preserve">may25</t>
        </is>
      </c>
      <c r="N985" s="0" t="inlineStr">
        <is>
          <t xml:space="preserve">aug25</t>
        </is>
      </c>
      <c r="O985" s="4">
        <v>101</v>
      </c>
      <c r="P985" s="4">
        <v>1</v>
      </c>
      <c r="Q985" s="4">
        <v>0</v>
      </c>
      <c r="R985" s="4">
        <v>0</v>
      </c>
      <c r="S985" s="4">
        <f>(H985*INDEX('Stages'!$D$2:$D$7,MATCH(F985,'Stages'!$A$2:$A$7,0)))</f>
        <v>27100</v>
      </c>
      <c r="T985" s="4">
        <f>(H985*I985)</f>
        <v>27100</v>
      </c>
      <c r="U985" s="4">
        <f>(H985*(I985-1))</f>
        <v>0</v>
      </c>
      <c r="V985" s="0" t="str">
        <f>INDEX('Account executives'!$B$2:$B$25,MATCH(C985,'Account executives'!$A$2:$A$25,0))</f>
        <v>apac</v>
      </c>
      <c r="W985" s="0" t="str">
        <f>INDEX('Account executives'!$C$2:$C$25,MATCH(C985,'Account executives'!$A$2:$A$25,0))</f>
        <v>mid_market</v>
      </c>
      <c r="X985" s="0" t="str">
        <f>SUBSTITUTE(LOWER(INDEX('Periods'!$G$2:$G$22,MATCH(N985,'Periods'!$A$2:$A$22,0)))," ","_")</f>
        <v>q3_2025</v>
      </c>
    </row>
    <row r="986">
      <c r="A986" s="0" t="inlineStr">
        <is>
          <t xml:space="preserve">o0985</t>
        </is>
      </c>
      <c r="B986" s="0" t="inlineStr">
        <is>
          <t xml:space="preserve">a0513</t>
        </is>
      </c>
      <c r="C986" s="0" t="inlineStr">
        <is>
          <t xml:space="preserve">r16</t>
        </is>
      </c>
      <c r="D986" s="0"/>
      <c r="E986" s="0" t="inlineStr">
        <is>
          <t xml:space="preserve">referral</t>
        </is>
      </c>
      <c r="F986" s="0" t="inlineStr">
        <is>
          <t xml:space="preserve">closed_won</t>
        </is>
      </c>
      <c r="G986" s="4">
        <v>0</v>
      </c>
      <c r="H986" s="4">
        <v>8400</v>
      </c>
      <c r="I986" s="4">
        <v>1</v>
      </c>
      <c r="J986" s="4">
        <v>0</v>
      </c>
      <c r="K986" s="16">
        <v>46121</v>
      </c>
      <c r="L986" s="16">
        <v>46170</v>
      </c>
      <c r="M986" s="0" t="inlineStr">
        <is>
          <t xml:space="preserve">apr26</t>
        </is>
      </c>
      <c r="N986" s="0" t="inlineStr">
        <is>
          <t xml:space="preserve">may26</t>
        </is>
      </c>
      <c r="O986" s="4">
        <v>49</v>
      </c>
      <c r="P986" s="4">
        <v>1</v>
      </c>
      <c r="Q986" s="4">
        <v>0</v>
      </c>
      <c r="R986" s="4">
        <v>0</v>
      </c>
      <c r="S986" s="4">
        <f>(H986*INDEX('Stages'!$D$2:$D$7,MATCH(F986,'Stages'!$A$2:$A$7,0)))</f>
        <v>8400</v>
      </c>
      <c r="T986" s="4">
        <f>(H986*I986)</f>
        <v>8400</v>
      </c>
      <c r="U986" s="4">
        <f>(H986*(I986-1))</f>
        <v>0</v>
      </c>
      <c r="V986" s="0" t="str">
        <f>INDEX('Account executives'!$B$2:$B$25,MATCH(C986,'Account executives'!$A$2:$A$25,0))</f>
        <v>emea</v>
      </c>
      <c r="W986" s="0" t="str">
        <f>INDEX('Account executives'!$C$2:$C$25,MATCH(C986,'Account executives'!$A$2:$A$25,0))</f>
        <v>mid_market</v>
      </c>
      <c r="X986" s="0" t="str">
        <f>SUBSTITUTE(LOWER(INDEX('Periods'!$G$2:$G$22,MATCH(N986,'Periods'!$A$2:$A$22,0)))," ","_")</f>
        <v>q2_2026</v>
      </c>
    </row>
    <row r="987">
      <c r="A987" s="0" t="inlineStr">
        <is>
          <t xml:space="preserve">o0986</t>
        </is>
      </c>
      <c r="B987" s="0" t="inlineStr">
        <is>
          <t xml:space="preserve">a0014</t>
        </is>
      </c>
      <c r="C987" s="0" t="inlineStr">
        <is>
          <t xml:space="preserve">r05</t>
        </is>
      </c>
      <c r="D987" s="0"/>
      <c r="E987" s="0" t="inlineStr">
        <is>
          <t xml:space="preserve">partner</t>
        </is>
      </c>
      <c r="F987" s="0" t="inlineStr">
        <is>
          <t xml:space="preserve">closed_lost</t>
        </is>
      </c>
      <c r="G987" s="4">
        <v>1</v>
      </c>
      <c r="H987" s="4">
        <v>11500</v>
      </c>
      <c r="I987" s="4">
        <v>2</v>
      </c>
      <c r="J987" s="4">
        <v>0</v>
      </c>
      <c r="K987" s="16">
        <v>45757</v>
      </c>
      <c r="L987" s="16">
        <v>45836</v>
      </c>
      <c r="M987" s="0" t="inlineStr">
        <is>
          <t xml:space="preserve">apr25</t>
        </is>
      </c>
      <c r="N987" s="0" t="inlineStr">
        <is>
          <t xml:space="preserve">jun25</t>
        </is>
      </c>
      <c r="O987" s="4">
        <v>79</v>
      </c>
      <c r="P987" s="4">
        <v>0</v>
      </c>
      <c r="Q987" s="4">
        <v>1</v>
      </c>
      <c r="R987" s="4">
        <v>0</v>
      </c>
      <c r="S987" s="4">
        <f>(H987*INDEX('Stages'!$D$2:$D$7,MATCH(F987,'Stages'!$A$2:$A$7,0)))</f>
        <v>0</v>
      </c>
      <c r="T987" s="4">
        <f>(H987*I987)</f>
        <v>23000</v>
      </c>
      <c r="U987" s="4">
        <f>(H987*(I987-1))</f>
        <v>11500</v>
      </c>
      <c r="V987" s="0" t="str">
        <f>INDEX('Account executives'!$B$2:$B$25,MATCH(C987,'Account executives'!$A$2:$A$25,0))</f>
        <v>amer_east</v>
      </c>
      <c r="W987" s="0" t="str">
        <f>INDEX('Account executives'!$C$2:$C$25,MATCH(C987,'Account executives'!$A$2:$A$25,0))</f>
        <v>smb</v>
      </c>
      <c r="X987" s="0" t="str">
        <f>SUBSTITUTE(LOWER(INDEX('Periods'!$G$2:$G$22,MATCH(N987,'Periods'!$A$2:$A$22,0)))," ","_")</f>
        <v>q2_2025</v>
      </c>
    </row>
    <row r="988">
      <c r="A988" s="0" t="inlineStr">
        <is>
          <t xml:space="preserve">o0987</t>
        </is>
      </c>
      <c r="B988" s="0" t="inlineStr">
        <is>
          <t xml:space="preserve">a0142</t>
        </is>
      </c>
      <c r="C988" s="0" t="inlineStr">
        <is>
          <t xml:space="preserve">r24</t>
        </is>
      </c>
      <c r="D988" s="0"/>
      <c r="E988" s="0" t="inlineStr">
        <is>
          <t xml:space="preserve">partner</t>
        </is>
      </c>
      <c r="F988" s="0" t="inlineStr">
        <is>
          <t xml:space="preserve">closed_won</t>
        </is>
      </c>
      <c r="G988" s="4">
        <v>0</v>
      </c>
      <c r="H988" s="4">
        <v>9600</v>
      </c>
      <c r="I988" s="4">
        <v>1</v>
      </c>
      <c r="J988" s="4">
        <v>0</v>
      </c>
      <c r="K988" s="16">
        <v>45835</v>
      </c>
      <c r="L988" s="16">
        <v>45875</v>
      </c>
      <c r="M988" s="0" t="inlineStr">
        <is>
          <t xml:space="preserve">jun25</t>
        </is>
      </c>
      <c r="N988" s="0" t="inlineStr">
        <is>
          <t xml:space="preserve">aug25</t>
        </is>
      </c>
      <c r="O988" s="4">
        <v>40</v>
      </c>
      <c r="P988" s="4">
        <v>1</v>
      </c>
      <c r="Q988" s="4">
        <v>0</v>
      </c>
      <c r="R988" s="4">
        <v>0</v>
      </c>
      <c r="S988" s="4">
        <f>(H988*INDEX('Stages'!$D$2:$D$7,MATCH(F988,'Stages'!$A$2:$A$7,0)))</f>
        <v>9600</v>
      </c>
      <c r="T988" s="4">
        <f>(H988*I988)</f>
        <v>9600</v>
      </c>
      <c r="U988" s="4">
        <f>(H988*(I988-1))</f>
        <v>0</v>
      </c>
      <c r="V988" s="0" t="str">
        <f>INDEX('Account executives'!$B$2:$B$25,MATCH(C988,'Account executives'!$A$2:$A$25,0))</f>
        <v>apac</v>
      </c>
      <c r="W988" s="0" t="str">
        <f>INDEX('Account executives'!$C$2:$C$25,MATCH(C988,'Account executives'!$A$2:$A$25,0))</f>
        <v>smb</v>
      </c>
      <c r="X988" s="0" t="str">
        <f>SUBSTITUTE(LOWER(INDEX('Periods'!$G$2:$G$22,MATCH(N988,'Periods'!$A$2:$A$22,0)))," ","_")</f>
        <v>q3_2025</v>
      </c>
    </row>
    <row r="989">
      <c r="A989" s="0" t="inlineStr">
        <is>
          <t xml:space="preserve">o0988</t>
        </is>
      </c>
      <c r="B989" s="0" t="inlineStr">
        <is>
          <t xml:space="preserve">a1258</t>
        </is>
      </c>
      <c r="C989" s="0" t="inlineStr">
        <is>
          <t xml:space="preserve">r24</t>
        </is>
      </c>
      <c r="D989" s="0" t="inlineStr">
        <is>
          <t xml:space="preserve">s_apac_in</t>
        </is>
      </c>
      <c r="E989" s="0" t="inlineStr">
        <is>
          <t xml:space="preserve">inbound</t>
        </is>
      </c>
      <c r="F989" s="0" t="inlineStr">
        <is>
          <t xml:space="preserve">discovery</t>
        </is>
      </c>
      <c r="G989" s="4">
        <v>1</v>
      </c>
      <c r="H989" s="4">
        <v>12900</v>
      </c>
      <c r="I989" s="4">
        <v>1</v>
      </c>
      <c r="J989" s="4">
        <v>0</v>
      </c>
      <c r="K989" s="16">
        <v>46272</v>
      </c>
      <c r="L989" s="16">
        <v>46371</v>
      </c>
      <c r="M989" s="0" t="inlineStr">
        <is>
          <t xml:space="preserve">sep26</t>
        </is>
      </c>
      <c r="N989" s="0" t="inlineStr">
        <is>
          <t xml:space="preserve">dec26</t>
        </is>
      </c>
      <c r="O989" s="4">
        <v>112</v>
      </c>
      <c r="P989" s="4">
        <v>0</v>
      </c>
      <c r="Q989" s="4">
        <v>0</v>
      </c>
      <c r="R989" s="4">
        <v>1</v>
      </c>
      <c r="S989" s="4">
        <f>(H989*INDEX('Stages'!$D$2:$D$7,MATCH(F989,'Stages'!$A$2:$A$7,0)))</f>
        <v>1290</v>
      </c>
      <c r="T989" s="4">
        <f>(H989*I989)</f>
        <v>12900</v>
      </c>
      <c r="U989" s="4">
        <f>(H989*(I989-1))</f>
        <v>0</v>
      </c>
      <c r="V989" s="0" t="str">
        <f>INDEX('Account executives'!$B$2:$B$25,MATCH(C989,'Account executives'!$A$2:$A$25,0))</f>
        <v>apac</v>
      </c>
      <c r="W989" s="0" t="str">
        <f>INDEX('Account executives'!$C$2:$C$25,MATCH(C989,'Account executives'!$A$2:$A$25,0))</f>
        <v>smb</v>
      </c>
      <c r="X989" s="0" t="str">
        <f>SUBSTITUTE(LOWER(INDEX('Periods'!$G$2:$G$22,MATCH(N989,'Periods'!$A$2:$A$22,0)))," ","_")</f>
        <v>q4_2026</v>
      </c>
    </row>
    <row r="990">
      <c r="A990" s="0" t="inlineStr">
        <is>
          <t xml:space="preserve">o0989</t>
        </is>
      </c>
      <c r="B990" s="0" t="inlineStr">
        <is>
          <t xml:space="preserve">a0440</t>
        </is>
      </c>
      <c r="C990" s="0" t="inlineStr">
        <is>
          <t xml:space="preserve">r11</t>
        </is>
      </c>
      <c r="D990" s="0" t="inlineStr">
        <is>
          <t xml:space="preserve">s_amer_west_out</t>
        </is>
      </c>
      <c r="E990" s="0" t="inlineStr">
        <is>
          <t xml:space="preserve">outbound</t>
        </is>
      </c>
      <c r="F990" s="0" t="inlineStr">
        <is>
          <t xml:space="preserve">closed_won</t>
        </is>
      </c>
      <c r="G990" s="4">
        <v>1</v>
      </c>
      <c r="H990" s="4">
        <v>17000</v>
      </c>
      <c r="I990" s="4">
        <v>1</v>
      </c>
      <c r="J990" s="4">
        <v>0</v>
      </c>
      <c r="K990" s="16">
        <v>45934</v>
      </c>
      <c r="L990" s="16">
        <v>45973</v>
      </c>
      <c r="M990" s="0" t="inlineStr">
        <is>
          <t xml:space="preserve">oct25</t>
        </is>
      </c>
      <c r="N990" s="0" t="inlineStr">
        <is>
          <t xml:space="preserve">nov25</t>
        </is>
      </c>
      <c r="O990" s="4">
        <v>39</v>
      </c>
      <c r="P990" s="4">
        <v>1</v>
      </c>
      <c r="Q990" s="4">
        <v>0</v>
      </c>
      <c r="R990" s="4">
        <v>0</v>
      </c>
      <c r="S990" s="4">
        <f>(H990*INDEX('Stages'!$D$2:$D$7,MATCH(F990,'Stages'!$A$2:$A$7,0)))</f>
        <v>17000</v>
      </c>
      <c r="T990" s="4">
        <f>(H990*I990)</f>
        <v>17000</v>
      </c>
      <c r="U990" s="4">
        <f>(H990*(I990-1))</f>
        <v>0</v>
      </c>
      <c r="V990" s="0" t="str">
        <f>INDEX('Account executives'!$B$2:$B$25,MATCH(C990,'Account executives'!$A$2:$A$25,0))</f>
        <v>amer_west</v>
      </c>
      <c r="W990" s="0" t="str">
        <f>INDEX('Account executives'!$C$2:$C$25,MATCH(C990,'Account executives'!$A$2:$A$25,0))</f>
        <v>smb</v>
      </c>
      <c r="X990" s="0" t="str">
        <f>SUBSTITUTE(LOWER(INDEX('Periods'!$G$2:$G$22,MATCH(N990,'Periods'!$A$2:$A$22,0)))," ","_")</f>
        <v>q4_2025</v>
      </c>
    </row>
    <row r="991">
      <c r="A991" s="0" t="inlineStr">
        <is>
          <t xml:space="preserve">o0990</t>
        </is>
      </c>
      <c r="B991" s="0" t="inlineStr">
        <is>
          <t xml:space="preserve">a0094</t>
        </is>
      </c>
      <c r="C991" s="0" t="inlineStr">
        <is>
          <t xml:space="preserve">r12</t>
        </is>
      </c>
      <c r="D991" s="0" t="inlineStr">
        <is>
          <t xml:space="preserve">s_amer_west_out</t>
        </is>
      </c>
      <c r="E991" s="0" t="inlineStr">
        <is>
          <t xml:space="preserve">outbound</t>
        </is>
      </c>
      <c r="F991" s="0" t="inlineStr">
        <is>
          <t xml:space="preserve">closed_lost</t>
        </is>
      </c>
      <c r="G991" s="4">
        <v>0</v>
      </c>
      <c r="H991" s="4">
        <v>4900</v>
      </c>
      <c r="I991" s="4">
        <v>1</v>
      </c>
      <c r="J991" s="4">
        <v>0</v>
      </c>
      <c r="K991" s="16">
        <v>46072</v>
      </c>
      <c r="L991" s="16">
        <v>46110</v>
      </c>
      <c r="M991" s="0" t="inlineStr">
        <is>
          <t xml:space="preserve">feb26</t>
        </is>
      </c>
      <c r="N991" s="0" t="inlineStr">
        <is>
          <t xml:space="preserve">mar26</t>
        </is>
      </c>
      <c r="O991" s="4">
        <v>38</v>
      </c>
      <c r="P991" s="4">
        <v>0</v>
      </c>
      <c r="Q991" s="4">
        <v>1</v>
      </c>
      <c r="R991" s="4">
        <v>0</v>
      </c>
      <c r="S991" s="4">
        <f>(H991*INDEX('Stages'!$D$2:$D$7,MATCH(F991,'Stages'!$A$2:$A$7,0)))</f>
        <v>0</v>
      </c>
      <c r="T991" s="4">
        <f>(H991*I991)</f>
        <v>4900</v>
      </c>
      <c r="U991" s="4">
        <f>(H991*(I991-1))</f>
        <v>0</v>
      </c>
      <c r="V991" s="0" t="str">
        <f>INDEX('Account executives'!$B$2:$B$25,MATCH(C991,'Account executives'!$A$2:$A$25,0))</f>
        <v>amer_west</v>
      </c>
      <c r="W991" s="0" t="str">
        <f>INDEX('Account executives'!$C$2:$C$25,MATCH(C991,'Account executives'!$A$2:$A$25,0))</f>
        <v>smb</v>
      </c>
      <c r="X991" s="0" t="str">
        <f>SUBSTITUTE(LOWER(INDEX('Periods'!$G$2:$G$22,MATCH(N991,'Periods'!$A$2:$A$22,0)))," ","_")</f>
        <v>q1_2026</v>
      </c>
    </row>
    <row r="992">
      <c r="A992" s="0" t="inlineStr">
        <is>
          <t xml:space="preserve">o0991</t>
        </is>
      </c>
      <c r="B992" s="0" t="inlineStr">
        <is>
          <t xml:space="preserve">a0719</t>
        </is>
      </c>
      <c r="C992" s="0" t="inlineStr">
        <is>
          <t xml:space="preserve">r24</t>
        </is>
      </c>
      <c r="D992" s="0" t="inlineStr">
        <is>
          <t xml:space="preserve">s_apac_out</t>
        </is>
      </c>
      <c r="E992" s="0" t="inlineStr">
        <is>
          <t xml:space="preserve">outbound</t>
        </is>
      </c>
      <c r="F992" s="0" t="inlineStr">
        <is>
          <t xml:space="preserve">closed_lost</t>
        </is>
      </c>
      <c r="G992" s="4">
        <v>1</v>
      </c>
      <c r="H992" s="4">
        <v>25900</v>
      </c>
      <c r="I992" s="4">
        <v>1</v>
      </c>
      <c r="J992" s="4">
        <v>1</v>
      </c>
      <c r="K992" s="16">
        <v>46068</v>
      </c>
      <c r="L992" s="16">
        <v>46114</v>
      </c>
      <c r="M992" s="0" t="inlineStr">
        <is>
          <t xml:space="preserve">feb26</t>
        </is>
      </c>
      <c r="N992" s="0" t="inlineStr">
        <is>
          <t xml:space="preserve">apr26</t>
        </is>
      </c>
      <c r="O992" s="4">
        <v>46</v>
      </c>
      <c r="P992" s="4">
        <v>0</v>
      </c>
      <c r="Q992" s="4">
        <v>1</v>
      </c>
      <c r="R992" s="4">
        <v>0</v>
      </c>
      <c r="S992" s="4">
        <f>(H992*INDEX('Stages'!$D$2:$D$7,MATCH(F992,'Stages'!$A$2:$A$7,0)))</f>
        <v>0</v>
      </c>
      <c r="T992" s="4">
        <f>(H992*I992)</f>
        <v>25900</v>
      </c>
      <c r="U992" s="4">
        <f>(H992*(I992-1))</f>
        <v>0</v>
      </c>
      <c r="V992" s="0" t="str">
        <f>INDEX('Account executives'!$B$2:$B$25,MATCH(C992,'Account executives'!$A$2:$A$25,0))</f>
        <v>apac</v>
      </c>
      <c r="W992" s="0" t="str">
        <f>INDEX('Account executives'!$C$2:$C$25,MATCH(C992,'Account executives'!$A$2:$A$25,0))</f>
        <v>smb</v>
      </c>
      <c r="X992" s="0" t="str">
        <f>SUBSTITUTE(LOWER(INDEX('Periods'!$G$2:$G$22,MATCH(N992,'Periods'!$A$2:$A$22,0)))," ","_")</f>
        <v>q2_2026</v>
      </c>
    </row>
    <row r="993">
      <c r="A993" s="0" t="inlineStr">
        <is>
          <t xml:space="preserve">o0992</t>
        </is>
      </c>
      <c r="B993" s="0" t="inlineStr">
        <is>
          <t xml:space="preserve">a1200</t>
        </is>
      </c>
      <c r="C993" s="0" t="inlineStr">
        <is>
          <t xml:space="preserve">r21</t>
        </is>
      </c>
      <c r="D993" s="0" t="inlineStr">
        <is>
          <t xml:space="preserve">s_apac_in</t>
        </is>
      </c>
      <c r="E993" s="0" t="inlineStr">
        <is>
          <t xml:space="preserve">inbound</t>
        </is>
      </c>
      <c r="F993" s="0" t="inlineStr">
        <is>
          <t xml:space="preserve">evaluation</t>
        </is>
      </c>
      <c r="G993" s="4">
        <v>1</v>
      </c>
      <c r="H993" s="4">
        <v>59000</v>
      </c>
      <c r="I993" s="4">
        <v>1</v>
      </c>
      <c r="J993" s="4">
        <v>1</v>
      </c>
      <c r="K993" s="16">
        <v>46255</v>
      </c>
      <c r="L993" s="16">
        <v>46302</v>
      </c>
      <c r="M993" s="0" t="inlineStr">
        <is>
          <t xml:space="preserve">aug26</t>
        </is>
      </c>
      <c r="N993" s="0" t="inlineStr">
        <is>
          <t xml:space="preserve">oct26</t>
        </is>
      </c>
      <c r="O993" s="4">
        <v>71</v>
      </c>
      <c r="P993" s="4">
        <v>0</v>
      </c>
      <c r="Q993" s="4">
        <v>0</v>
      </c>
      <c r="R993" s="4">
        <v>1</v>
      </c>
      <c r="S993" s="4">
        <f>(H993*INDEX('Stages'!$D$2:$D$7,MATCH(F993,'Stages'!$A$2:$A$7,0)))</f>
        <v>14750</v>
      </c>
      <c r="T993" s="4">
        <f>(H993*I993)</f>
        <v>59000</v>
      </c>
      <c r="U993" s="4">
        <f>(H993*(I993-1))</f>
        <v>0</v>
      </c>
      <c r="V993" s="0" t="str">
        <f>INDEX('Account executives'!$B$2:$B$25,MATCH(C993,'Account executives'!$A$2:$A$25,0))</f>
        <v>apac</v>
      </c>
      <c r="W993" s="0" t="str">
        <f>INDEX('Account executives'!$C$2:$C$25,MATCH(C993,'Account executives'!$A$2:$A$25,0))</f>
        <v>mid_market</v>
      </c>
      <c r="X993" s="0" t="str">
        <f>SUBSTITUTE(LOWER(INDEX('Periods'!$G$2:$G$22,MATCH(N993,'Periods'!$A$2:$A$22,0)))," ","_")</f>
        <v>q4_2026</v>
      </c>
    </row>
    <row r="994">
      <c r="A994" s="0" t="inlineStr">
        <is>
          <t xml:space="preserve">o0993</t>
        </is>
      </c>
      <c r="B994" s="0" t="inlineStr">
        <is>
          <t xml:space="preserve">a0216</t>
        </is>
      </c>
      <c r="C994" s="0" t="inlineStr">
        <is>
          <t xml:space="preserve">r18</t>
        </is>
      </c>
      <c r="D994" s="0"/>
      <c r="E994" s="0" t="inlineStr">
        <is>
          <t xml:space="preserve">events</t>
        </is>
      </c>
      <c r="F994" s="0" t="inlineStr">
        <is>
          <t xml:space="preserve">closed_lost</t>
        </is>
      </c>
      <c r="G994" s="4">
        <v>1</v>
      </c>
      <c r="H994" s="4">
        <v>13800</v>
      </c>
      <c r="I994" s="4">
        <v>1</v>
      </c>
      <c r="J994" s="4">
        <v>1</v>
      </c>
      <c r="K994" s="16">
        <v>45810</v>
      </c>
      <c r="L994" s="16">
        <v>45839</v>
      </c>
      <c r="M994" s="0" t="inlineStr">
        <is>
          <t xml:space="preserve">jun25</t>
        </is>
      </c>
      <c r="N994" s="0" t="inlineStr">
        <is>
          <t xml:space="preserve">jul25</t>
        </is>
      </c>
      <c r="O994" s="4">
        <v>29</v>
      </c>
      <c r="P994" s="4">
        <v>0</v>
      </c>
      <c r="Q994" s="4">
        <v>1</v>
      </c>
      <c r="R994" s="4">
        <v>0</v>
      </c>
      <c r="S994" s="4">
        <f>(H994*INDEX('Stages'!$D$2:$D$7,MATCH(F994,'Stages'!$A$2:$A$7,0)))</f>
        <v>0</v>
      </c>
      <c r="T994" s="4">
        <f>(H994*I994)</f>
        <v>13800</v>
      </c>
      <c r="U994" s="4">
        <f>(H994*(I994-1))</f>
        <v>0</v>
      </c>
      <c r="V994" s="0" t="str">
        <f>INDEX('Account executives'!$B$2:$B$25,MATCH(C994,'Account executives'!$A$2:$A$25,0))</f>
        <v>emea</v>
      </c>
      <c r="W994" s="0" t="str">
        <f>INDEX('Account executives'!$C$2:$C$25,MATCH(C994,'Account executives'!$A$2:$A$25,0))</f>
        <v>smb</v>
      </c>
      <c r="X994" s="0" t="str">
        <f>SUBSTITUTE(LOWER(INDEX('Periods'!$G$2:$G$22,MATCH(N994,'Periods'!$A$2:$A$22,0)))," ","_")</f>
        <v>q3_2025</v>
      </c>
    </row>
    <row r="995">
      <c r="A995" s="0" t="inlineStr">
        <is>
          <t xml:space="preserve">o0994</t>
        </is>
      </c>
      <c r="B995" s="0" t="inlineStr">
        <is>
          <t xml:space="preserve">a0416</t>
        </is>
      </c>
      <c r="C995" s="0" t="inlineStr">
        <is>
          <t xml:space="preserve">r06</t>
        </is>
      </c>
      <c r="D995" s="0" t="inlineStr">
        <is>
          <t xml:space="preserve">s_amer_east_in</t>
        </is>
      </c>
      <c r="E995" s="0" t="inlineStr">
        <is>
          <t xml:space="preserve">inbound</t>
        </is>
      </c>
      <c r="F995" s="0" t="inlineStr">
        <is>
          <t xml:space="preserve">closed_won</t>
        </is>
      </c>
      <c r="G995" s="4">
        <v>1</v>
      </c>
      <c r="H995" s="4">
        <v>7100</v>
      </c>
      <c r="I995" s="4">
        <v>1</v>
      </c>
      <c r="J995" s="4">
        <v>0</v>
      </c>
      <c r="K995" s="16">
        <v>45956</v>
      </c>
      <c r="L995" s="16">
        <v>45992</v>
      </c>
      <c r="M995" s="0" t="inlineStr">
        <is>
          <t xml:space="preserve">oct25</t>
        </is>
      </c>
      <c r="N995" s="0" t="inlineStr">
        <is>
          <t xml:space="preserve">dec25</t>
        </is>
      </c>
      <c r="O995" s="4">
        <v>36</v>
      </c>
      <c r="P995" s="4">
        <v>1</v>
      </c>
      <c r="Q995" s="4">
        <v>0</v>
      </c>
      <c r="R995" s="4">
        <v>0</v>
      </c>
      <c r="S995" s="4">
        <f>(H995*INDEX('Stages'!$D$2:$D$7,MATCH(F995,'Stages'!$A$2:$A$7,0)))</f>
        <v>7100</v>
      </c>
      <c r="T995" s="4">
        <f>(H995*I995)</f>
        <v>7100</v>
      </c>
      <c r="U995" s="4">
        <f>(H995*(I995-1))</f>
        <v>0</v>
      </c>
      <c r="V995" s="0" t="str">
        <f>INDEX('Account executives'!$B$2:$B$25,MATCH(C995,'Account executives'!$A$2:$A$25,0))</f>
        <v>amer_east</v>
      </c>
      <c r="W995" s="0" t="str">
        <f>INDEX('Account executives'!$C$2:$C$25,MATCH(C995,'Account executives'!$A$2:$A$25,0))</f>
        <v>smb</v>
      </c>
      <c r="X995" s="0" t="str">
        <f>SUBSTITUTE(LOWER(INDEX('Periods'!$G$2:$G$22,MATCH(N995,'Periods'!$A$2:$A$22,0)))," ","_")</f>
        <v>q4_2025</v>
      </c>
    </row>
    <row r="996">
      <c r="A996" s="0" t="inlineStr">
        <is>
          <t xml:space="preserve">o0995</t>
        </is>
      </c>
      <c r="B996" s="0" t="inlineStr">
        <is>
          <t xml:space="preserve">a1007</t>
        </is>
      </c>
      <c r="C996" s="0" t="inlineStr">
        <is>
          <t xml:space="preserve">r08</t>
        </is>
      </c>
      <c r="D996" s="0" t="inlineStr">
        <is>
          <t xml:space="preserve">s_amer_west_out</t>
        </is>
      </c>
      <c r="E996" s="0" t="inlineStr">
        <is>
          <t xml:space="preserve">outbound</t>
        </is>
      </c>
      <c r="F996" s="0" t="inlineStr">
        <is>
          <t xml:space="preserve">proposal</t>
        </is>
      </c>
      <c r="G996" s="4">
        <v>1</v>
      </c>
      <c r="H996" s="4">
        <v>153100</v>
      </c>
      <c r="I996" s="4">
        <v>2</v>
      </c>
      <c r="J996" s="4">
        <v>1</v>
      </c>
      <c r="K996" s="16">
        <v>46199</v>
      </c>
      <c r="L996" s="16">
        <v>46322</v>
      </c>
      <c r="M996" s="0" t="inlineStr">
        <is>
          <t xml:space="preserve">jun26</t>
        </is>
      </c>
      <c r="N996" s="0" t="inlineStr">
        <is>
          <t xml:space="preserve">oct26</t>
        </is>
      </c>
      <c r="O996" s="4">
        <v>87</v>
      </c>
      <c r="P996" s="4">
        <v>0</v>
      </c>
      <c r="Q996" s="4">
        <v>0</v>
      </c>
      <c r="R996" s="4">
        <v>1</v>
      </c>
      <c r="S996" s="4">
        <f>(H996*INDEX('Stages'!$D$2:$D$7,MATCH(F996,'Stages'!$A$2:$A$7,0)))</f>
        <v>76550</v>
      </c>
      <c r="T996" s="4">
        <f>(H996*I996)</f>
        <v>306200</v>
      </c>
      <c r="U996" s="4">
        <f>(H996*(I996-1))</f>
        <v>153100</v>
      </c>
      <c r="V996" s="0" t="str">
        <f>INDEX('Account executives'!$B$2:$B$25,MATCH(C996,'Account executives'!$A$2:$A$25,0))</f>
        <v>amer_west</v>
      </c>
      <c r="W996" s="0" t="str">
        <f>INDEX('Account executives'!$C$2:$C$25,MATCH(C996,'Account executives'!$A$2:$A$25,0))</f>
        <v>enterprise</v>
      </c>
      <c r="X996" s="0" t="str">
        <f>SUBSTITUTE(LOWER(INDEX('Periods'!$G$2:$G$22,MATCH(N996,'Periods'!$A$2:$A$22,0)))," ","_")</f>
        <v>q4_2026</v>
      </c>
    </row>
    <row r="997">
      <c r="A997" s="0" t="inlineStr">
        <is>
          <t xml:space="preserve">o0996</t>
        </is>
      </c>
      <c r="B997" s="0" t="inlineStr">
        <is>
          <t xml:space="preserve">a0186</t>
        </is>
      </c>
      <c r="C997" s="0" t="inlineStr">
        <is>
          <t xml:space="preserve">r05</t>
        </is>
      </c>
      <c r="D997" s="0"/>
      <c r="E997" s="0" t="inlineStr">
        <is>
          <t xml:space="preserve">referral</t>
        </is>
      </c>
      <c r="F997" s="0" t="inlineStr">
        <is>
          <t xml:space="preserve">closed_lost</t>
        </is>
      </c>
      <c r="G997" s="4">
        <v>1</v>
      </c>
      <c r="H997" s="4">
        <v>20800</v>
      </c>
      <c r="I997" s="4">
        <v>1</v>
      </c>
      <c r="J997" s="4">
        <v>0</v>
      </c>
      <c r="K997" s="16">
        <v>45835</v>
      </c>
      <c r="L997" s="16">
        <v>45928</v>
      </c>
      <c r="M997" s="0" t="inlineStr">
        <is>
          <t xml:space="preserve">jun25</t>
        </is>
      </c>
      <c r="N997" s="0" t="inlineStr">
        <is>
          <t xml:space="preserve">sep25</t>
        </is>
      </c>
      <c r="O997" s="4">
        <v>93</v>
      </c>
      <c r="P997" s="4">
        <v>0</v>
      </c>
      <c r="Q997" s="4">
        <v>1</v>
      </c>
      <c r="R997" s="4">
        <v>0</v>
      </c>
      <c r="S997" s="4">
        <f>(H997*INDEX('Stages'!$D$2:$D$7,MATCH(F997,'Stages'!$A$2:$A$7,0)))</f>
        <v>0</v>
      </c>
      <c r="T997" s="4">
        <f>(H997*I997)</f>
        <v>20800</v>
      </c>
      <c r="U997" s="4">
        <f>(H997*(I997-1))</f>
        <v>0</v>
      </c>
      <c r="V997" s="0" t="str">
        <f>INDEX('Account executives'!$B$2:$B$25,MATCH(C997,'Account executives'!$A$2:$A$25,0))</f>
        <v>amer_east</v>
      </c>
      <c r="W997" s="0" t="str">
        <f>INDEX('Account executives'!$C$2:$C$25,MATCH(C997,'Account executives'!$A$2:$A$25,0))</f>
        <v>smb</v>
      </c>
      <c r="X997" s="0" t="str">
        <f>SUBSTITUTE(LOWER(INDEX('Periods'!$G$2:$G$22,MATCH(N997,'Periods'!$A$2:$A$22,0)))," ","_")</f>
        <v>q3_2025</v>
      </c>
    </row>
    <row r="998">
      <c r="A998" s="0" t="inlineStr">
        <is>
          <t xml:space="preserve">o0997</t>
        </is>
      </c>
      <c r="B998" s="0" t="inlineStr">
        <is>
          <t xml:space="preserve">a1131</t>
        </is>
      </c>
      <c r="C998" s="0" t="inlineStr">
        <is>
          <t xml:space="preserve">r18</t>
        </is>
      </c>
      <c r="D998" s="0"/>
      <c r="E998" s="0" t="inlineStr">
        <is>
          <t xml:space="preserve">referral</t>
        </is>
      </c>
      <c r="F998" s="0" t="inlineStr">
        <is>
          <t xml:space="preserve">closed_won</t>
        </is>
      </c>
      <c r="G998" s="4">
        <v>1</v>
      </c>
      <c r="H998" s="4">
        <v>13700</v>
      </c>
      <c r="I998" s="4">
        <v>1</v>
      </c>
      <c r="J998" s="4">
        <v>1</v>
      </c>
      <c r="K998" s="16">
        <v>46221</v>
      </c>
      <c r="L998" s="16">
        <v>46253</v>
      </c>
      <c r="M998" s="0" t="inlineStr">
        <is>
          <t xml:space="preserve">jul26</t>
        </is>
      </c>
      <c r="N998" s="0" t="inlineStr">
        <is>
          <t xml:space="preserve">aug26</t>
        </is>
      </c>
      <c r="O998" s="4">
        <v>32</v>
      </c>
      <c r="P998" s="4">
        <v>1</v>
      </c>
      <c r="Q998" s="4">
        <v>0</v>
      </c>
      <c r="R998" s="4">
        <v>0</v>
      </c>
      <c r="S998" s="4">
        <f>(H998*INDEX('Stages'!$D$2:$D$7,MATCH(F998,'Stages'!$A$2:$A$7,0)))</f>
        <v>13700</v>
      </c>
      <c r="T998" s="4">
        <f>(H998*I998)</f>
        <v>13700</v>
      </c>
      <c r="U998" s="4">
        <f>(H998*(I998-1))</f>
        <v>0</v>
      </c>
      <c r="V998" s="0" t="str">
        <f>INDEX('Account executives'!$B$2:$B$25,MATCH(C998,'Account executives'!$A$2:$A$25,0))</f>
        <v>emea</v>
      </c>
      <c r="W998" s="0" t="str">
        <f>INDEX('Account executives'!$C$2:$C$25,MATCH(C998,'Account executives'!$A$2:$A$25,0))</f>
        <v>smb</v>
      </c>
      <c r="X998" s="0" t="str">
        <f>SUBSTITUTE(LOWER(INDEX('Periods'!$G$2:$G$22,MATCH(N998,'Periods'!$A$2:$A$22,0)))," ","_")</f>
        <v>q3_2026</v>
      </c>
    </row>
    <row r="999">
      <c r="A999" s="0" t="inlineStr">
        <is>
          <t xml:space="preserve">o0998</t>
        </is>
      </c>
      <c r="B999" s="0" t="inlineStr">
        <is>
          <t xml:space="preserve">a0489</t>
        </is>
      </c>
      <c r="C999" s="0" t="inlineStr">
        <is>
          <t xml:space="preserve">r05</t>
        </is>
      </c>
      <c r="D999" s="0"/>
      <c r="E999" s="0" t="inlineStr">
        <is>
          <t xml:space="preserve">referral</t>
        </is>
      </c>
      <c r="F999" s="0" t="inlineStr">
        <is>
          <t xml:space="preserve">closed_won</t>
        </is>
      </c>
      <c r="G999" s="4">
        <v>1</v>
      </c>
      <c r="H999" s="4">
        <v>23500</v>
      </c>
      <c r="I999" s="4">
        <v>1</v>
      </c>
      <c r="J999" s="4">
        <v>0</v>
      </c>
      <c r="K999" s="16">
        <v>45967</v>
      </c>
      <c r="L999" s="16">
        <v>45996</v>
      </c>
      <c r="M999" s="0" t="inlineStr">
        <is>
          <t xml:space="preserve">nov25</t>
        </is>
      </c>
      <c r="N999" s="0" t="inlineStr">
        <is>
          <t xml:space="preserve">dec25</t>
        </is>
      </c>
      <c r="O999" s="4">
        <v>29</v>
      </c>
      <c r="P999" s="4">
        <v>1</v>
      </c>
      <c r="Q999" s="4">
        <v>0</v>
      </c>
      <c r="R999" s="4">
        <v>0</v>
      </c>
      <c r="S999" s="4">
        <f>(H999*INDEX('Stages'!$D$2:$D$7,MATCH(F999,'Stages'!$A$2:$A$7,0)))</f>
        <v>23500</v>
      </c>
      <c r="T999" s="4">
        <f>(H999*I999)</f>
        <v>23500</v>
      </c>
      <c r="U999" s="4">
        <f>(H999*(I999-1))</f>
        <v>0</v>
      </c>
      <c r="V999" s="0" t="str">
        <f>INDEX('Account executives'!$B$2:$B$25,MATCH(C999,'Account executives'!$A$2:$A$25,0))</f>
        <v>amer_east</v>
      </c>
      <c r="W999" s="0" t="str">
        <f>INDEX('Account executives'!$C$2:$C$25,MATCH(C999,'Account executives'!$A$2:$A$25,0))</f>
        <v>smb</v>
      </c>
      <c r="X999" s="0" t="str">
        <f>SUBSTITUTE(LOWER(INDEX('Periods'!$G$2:$G$22,MATCH(N999,'Periods'!$A$2:$A$22,0)))," ","_")</f>
        <v>q4_2025</v>
      </c>
    </row>
    <row r="1000">
      <c r="A1000" s="0" t="inlineStr">
        <is>
          <t xml:space="preserve">o0999</t>
        </is>
      </c>
      <c r="B1000" s="0" t="inlineStr">
        <is>
          <t xml:space="preserve">a0466</t>
        </is>
      </c>
      <c r="C1000" s="0" t="inlineStr">
        <is>
          <t xml:space="preserve">r22</t>
        </is>
      </c>
      <c r="D1000" s="0" t="inlineStr">
        <is>
          <t xml:space="preserve">s_apac_in</t>
        </is>
      </c>
      <c r="E1000" s="0" t="inlineStr">
        <is>
          <t xml:space="preserve">paid</t>
        </is>
      </c>
      <c r="F1000" s="0" t="inlineStr">
        <is>
          <t xml:space="preserve">closed_lost</t>
        </is>
      </c>
      <c r="G1000" s="4">
        <v>1</v>
      </c>
      <c r="H1000" s="4">
        <v>68000</v>
      </c>
      <c r="I1000" s="4">
        <v>1</v>
      </c>
      <c r="J1000" s="4">
        <v>0</v>
      </c>
      <c r="K1000" s="16">
        <v>45932</v>
      </c>
      <c r="L1000" s="16">
        <v>45984</v>
      </c>
      <c r="M1000" s="0" t="inlineStr">
        <is>
          <t xml:space="preserve">oct25</t>
        </is>
      </c>
      <c r="N1000" s="0" t="inlineStr">
        <is>
          <t xml:space="preserve">nov25</t>
        </is>
      </c>
      <c r="O1000" s="4">
        <v>52</v>
      </c>
      <c r="P1000" s="4">
        <v>0</v>
      </c>
      <c r="Q1000" s="4">
        <v>1</v>
      </c>
      <c r="R1000" s="4">
        <v>0</v>
      </c>
      <c r="S1000" s="4">
        <f>(H1000*INDEX('Stages'!$D$2:$D$7,MATCH(F1000,'Stages'!$A$2:$A$7,0)))</f>
        <v>0</v>
      </c>
      <c r="T1000" s="4">
        <f>(H1000*I1000)</f>
        <v>68000</v>
      </c>
      <c r="U1000" s="4">
        <f>(H1000*(I1000-1))</f>
        <v>0</v>
      </c>
      <c r="V1000" s="0" t="str">
        <f>INDEX('Account executives'!$B$2:$B$25,MATCH(C1000,'Account executives'!$A$2:$A$25,0))</f>
        <v>apac</v>
      </c>
      <c r="W1000" s="0" t="str">
        <f>INDEX('Account executives'!$C$2:$C$25,MATCH(C1000,'Account executives'!$A$2:$A$25,0))</f>
        <v>mid_market</v>
      </c>
      <c r="X1000" s="0" t="str">
        <f>SUBSTITUTE(LOWER(INDEX('Periods'!$G$2:$G$22,MATCH(N1000,'Periods'!$A$2:$A$22,0)))," ","_")</f>
        <v>q4_2025</v>
      </c>
    </row>
    <row r="1001">
      <c r="A1001" s="0" t="inlineStr">
        <is>
          <t xml:space="preserve">o1000</t>
        </is>
      </c>
      <c r="B1001" s="0" t="inlineStr">
        <is>
          <t xml:space="preserve">a0187</t>
        </is>
      </c>
      <c r="C1001" s="0" t="inlineStr">
        <is>
          <t xml:space="preserve">r11</t>
        </is>
      </c>
      <c r="D1001" s="0" t="inlineStr">
        <is>
          <t xml:space="preserve">s_amer_west_in</t>
        </is>
      </c>
      <c r="E1001" s="0" t="inlineStr">
        <is>
          <t xml:space="preserve">inbound</t>
        </is>
      </c>
      <c r="F1001" s="0" t="inlineStr">
        <is>
          <t xml:space="preserve">closed_lost</t>
        </is>
      </c>
      <c r="G1001" s="4">
        <v>1</v>
      </c>
      <c r="H1001" s="4">
        <v>14500</v>
      </c>
      <c r="I1001" s="4">
        <v>1</v>
      </c>
      <c r="J1001" s="4">
        <v>0</v>
      </c>
      <c r="K1001" s="16">
        <v>45835</v>
      </c>
      <c r="L1001" s="16">
        <v>45862</v>
      </c>
      <c r="M1001" s="0" t="inlineStr">
        <is>
          <t xml:space="preserve">jun25</t>
        </is>
      </c>
      <c r="N1001" s="0" t="inlineStr">
        <is>
          <t xml:space="preserve">jul25</t>
        </is>
      </c>
      <c r="O1001" s="4">
        <v>27</v>
      </c>
      <c r="P1001" s="4">
        <v>0</v>
      </c>
      <c r="Q1001" s="4">
        <v>1</v>
      </c>
      <c r="R1001" s="4">
        <v>0</v>
      </c>
      <c r="S1001" s="4">
        <f>(H1001*INDEX('Stages'!$D$2:$D$7,MATCH(F1001,'Stages'!$A$2:$A$7,0)))</f>
        <v>0</v>
      </c>
      <c r="T1001" s="4">
        <f>(H1001*I1001)</f>
        <v>14500</v>
      </c>
      <c r="U1001" s="4">
        <f>(H1001*(I1001-1))</f>
        <v>0</v>
      </c>
      <c r="V1001" s="0" t="str">
        <f>INDEX('Account executives'!$B$2:$B$25,MATCH(C1001,'Account executives'!$A$2:$A$25,0))</f>
        <v>amer_west</v>
      </c>
      <c r="W1001" s="0" t="str">
        <f>INDEX('Account executives'!$C$2:$C$25,MATCH(C1001,'Account executives'!$A$2:$A$25,0))</f>
        <v>smb</v>
      </c>
      <c r="X1001" s="0" t="str">
        <f>SUBSTITUTE(LOWER(INDEX('Periods'!$G$2:$G$22,MATCH(N1001,'Periods'!$A$2:$A$22,0)))," ","_")</f>
        <v>q3_2025</v>
      </c>
    </row>
    <row r="1002">
      <c r="A1002" s="0" t="inlineStr">
        <is>
          <t xml:space="preserve">o1001</t>
        </is>
      </c>
      <c r="B1002" s="0" t="inlineStr">
        <is>
          <t xml:space="preserve">a0149</t>
        </is>
      </c>
      <c r="C1002" s="0" t="inlineStr">
        <is>
          <t xml:space="preserve">r21</t>
        </is>
      </c>
      <c r="D1002" s="0" t="inlineStr">
        <is>
          <t xml:space="preserve">s_apac_out</t>
        </is>
      </c>
      <c r="E1002" s="0" t="inlineStr">
        <is>
          <t xml:space="preserve">outbound</t>
        </is>
      </c>
      <c r="F1002" s="0" t="inlineStr">
        <is>
          <t xml:space="preserve">closed_lost</t>
        </is>
      </c>
      <c r="G1002" s="4">
        <v>0</v>
      </c>
      <c r="H1002" s="4">
        <v>10300</v>
      </c>
      <c r="I1002" s="4">
        <v>2</v>
      </c>
      <c r="J1002" s="4">
        <v>1</v>
      </c>
      <c r="K1002" s="16">
        <v>45785</v>
      </c>
      <c r="L1002" s="16">
        <v>45847</v>
      </c>
      <c r="M1002" s="0" t="inlineStr">
        <is>
          <t xml:space="preserve">may25</t>
        </is>
      </c>
      <c r="N1002" s="0" t="inlineStr">
        <is>
          <t xml:space="preserve">jul25</t>
        </is>
      </c>
      <c r="O1002" s="4">
        <v>62</v>
      </c>
      <c r="P1002" s="4">
        <v>0</v>
      </c>
      <c r="Q1002" s="4">
        <v>1</v>
      </c>
      <c r="R1002" s="4">
        <v>0</v>
      </c>
      <c r="S1002" s="4">
        <f>(H1002*INDEX('Stages'!$D$2:$D$7,MATCH(F1002,'Stages'!$A$2:$A$7,0)))</f>
        <v>0</v>
      </c>
      <c r="T1002" s="4">
        <f>(H1002*I1002)</f>
        <v>20600</v>
      </c>
      <c r="U1002" s="4">
        <f>(H1002*(I1002-1))</f>
        <v>10300</v>
      </c>
      <c r="V1002" s="0" t="str">
        <f>INDEX('Account executives'!$B$2:$B$25,MATCH(C1002,'Account executives'!$A$2:$A$25,0))</f>
        <v>apac</v>
      </c>
      <c r="W1002" s="0" t="str">
        <f>INDEX('Account executives'!$C$2:$C$25,MATCH(C1002,'Account executives'!$A$2:$A$25,0))</f>
        <v>mid_market</v>
      </c>
      <c r="X1002" s="0" t="str">
        <f>SUBSTITUTE(LOWER(INDEX('Periods'!$G$2:$G$22,MATCH(N1002,'Periods'!$A$2:$A$22,0)))," ","_")</f>
        <v>q3_2025</v>
      </c>
    </row>
    <row r="1003">
      <c r="A1003" s="0" t="inlineStr">
        <is>
          <t xml:space="preserve">o1002</t>
        </is>
      </c>
      <c r="B1003" s="0" t="inlineStr">
        <is>
          <t xml:space="preserve">a0951</t>
        </is>
      </c>
      <c r="C1003" s="0" t="inlineStr">
        <is>
          <t xml:space="preserve">r20</t>
        </is>
      </c>
      <c r="D1003" s="0"/>
      <c r="E1003" s="0" t="inlineStr">
        <is>
          <t xml:space="preserve">partner</t>
        </is>
      </c>
      <c r="F1003" s="0" t="inlineStr">
        <is>
          <t xml:space="preserve">closed_won</t>
        </is>
      </c>
      <c r="G1003" s="4">
        <v>1</v>
      </c>
      <c r="H1003" s="4">
        <v>103400</v>
      </c>
      <c r="I1003" s="4">
        <v>2</v>
      </c>
      <c r="J1003" s="4">
        <v>0</v>
      </c>
      <c r="K1003" s="16">
        <v>46143</v>
      </c>
      <c r="L1003" s="16">
        <v>46244</v>
      </c>
      <c r="M1003" s="0" t="inlineStr">
        <is>
          <t xml:space="preserve">may26</t>
        </is>
      </c>
      <c r="N1003" s="0" t="inlineStr">
        <is>
          <t xml:space="preserve">aug26</t>
        </is>
      </c>
      <c r="O1003" s="4">
        <v>101</v>
      </c>
      <c r="P1003" s="4">
        <v>1</v>
      </c>
      <c r="Q1003" s="4">
        <v>0</v>
      </c>
      <c r="R1003" s="4">
        <v>0</v>
      </c>
      <c r="S1003" s="4">
        <f>(H1003*INDEX('Stages'!$D$2:$D$7,MATCH(F1003,'Stages'!$A$2:$A$7,0)))</f>
        <v>103400</v>
      </c>
      <c r="T1003" s="4">
        <f>(H1003*I1003)</f>
        <v>206800</v>
      </c>
      <c r="U1003" s="4">
        <f>(H1003*(I1003-1))</f>
        <v>103400</v>
      </c>
      <c r="V1003" s="0" t="str">
        <f>INDEX('Account executives'!$B$2:$B$25,MATCH(C1003,'Account executives'!$A$2:$A$25,0))</f>
        <v>apac</v>
      </c>
      <c r="W1003" s="0" t="str">
        <f>INDEX('Account executives'!$C$2:$C$25,MATCH(C1003,'Account executives'!$A$2:$A$25,0))</f>
        <v>enterprise</v>
      </c>
      <c r="X1003" s="0" t="str">
        <f>SUBSTITUTE(LOWER(INDEX('Periods'!$G$2:$G$22,MATCH(N1003,'Periods'!$A$2:$A$22,0)))," ","_")</f>
        <v>q3_2026</v>
      </c>
    </row>
    <row r="1004">
      <c r="A1004" s="0" t="inlineStr">
        <is>
          <t xml:space="preserve">o1003</t>
        </is>
      </c>
      <c r="B1004" s="0" t="inlineStr">
        <is>
          <t xml:space="preserve">a0049</t>
        </is>
      </c>
      <c r="C1004" s="0" t="inlineStr">
        <is>
          <t xml:space="preserve">r18</t>
        </is>
      </c>
      <c r="D1004" s="0" t="inlineStr">
        <is>
          <t xml:space="preserve">s_emea_in</t>
        </is>
      </c>
      <c r="E1004" s="0" t="inlineStr">
        <is>
          <t xml:space="preserve">paid</t>
        </is>
      </c>
      <c r="F1004" s="0" t="inlineStr">
        <is>
          <t xml:space="preserve">closed_lost</t>
        </is>
      </c>
      <c r="G1004" s="4">
        <v>1</v>
      </c>
      <c r="H1004" s="4">
        <v>17000</v>
      </c>
      <c r="I1004" s="4">
        <v>1</v>
      </c>
      <c r="J1004" s="4">
        <v>0</v>
      </c>
      <c r="K1004" s="16">
        <v>45753</v>
      </c>
      <c r="L1004" s="16">
        <v>45789</v>
      </c>
      <c r="M1004" s="0" t="inlineStr">
        <is>
          <t xml:space="preserve">apr25</t>
        </is>
      </c>
      <c r="N1004" s="0" t="inlineStr">
        <is>
          <t xml:space="preserve">may25</t>
        </is>
      </c>
      <c r="O1004" s="4">
        <v>36</v>
      </c>
      <c r="P1004" s="4">
        <v>0</v>
      </c>
      <c r="Q1004" s="4">
        <v>1</v>
      </c>
      <c r="R1004" s="4">
        <v>0</v>
      </c>
      <c r="S1004" s="4">
        <f>(H1004*INDEX('Stages'!$D$2:$D$7,MATCH(F1004,'Stages'!$A$2:$A$7,0)))</f>
        <v>0</v>
      </c>
      <c r="T1004" s="4">
        <f>(H1004*I1004)</f>
        <v>17000</v>
      </c>
      <c r="U1004" s="4">
        <f>(H1004*(I1004-1))</f>
        <v>0</v>
      </c>
      <c r="V1004" s="0" t="str">
        <f>INDEX('Account executives'!$B$2:$B$25,MATCH(C1004,'Account executives'!$A$2:$A$25,0))</f>
        <v>emea</v>
      </c>
      <c r="W1004" s="0" t="str">
        <f>INDEX('Account executives'!$C$2:$C$25,MATCH(C1004,'Account executives'!$A$2:$A$25,0))</f>
        <v>smb</v>
      </c>
      <c r="X1004" s="0" t="str">
        <f>SUBSTITUTE(LOWER(INDEX('Periods'!$G$2:$G$22,MATCH(N1004,'Periods'!$A$2:$A$22,0)))," ","_")</f>
        <v>q2_2025</v>
      </c>
    </row>
    <row r="1005">
      <c r="A1005" s="0" t="inlineStr">
        <is>
          <t xml:space="preserve">o1004</t>
        </is>
      </c>
      <c r="B1005" s="0" t="inlineStr">
        <is>
          <t xml:space="preserve">a0625</t>
        </is>
      </c>
      <c r="C1005" s="0" t="inlineStr">
        <is>
          <t xml:space="preserve">r09</t>
        </is>
      </c>
      <c r="D1005" s="0" t="inlineStr">
        <is>
          <t xml:space="preserve">s_amer_west_in</t>
        </is>
      </c>
      <c r="E1005" s="0" t="inlineStr">
        <is>
          <t xml:space="preserve">inbound</t>
        </is>
      </c>
      <c r="F1005" s="0" t="inlineStr">
        <is>
          <t xml:space="preserve">closed_lost</t>
        </is>
      </c>
      <c r="G1005" s="4">
        <v>1</v>
      </c>
      <c r="H1005" s="4">
        <v>86200</v>
      </c>
      <c r="I1005" s="4">
        <v>3</v>
      </c>
      <c r="J1005" s="4">
        <v>0</v>
      </c>
      <c r="K1005" s="16">
        <v>46039</v>
      </c>
      <c r="L1005" s="16">
        <v>46104</v>
      </c>
      <c r="M1005" s="0" t="inlineStr">
        <is>
          <t xml:space="preserve">jan26</t>
        </is>
      </c>
      <c r="N1005" s="0" t="inlineStr">
        <is>
          <t xml:space="preserve">mar26</t>
        </is>
      </c>
      <c r="O1005" s="4">
        <v>65</v>
      </c>
      <c r="P1005" s="4">
        <v>0</v>
      </c>
      <c r="Q1005" s="4">
        <v>1</v>
      </c>
      <c r="R1005" s="4">
        <v>0</v>
      </c>
      <c r="S1005" s="4">
        <f>(H1005*INDEX('Stages'!$D$2:$D$7,MATCH(F1005,'Stages'!$A$2:$A$7,0)))</f>
        <v>0</v>
      </c>
      <c r="T1005" s="4">
        <f>(H1005*I1005)</f>
        <v>258600</v>
      </c>
      <c r="U1005" s="4">
        <f>(H1005*(I1005-1))</f>
        <v>172400</v>
      </c>
      <c r="V1005" s="0" t="str">
        <f>INDEX('Account executives'!$B$2:$B$25,MATCH(C1005,'Account executives'!$A$2:$A$25,0))</f>
        <v>amer_west</v>
      </c>
      <c r="W1005" s="0" t="str">
        <f>INDEX('Account executives'!$C$2:$C$25,MATCH(C1005,'Account executives'!$A$2:$A$25,0))</f>
        <v>mid_market</v>
      </c>
      <c r="X1005" s="0" t="str">
        <f>SUBSTITUTE(LOWER(INDEX('Periods'!$G$2:$G$22,MATCH(N1005,'Periods'!$A$2:$A$22,0)))," ","_")</f>
        <v>q1_2026</v>
      </c>
    </row>
    <row r="1006">
      <c r="A1006" s="0" t="inlineStr">
        <is>
          <t xml:space="preserve">o1005</t>
        </is>
      </c>
      <c r="B1006" s="0" t="inlineStr">
        <is>
          <t xml:space="preserve">a0072</t>
        </is>
      </c>
      <c r="C1006" s="0" t="inlineStr">
        <is>
          <t xml:space="preserve">r04</t>
        </is>
      </c>
      <c r="D1006" s="0" t="inlineStr">
        <is>
          <t xml:space="preserve">s_amer_east_in</t>
        </is>
      </c>
      <c r="E1006" s="0" t="inlineStr">
        <is>
          <t xml:space="preserve">paid</t>
        </is>
      </c>
      <c r="F1006" s="0" t="inlineStr">
        <is>
          <t xml:space="preserve">closed_won</t>
        </is>
      </c>
      <c r="G1006" s="4">
        <v>1</v>
      </c>
      <c r="H1006" s="4">
        <v>32700</v>
      </c>
      <c r="I1006" s="4">
        <v>2</v>
      </c>
      <c r="J1006" s="4">
        <v>1</v>
      </c>
      <c r="K1006" s="16">
        <v>45795</v>
      </c>
      <c r="L1006" s="16">
        <v>45928</v>
      </c>
      <c r="M1006" s="0" t="inlineStr">
        <is>
          <t xml:space="preserve">may25</t>
        </is>
      </c>
      <c r="N1006" s="0" t="inlineStr">
        <is>
          <t xml:space="preserve">sep25</t>
        </is>
      </c>
      <c r="O1006" s="4">
        <v>133</v>
      </c>
      <c r="P1006" s="4">
        <v>1</v>
      </c>
      <c r="Q1006" s="4">
        <v>0</v>
      </c>
      <c r="R1006" s="4">
        <v>0</v>
      </c>
      <c r="S1006" s="4">
        <f>(H1006*INDEX('Stages'!$D$2:$D$7,MATCH(F1006,'Stages'!$A$2:$A$7,0)))</f>
        <v>32700</v>
      </c>
      <c r="T1006" s="4">
        <f>(H1006*I1006)</f>
        <v>65400</v>
      </c>
      <c r="U1006" s="4">
        <f>(H1006*(I1006-1))</f>
        <v>32700</v>
      </c>
      <c r="V1006" s="0" t="str">
        <f>INDEX('Account executives'!$B$2:$B$25,MATCH(C1006,'Account executives'!$A$2:$A$25,0))</f>
        <v>amer_east</v>
      </c>
      <c r="W1006" s="0" t="str">
        <f>INDEX('Account executives'!$C$2:$C$25,MATCH(C1006,'Account executives'!$A$2:$A$25,0))</f>
        <v>mid_market</v>
      </c>
      <c r="X1006" s="0" t="str">
        <f>SUBSTITUTE(LOWER(INDEX('Periods'!$G$2:$G$22,MATCH(N1006,'Periods'!$A$2:$A$22,0)))," ","_")</f>
        <v>q3_2025</v>
      </c>
    </row>
    <row r="1007">
      <c r="A1007" s="0" t="inlineStr">
        <is>
          <t xml:space="preserve">o1006</t>
        </is>
      </c>
      <c r="B1007" s="0" t="inlineStr">
        <is>
          <t xml:space="preserve">a0953</t>
        </is>
      </c>
      <c r="C1007" s="0" t="inlineStr">
        <is>
          <t xml:space="preserve">r22</t>
        </is>
      </c>
      <c r="D1007" s="0" t="inlineStr">
        <is>
          <t xml:space="preserve">s_apac_out</t>
        </is>
      </c>
      <c r="E1007" s="0" t="inlineStr">
        <is>
          <t xml:space="preserve">outbound</t>
        </is>
      </c>
      <c r="F1007" s="0" t="inlineStr">
        <is>
          <t xml:space="preserve">closed_lost</t>
        </is>
      </c>
      <c r="G1007" s="4">
        <v>1</v>
      </c>
      <c r="H1007" s="4">
        <v>109500</v>
      </c>
      <c r="I1007" s="4">
        <v>2</v>
      </c>
      <c r="J1007" s="4">
        <v>1</v>
      </c>
      <c r="K1007" s="16">
        <v>46156</v>
      </c>
      <c r="L1007" s="16">
        <v>46225</v>
      </c>
      <c r="M1007" s="0" t="inlineStr">
        <is>
          <t xml:space="preserve">may26</t>
        </is>
      </c>
      <c r="N1007" s="0" t="inlineStr">
        <is>
          <t xml:space="preserve">jul26</t>
        </is>
      </c>
      <c r="O1007" s="4">
        <v>69</v>
      </c>
      <c r="P1007" s="4">
        <v>0</v>
      </c>
      <c r="Q1007" s="4">
        <v>1</v>
      </c>
      <c r="R1007" s="4">
        <v>0</v>
      </c>
      <c r="S1007" s="4">
        <f>(H1007*INDEX('Stages'!$D$2:$D$7,MATCH(F1007,'Stages'!$A$2:$A$7,0)))</f>
        <v>0</v>
      </c>
      <c r="T1007" s="4">
        <f>(H1007*I1007)</f>
        <v>219000</v>
      </c>
      <c r="U1007" s="4">
        <f>(H1007*(I1007-1))</f>
        <v>109500</v>
      </c>
      <c r="V1007" s="0" t="str">
        <f>INDEX('Account executives'!$B$2:$B$25,MATCH(C1007,'Account executives'!$A$2:$A$25,0))</f>
        <v>apac</v>
      </c>
      <c r="W1007" s="0" t="str">
        <f>INDEX('Account executives'!$C$2:$C$25,MATCH(C1007,'Account executives'!$A$2:$A$25,0))</f>
        <v>mid_market</v>
      </c>
      <c r="X1007" s="0" t="str">
        <f>SUBSTITUTE(LOWER(INDEX('Periods'!$G$2:$G$22,MATCH(N1007,'Periods'!$A$2:$A$22,0)))," ","_")</f>
        <v>q3_2026</v>
      </c>
    </row>
    <row r="1008">
      <c r="A1008" s="0" t="inlineStr">
        <is>
          <t xml:space="preserve">o1007</t>
        </is>
      </c>
      <c r="B1008" s="0" t="inlineStr">
        <is>
          <t xml:space="preserve">a0324</t>
        </is>
      </c>
      <c r="C1008" s="0" t="inlineStr">
        <is>
          <t xml:space="preserve">r08</t>
        </is>
      </c>
      <c r="D1008" s="0" t="inlineStr">
        <is>
          <t xml:space="preserve">s_amer_west_in</t>
        </is>
      </c>
      <c r="E1008" s="0" t="inlineStr">
        <is>
          <t xml:space="preserve">inbound</t>
        </is>
      </c>
      <c r="F1008" s="0" t="inlineStr">
        <is>
          <t xml:space="preserve">closed_lost</t>
        </is>
      </c>
      <c r="G1008" s="4">
        <v>0</v>
      </c>
      <c r="H1008" s="4">
        <v>81400</v>
      </c>
      <c r="I1008" s="4">
        <v>2</v>
      </c>
      <c r="J1008" s="4">
        <v>1</v>
      </c>
      <c r="K1008" s="16">
        <v>46192</v>
      </c>
      <c r="L1008" s="16">
        <v>46278</v>
      </c>
      <c r="M1008" s="0" t="inlineStr">
        <is>
          <t xml:space="preserve">jun26</t>
        </is>
      </c>
      <c r="N1008" s="0" t="inlineStr">
        <is>
          <t xml:space="preserve">sep26</t>
        </is>
      </c>
      <c r="O1008" s="4">
        <v>86</v>
      </c>
      <c r="P1008" s="4">
        <v>0</v>
      </c>
      <c r="Q1008" s="4">
        <v>1</v>
      </c>
      <c r="R1008" s="4">
        <v>0</v>
      </c>
      <c r="S1008" s="4">
        <f>(H1008*INDEX('Stages'!$D$2:$D$7,MATCH(F1008,'Stages'!$A$2:$A$7,0)))</f>
        <v>0</v>
      </c>
      <c r="T1008" s="4">
        <f>(H1008*I1008)</f>
        <v>162800</v>
      </c>
      <c r="U1008" s="4">
        <f>(H1008*(I1008-1))</f>
        <v>81400</v>
      </c>
      <c r="V1008" s="0" t="str">
        <f>INDEX('Account executives'!$B$2:$B$25,MATCH(C1008,'Account executives'!$A$2:$A$25,0))</f>
        <v>amer_west</v>
      </c>
      <c r="W1008" s="0" t="str">
        <f>INDEX('Account executives'!$C$2:$C$25,MATCH(C1008,'Account executives'!$A$2:$A$25,0))</f>
        <v>enterprise</v>
      </c>
      <c r="X1008" s="0" t="str">
        <f>SUBSTITUTE(LOWER(INDEX('Periods'!$G$2:$G$22,MATCH(N1008,'Periods'!$A$2:$A$22,0)))," ","_")</f>
        <v>q3_2026</v>
      </c>
    </row>
    <row r="1009">
      <c r="A1009" s="0" t="inlineStr">
        <is>
          <t xml:space="preserve">o1008</t>
        </is>
      </c>
      <c r="B1009" s="0" t="inlineStr">
        <is>
          <t xml:space="preserve">a0165</t>
        </is>
      </c>
      <c r="C1009" s="0" t="inlineStr">
        <is>
          <t xml:space="preserve">r01</t>
        </is>
      </c>
      <c r="D1009" s="0" t="inlineStr">
        <is>
          <t xml:space="preserve">s_amer_east_in</t>
        </is>
      </c>
      <c r="E1009" s="0" t="inlineStr">
        <is>
          <t xml:space="preserve">inbound</t>
        </is>
      </c>
      <c r="F1009" s="0" t="inlineStr">
        <is>
          <t xml:space="preserve">closed_lost</t>
        </is>
      </c>
      <c r="G1009" s="4">
        <v>1</v>
      </c>
      <c r="H1009" s="4">
        <v>285100</v>
      </c>
      <c r="I1009" s="4">
        <v>3</v>
      </c>
      <c r="J1009" s="4">
        <v>0</v>
      </c>
      <c r="K1009" s="16">
        <v>45831</v>
      </c>
      <c r="L1009" s="16">
        <v>45947</v>
      </c>
      <c r="M1009" s="0" t="inlineStr">
        <is>
          <t xml:space="preserve">jun25</t>
        </is>
      </c>
      <c r="N1009" s="0" t="inlineStr">
        <is>
          <t xml:space="preserve">oct25</t>
        </is>
      </c>
      <c r="O1009" s="4">
        <v>116</v>
      </c>
      <c r="P1009" s="4">
        <v>0</v>
      </c>
      <c r="Q1009" s="4">
        <v>1</v>
      </c>
      <c r="R1009" s="4">
        <v>0</v>
      </c>
      <c r="S1009" s="4">
        <f>(H1009*INDEX('Stages'!$D$2:$D$7,MATCH(F1009,'Stages'!$A$2:$A$7,0)))</f>
        <v>0</v>
      </c>
      <c r="T1009" s="4">
        <f>(H1009*I1009)</f>
        <v>855300</v>
      </c>
      <c r="U1009" s="4">
        <f>(H1009*(I1009-1))</f>
        <v>570200</v>
      </c>
      <c r="V1009" s="0" t="str">
        <f>INDEX('Account executives'!$B$2:$B$25,MATCH(C1009,'Account executives'!$A$2:$A$25,0))</f>
        <v>amer_east</v>
      </c>
      <c r="W1009" s="0" t="str">
        <f>INDEX('Account executives'!$C$2:$C$25,MATCH(C1009,'Account executives'!$A$2:$A$25,0))</f>
        <v>enterprise</v>
      </c>
      <c r="X1009" s="0" t="str">
        <f>SUBSTITUTE(LOWER(INDEX('Periods'!$G$2:$G$22,MATCH(N1009,'Periods'!$A$2:$A$22,0)))," ","_")</f>
        <v>q4_2025</v>
      </c>
    </row>
    <row r="1010">
      <c r="A1010" s="0" t="inlineStr">
        <is>
          <t xml:space="preserve">o1009</t>
        </is>
      </c>
      <c r="B1010" s="0" t="inlineStr">
        <is>
          <t xml:space="preserve">a0995</t>
        </is>
      </c>
      <c r="C1010" s="0" t="inlineStr">
        <is>
          <t xml:space="preserve">r09</t>
        </is>
      </c>
      <c r="D1010" s="0"/>
      <c r="E1010" s="0" t="inlineStr">
        <is>
          <t xml:space="preserve">events</t>
        </is>
      </c>
      <c r="F1010" s="0" t="inlineStr">
        <is>
          <t xml:space="preserve">closed_lost</t>
        </is>
      </c>
      <c r="G1010" s="4">
        <v>1</v>
      </c>
      <c r="H1010" s="4">
        <v>114500</v>
      </c>
      <c r="I1010" s="4">
        <v>1</v>
      </c>
      <c r="J1010" s="4">
        <v>0</v>
      </c>
      <c r="K1010" s="16">
        <v>46174</v>
      </c>
      <c r="L1010" s="16">
        <v>46230</v>
      </c>
      <c r="M1010" s="0" t="inlineStr">
        <is>
          <t xml:space="preserve">jun26</t>
        </is>
      </c>
      <c r="N1010" s="0" t="inlineStr">
        <is>
          <t xml:space="preserve">jul26</t>
        </is>
      </c>
      <c r="O1010" s="4">
        <v>56</v>
      </c>
      <c r="P1010" s="4">
        <v>0</v>
      </c>
      <c r="Q1010" s="4">
        <v>1</v>
      </c>
      <c r="R1010" s="4">
        <v>0</v>
      </c>
      <c r="S1010" s="4">
        <f>(H1010*INDEX('Stages'!$D$2:$D$7,MATCH(F1010,'Stages'!$A$2:$A$7,0)))</f>
        <v>0</v>
      </c>
      <c r="T1010" s="4">
        <f>(H1010*I1010)</f>
        <v>114500</v>
      </c>
      <c r="U1010" s="4">
        <f>(H1010*(I1010-1))</f>
        <v>0</v>
      </c>
      <c r="V1010" s="0" t="str">
        <f>INDEX('Account executives'!$B$2:$B$25,MATCH(C1010,'Account executives'!$A$2:$A$25,0))</f>
        <v>amer_west</v>
      </c>
      <c r="W1010" s="0" t="str">
        <f>INDEX('Account executives'!$C$2:$C$25,MATCH(C1010,'Account executives'!$A$2:$A$25,0))</f>
        <v>mid_market</v>
      </c>
      <c r="X1010" s="0" t="str">
        <f>SUBSTITUTE(LOWER(INDEX('Periods'!$G$2:$G$22,MATCH(N1010,'Periods'!$A$2:$A$22,0)))," ","_")</f>
        <v>q3_2026</v>
      </c>
    </row>
    <row r="1011">
      <c r="A1011" s="0" t="inlineStr">
        <is>
          <t xml:space="preserve">o1010</t>
        </is>
      </c>
      <c r="B1011" s="0" t="inlineStr">
        <is>
          <t xml:space="preserve">a0007</t>
        </is>
      </c>
      <c r="C1011" s="0" t="inlineStr">
        <is>
          <t xml:space="preserve">r04</t>
        </is>
      </c>
      <c r="D1011" s="0" t="inlineStr">
        <is>
          <t xml:space="preserve">s_amer_east_in</t>
        </is>
      </c>
      <c r="E1011" s="0" t="inlineStr">
        <is>
          <t xml:space="preserve">paid</t>
        </is>
      </c>
      <c r="F1011" s="0" t="inlineStr">
        <is>
          <t xml:space="preserve">closed_lost</t>
        </is>
      </c>
      <c r="G1011" s="4">
        <v>0</v>
      </c>
      <c r="H1011" s="4">
        <v>8600</v>
      </c>
      <c r="I1011" s="4">
        <v>1</v>
      </c>
      <c r="J1011" s="4">
        <v>1</v>
      </c>
      <c r="K1011" s="16">
        <v>45851</v>
      </c>
      <c r="L1011" s="16">
        <v>45913</v>
      </c>
      <c r="M1011" s="0" t="inlineStr">
        <is>
          <t xml:space="preserve">jul25</t>
        </is>
      </c>
      <c r="N1011" s="0" t="inlineStr">
        <is>
          <t xml:space="preserve">sep25</t>
        </is>
      </c>
      <c r="O1011" s="4">
        <v>62</v>
      </c>
      <c r="P1011" s="4">
        <v>0</v>
      </c>
      <c r="Q1011" s="4">
        <v>1</v>
      </c>
      <c r="R1011" s="4">
        <v>0</v>
      </c>
      <c r="S1011" s="4">
        <f>(H1011*INDEX('Stages'!$D$2:$D$7,MATCH(F1011,'Stages'!$A$2:$A$7,0)))</f>
        <v>0</v>
      </c>
      <c r="T1011" s="4">
        <f>(H1011*I1011)</f>
        <v>8600</v>
      </c>
      <c r="U1011" s="4">
        <f>(H1011*(I1011-1))</f>
        <v>0</v>
      </c>
      <c r="V1011" s="0" t="str">
        <f>INDEX('Account executives'!$B$2:$B$25,MATCH(C1011,'Account executives'!$A$2:$A$25,0))</f>
        <v>amer_east</v>
      </c>
      <c r="W1011" s="0" t="str">
        <f>INDEX('Account executives'!$C$2:$C$25,MATCH(C1011,'Account executives'!$A$2:$A$25,0))</f>
        <v>mid_market</v>
      </c>
      <c r="X1011" s="0" t="str">
        <f>SUBSTITUTE(LOWER(INDEX('Periods'!$G$2:$G$22,MATCH(N1011,'Periods'!$A$2:$A$22,0)))," ","_")</f>
        <v>q3_2025</v>
      </c>
    </row>
    <row r="1012">
      <c r="A1012" s="0" t="inlineStr">
        <is>
          <t xml:space="preserve">o1011</t>
        </is>
      </c>
      <c r="B1012" s="0" t="inlineStr">
        <is>
          <t xml:space="preserve">a0379</t>
        </is>
      </c>
      <c r="C1012" s="0" t="inlineStr">
        <is>
          <t xml:space="preserve">r12</t>
        </is>
      </c>
      <c r="D1012" s="0" t="inlineStr">
        <is>
          <t xml:space="preserve">s_amer_west_in</t>
        </is>
      </c>
      <c r="E1012" s="0" t="inlineStr">
        <is>
          <t xml:space="preserve">paid</t>
        </is>
      </c>
      <c r="F1012" s="0" t="inlineStr">
        <is>
          <t xml:space="preserve">closed_won</t>
        </is>
      </c>
      <c r="G1012" s="4">
        <v>1</v>
      </c>
      <c r="H1012" s="4">
        <v>13900</v>
      </c>
      <c r="I1012" s="4">
        <v>1</v>
      </c>
      <c r="J1012" s="4">
        <v>0</v>
      </c>
      <c r="K1012" s="16">
        <v>45923</v>
      </c>
      <c r="L1012" s="16">
        <v>45935</v>
      </c>
      <c r="M1012" s="0" t="inlineStr">
        <is>
          <t xml:space="preserve">sep25</t>
        </is>
      </c>
      <c r="N1012" s="0" t="inlineStr">
        <is>
          <t xml:space="preserve">oct25</t>
        </is>
      </c>
      <c r="O1012" s="4">
        <v>12</v>
      </c>
      <c r="P1012" s="4">
        <v>1</v>
      </c>
      <c r="Q1012" s="4">
        <v>0</v>
      </c>
      <c r="R1012" s="4">
        <v>0</v>
      </c>
      <c r="S1012" s="4">
        <f>(H1012*INDEX('Stages'!$D$2:$D$7,MATCH(F1012,'Stages'!$A$2:$A$7,0)))</f>
        <v>13900</v>
      </c>
      <c r="T1012" s="4">
        <f>(H1012*I1012)</f>
        <v>13900</v>
      </c>
      <c r="U1012" s="4">
        <f>(H1012*(I1012-1))</f>
        <v>0</v>
      </c>
      <c r="V1012" s="0" t="str">
        <f>INDEX('Account executives'!$B$2:$B$25,MATCH(C1012,'Account executives'!$A$2:$A$25,0))</f>
        <v>amer_west</v>
      </c>
      <c r="W1012" s="0" t="str">
        <f>INDEX('Account executives'!$C$2:$C$25,MATCH(C1012,'Account executives'!$A$2:$A$25,0))</f>
        <v>smb</v>
      </c>
      <c r="X1012" s="0" t="str">
        <f>SUBSTITUTE(LOWER(INDEX('Periods'!$G$2:$G$22,MATCH(N1012,'Periods'!$A$2:$A$22,0)))," ","_")</f>
        <v>q4_2025</v>
      </c>
    </row>
    <row r="1013">
      <c r="A1013" s="0" t="inlineStr">
        <is>
          <t xml:space="preserve">o1012</t>
        </is>
      </c>
      <c r="B1013" s="0" t="inlineStr">
        <is>
          <t xml:space="preserve">a0955</t>
        </is>
      </c>
      <c r="C1013" s="0" t="inlineStr">
        <is>
          <t xml:space="preserve">r24</t>
        </is>
      </c>
      <c r="D1013" s="0" t="inlineStr">
        <is>
          <t xml:space="preserve">s_apac_out</t>
        </is>
      </c>
      <c r="E1013" s="0" t="inlineStr">
        <is>
          <t xml:space="preserve">outbound</t>
        </is>
      </c>
      <c r="F1013" s="0" t="inlineStr">
        <is>
          <t xml:space="preserve">closed_lost</t>
        </is>
      </c>
      <c r="G1013" s="4">
        <v>1</v>
      </c>
      <c r="H1013" s="4">
        <v>20800</v>
      </c>
      <c r="I1013" s="4">
        <v>1</v>
      </c>
      <c r="J1013" s="4">
        <v>1</v>
      </c>
      <c r="K1013" s="16">
        <v>46169</v>
      </c>
      <c r="L1013" s="16">
        <v>46198</v>
      </c>
      <c r="M1013" s="0" t="inlineStr">
        <is>
          <t xml:space="preserve">may26</t>
        </is>
      </c>
      <c r="N1013" s="0" t="inlineStr">
        <is>
          <t xml:space="preserve">jun26</t>
        </is>
      </c>
      <c r="O1013" s="4">
        <v>29</v>
      </c>
      <c r="P1013" s="4">
        <v>0</v>
      </c>
      <c r="Q1013" s="4">
        <v>1</v>
      </c>
      <c r="R1013" s="4">
        <v>0</v>
      </c>
      <c r="S1013" s="4">
        <f>(H1013*INDEX('Stages'!$D$2:$D$7,MATCH(F1013,'Stages'!$A$2:$A$7,0)))</f>
        <v>0</v>
      </c>
      <c r="T1013" s="4">
        <f>(H1013*I1013)</f>
        <v>20800</v>
      </c>
      <c r="U1013" s="4">
        <f>(H1013*(I1013-1))</f>
        <v>0</v>
      </c>
      <c r="V1013" s="0" t="str">
        <f>INDEX('Account executives'!$B$2:$B$25,MATCH(C1013,'Account executives'!$A$2:$A$25,0))</f>
        <v>apac</v>
      </c>
      <c r="W1013" s="0" t="str">
        <f>INDEX('Account executives'!$C$2:$C$25,MATCH(C1013,'Account executives'!$A$2:$A$25,0))</f>
        <v>smb</v>
      </c>
      <c r="X1013" s="0" t="str">
        <f>SUBSTITUTE(LOWER(INDEX('Periods'!$G$2:$G$22,MATCH(N1013,'Periods'!$A$2:$A$22,0)))," ","_")</f>
        <v>q2_2026</v>
      </c>
    </row>
    <row r="1014">
      <c r="A1014" s="0" t="inlineStr">
        <is>
          <t xml:space="preserve">o1013</t>
        </is>
      </c>
      <c r="B1014" s="0" t="inlineStr">
        <is>
          <t xml:space="preserve">a1049</t>
        </is>
      </c>
      <c r="C1014" s="0" t="inlineStr">
        <is>
          <t xml:space="preserve">r21</t>
        </is>
      </c>
      <c r="D1014" s="0"/>
      <c r="E1014" s="0" t="inlineStr">
        <is>
          <t xml:space="preserve">events</t>
        </is>
      </c>
      <c r="F1014" s="0" t="inlineStr">
        <is>
          <t xml:space="preserve">closed_won</t>
        </is>
      </c>
      <c r="G1014" s="4">
        <v>1</v>
      </c>
      <c r="H1014" s="4">
        <v>36800</v>
      </c>
      <c r="I1014" s="4">
        <v>1</v>
      </c>
      <c r="J1014" s="4">
        <v>1</v>
      </c>
      <c r="K1014" s="16">
        <v>46200</v>
      </c>
      <c r="L1014" s="16">
        <v>46267</v>
      </c>
      <c r="M1014" s="0" t="inlineStr">
        <is>
          <t xml:space="preserve">jun26</t>
        </is>
      </c>
      <c r="N1014" s="0" t="inlineStr">
        <is>
          <t xml:space="preserve">sep26</t>
        </is>
      </c>
      <c r="O1014" s="4">
        <v>67</v>
      </c>
      <c r="P1014" s="4">
        <v>1</v>
      </c>
      <c r="Q1014" s="4">
        <v>0</v>
      </c>
      <c r="R1014" s="4">
        <v>0</v>
      </c>
      <c r="S1014" s="4">
        <f>(H1014*INDEX('Stages'!$D$2:$D$7,MATCH(F1014,'Stages'!$A$2:$A$7,0)))</f>
        <v>36800</v>
      </c>
      <c r="T1014" s="4">
        <f>(H1014*I1014)</f>
        <v>36800</v>
      </c>
      <c r="U1014" s="4">
        <f>(H1014*(I1014-1))</f>
        <v>0</v>
      </c>
      <c r="V1014" s="0" t="str">
        <f>INDEX('Account executives'!$B$2:$B$25,MATCH(C1014,'Account executives'!$A$2:$A$25,0))</f>
        <v>apac</v>
      </c>
      <c r="W1014" s="0" t="str">
        <f>INDEX('Account executives'!$C$2:$C$25,MATCH(C1014,'Account executives'!$A$2:$A$25,0))</f>
        <v>mid_market</v>
      </c>
      <c r="X1014" s="0" t="str">
        <f>SUBSTITUTE(LOWER(INDEX('Periods'!$G$2:$G$22,MATCH(N1014,'Periods'!$A$2:$A$22,0)))," ","_")</f>
        <v>q3_2026</v>
      </c>
    </row>
    <row r="1015">
      <c r="A1015" s="0" t="inlineStr">
        <is>
          <t xml:space="preserve">o1014</t>
        </is>
      </c>
      <c r="B1015" s="0" t="inlineStr">
        <is>
          <t xml:space="preserve">a1145</t>
        </is>
      </c>
      <c r="C1015" s="0" t="inlineStr">
        <is>
          <t xml:space="preserve">r02</t>
        </is>
      </c>
      <c r="D1015" s="0" t="inlineStr">
        <is>
          <t xml:space="preserve">s_amer_east_in</t>
        </is>
      </c>
      <c r="E1015" s="0" t="inlineStr">
        <is>
          <t xml:space="preserve">paid</t>
        </is>
      </c>
      <c r="F1015" s="0" t="inlineStr">
        <is>
          <t xml:space="preserve">discovery</t>
        </is>
      </c>
      <c r="G1015" s="4">
        <v>1</v>
      </c>
      <c r="H1015" s="4">
        <v>128300</v>
      </c>
      <c r="I1015" s="4">
        <v>2</v>
      </c>
      <c r="J1015" s="4">
        <v>0</v>
      </c>
      <c r="K1015" s="16">
        <v>46243</v>
      </c>
      <c r="L1015" s="16">
        <v>46293</v>
      </c>
      <c r="M1015" s="0" t="inlineStr">
        <is>
          <t xml:space="preserve">aug26</t>
        </is>
      </c>
      <c r="N1015" s="0" t="inlineStr">
        <is>
          <t xml:space="preserve">sep26</t>
        </is>
      </c>
      <c r="O1015" s="4">
        <v>87</v>
      </c>
      <c r="P1015" s="4">
        <v>0</v>
      </c>
      <c r="Q1015" s="4">
        <v>0</v>
      </c>
      <c r="R1015" s="4">
        <v>1</v>
      </c>
      <c r="S1015" s="4">
        <f>(H1015*INDEX('Stages'!$D$2:$D$7,MATCH(F1015,'Stages'!$A$2:$A$7,0)))</f>
        <v>12830</v>
      </c>
      <c r="T1015" s="4">
        <f>(H1015*I1015)</f>
        <v>256600</v>
      </c>
      <c r="U1015" s="4">
        <f>(H1015*(I1015-1))</f>
        <v>128300</v>
      </c>
      <c r="V1015" s="0" t="str">
        <f>INDEX('Account executives'!$B$2:$B$25,MATCH(C1015,'Account executives'!$A$2:$A$25,0))</f>
        <v>amer_east</v>
      </c>
      <c r="W1015" s="0" t="str">
        <f>INDEX('Account executives'!$C$2:$C$25,MATCH(C1015,'Account executives'!$A$2:$A$25,0))</f>
        <v>enterprise</v>
      </c>
      <c r="X1015" s="0" t="str">
        <f>SUBSTITUTE(LOWER(INDEX('Periods'!$G$2:$G$22,MATCH(N1015,'Periods'!$A$2:$A$22,0)))," ","_")</f>
        <v>q3_2026</v>
      </c>
    </row>
    <row r="1016">
      <c r="A1016" s="0" t="inlineStr">
        <is>
          <t xml:space="preserve">o1015</t>
        </is>
      </c>
      <c r="B1016" s="0" t="inlineStr">
        <is>
          <t xml:space="preserve">a0766</t>
        </is>
      </c>
      <c r="C1016" s="0" t="inlineStr">
        <is>
          <t xml:space="preserve">r11</t>
        </is>
      </c>
      <c r="D1016" s="0"/>
      <c r="E1016" s="0" t="inlineStr">
        <is>
          <t xml:space="preserve">events</t>
        </is>
      </c>
      <c r="F1016" s="0" t="inlineStr">
        <is>
          <t xml:space="preserve">closed_lost</t>
        </is>
      </c>
      <c r="G1016" s="4">
        <v>0</v>
      </c>
      <c r="H1016" s="4">
        <v>4800</v>
      </c>
      <c r="I1016" s="4">
        <v>1</v>
      </c>
      <c r="J1016" s="4">
        <v>1</v>
      </c>
      <c r="K1016" s="16">
        <v>46176</v>
      </c>
      <c r="L1016" s="16">
        <v>46220</v>
      </c>
      <c r="M1016" s="0" t="inlineStr">
        <is>
          <t xml:space="preserve">jun26</t>
        </is>
      </c>
      <c r="N1016" s="0" t="inlineStr">
        <is>
          <t xml:space="preserve">jul26</t>
        </is>
      </c>
      <c r="O1016" s="4">
        <v>44</v>
      </c>
      <c r="P1016" s="4">
        <v>0</v>
      </c>
      <c r="Q1016" s="4">
        <v>1</v>
      </c>
      <c r="R1016" s="4">
        <v>0</v>
      </c>
      <c r="S1016" s="4">
        <f>(H1016*INDEX('Stages'!$D$2:$D$7,MATCH(F1016,'Stages'!$A$2:$A$7,0)))</f>
        <v>0</v>
      </c>
      <c r="T1016" s="4">
        <f>(H1016*I1016)</f>
        <v>4800</v>
      </c>
      <c r="U1016" s="4">
        <f>(H1016*(I1016-1))</f>
        <v>0</v>
      </c>
      <c r="V1016" s="0" t="str">
        <f>INDEX('Account executives'!$B$2:$B$25,MATCH(C1016,'Account executives'!$A$2:$A$25,0))</f>
        <v>amer_west</v>
      </c>
      <c r="W1016" s="0" t="str">
        <f>INDEX('Account executives'!$C$2:$C$25,MATCH(C1016,'Account executives'!$A$2:$A$25,0))</f>
        <v>smb</v>
      </c>
      <c r="X1016" s="0" t="str">
        <f>SUBSTITUTE(LOWER(INDEX('Periods'!$G$2:$G$22,MATCH(N1016,'Periods'!$A$2:$A$22,0)))," ","_")</f>
        <v>q3_2026</v>
      </c>
    </row>
    <row r="1017">
      <c r="A1017" s="0" t="inlineStr">
        <is>
          <t xml:space="preserve">o1016</t>
        </is>
      </c>
      <c r="B1017" s="0" t="inlineStr">
        <is>
          <t xml:space="preserve">a0394</t>
        </is>
      </c>
      <c r="C1017" s="0" t="inlineStr">
        <is>
          <t xml:space="preserve">r18</t>
        </is>
      </c>
      <c r="D1017" s="0" t="inlineStr">
        <is>
          <t xml:space="preserve">s_emea_out</t>
        </is>
      </c>
      <c r="E1017" s="0" t="inlineStr">
        <is>
          <t xml:space="preserve">outbound</t>
        </is>
      </c>
      <c r="F1017" s="0" t="inlineStr">
        <is>
          <t xml:space="preserve">closed_lost</t>
        </is>
      </c>
      <c r="G1017" s="4">
        <v>0</v>
      </c>
      <c r="H1017" s="4">
        <v>5100</v>
      </c>
      <c r="I1017" s="4">
        <v>1</v>
      </c>
      <c r="J1017" s="4">
        <v>0</v>
      </c>
      <c r="K1017" s="16">
        <v>46121</v>
      </c>
      <c r="L1017" s="16">
        <v>46142</v>
      </c>
      <c r="M1017" s="0" t="inlineStr">
        <is>
          <t xml:space="preserve">apr26</t>
        </is>
      </c>
      <c r="N1017" s="0" t="inlineStr">
        <is>
          <t xml:space="preserve">apr26</t>
        </is>
      </c>
      <c r="O1017" s="4">
        <v>21</v>
      </c>
      <c r="P1017" s="4">
        <v>0</v>
      </c>
      <c r="Q1017" s="4">
        <v>1</v>
      </c>
      <c r="R1017" s="4">
        <v>0</v>
      </c>
      <c r="S1017" s="4">
        <f>(H1017*INDEX('Stages'!$D$2:$D$7,MATCH(F1017,'Stages'!$A$2:$A$7,0)))</f>
        <v>0</v>
      </c>
      <c r="T1017" s="4">
        <f>(H1017*I1017)</f>
        <v>5100</v>
      </c>
      <c r="U1017" s="4">
        <f>(H1017*(I1017-1))</f>
        <v>0</v>
      </c>
      <c r="V1017" s="0" t="str">
        <f>INDEX('Account executives'!$B$2:$B$25,MATCH(C1017,'Account executives'!$A$2:$A$25,0))</f>
        <v>emea</v>
      </c>
      <c r="W1017" s="0" t="str">
        <f>INDEX('Account executives'!$C$2:$C$25,MATCH(C1017,'Account executives'!$A$2:$A$25,0))</f>
        <v>smb</v>
      </c>
      <c r="X1017" s="0" t="str">
        <f>SUBSTITUTE(LOWER(INDEX('Periods'!$G$2:$G$22,MATCH(N1017,'Periods'!$A$2:$A$22,0)))," ","_")</f>
        <v>q2_2026</v>
      </c>
    </row>
    <row r="1018">
      <c r="A1018" s="0" t="inlineStr">
        <is>
          <t xml:space="preserve">o1017</t>
        </is>
      </c>
      <c r="B1018" s="0" t="inlineStr">
        <is>
          <t xml:space="preserve">a0203</t>
        </is>
      </c>
      <c r="C1018" s="0" t="inlineStr">
        <is>
          <t xml:space="preserve">r11</t>
        </is>
      </c>
      <c r="D1018" s="0"/>
      <c r="E1018" s="0" t="inlineStr">
        <is>
          <t xml:space="preserve">referral</t>
        </is>
      </c>
      <c r="F1018" s="0" t="inlineStr">
        <is>
          <t xml:space="preserve">closed_lost</t>
        </is>
      </c>
      <c r="G1018" s="4">
        <v>1</v>
      </c>
      <c r="H1018" s="4">
        <v>10900</v>
      </c>
      <c r="I1018" s="4">
        <v>1</v>
      </c>
      <c r="J1018" s="4">
        <v>1</v>
      </c>
      <c r="K1018" s="16">
        <v>45834</v>
      </c>
      <c r="L1018" s="16">
        <v>45856</v>
      </c>
      <c r="M1018" s="0" t="inlineStr">
        <is>
          <t xml:space="preserve">jun25</t>
        </is>
      </c>
      <c r="N1018" s="0" t="inlineStr">
        <is>
          <t xml:space="preserve">jul25</t>
        </is>
      </c>
      <c r="O1018" s="4">
        <v>22</v>
      </c>
      <c r="P1018" s="4">
        <v>0</v>
      </c>
      <c r="Q1018" s="4">
        <v>1</v>
      </c>
      <c r="R1018" s="4">
        <v>0</v>
      </c>
      <c r="S1018" s="4">
        <f>(H1018*INDEX('Stages'!$D$2:$D$7,MATCH(F1018,'Stages'!$A$2:$A$7,0)))</f>
        <v>0</v>
      </c>
      <c r="T1018" s="4">
        <f>(H1018*I1018)</f>
        <v>10900</v>
      </c>
      <c r="U1018" s="4">
        <f>(H1018*(I1018-1))</f>
        <v>0</v>
      </c>
      <c r="V1018" s="0" t="str">
        <f>INDEX('Account executives'!$B$2:$B$25,MATCH(C1018,'Account executives'!$A$2:$A$25,0))</f>
        <v>amer_west</v>
      </c>
      <c r="W1018" s="0" t="str">
        <f>INDEX('Account executives'!$C$2:$C$25,MATCH(C1018,'Account executives'!$A$2:$A$25,0))</f>
        <v>smb</v>
      </c>
      <c r="X1018" s="0" t="str">
        <f>SUBSTITUTE(LOWER(INDEX('Periods'!$G$2:$G$22,MATCH(N1018,'Periods'!$A$2:$A$22,0)))," ","_")</f>
        <v>q3_2025</v>
      </c>
    </row>
    <row r="1019">
      <c r="A1019" s="0" t="inlineStr">
        <is>
          <t xml:space="preserve">o1018</t>
        </is>
      </c>
      <c r="B1019" s="0" t="inlineStr">
        <is>
          <t xml:space="preserve">a0119</t>
        </is>
      </c>
      <c r="C1019" s="0" t="inlineStr">
        <is>
          <t xml:space="preserve">r15</t>
        </is>
      </c>
      <c r="D1019" s="0" t="inlineStr">
        <is>
          <t xml:space="preserve">s_emea_in</t>
        </is>
      </c>
      <c r="E1019" s="0" t="inlineStr">
        <is>
          <t xml:space="preserve">inbound</t>
        </is>
      </c>
      <c r="F1019" s="0" t="inlineStr">
        <is>
          <t xml:space="preserve">closed_won</t>
        </is>
      </c>
      <c r="G1019" s="4">
        <v>1</v>
      </c>
      <c r="H1019" s="4">
        <v>27900</v>
      </c>
      <c r="I1019" s="4">
        <v>2</v>
      </c>
      <c r="J1019" s="4">
        <v>1</v>
      </c>
      <c r="K1019" s="16">
        <v>45792</v>
      </c>
      <c r="L1019" s="16">
        <v>45835</v>
      </c>
      <c r="M1019" s="0" t="inlineStr">
        <is>
          <t xml:space="preserve">may25</t>
        </is>
      </c>
      <c r="N1019" s="0" t="inlineStr">
        <is>
          <t xml:space="preserve">jun25</t>
        </is>
      </c>
      <c r="O1019" s="4">
        <v>43</v>
      </c>
      <c r="P1019" s="4">
        <v>1</v>
      </c>
      <c r="Q1019" s="4">
        <v>0</v>
      </c>
      <c r="R1019" s="4">
        <v>0</v>
      </c>
      <c r="S1019" s="4">
        <f>(H1019*INDEX('Stages'!$D$2:$D$7,MATCH(F1019,'Stages'!$A$2:$A$7,0)))</f>
        <v>27900</v>
      </c>
      <c r="T1019" s="4">
        <f>(H1019*I1019)</f>
        <v>55800</v>
      </c>
      <c r="U1019" s="4">
        <f>(H1019*(I1019-1))</f>
        <v>27900</v>
      </c>
      <c r="V1019" s="0" t="str">
        <f>INDEX('Account executives'!$B$2:$B$25,MATCH(C1019,'Account executives'!$A$2:$A$25,0))</f>
        <v>emea</v>
      </c>
      <c r="W1019" s="0" t="str">
        <f>INDEX('Account executives'!$C$2:$C$25,MATCH(C1019,'Account executives'!$A$2:$A$25,0))</f>
        <v>mid_market</v>
      </c>
      <c r="X1019" s="0" t="str">
        <f>SUBSTITUTE(LOWER(INDEX('Periods'!$G$2:$G$22,MATCH(N1019,'Periods'!$A$2:$A$22,0)))," ","_")</f>
        <v>q2_2025</v>
      </c>
    </row>
    <row r="1020">
      <c r="A1020" s="0" t="inlineStr">
        <is>
          <t xml:space="preserve">o1019</t>
        </is>
      </c>
      <c r="B1020" s="0" t="inlineStr">
        <is>
          <t xml:space="preserve">a0241</t>
        </is>
      </c>
      <c r="C1020" s="0" t="inlineStr">
        <is>
          <t xml:space="preserve">r01</t>
        </is>
      </c>
      <c r="D1020" s="0" t="inlineStr">
        <is>
          <t xml:space="preserve">s_amer_east_in</t>
        </is>
      </c>
      <c r="E1020" s="0" t="inlineStr">
        <is>
          <t xml:space="preserve">inbound</t>
        </is>
      </c>
      <c r="F1020" s="0" t="inlineStr">
        <is>
          <t xml:space="preserve">closed_lost</t>
        </is>
      </c>
      <c r="G1020" s="4">
        <v>0</v>
      </c>
      <c r="H1020" s="4">
        <v>25300</v>
      </c>
      <c r="I1020" s="4">
        <v>3</v>
      </c>
      <c r="J1020" s="4">
        <v>1</v>
      </c>
      <c r="K1020" s="16">
        <v>46044</v>
      </c>
      <c r="L1020" s="16">
        <v>46116</v>
      </c>
      <c r="M1020" s="0" t="inlineStr">
        <is>
          <t xml:space="preserve">jan26</t>
        </is>
      </c>
      <c r="N1020" s="0" t="inlineStr">
        <is>
          <t xml:space="preserve">apr26</t>
        </is>
      </c>
      <c r="O1020" s="4">
        <v>72</v>
      </c>
      <c r="P1020" s="4">
        <v>0</v>
      </c>
      <c r="Q1020" s="4">
        <v>1</v>
      </c>
      <c r="R1020" s="4">
        <v>0</v>
      </c>
      <c r="S1020" s="4">
        <f>(H1020*INDEX('Stages'!$D$2:$D$7,MATCH(F1020,'Stages'!$A$2:$A$7,0)))</f>
        <v>0</v>
      </c>
      <c r="T1020" s="4">
        <f>(H1020*I1020)</f>
        <v>75900</v>
      </c>
      <c r="U1020" s="4">
        <f>(H1020*(I1020-1))</f>
        <v>50600</v>
      </c>
      <c r="V1020" s="0" t="str">
        <f>INDEX('Account executives'!$B$2:$B$25,MATCH(C1020,'Account executives'!$A$2:$A$25,0))</f>
        <v>amer_east</v>
      </c>
      <c r="W1020" s="0" t="str">
        <f>INDEX('Account executives'!$C$2:$C$25,MATCH(C1020,'Account executives'!$A$2:$A$25,0))</f>
        <v>enterprise</v>
      </c>
      <c r="X1020" s="0" t="str">
        <f>SUBSTITUTE(LOWER(INDEX('Periods'!$G$2:$G$22,MATCH(N1020,'Periods'!$A$2:$A$22,0)))," ","_")</f>
        <v>q2_2026</v>
      </c>
    </row>
    <row r="1021">
      <c r="A1021" s="0" t="inlineStr">
        <is>
          <t xml:space="preserve">o1020</t>
        </is>
      </c>
      <c r="B1021" s="0" t="inlineStr">
        <is>
          <t xml:space="preserve">a0449</t>
        </is>
      </c>
      <c r="C1021" s="0" t="inlineStr">
        <is>
          <t xml:space="preserve">r18</t>
        </is>
      </c>
      <c r="D1021" s="0"/>
      <c r="E1021" s="0" t="inlineStr">
        <is>
          <t xml:space="preserve">partner</t>
        </is>
      </c>
      <c r="F1021" s="0" t="inlineStr">
        <is>
          <t xml:space="preserve">closed_lost</t>
        </is>
      </c>
      <c r="G1021" s="4">
        <v>0</v>
      </c>
      <c r="H1021" s="4">
        <v>15200</v>
      </c>
      <c r="I1021" s="4">
        <v>1</v>
      </c>
      <c r="J1021" s="4">
        <v>1</v>
      </c>
      <c r="K1021" s="16">
        <v>46125</v>
      </c>
      <c r="L1021" s="16">
        <v>46201</v>
      </c>
      <c r="M1021" s="0" t="inlineStr">
        <is>
          <t xml:space="preserve">apr26</t>
        </is>
      </c>
      <c r="N1021" s="0" t="inlineStr">
        <is>
          <t xml:space="preserve">jun26</t>
        </is>
      </c>
      <c r="O1021" s="4">
        <v>76</v>
      </c>
      <c r="P1021" s="4">
        <v>0</v>
      </c>
      <c r="Q1021" s="4">
        <v>1</v>
      </c>
      <c r="R1021" s="4">
        <v>0</v>
      </c>
      <c r="S1021" s="4">
        <f>(H1021*INDEX('Stages'!$D$2:$D$7,MATCH(F1021,'Stages'!$A$2:$A$7,0)))</f>
        <v>0</v>
      </c>
      <c r="T1021" s="4">
        <f>(H1021*I1021)</f>
        <v>15200</v>
      </c>
      <c r="U1021" s="4">
        <f>(H1021*(I1021-1))</f>
        <v>0</v>
      </c>
      <c r="V1021" s="0" t="str">
        <f>INDEX('Account executives'!$B$2:$B$25,MATCH(C1021,'Account executives'!$A$2:$A$25,0))</f>
        <v>emea</v>
      </c>
      <c r="W1021" s="0" t="str">
        <f>INDEX('Account executives'!$C$2:$C$25,MATCH(C1021,'Account executives'!$A$2:$A$25,0))</f>
        <v>smb</v>
      </c>
      <c r="X1021" s="0" t="str">
        <f>SUBSTITUTE(LOWER(INDEX('Periods'!$G$2:$G$22,MATCH(N1021,'Periods'!$A$2:$A$22,0)))," ","_")</f>
        <v>q2_2026</v>
      </c>
    </row>
    <row r="1022">
      <c r="A1022" s="0" t="inlineStr">
        <is>
          <t xml:space="preserve">o1021</t>
        </is>
      </c>
      <c r="B1022" s="0" t="inlineStr">
        <is>
          <t xml:space="preserve">a0634</t>
        </is>
      </c>
      <c r="C1022" s="0" t="inlineStr">
        <is>
          <t xml:space="preserve">r09</t>
        </is>
      </c>
      <c r="D1022" s="0" t="inlineStr">
        <is>
          <t xml:space="preserve">s_amer_west_out</t>
        </is>
      </c>
      <c r="E1022" s="0" t="inlineStr">
        <is>
          <t xml:space="preserve">outbound</t>
        </is>
      </c>
      <c r="F1022" s="0" t="inlineStr">
        <is>
          <t xml:space="preserve">closed_lost</t>
        </is>
      </c>
      <c r="G1022" s="4">
        <v>1</v>
      </c>
      <c r="H1022" s="4">
        <v>51800</v>
      </c>
      <c r="I1022" s="4">
        <v>1</v>
      </c>
      <c r="J1022" s="4">
        <v>0</v>
      </c>
      <c r="K1022" s="16">
        <v>46025</v>
      </c>
      <c r="L1022" s="16">
        <v>46109</v>
      </c>
      <c r="M1022" s="0" t="inlineStr">
        <is>
          <t xml:space="preserve">jan26</t>
        </is>
      </c>
      <c r="N1022" s="0" t="inlineStr">
        <is>
          <t xml:space="preserve">mar26</t>
        </is>
      </c>
      <c r="O1022" s="4">
        <v>84</v>
      </c>
      <c r="P1022" s="4">
        <v>0</v>
      </c>
      <c r="Q1022" s="4">
        <v>1</v>
      </c>
      <c r="R1022" s="4">
        <v>0</v>
      </c>
      <c r="S1022" s="4">
        <f>(H1022*INDEX('Stages'!$D$2:$D$7,MATCH(F1022,'Stages'!$A$2:$A$7,0)))</f>
        <v>0</v>
      </c>
      <c r="T1022" s="4">
        <f>(H1022*I1022)</f>
        <v>51800</v>
      </c>
      <c r="U1022" s="4">
        <f>(H1022*(I1022-1))</f>
        <v>0</v>
      </c>
      <c r="V1022" s="0" t="str">
        <f>INDEX('Account executives'!$B$2:$B$25,MATCH(C1022,'Account executives'!$A$2:$A$25,0))</f>
        <v>amer_west</v>
      </c>
      <c r="W1022" s="0" t="str">
        <f>INDEX('Account executives'!$C$2:$C$25,MATCH(C1022,'Account executives'!$A$2:$A$25,0))</f>
        <v>mid_market</v>
      </c>
      <c r="X1022" s="0" t="str">
        <f>SUBSTITUTE(LOWER(INDEX('Periods'!$G$2:$G$22,MATCH(N1022,'Periods'!$A$2:$A$22,0)))," ","_")</f>
        <v>q1_2026</v>
      </c>
    </row>
    <row r="1023">
      <c r="A1023" s="0" t="inlineStr">
        <is>
          <t xml:space="preserve">o1022</t>
        </is>
      </c>
      <c r="B1023" s="0" t="inlineStr">
        <is>
          <t xml:space="preserve">a0159</t>
        </is>
      </c>
      <c r="C1023" s="0" t="inlineStr">
        <is>
          <t xml:space="preserve">r01</t>
        </is>
      </c>
      <c r="D1023" s="0" t="inlineStr">
        <is>
          <t xml:space="preserve">s_amer_east_in</t>
        </is>
      </c>
      <c r="E1023" s="0" t="inlineStr">
        <is>
          <t xml:space="preserve">inbound</t>
        </is>
      </c>
      <c r="F1023" s="0" t="inlineStr">
        <is>
          <t xml:space="preserve">closed_lost</t>
        </is>
      </c>
      <c r="G1023" s="4">
        <v>1</v>
      </c>
      <c r="H1023" s="4">
        <v>78600</v>
      </c>
      <c r="I1023" s="4">
        <v>3</v>
      </c>
      <c r="J1023" s="4">
        <v>0</v>
      </c>
      <c r="K1023" s="16">
        <v>45825</v>
      </c>
      <c r="L1023" s="16">
        <v>45957</v>
      </c>
      <c r="M1023" s="0" t="inlineStr">
        <is>
          <t xml:space="preserve">jun25</t>
        </is>
      </c>
      <c r="N1023" s="0" t="inlineStr">
        <is>
          <t xml:space="preserve">oct25</t>
        </is>
      </c>
      <c r="O1023" s="4">
        <v>132</v>
      </c>
      <c r="P1023" s="4">
        <v>0</v>
      </c>
      <c r="Q1023" s="4">
        <v>1</v>
      </c>
      <c r="R1023" s="4">
        <v>0</v>
      </c>
      <c r="S1023" s="4">
        <f>(H1023*INDEX('Stages'!$D$2:$D$7,MATCH(F1023,'Stages'!$A$2:$A$7,0)))</f>
        <v>0</v>
      </c>
      <c r="T1023" s="4">
        <f>(H1023*I1023)</f>
        <v>235800</v>
      </c>
      <c r="U1023" s="4">
        <f>(H1023*(I1023-1))</f>
        <v>157200</v>
      </c>
      <c r="V1023" s="0" t="str">
        <f>INDEX('Account executives'!$B$2:$B$25,MATCH(C1023,'Account executives'!$A$2:$A$25,0))</f>
        <v>amer_east</v>
      </c>
      <c r="W1023" s="0" t="str">
        <f>INDEX('Account executives'!$C$2:$C$25,MATCH(C1023,'Account executives'!$A$2:$A$25,0))</f>
        <v>enterprise</v>
      </c>
      <c r="X1023" s="0" t="str">
        <f>SUBSTITUTE(LOWER(INDEX('Periods'!$G$2:$G$22,MATCH(N1023,'Periods'!$A$2:$A$22,0)))," ","_")</f>
        <v>q4_2025</v>
      </c>
    </row>
    <row r="1024">
      <c r="A1024" s="0" t="inlineStr">
        <is>
          <t xml:space="preserve">o1023</t>
        </is>
      </c>
      <c r="B1024" s="0" t="inlineStr">
        <is>
          <t xml:space="preserve">a1162</t>
        </is>
      </c>
      <c r="C1024" s="0" t="inlineStr">
        <is>
          <t xml:space="preserve">r04</t>
        </is>
      </c>
      <c r="D1024" s="0"/>
      <c r="E1024" s="0" t="inlineStr">
        <is>
          <t xml:space="preserve">partner</t>
        </is>
      </c>
      <c r="F1024" s="0" t="inlineStr">
        <is>
          <t xml:space="preserve">evaluation</t>
        </is>
      </c>
      <c r="G1024" s="4">
        <v>1</v>
      </c>
      <c r="H1024" s="4">
        <v>37200</v>
      </c>
      <c r="I1024" s="4">
        <v>1</v>
      </c>
      <c r="J1024" s="4">
        <v>0</v>
      </c>
      <c r="K1024" s="16">
        <v>46247</v>
      </c>
      <c r="L1024" s="16">
        <v>46329</v>
      </c>
      <c r="M1024" s="0" t="inlineStr">
        <is>
          <t xml:space="preserve">aug26</t>
        </is>
      </c>
      <c r="N1024" s="0" t="inlineStr">
        <is>
          <t xml:space="preserve">nov26</t>
        </is>
      </c>
      <c r="O1024" s="4">
        <v>85</v>
      </c>
      <c r="P1024" s="4">
        <v>0</v>
      </c>
      <c r="Q1024" s="4">
        <v>0</v>
      </c>
      <c r="R1024" s="4">
        <v>1</v>
      </c>
      <c r="S1024" s="4">
        <f>(H1024*INDEX('Stages'!$D$2:$D$7,MATCH(F1024,'Stages'!$A$2:$A$7,0)))</f>
        <v>9300</v>
      </c>
      <c r="T1024" s="4">
        <f>(H1024*I1024)</f>
        <v>37200</v>
      </c>
      <c r="U1024" s="4">
        <f>(H1024*(I1024-1))</f>
        <v>0</v>
      </c>
      <c r="V1024" s="0" t="str">
        <f>INDEX('Account executives'!$B$2:$B$25,MATCH(C1024,'Account executives'!$A$2:$A$25,0))</f>
        <v>amer_east</v>
      </c>
      <c r="W1024" s="0" t="str">
        <f>INDEX('Account executives'!$C$2:$C$25,MATCH(C1024,'Account executives'!$A$2:$A$25,0))</f>
        <v>mid_market</v>
      </c>
      <c r="X1024" s="0" t="str">
        <f>SUBSTITUTE(LOWER(INDEX('Periods'!$G$2:$G$22,MATCH(N1024,'Periods'!$A$2:$A$22,0)))," ","_")</f>
        <v>q4_2026</v>
      </c>
    </row>
    <row r="1025">
      <c r="A1025" s="0" t="inlineStr">
        <is>
          <t xml:space="preserve">o1024</t>
        </is>
      </c>
      <c r="B1025" s="0" t="inlineStr">
        <is>
          <t xml:space="preserve">a0438</t>
        </is>
      </c>
      <c r="C1025" s="0" t="inlineStr">
        <is>
          <t xml:space="preserve">r11</t>
        </is>
      </c>
      <c r="D1025" s="0"/>
      <c r="E1025" s="0" t="inlineStr">
        <is>
          <t xml:space="preserve">events</t>
        </is>
      </c>
      <c r="F1025" s="0" t="inlineStr">
        <is>
          <t xml:space="preserve">closed_lost</t>
        </is>
      </c>
      <c r="G1025" s="4">
        <v>1</v>
      </c>
      <c r="H1025" s="4">
        <v>12500</v>
      </c>
      <c r="I1025" s="4">
        <v>2</v>
      </c>
      <c r="J1025" s="4">
        <v>0</v>
      </c>
      <c r="K1025" s="16">
        <v>45933</v>
      </c>
      <c r="L1025" s="16">
        <v>45963</v>
      </c>
      <c r="M1025" s="0" t="inlineStr">
        <is>
          <t xml:space="preserve">oct25</t>
        </is>
      </c>
      <c r="N1025" s="0" t="inlineStr">
        <is>
          <t xml:space="preserve">nov25</t>
        </is>
      </c>
      <c r="O1025" s="4">
        <v>30</v>
      </c>
      <c r="P1025" s="4">
        <v>0</v>
      </c>
      <c r="Q1025" s="4">
        <v>1</v>
      </c>
      <c r="R1025" s="4">
        <v>0</v>
      </c>
      <c r="S1025" s="4">
        <f>(H1025*INDEX('Stages'!$D$2:$D$7,MATCH(F1025,'Stages'!$A$2:$A$7,0)))</f>
        <v>0</v>
      </c>
      <c r="T1025" s="4">
        <f>(H1025*I1025)</f>
        <v>25000</v>
      </c>
      <c r="U1025" s="4">
        <f>(H1025*(I1025-1))</f>
        <v>12500</v>
      </c>
      <c r="V1025" s="0" t="str">
        <f>INDEX('Account executives'!$B$2:$B$25,MATCH(C1025,'Account executives'!$A$2:$A$25,0))</f>
        <v>amer_west</v>
      </c>
      <c r="W1025" s="0" t="str">
        <f>INDEX('Account executives'!$C$2:$C$25,MATCH(C1025,'Account executives'!$A$2:$A$25,0))</f>
        <v>smb</v>
      </c>
      <c r="X1025" s="0" t="str">
        <f>SUBSTITUTE(LOWER(INDEX('Periods'!$G$2:$G$22,MATCH(N1025,'Periods'!$A$2:$A$22,0)))," ","_")</f>
        <v>q4_2025</v>
      </c>
    </row>
    <row r="1026">
      <c r="A1026" s="0" t="inlineStr">
        <is>
          <t xml:space="preserve">o1025</t>
        </is>
      </c>
      <c r="B1026" s="0" t="inlineStr">
        <is>
          <t xml:space="preserve">a0999</t>
        </is>
      </c>
      <c r="C1026" s="0" t="inlineStr">
        <is>
          <t xml:space="preserve">r12</t>
        </is>
      </c>
      <c r="D1026" s="0"/>
      <c r="E1026" s="0" t="inlineStr">
        <is>
          <t xml:space="preserve">events</t>
        </is>
      </c>
      <c r="F1026" s="0" t="inlineStr">
        <is>
          <t xml:space="preserve">closed_won</t>
        </is>
      </c>
      <c r="G1026" s="4">
        <v>1</v>
      </c>
      <c r="H1026" s="4">
        <v>10500</v>
      </c>
      <c r="I1026" s="4">
        <v>1</v>
      </c>
      <c r="J1026" s="4">
        <v>0</v>
      </c>
      <c r="K1026" s="16">
        <v>46176</v>
      </c>
      <c r="L1026" s="16">
        <v>46200</v>
      </c>
      <c r="M1026" s="0" t="inlineStr">
        <is>
          <t xml:space="preserve">jun26</t>
        </is>
      </c>
      <c r="N1026" s="0" t="inlineStr">
        <is>
          <t xml:space="preserve">jun26</t>
        </is>
      </c>
      <c r="O1026" s="4">
        <v>24</v>
      </c>
      <c r="P1026" s="4">
        <v>1</v>
      </c>
      <c r="Q1026" s="4">
        <v>0</v>
      </c>
      <c r="R1026" s="4">
        <v>0</v>
      </c>
      <c r="S1026" s="4">
        <f>(H1026*INDEX('Stages'!$D$2:$D$7,MATCH(F1026,'Stages'!$A$2:$A$7,0)))</f>
        <v>10500</v>
      </c>
      <c r="T1026" s="4">
        <f>(H1026*I1026)</f>
        <v>10500</v>
      </c>
      <c r="U1026" s="4">
        <f>(H1026*(I1026-1))</f>
        <v>0</v>
      </c>
      <c r="V1026" s="0" t="str">
        <f>INDEX('Account executives'!$B$2:$B$25,MATCH(C1026,'Account executives'!$A$2:$A$25,0))</f>
        <v>amer_west</v>
      </c>
      <c r="W1026" s="0" t="str">
        <f>INDEX('Account executives'!$C$2:$C$25,MATCH(C1026,'Account executives'!$A$2:$A$25,0))</f>
        <v>smb</v>
      </c>
      <c r="X1026" s="0" t="str">
        <f>SUBSTITUTE(LOWER(INDEX('Periods'!$G$2:$G$22,MATCH(N1026,'Periods'!$A$2:$A$22,0)))," ","_")</f>
        <v>q2_2026</v>
      </c>
    </row>
    <row r="1027">
      <c r="A1027" s="0" t="inlineStr">
        <is>
          <t xml:space="preserve">o1026</t>
        </is>
      </c>
      <c r="B1027" s="0" t="inlineStr">
        <is>
          <t xml:space="preserve">a0354</t>
        </is>
      </c>
      <c r="C1027" s="0" t="inlineStr">
        <is>
          <t xml:space="preserve">r21</t>
        </is>
      </c>
      <c r="D1027" s="0" t="inlineStr">
        <is>
          <t xml:space="preserve">s_apac_in</t>
        </is>
      </c>
      <c r="E1027" s="0" t="inlineStr">
        <is>
          <t xml:space="preserve">paid</t>
        </is>
      </c>
      <c r="F1027" s="0" t="inlineStr">
        <is>
          <t xml:space="preserve">closed_won</t>
        </is>
      </c>
      <c r="G1027" s="4">
        <v>0</v>
      </c>
      <c r="H1027" s="4">
        <v>13000</v>
      </c>
      <c r="I1027" s="4">
        <v>1</v>
      </c>
      <c r="J1027" s="4">
        <v>0</v>
      </c>
      <c r="K1027" s="16">
        <v>45943</v>
      </c>
      <c r="L1027" s="16">
        <v>45993</v>
      </c>
      <c r="M1027" s="0" t="inlineStr">
        <is>
          <t xml:space="preserve">oct25</t>
        </is>
      </c>
      <c r="N1027" s="0" t="inlineStr">
        <is>
          <t xml:space="preserve">dec25</t>
        </is>
      </c>
      <c r="O1027" s="4">
        <v>50</v>
      </c>
      <c r="P1027" s="4">
        <v>1</v>
      </c>
      <c r="Q1027" s="4">
        <v>0</v>
      </c>
      <c r="R1027" s="4">
        <v>0</v>
      </c>
      <c r="S1027" s="4">
        <f>(H1027*INDEX('Stages'!$D$2:$D$7,MATCH(F1027,'Stages'!$A$2:$A$7,0)))</f>
        <v>13000</v>
      </c>
      <c r="T1027" s="4">
        <f>(H1027*I1027)</f>
        <v>13000</v>
      </c>
      <c r="U1027" s="4">
        <f>(H1027*(I1027-1))</f>
        <v>0</v>
      </c>
      <c r="V1027" s="0" t="str">
        <f>INDEX('Account executives'!$B$2:$B$25,MATCH(C1027,'Account executives'!$A$2:$A$25,0))</f>
        <v>apac</v>
      </c>
      <c r="W1027" s="0" t="str">
        <f>INDEX('Account executives'!$C$2:$C$25,MATCH(C1027,'Account executives'!$A$2:$A$25,0))</f>
        <v>mid_market</v>
      </c>
      <c r="X1027" s="0" t="str">
        <f>SUBSTITUTE(LOWER(INDEX('Periods'!$G$2:$G$22,MATCH(N1027,'Periods'!$A$2:$A$22,0)))," ","_")</f>
        <v>q4_2025</v>
      </c>
    </row>
    <row r="1028">
      <c r="A1028" s="0" t="inlineStr">
        <is>
          <t xml:space="preserve">o1027</t>
        </is>
      </c>
      <c r="B1028" s="0" t="inlineStr">
        <is>
          <t xml:space="preserve">a0152</t>
        </is>
      </c>
      <c r="C1028" s="0" t="inlineStr">
        <is>
          <t xml:space="preserve">r21</t>
        </is>
      </c>
      <c r="D1028" s="0" t="inlineStr">
        <is>
          <t xml:space="preserve">s_apac_in</t>
        </is>
      </c>
      <c r="E1028" s="0" t="inlineStr">
        <is>
          <t xml:space="preserve">inbound</t>
        </is>
      </c>
      <c r="F1028" s="0" t="inlineStr">
        <is>
          <t xml:space="preserve">closed_lost</t>
        </is>
      </c>
      <c r="G1028" s="4">
        <v>0</v>
      </c>
      <c r="H1028" s="4">
        <v>26700</v>
      </c>
      <c r="I1028" s="4">
        <v>1</v>
      </c>
      <c r="J1028" s="4">
        <v>0</v>
      </c>
      <c r="K1028" s="16">
        <v>45850</v>
      </c>
      <c r="L1028" s="16">
        <v>45878</v>
      </c>
      <c r="M1028" s="0" t="inlineStr">
        <is>
          <t xml:space="preserve">jul25</t>
        </is>
      </c>
      <c r="N1028" s="0" t="inlineStr">
        <is>
          <t xml:space="preserve">aug25</t>
        </is>
      </c>
      <c r="O1028" s="4">
        <v>28</v>
      </c>
      <c r="P1028" s="4">
        <v>0</v>
      </c>
      <c r="Q1028" s="4">
        <v>1</v>
      </c>
      <c r="R1028" s="4">
        <v>0</v>
      </c>
      <c r="S1028" s="4">
        <f>(H1028*INDEX('Stages'!$D$2:$D$7,MATCH(F1028,'Stages'!$A$2:$A$7,0)))</f>
        <v>0</v>
      </c>
      <c r="T1028" s="4">
        <f>(H1028*I1028)</f>
        <v>26700</v>
      </c>
      <c r="U1028" s="4">
        <f>(H1028*(I1028-1))</f>
        <v>0</v>
      </c>
      <c r="V1028" s="0" t="str">
        <f>INDEX('Account executives'!$B$2:$B$25,MATCH(C1028,'Account executives'!$A$2:$A$25,0))</f>
        <v>apac</v>
      </c>
      <c r="W1028" s="0" t="str">
        <f>INDEX('Account executives'!$C$2:$C$25,MATCH(C1028,'Account executives'!$A$2:$A$25,0))</f>
        <v>mid_market</v>
      </c>
      <c r="X1028" s="0" t="str">
        <f>SUBSTITUTE(LOWER(INDEX('Periods'!$G$2:$G$22,MATCH(N1028,'Periods'!$A$2:$A$22,0)))," ","_")</f>
        <v>q3_2025</v>
      </c>
    </row>
    <row r="1029">
      <c r="A1029" s="0" t="inlineStr">
        <is>
          <t xml:space="preserve">o1028</t>
        </is>
      </c>
      <c r="B1029" s="0" t="inlineStr">
        <is>
          <t xml:space="preserve">a0514</t>
        </is>
      </c>
      <c r="C1029" s="0" t="inlineStr">
        <is>
          <t xml:space="preserve">r18</t>
        </is>
      </c>
      <c r="D1029" s="0" t="inlineStr">
        <is>
          <t xml:space="preserve">s_emea_in</t>
        </is>
      </c>
      <c r="E1029" s="0" t="inlineStr">
        <is>
          <t xml:space="preserve">inbound</t>
        </is>
      </c>
      <c r="F1029" s="0" t="inlineStr">
        <is>
          <t xml:space="preserve">closed_lost</t>
        </is>
      </c>
      <c r="G1029" s="4">
        <v>1</v>
      </c>
      <c r="H1029" s="4">
        <v>27700</v>
      </c>
      <c r="I1029" s="4">
        <v>1</v>
      </c>
      <c r="J1029" s="4">
        <v>0</v>
      </c>
      <c r="K1029" s="16">
        <v>45980</v>
      </c>
      <c r="L1029" s="16">
        <v>45996</v>
      </c>
      <c r="M1029" s="0" t="inlineStr">
        <is>
          <t xml:space="preserve">nov25</t>
        </is>
      </c>
      <c r="N1029" s="0" t="inlineStr">
        <is>
          <t xml:space="preserve">dec25</t>
        </is>
      </c>
      <c r="O1029" s="4">
        <v>16</v>
      </c>
      <c r="P1029" s="4">
        <v>0</v>
      </c>
      <c r="Q1029" s="4">
        <v>1</v>
      </c>
      <c r="R1029" s="4">
        <v>0</v>
      </c>
      <c r="S1029" s="4">
        <f>(H1029*INDEX('Stages'!$D$2:$D$7,MATCH(F1029,'Stages'!$A$2:$A$7,0)))</f>
        <v>0</v>
      </c>
      <c r="T1029" s="4">
        <f>(H1029*I1029)</f>
        <v>27700</v>
      </c>
      <c r="U1029" s="4">
        <f>(H1029*(I1029-1))</f>
        <v>0</v>
      </c>
      <c r="V1029" s="0" t="str">
        <f>INDEX('Account executives'!$B$2:$B$25,MATCH(C1029,'Account executives'!$A$2:$A$25,0))</f>
        <v>emea</v>
      </c>
      <c r="W1029" s="0" t="str">
        <f>INDEX('Account executives'!$C$2:$C$25,MATCH(C1029,'Account executives'!$A$2:$A$25,0))</f>
        <v>smb</v>
      </c>
      <c r="X1029" s="0" t="str">
        <f>SUBSTITUTE(LOWER(INDEX('Periods'!$G$2:$G$22,MATCH(N1029,'Periods'!$A$2:$A$22,0)))," ","_")</f>
        <v>q4_2025</v>
      </c>
    </row>
    <row r="1030">
      <c r="A1030" s="0" t="inlineStr">
        <is>
          <t xml:space="preserve">o1029</t>
        </is>
      </c>
      <c r="B1030" s="0" t="inlineStr">
        <is>
          <t xml:space="preserve">a0172</t>
        </is>
      </c>
      <c r="C1030" s="0" t="inlineStr">
        <is>
          <t xml:space="preserve">r01</t>
        </is>
      </c>
      <c r="D1030" s="0" t="inlineStr">
        <is>
          <t xml:space="preserve">s_amer_east_in</t>
        </is>
      </c>
      <c r="E1030" s="0" t="inlineStr">
        <is>
          <t xml:space="preserve">paid</t>
        </is>
      </c>
      <c r="F1030" s="0" t="inlineStr">
        <is>
          <t xml:space="preserve">closed_lost</t>
        </is>
      </c>
      <c r="G1030" s="4">
        <v>1</v>
      </c>
      <c r="H1030" s="4">
        <v>71700</v>
      </c>
      <c r="I1030" s="4">
        <v>2</v>
      </c>
      <c r="J1030" s="4">
        <v>0</v>
      </c>
      <c r="K1030" s="16">
        <v>45821</v>
      </c>
      <c r="L1030" s="16">
        <v>46052</v>
      </c>
      <c r="M1030" s="0" t="inlineStr">
        <is>
          <t xml:space="preserve">jun25</t>
        </is>
      </c>
      <c r="N1030" s="0" t="inlineStr">
        <is>
          <t xml:space="preserve">jan26</t>
        </is>
      </c>
      <c r="O1030" s="4">
        <v>231</v>
      </c>
      <c r="P1030" s="4">
        <v>0</v>
      </c>
      <c r="Q1030" s="4">
        <v>1</v>
      </c>
      <c r="R1030" s="4">
        <v>0</v>
      </c>
      <c r="S1030" s="4">
        <f>(H1030*INDEX('Stages'!$D$2:$D$7,MATCH(F1030,'Stages'!$A$2:$A$7,0)))</f>
        <v>0</v>
      </c>
      <c r="T1030" s="4">
        <f>(H1030*I1030)</f>
        <v>143400</v>
      </c>
      <c r="U1030" s="4">
        <f>(H1030*(I1030-1))</f>
        <v>71700</v>
      </c>
      <c r="V1030" s="0" t="str">
        <f>INDEX('Account executives'!$B$2:$B$25,MATCH(C1030,'Account executives'!$A$2:$A$25,0))</f>
        <v>amer_east</v>
      </c>
      <c r="W1030" s="0" t="str">
        <f>INDEX('Account executives'!$C$2:$C$25,MATCH(C1030,'Account executives'!$A$2:$A$25,0))</f>
        <v>enterprise</v>
      </c>
      <c r="X1030" s="0" t="str">
        <f>SUBSTITUTE(LOWER(INDEX('Periods'!$G$2:$G$22,MATCH(N1030,'Periods'!$A$2:$A$22,0)))," ","_")</f>
        <v>q1_2026</v>
      </c>
    </row>
    <row r="1031">
      <c r="A1031" s="0" t="inlineStr">
        <is>
          <t xml:space="preserve">o1030</t>
        </is>
      </c>
      <c r="B1031" s="0" t="inlineStr">
        <is>
          <t xml:space="preserve">a0057</t>
        </is>
      </c>
      <c r="C1031" s="0" t="inlineStr">
        <is>
          <t xml:space="preserve">r22</t>
        </is>
      </c>
      <c r="D1031" s="0" t="inlineStr">
        <is>
          <t xml:space="preserve">s_apac_in</t>
        </is>
      </c>
      <c r="E1031" s="0" t="inlineStr">
        <is>
          <t xml:space="preserve">inbound</t>
        </is>
      </c>
      <c r="F1031" s="0" t="inlineStr">
        <is>
          <t xml:space="preserve">closed_won</t>
        </is>
      </c>
      <c r="G1031" s="4">
        <v>0</v>
      </c>
      <c r="H1031" s="4">
        <v>29300</v>
      </c>
      <c r="I1031" s="4">
        <v>1</v>
      </c>
      <c r="J1031" s="4">
        <v>0</v>
      </c>
      <c r="K1031" s="16">
        <v>46101</v>
      </c>
      <c r="L1031" s="16">
        <v>46150</v>
      </c>
      <c r="M1031" s="0" t="inlineStr">
        <is>
          <t xml:space="preserve">mar26</t>
        </is>
      </c>
      <c r="N1031" s="0" t="inlineStr">
        <is>
          <t xml:space="preserve">may26</t>
        </is>
      </c>
      <c r="O1031" s="4">
        <v>49</v>
      </c>
      <c r="P1031" s="4">
        <v>1</v>
      </c>
      <c r="Q1031" s="4">
        <v>0</v>
      </c>
      <c r="R1031" s="4">
        <v>0</v>
      </c>
      <c r="S1031" s="4">
        <f>(H1031*INDEX('Stages'!$D$2:$D$7,MATCH(F1031,'Stages'!$A$2:$A$7,0)))</f>
        <v>29300</v>
      </c>
      <c r="T1031" s="4">
        <f>(H1031*I1031)</f>
        <v>29300</v>
      </c>
      <c r="U1031" s="4">
        <f>(H1031*(I1031-1))</f>
        <v>0</v>
      </c>
      <c r="V1031" s="0" t="str">
        <f>INDEX('Account executives'!$B$2:$B$25,MATCH(C1031,'Account executives'!$A$2:$A$25,0))</f>
        <v>apac</v>
      </c>
      <c r="W1031" s="0" t="str">
        <f>INDEX('Account executives'!$C$2:$C$25,MATCH(C1031,'Account executives'!$A$2:$A$25,0))</f>
        <v>mid_market</v>
      </c>
      <c r="X1031" s="0" t="str">
        <f>SUBSTITUTE(LOWER(INDEX('Periods'!$G$2:$G$22,MATCH(N1031,'Periods'!$A$2:$A$22,0)))," ","_")</f>
        <v>q2_2026</v>
      </c>
    </row>
    <row r="1032">
      <c r="A1032" s="0" t="inlineStr">
        <is>
          <t xml:space="preserve">o1031</t>
        </is>
      </c>
      <c r="B1032" s="0" t="inlineStr">
        <is>
          <t xml:space="preserve">a0502</t>
        </is>
      </c>
      <c r="C1032" s="0" t="inlineStr">
        <is>
          <t xml:space="preserve">r09</t>
        </is>
      </c>
      <c r="D1032" s="0" t="inlineStr">
        <is>
          <t xml:space="preserve">s_amer_west_in</t>
        </is>
      </c>
      <c r="E1032" s="0" t="inlineStr">
        <is>
          <t xml:space="preserve">inbound</t>
        </is>
      </c>
      <c r="F1032" s="0" t="inlineStr">
        <is>
          <t xml:space="preserve">closed_lost</t>
        </is>
      </c>
      <c r="G1032" s="4">
        <v>0</v>
      </c>
      <c r="H1032" s="4">
        <v>36700</v>
      </c>
      <c r="I1032" s="4">
        <v>1</v>
      </c>
      <c r="J1032" s="4">
        <v>0</v>
      </c>
      <c r="K1032" s="16">
        <v>45999</v>
      </c>
      <c r="L1032" s="16">
        <v>46039</v>
      </c>
      <c r="M1032" s="0" t="inlineStr">
        <is>
          <t xml:space="preserve">dec25</t>
        </is>
      </c>
      <c r="N1032" s="0" t="inlineStr">
        <is>
          <t xml:space="preserve">jan26</t>
        </is>
      </c>
      <c r="O1032" s="4">
        <v>40</v>
      </c>
      <c r="P1032" s="4">
        <v>0</v>
      </c>
      <c r="Q1032" s="4">
        <v>1</v>
      </c>
      <c r="R1032" s="4">
        <v>0</v>
      </c>
      <c r="S1032" s="4">
        <f>(H1032*INDEX('Stages'!$D$2:$D$7,MATCH(F1032,'Stages'!$A$2:$A$7,0)))</f>
        <v>0</v>
      </c>
      <c r="T1032" s="4">
        <f>(H1032*I1032)</f>
        <v>36700</v>
      </c>
      <c r="U1032" s="4">
        <f>(H1032*(I1032-1))</f>
        <v>0</v>
      </c>
      <c r="V1032" s="0" t="str">
        <f>INDEX('Account executives'!$B$2:$B$25,MATCH(C1032,'Account executives'!$A$2:$A$25,0))</f>
        <v>amer_west</v>
      </c>
      <c r="W1032" s="0" t="str">
        <f>INDEX('Account executives'!$C$2:$C$25,MATCH(C1032,'Account executives'!$A$2:$A$25,0))</f>
        <v>mid_market</v>
      </c>
      <c r="X1032" s="0" t="str">
        <f>SUBSTITUTE(LOWER(INDEX('Periods'!$G$2:$G$22,MATCH(N1032,'Periods'!$A$2:$A$22,0)))," ","_")</f>
        <v>q1_2026</v>
      </c>
    </row>
    <row r="1033">
      <c r="A1033" s="0" t="inlineStr">
        <is>
          <t xml:space="preserve">o1032</t>
        </is>
      </c>
      <c r="B1033" s="0" t="inlineStr">
        <is>
          <t xml:space="preserve">a0713</t>
        </is>
      </c>
      <c r="C1033" s="0" t="inlineStr">
        <is>
          <t xml:space="preserve">r21</t>
        </is>
      </c>
      <c r="D1033" s="0" t="inlineStr">
        <is>
          <t xml:space="preserve">s_apac_out</t>
        </is>
      </c>
      <c r="E1033" s="0" t="inlineStr">
        <is>
          <t xml:space="preserve">outbound</t>
        </is>
      </c>
      <c r="F1033" s="0" t="inlineStr">
        <is>
          <t xml:space="preserve">closed_won</t>
        </is>
      </c>
      <c r="G1033" s="4">
        <v>0</v>
      </c>
      <c r="H1033" s="4">
        <v>30500</v>
      </c>
      <c r="I1033" s="4">
        <v>2</v>
      </c>
      <c r="J1033" s="4">
        <v>0</v>
      </c>
      <c r="K1033" s="16">
        <v>46155</v>
      </c>
      <c r="L1033" s="16">
        <v>46228</v>
      </c>
      <c r="M1033" s="0" t="inlineStr">
        <is>
          <t xml:space="preserve">may26</t>
        </is>
      </c>
      <c r="N1033" s="0" t="inlineStr">
        <is>
          <t xml:space="preserve">jul26</t>
        </is>
      </c>
      <c r="O1033" s="4">
        <v>73</v>
      </c>
      <c r="P1033" s="4">
        <v>1</v>
      </c>
      <c r="Q1033" s="4">
        <v>0</v>
      </c>
      <c r="R1033" s="4">
        <v>0</v>
      </c>
      <c r="S1033" s="4">
        <f>(H1033*INDEX('Stages'!$D$2:$D$7,MATCH(F1033,'Stages'!$A$2:$A$7,0)))</f>
        <v>30500</v>
      </c>
      <c r="T1033" s="4">
        <f>(H1033*I1033)</f>
        <v>61000</v>
      </c>
      <c r="U1033" s="4">
        <f>(H1033*(I1033-1))</f>
        <v>30500</v>
      </c>
      <c r="V1033" s="0" t="str">
        <f>INDEX('Account executives'!$B$2:$B$25,MATCH(C1033,'Account executives'!$A$2:$A$25,0))</f>
        <v>apac</v>
      </c>
      <c r="W1033" s="0" t="str">
        <f>INDEX('Account executives'!$C$2:$C$25,MATCH(C1033,'Account executives'!$A$2:$A$25,0))</f>
        <v>mid_market</v>
      </c>
      <c r="X1033" s="0" t="str">
        <f>SUBSTITUTE(LOWER(INDEX('Periods'!$G$2:$G$22,MATCH(N1033,'Periods'!$A$2:$A$22,0)))," ","_")</f>
        <v>q3_2026</v>
      </c>
    </row>
    <row r="1034">
      <c r="A1034" s="0" t="inlineStr">
        <is>
          <t xml:space="preserve">o1033</t>
        </is>
      </c>
      <c r="B1034" s="0" t="inlineStr">
        <is>
          <t xml:space="preserve">a0332</t>
        </is>
      </c>
      <c r="C1034" s="0" t="inlineStr">
        <is>
          <t xml:space="preserve">r12</t>
        </is>
      </c>
      <c r="D1034" s="0"/>
      <c r="E1034" s="0" t="inlineStr">
        <is>
          <t xml:space="preserve">events</t>
        </is>
      </c>
      <c r="F1034" s="0" t="inlineStr">
        <is>
          <t xml:space="preserve">closed_lost</t>
        </is>
      </c>
      <c r="G1034" s="4">
        <v>1</v>
      </c>
      <c r="H1034" s="4">
        <v>9100</v>
      </c>
      <c r="I1034" s="4">
        <v>1</v>
      </c>
      <c r="J1034" s="4">
        <v>0</v>
      </c>
      <c r="K1034" s="16">
        <v>45880</v>
      </c>
      <c r="L1034" s="16">
        <v>45900</v>
      </c>
      <c r="M1034" s="0" t="inlineStr">
        <is>
          <t xml:space="preserve">aug25</t>
        </is>
      </c>
      <c r="N1034" s="0" t="inlineStr">
        <is>
          <t xml:space="preserve">aug25</t>
        </is>
      </c>
      <c r="O1034" s="4">
        <v>20</v>
      </c>
      <c r="P1034" s="4">
        <v>0</v>
      </c>
      <c r="Q1034" s="4">
        <v>1</v>
      </c>
      <c r="R1034" s="4">
        <v>0</v>
      </c>
      <c r="S1034" s="4">
        <f>(H1034*INDEX('Stages'!$D$2:$D$7,MATCH(F1034,'Stages'!$A$2:$A$7,0)))</f>
        <v>0</v>
      </c>
      <c r="T1034" s="4">
        <f>(H1034*I1034)</f>
        <v>9100</v>
      </c>
      <c r="U1034" s="4">
        <f>(H1034*(I1034-1))</f>
        <v>0</v>
      </c>
      <c r="V1034" s="0" t="str">
        <f>INDEX('Account executives'!$B$2:$B$25,MATCH(C1034,'Account executives'!$A$2:$A$25,0))</f>
        <v>amer_west</v>
      </c>
      <c r="W1034" s="0" t="str">
        <f>INDEX('Account executives'!$C$2:$C$25,MATCH(C1034,'Account executives'!$A$2:$A$25,0))</f>
        <v>smb</v>
      </c>
      <c r="X1034" s="0" t="str">
        <f>SUBSTITUTE(LOWER(INDEX('Periods'!$G$2:$G$22,MATCH(N1034,'Periods'!$A$2:$A$22,0)))," ","_")</f>
        <v>q3_2025</v>
      </c>
    </row>
    <row r="1035">
      <c r="A1035" s="0" t="inlineStr">
        <is>
          <t xml:space="preserve">o1034</t>
        </is>
      </c>
      <c r="B1035" s="0" t="inlineStr">
        <is>
          <t xml:space="preserve">a0423</t>
        </is>
      </c>
      <c r="C1035" s="0" t="inlineStr">
        <is>
          <t xml:space="preserve">r06</t>
        </is>
      </c>
      <c r="D1035" s="0" t="inlineStr">
        <is>
          <t xml:space="preserve">s_amer_east_in</t>
        </is>
      </c>
      <c r="E1035" s="0" t="inlineStr">
        <is>
          <t xml:space="preserve">inbound</t>
        </is>
      </c>
      <c r="F1035" s="0" t="inlineStr">
        <is>
          <t xml:space="preserve">closed_lost</t>
        </is>
      </c>
      <c r="G1035" s="4">
        <v>0</v>
      </c>
      <c r="H1035" s="4">
        <v>6400</v>
      </c>
      <c r="I1035" s="4">
        <v>1</v>
      </c>
      <c r="J1035" s="4">
        <v>0</v>
      </c>
      <c r="K1035" s="16">
        <v>46148</v>
      </c>
      <c r="L1035" s="16">
        <v>46188</v>
      </c>
      <c r="M1035" s="0" t="inlineStr">
        <is>
          <t xml:space="preserve">may26</t>
        </is>
      </c>
      <c r="N1035" s="0" t="inlineStr">
        <is>
          <t xml:space="preserve">jun26</t>
        </is>
      </c>
      <c r="O1035" s="4">
        <v>40</v>
      </c>
      <c r="P1035" s="4">
        <v>0</v>
      </c>
      <c r="Q1035" s="4">
        <v>1</v>
      </c>
      <c r="R1035" s="4">
        <v>0</v>
      </c>
      <c r="S1035" s="4">
        <f>(H1035*INDEX('Stages'!$D$2:$D$7,MATCH(F1035,'Stages'!$A$2:$A$7,0)))</f>
        <v>0</v>
      </c>
      <c r="T1035" s="4">
        <f>(H1035*I1035)</f>
        <v>6400</v>
      </c>
      <c r="U1035" s="4">
        <f>(H1035*(I1035-1))</f>
        <v>0</v>
      </c>
      <c r="V1035" s="0" t="str">
        <f>INDEX('Account executives'!$B$2:$B$25,MATCH(C1035,'Account executives'!$A$2:$A$25,0))</f>
        <v>amer_east</v>
      </c>
      <c r="W1035" s="0" t="str">
        <f>INDEX('Account executives'!$C$2:$C$25,MATCH(C1035,'Account executives'!$A$2:$A$25,0))</f>
        <v>smb</v>
      </c>
      <c r="X1035" s="0" t="str">
        <f>SUBSTITUTE(LOWER(INDEX('Periods'!$G$2:$G$22,MATCH(N1035,'Periods'!$A$2:$A$22,0)))," ","_")</f>
        <v>q2_2026</v>
      </c>
    </row>
    <row r="1036">
      <c r="A1036" s="0" t="inlineStr">
        <is>
          <t xml:space="preserve">o1035</t>
        </is>
      </c>
      <c r="B1036" s="0" t="inlineStr">
        <is>
          <t xml:space="preserve">a0608</t>
        </is>
      </c>
      <c r="C1036" s="0" t="inlineStr">
        <is>
          <t xml:space="preserve">r05</t>
        </is>
      </c>
      <c r="D1036" s="0" t="inlineStr">
        <is>
          <t xml:space="preserve">s_amer_east_in</t>
        </is>
      </c>
      <c r="E1036" s="0" t="inlineStr">
        <is>
          <t xml:space="preserve">inbound</t>
        </is>
      </c>
      <c r="F1036" s="0" t="inlineStr">
        <is>
          <t xml:space="preserve">closed_lost</t>
        </is>
      </c>
      <c r="G1036" s="4">
        <v>1</v>
      </c>
      <c r="H1036" s="4">
        <v>10400</v>
      </c>
      <c r="I1036" s="4">
        <v>1</v>
      </c>
      <c r="J1036" s="4">
        <v>0</v>
      </c>
      <c r="K1036" s="16">
        <v>46045</v>
      </c>
      <c r="L1036" s="16">
        <v>46065</v>
      </c>
      <c r="M1036" s="0" t="inlineStr">
        <is>
          <t xml:space="preserve">jan26</t>
        </is>
      </c>
      <c r="N1036" s="0" t="inlineStr">
        <is>
          <t xml:space="preserve">feb26</t>
        </is>
      </c>
      <c r="O1036" s="4">
        <v>20</v>
      </c>
      <c r="P1036" s="4">
        <v>0</v>
      </c>
      <c r="Q1036" s="4">
        <v>1</v>
      </c>
      <c r="R1036" s="4">
        <v>0</v>
      </c>
      <c r="S1036" s="4">
        <f>(H1036*INDEX('Stages'!$D$2:$D$7,MATCH(F1036,'Stages'!$A$2:$A$7,0)))</f>
        <v>0</v>
      </c>
      <c r="T1036" s="4">
        <f>(H1036*I1036)</f>
        <v>10400</v>
      </c>
      <c r="U1036" s="4">
        <f>(H1036*(I1036-1))</f>
        <v>0</v>
      </c>
      <c r="V1036" s="0" t="str">
        <f>INDEX('Account executives'!$B$2:$B$25,MATCH(C1036,'Account executives'!$A$2:$A$25,0))</f>
        <v>amer_east</v>
      </c>
      <c r="W1036" s="0" t="str">
        <f>INDEX('Account executives'!$C$2:$C$25,MATCH(C1036,'Account executives'!$A$2:$A$25,0))</f>
        <v>smb</v>
      </c>
      <c r="X1036" s="0" t="str">
        <f>SUBSTITUTE(LOWER(INDEX('Periods'!$G$2:$G$22,MATCH(N1036,'Periods'!$A$2:$A$22,0)))," ","_")</f>
        <v>q1_2026</v>
      </c>
    </row>
    <row r="1037">
      <c r="A1037" s="0" t="inlineStr">
        <is>
          <t xml:space="preserve">o1036</t>
        </is>
      </c>
      <c r="B1037" s="0" t="inlineStr">
        <is>
          <t xml:space="preserve">a0200</t>
        </is>
      </c>
      <c r="C1037" s="0" t="inlineStr">
        <is>
          <t xml:space="preserve">r09</t>
        </is>
      </c>
      <c r="D1037" s="0" t="inlineStr">
        <is>
          <t xml:space="preserve">s_amer_west_in</t>
        </is>
      </c>
      <c r="E1037" s="0" t="inlineStr">
        <is>
          <t xml:space="preserve">paid</t>
        </is>
      </c>
      <c r="F1037" s="0" t="inlineStr">
        <is>
          <t xml:space="preserve">closed_lost</t>
        </is>
      </c>
      <c r="G1037" s="4">
        <v>0</v>
      </c>
      <c r="H1037" s="4">
        <v>14800</v>
      </c>
      <c r="I1037" s="4">
        <v>1</v>
      </c>
      <c r="J1037" s="4">
        <v>0</v>
      </c>
      <c r="K1037" s="16">
        <v>45913</v>
      </c>
      <c r="L1037" s="16">
        <v>46019</v>
      </c>
      <c r="M1037" s="0" t="inlineStr">
        <is>
          <t xml:space="preserve">sep25</t>
        </is>
      </c>
      <c r="N1037" s="0" t="inlineStr">
        <is>
          <t xml:space="preserve">dec25</t>
        </is>
      </c>
      <c r="O1037" s="4">
        <v>106</v>
      </c>
      <c r="P1037" s="4">
        <v>0</v>
      </c>
      <c r="Q1037" s="4">
        <v>1</v>
      </c>
      <c r="R1037" s="4">
        <v>0</v>
      </c>
      <c r="S1037" s="4">
        <f>(H1037*INDEX('Stages'!$D$2:$D$7,MATCH(F1037,'Stages'!$A$2:$A$7,0)))</f>
        <v>0</v>
      </c>
      <c r="T1037" s="4">
        <f>(H1037*I1037)</f>
        <v>14800</v>
      </c>
      <c r="U1037" s="4">
        <f>(H1037*(I1037-1))</f>
        <v>0</v>
      </c>
      <c r="V1037" s="0" t="str">
        <f>INDEX('Account executives'!$B$2:$B$25,MATCH(C1037,'Account executives'!$A$2:$A$25,0))</f>
        <v>amer_west</v>
      </c>
      <c r="W1037" s="0" t="str">
        <f>INDEX('Account executives'!$C$2:$C$25,MATCH(C1037,'Account executives'!$A$2:$A$25,0))</f>
        <v>mid_market</v>
      </c>
      <c r="X1037" s="0" t="str">
        <f>SUBSTITUTE(LOWER(INDEX('Periods'!$G$2:$G$22,MATCH(N1037,'Periods'!$A$2:$A$22,0)))," ","_")</f>
        <v>q4_2025</v>
      </c>
    </row>
    <row r="1038">
      <c r="A1038" s="0" t="inlineStr">
        <is>
          <t xml:space="preserve">o1037</t>
        </is>
      </c>
      <c r="B1038" s="0" t="inlineStr">
        <is>
          <t xml:space="preserve">a1059</t>
        </is>
      </c>
      <c r="C1038" s="0" t="inlineStr">
        <is>
          <t xml:space="preserve">r24</t>
        </is>
      </c>
      <c r="D1038" s="0" t="inlineStr">
        <is>
          <t xml:space="preserve">s_apac_out</t>
        </is>
      </c>
      <c r="E1038" s="0" t="inlineStr">
        <is>
          <t xml:space="preserve">outbound</t>
        </is>
      </c>
      <c r="F1038" s="0" t="inlineStr">
        <is>
          <t xml:space="preserve">closed_lost</t>
        </is>
      </c>
      <c r="G1038" s="4">
        <v>1</v>
      </c>
      <c r="H1038" s="4">
        <v>12100</v>
      </c>
      <c r="I1038" s="4">
        <v>1</v>
      </c>
      <c r="J1038" s="4">
        <v>0</v>
      </c>
      <c r="K1038" s="16">
        <v>46175</v>
      </c>
      <c r="L1038" s="16">
        <v>46203</v>
      </c>
      <c r="M1038" s="0" t="inlineStr">
        <is>
          <t xml:space="preserve">jun26</t>
        </is>
      </c>
      <c r="N1038" s="0" t="inlineStr">
        <is>
          <t xml:space="preserve">jun26</t>
        </is>
      </c>
      <c r="O1038" s="4">
        <v>28</v>
      </c>
      <c r="P1038" s="4">
        <v>0</v>
      </c>
      <c r="Q1038" s="4">
        <v>1</v>
      </c>
      <c r="R1038" s="4">
        <v>0</v>
      </c>
      <c r="S1038" s="4">
        <f>(H1038*INDEX('Stages'!$D$2:$D$7,MATCH(F1038,'Stages'!$A$2:$A$7,0)))</f>
        <v>0</v>
      </c>
      <c r="T1038" s="4">
        <f>(H1038*I1038)</f>
        <v>12100</v>
      </c>
      <c r="U1038" s="4">
        <f>(H1038*(I1038-1))</f>
        <v>0</v>
      </c>
      <c r="V1038" s="0" t="str">
        <f>INDEX('Account executives'!$B$2:$B$25,MATCH(C1038,'Account executives'!$A$2:$A$25,0))</f>
        <v>apac</v>
      </c>
      <c r="W1038" s="0" t="str">
        <f>INDEX('Account executives'!$C$2:$C$25,MATCH(C1038,'Account executives'!$A$2:$A$25,0))</f>
        <v>smb</v>
      </c>
      <c r="X1038" s="0" t="str">
        <f>SUBSTITUTE(LOWER(INDEX('Periods'!$G$2:$G$22,MATCH(N1038,'Periods'!$A$2:$A$22,0)))," ","_")</f>
        <v>q2_2026</v>
      </c>
    </row>
    <row r="1039">
      <c r="A1039" s="0" t="inlineStr">
        <is>
          <t xml:space="preserve">o1038</t>
        </is>
      </c>
      <c r="B1039" s="0" t="inlineStr">
        <is>
          <t xml:space="preserve">a1031</t>
        </is>
      </c>
      <c r="C1039" s="0" t="inlineStr">
        <is>
          <t xml:space="preserve">r17</t>
        </is>
      </c>
      <c r="D1039" s="0"/>
      <c r="E1039" s="0" t="inlineStr">
        <is>
          <t xml:space="preserve">partner</t>
        </is>
      </c>
      <c r="F1039" s="0" t="inlineStr">
        <is>
          <t xml:space="preserve">closed_won</t>
        </is>
      </c>
      <c r="G1039" s="4">
        <v>1</v>
      </c>
      <c r="H1039" s="4">
        <v>15200</v>
      </c>
      <c r="I1039" s="4">
        <v>1</v>
      </c>
      <c r="J1039" s="4">
        <v>0</v>
      </c>
      <c r="K1039" s="16">
        <v>46178</v>
      </c>
      <c r="L1039" s="16">
        <v>46211</v>
      </c>
      <c r="M1039" s="0" t="inlineStr">
        <is>
          <t xml:space="preserve">jun26</t>
        </is>
      </c>
      <c r="N1039" s="0" t="inlineStr">
        <is>
          <t xml:space="preserve">jul26</t>
        </is>
      </c>
      <c r="O1039" s="4">
        <v>33</v>
      </c>
      <c r="P1039" s="4">
        <v>1</v>
      </c>
      <c r="Q1039" s="4">
        <v>0</v>
      </c>
      <c r="R1039" s="4">
        <v>0</v>
      </c>
      <c r="S1039" s="4">
        <f>(H1039*INDEX('Stages'!$D$2:$D$7,MATCH(F1039,'Stages'!$A$2:$A$7,0)))</f>
        <v>15200</v>
      </c>
      <c r="T1039" s="4">
        <f>(H1039*I1039)</f>
        <v>15200</v>
      </c>
      <c r="U1039" s="4">
        <f>(H1039*(I1039-1))</f>
        <v>0</v>
      </c>
      <c r="V1039" s="0" t="str">
        <f>INDEX('Account executives'!$B$2:$B$25,MATCH(C1039,'Account executives'!$A$2:$A$25,0))</f>
        <v>emea</v>
      </c>
      <c r="W1039" s="0" t="str">
        <f>INDEX('Account executives'!$C$2:$C$25,MATCH(C1039,'Account executives'!$A$2:$A$25,0))</f>
        <v>smb</v>
      </c>
      <c r="X1039" s="0" t="str">
        <f>SUBSTITUTE(LOWER(INDEX('Periods'!$G$2:$G$22,MATCH(N1039,'Periods'!$A$2:$A$22,0)))," ","_")</f>
        <v>q3_2026</v>
      </c>
    </row>
    <row r="1040">
      <c r="A1040" s="0" t="inlineStr">
        <is>
          <t xml:space="preserve">o1039</t>
        </is>
      </c>
      <c r="B1040" s="0" t="inlineStr">
        <is>
          <t xml:space="preserve">a0223</t>
        </is>
      </c>
      <c r="C1040" s="0" t="inlineStr">
        <is>
          <t xml:space="preserve">r21</t>
        </is>
      </c>
      <c r="D1040" s="0" t="inlineStr">
        <is>
          <t xml:space="preserve">s_apac_in</t>
        </is>
      </c>
      <c r="E1040" s="0" t="inlineStr">
        <is>
          <t xml:space="preserve">paid</t>
        </is>
      </c>
      <c r="F1040" s="0" t="inlineStr">
        <is>
          <t xml:space="preserve">closed_lost</t>
        </is>
      </c>
      <c r="G1040" s="4">
        <v>0</v>
      </c>
      <c r="H1040" s="4">
        <v>18000</v>
      </c>
      <c r="I1040" s="4">
        <v>1</v>
      </c>
      <c r="J1040" s="4">
        <v>1</v>
      </c>
      <c r="K1040" s="16">
        <v>45832</v>
      </c>
      <c r="L1040" s="16">
        <v>45885</v>
      </c>
      <c r="M1040" s="0" t="inlineStr">
        <is>
          <t xml:space="preserve">jun25</t>
        </is>
      </c>
      <c r="N1040" s="0" t="inlineStr">
        <is>
          <t xml:space="preserve">aug25</t>
        </is>
      </c>
      <c r="O1040" s="4">
        <v>53</v>
      </c>
      <c r="P1040" s="4">
        <v>0</v>
      </c>
      <c r="Q1040" s="4">
        <v>1</v>
      </c>
      <c r="R1040" s="4">
        <v>0</v>
      </c>
      <c r="S1040" s="4">
        <f>(H1040*INDEX('Stages'!$D$2:$D$7,MATCH(F1040,'Stages'!$A$2:$A$7,0)))</f>
        <v>0</v>
      </c>
      <c r="T1040" s="4">
        <f>(H1040*I1040)</f>
        <v>18000</v>
      </c>
      <c r="U1040" s="4">
        <f>(H1040*(I1040-1))</f>
        <v>0</v>
      </c>
      <c r="V1040" s="0" t="str">
        <f>INDEX('Account executives'!$B$2:$B$25,MATCH(C1040,'Account executives'!$A$2:$A$25,0))</f>
        <v>apac</v>
      </c>
      <c r="W1040" s="0" t="str">
        <f>INDEX('Account executives'!$C$2:$C$25,MATCH(C1040,'Account executives'!$A$2:$A$25,0))</f>
        <v>mid_market</v>
      </c>
      <c r="X1040" s="0" t="str">
        <f>SUBSTITUTE(LOWER(INDEX('Periods'!$G$2:$G$22,MATCH(N1040,'Periods'!$A$2:$A$22,0)))," ","_")</f>
        <v>q3_2025</v>
      </c>
    </row>
    <row r="1041">
      <c r="A1041" s="0" t="inlineStr">
        <is>
          <t xml:space="preserve">o1040</t>
        </is>
      </c>
      <c r="B1041" s="0" t="inlineStr">
        <is>
          <t xml:space="preserve">a0944</t>
        </is>
      </c>
      <c r="C1041" s="0" t="inlineStr">
        <is>
          <t xml:space="preserve">r16</t>
        </is>
      </c>
      <c r="D1041" s="0"/>
      <c r="E1041" s="0" t="inlineStr">
        <is>
          <t xml:space="preserve">referral</t>
        </is>
      </c>
      <c r="F1041" s="0" t="inlineStr">
        <is>
          <t xml:space="preserve">closed_lost</t>
        </is>
      </c>
      <c r="G1041" s="4">
        <v>1</v>
      </c>
      <c r="H1041" s="4">
        <v>37100</v>
      </c>
      <c r="I1041" s="4">
        <v>3</v>
      </c>
      <c r="J1041" s="4">
        <v>0</v>
      </c>
      <c r="K1041" s="16">
        <v>46160</v>
      </c>
      <c r="L1041" s="16">
        <v>46231</v>
      </c>
      <c r="M1041" s="0" t="inlineStr">
        <is>
          <t xml:space="preserve">may26</t>
        </is>
      </c>
      <c r="N1041" s="0" t="inlineStr">
        <is>
          <t xml:space="preserve">jul26</t>
        </is>
      </c>
      <c r="O1041" s="4">
        <v>71</v>
      </c>
      <c r="P1041" s="4">
        <v>0</v>
      </c>
      <c r="Q1041" s="4">
        <v>1</v>
      </c>
      <c r="R1041" s="4">
        <v>0</v>
      </c>
      <c r="S1041" s="4">
        <f>(H1041*INDEX('Stages'!$D$2:$D$7,MATCH(F1041,'Stages'!$A$2:$A$7,0)))</f>
        <v>0</v>
      </c>
      <c r="T1041" s="4">
        <f>(H1041*I1041)</f>
        <v>111300</v>
      </c>
      <c r="U1041" s="4">
        <f>(H1041*(I1041-1))</f>
        <v>74200</v>
      </c>
      <c r="V1041" s="0" t="str">
        <f>INDEX('Account executives'!$B$2:$B$25,MATCH(C1041,'Account executives'!$A$2:$A$25,0))</f>
        <v>emea</v>
      </c>
      <c r="W1041" s="0" t="str">
        <f>INDEX('Account executives'!$C$2:$C$25,MATCH(C1041,'Account executives'!$A$2:$A$25,0))</f>
        <v>mid_market</v>
      </c>
      <c r="X1041" s="0" t="str">
        <f>SUBSTITUTE(LOWER(INDEX('Periods'!$G$2:$G$22,MATCH(N1041,'Periods'!$A$2:$A$22,0)))," ","_")</f>
        <v>q3_2026</v>
      </c>
    </row>
    <row r="1042">
      <c r="A1042" s="0" t="inlineStr">
        <is>
          <t xml:space="preserve">o1041</t>
        </is>
      </c>
      <c r="B1042" s="0" t="inlineStr">
        <is>
          <t xml:space="preserve">a0377</t>
        </is>
      </c>
      <c r="C1042" s="0" t="inlineStr">
        <is>
          <t xml:space="preserve">r12</t>
        </is>
      </c>
      <c r="D1042" s="0" t="inlineStr">
        <is>
          <t xml:space="preserve">s_amer_west_in</t>
        </is>
      </c>
      <c r="E1042" s="0" t="inlineStr">
        <is>
          <t xml:space="preserve">paid</t>
        </is>
      </c>
      <c r="F1042" s="0" t="inlineStr">
        <is>
          <t xml:space="preserve">closed_lost</t>
        </is>
      </c>
      <c r="G1042" s="4">
        <v>1</v>
      </c>
      <c r="H1042" s="4">
        <v>12500</v>
      </c>
      <c r="I1042" s="4">
        <v>1</v>
      </c>
      <c r="J1042" s="4">
        <v>1</v>
      </c>
      <c r="K1042" s="16">
        <v>45921</v>
      </c>
      <c r="L1042" s="16">
        <v>46019</v>
      </c>
      <c r="M1042" s="0" t="inlineStr">
        <is>
          <t xml:space="preserve">sep25</t>
        </is>
      </c>
      <c r="N1042" s="0" t="inlineStr">
        <is>
          <t xml:space="preserve">dec25</t>
        </is>
      </c>
      <c r="O1042" s="4">
        <v>98</v>
      </c>
      <c r="P1042" s="4">
        <v>0</v>
      </c>
      <c r="Q1042" s="4">
        <v>1</v>
      </c>
      <c r="R1042" s="4">
        <v>0</v>
      </c>
      <c r="S1042" s="4">
        <f>(H1042*INDEX('Stages'!$D$2:$D$7,MATCH(F1042,'Stages'!$A$2:$A$7,0)))</f>
        <v>0</v>
      </c>
      <c r="T1042" s="4">
        <f>(H1042*I1042)</f>
        <v>12500</v>
      </c>
      <c r="U1042" s="4">
        <f>(H1042*(I1042-1))</f>
        <v>0</v>
      </c>
      <c r="V1042" s="0" t="str">
        <f>INDEX('Account executives'!$B$2:$B$25,MATCH(C1042,'Account executives'!$A$2:$A$25,0))</f>
        <v>amer_west</v>
      </c>
      <c r="W1042" s="0" t="str">
        <f>INDEX('Account executives'!$C$2:$C$25,MATCH(C1042,'Account executives'!$A$2:$A$25,0))</f>
        <v>smb</v>
      </c>
      <c r="X1042" s="0" t="str">
        <f>SUBSTITUTE(LOWER(INDEX('Periods'!$G$2:$G$22,MATCH(N1042,'Periods'!$A$2:$A$22,0)))," ","_")</f>
        <v>q4_2025</v>
      </c>
    </row>
    <row r="1043">
      <c r="A1043" s="0" t="inlineStr">
        <is>
          <t xml:space="preserve">o1042</t>
        </is>
      </c>
      <c r="B1043" s="0" t="inlineStr">
        <is>
          <t xml:space="preserve">a1138</t>
        </is>
      </c>
      <c r="C1043" s="0" t="inlineStr">
        <is>
          <t xml:space="preserve">r24</t>
        </is>
      </c>
      <c r="D1043" s="0" t="inlineStr">
        <is>
          <t xml:space="preserve">s_apac_in</t>
        </is>
      </c>
      <c r="E1043" s="0" t="inlineStr">
        <is>
          <t xml:space="preserve">paid</t>
        </is>
      </c>
      <c r="F1043" s="0" t="inlineStr">
        <is>
          <t xml:space="preserve">closed_lost</t>
        </is>
      </c>
      <c r="G1043" s="4">
        <v>1</v>
      </c>
      <c r="H1043" s="4">
        <v>15000</v>
      </c>
      <c r="I1043" s="4">
        <v>1</v>
      </c>
      <c r="J1043" s="4">
        <v>0</v>
      </c>
      <c r="K1043" s="16">
        <v>46221</v>
      </c>
      <c r="L1043" s="16">
        <v>46249</v>
      </c>
      <c r="M1043" s="0" t="inlineStr">
        <is>
          <t xml:space="preserve">jul26</t>
        </is>
      </c>
      <c r="N1043" s="0" t="inlineStr">
        <is>
          <t xml:space="preserve">aug26</t>
        </is>
      </c>
      <c r="O1043" s="4">
        <v>28</v>
      </c>
      <c r="P1043" s="4">
        <v>0</v>
      </c>
      <c r="Q1043" s="4">
        <v>1</v>
      </c>
      <c r="R1043" s="4">
        <v>0</v>
      </c>
      <c r="S1043" s="4">
        <f>(H1043*INDEX('Stages'!$D$2:$D$7,MATCH(F1043,'Stages'!$A$2:$A$7,0)))</f>
        <v>0</v>
      </c>
      <c r="T1043" s="4">
        <f>(H1043*I1043)</f>
        <v>15000</v>
      </c>
      <c r="U1043" s="4">
        <f>(H1043*(I1043-1))</f>
        <v>0</v>
      </c>
      <c r="V1043" s="0" t="str">
        <f>INDEX('Account executives'!$B$2:$B$25,MATCH(C1043,'Account executives'!$A$2:$A$25,0))</f>
        <v>apac</v>
      </c>
      <c r="W1043" s="0" t="str">
        <f>INDEX('Account executives'!$C$2:$C$25,MATCH(C1043,'Account executives'!$A$2:$A$25,0))</f>
        <v>smb</v>
      </c>
      <c r="X1043" s="0" t="str">
        <f>SUBSTITUTE(LOWER(INDEX('Periods'!$G$2:$G$22,MATCH(N1043,'Periods'!$A$2:$A$22,0)))," ","_")</f>
        <v>q3_2026</v>
      </c>
    </row>
    <row r="1044">
      <c r="A1044" s="0" t="inlineStr">
        <is>
          <t xml:space="preserve">o1043</t>
        </is>
      </c>
      <c r="B1044" s="0" t="inlineStr">
        <is>
          <t xml:space="preserve">a0993</t>
        </is>
      </c>
      <c r="C1044" s="0" t="inlineStr">
        <is>
          <t xml:space="preserve">r11</t>
        </is>
      </c>
      <c r="D1044" s="0"/>
      <c r="E1044" s="0" t="inlineStr">
        <is>
          <t xml:space="preserve">events</t>
        </is>
      </c>
      <c r="F1044" s="0" t="inlineStr">
        <is>
          <t xml:space="preserve">closed_lost</t>
        </is>
      </c>
      <c r="G1044" s="4">
        <v>1</v>
      </c>
      <c r="H1044" s="4">
        <v>19200</v>
      </c>
      <c r="I1044" s="4">
        <v>1</v>
      </c>
      <c r="J1044" s="4">
        <v>0</v>
      </c>
      <c r="K1044" s="16">
        <v>46185</v>
      </c>
      <c r="L1044" s="16">
        <v>46214</v>
      </c>
      <c r="M1044" s="0" t="inlineStr">
        <is>
          <t xml:space="preserve">jun26</t>
        </is>
      </c>
      <c r="N1044" s="0" t="inlineStr">
        <is>
          <t xml:space="preserve">jul26</t>
        </is>
      </c>
      <c r="O1044" s="4">
        <v>29</v>
      </c>
      <c r="P1044" s="4">
        <v>0</v>
      </c>
      <c r="Q1044" s="4">
        <v>1</v>
      </c>
      <c r="R1044" s="4">
        <v>0</v>
      </c>
      <c r="S1044" s="4">
        <f>(H1044*INDEX('Stages'!$D$2:$D$7,MATCH(F1044,'Stages'!$A$2:$A$7,0)))</f>
        <v>0</v>
      </c>
      <c r="T1044" s="4">
        <f>(H1044*I1044)</f>
        <v>19200</v>
      </c>
      <c r="U1044" s="4">
        <f>(H1044*(I1044-1))</f>
        <v>0</v>
      </c>
      <c r="V1044" s="0" t="str">
        <f>INDEX('Account executives'!$B$2:$B$25,MATCH(C1044,'Account executives'!$A$2:$A$25,0))</f>
        <v>amer_west</v>
      </c>
      <c r="W1044" s="0" t="str">
        <f>INDEX('Account executives'!$C$2:$C$25,MATCH(C1044,'Account executives'!$A$2:$A$25,0))</f>
        <v>smb</v>
      </c>
      <c r="X1044" s="0" t="str">
        <f>SUBSTITUTE(LOWER(INDEX('Periods'!$G$2:$G$22,MATCH(N1044,'Periods'!$A$2:$A$22,0)))," ","_")</f>
        <v>q3_2026</v>
      </c>
    </row>
    <row r="1045">
      <c r="A1045" s="0" t="inlineStr">
        <is>
          <t xml:space="preserve">o1044</t>
        </is>
      </c>
      <c r="B1045" s="0" t="inlineStr">
        <is>
          <t xml:space="preserve">a1178</t>
        </is>
      </c>
      <c r="C1045" s="0" t="inlineStr">
        <is>
          <t xml:space="preserve">r09</t>
        </is>
      </c>
      <c r="D1045" s="0"/>
      <c r="E1045" s="0" t="inlineStr">
        <is>
          <t xml:space="preserve">referral</t>
        </is>
      </c>
      <c r="F1045" s="0" t="inlineStr">
        <is>
          <t xml:space="preserve">closed_lost</t>
        </is>
      </c>
      <c r="G1045" s="4">
        <v>1</v>
      </c>
      <c r="H1045" s="4">
        <v>64700</v>
      </c>
      <c r="I1045" s="4">
        <v>1</v>
      </c>
      <c r="J1045" s="4">
        <v>0</v>
      </c>
      <c r="K1045" s="16">
        <v>46247</v>
      </c>
      <c r="L1045" s="16">
        <v>46261</v>
      </c>
      <c r="M1045" s="0" t="inlineStr">
        <is>
          <t xml:space="preserve">aug26</t>
        </is>
      </c>
      <c r="N1045" s="0" t="inlineStr">
        <is>
          <t xml:space="preserve">aug26</t>
        </is>
      </c>
      <c r="O1045" s="4">
        <v>14</v>
      </c>
      <c r="P1045" s="4">
        <v>0</v>
      </c>
      <c r="Q1045" s="4">
        <v>1</v>
      </c>
      <c r="R1045" s="4">
        <v>0</v>
      </c>
      <c r="S1045" s="4">
        <f>(H1045*INDEX('Stages'!$D$2:$D$7,MATCH(F1045,'Stages'!$A$2:$A$7,0)))</f>
        <v>0</v>
      </c>
      <c r="T1045" s="4">
        <f>(H1045*I1045)</f>
        <v>64700</v>
      </c>
      <c r="U1045" s="4">
        <f>(H1045*(I1045-1))</f>
        <v>0</v>
      </c>
      <c r="V1045" s="0" t="str">
        <f>INDEX('Account executives'!$B$2:$B$25,MATCH(C1045,'Account executives'!$A$2:$A$25,0))</f>
        <v>amer_west</v>
      </c>
      <c r="W1045" s="0" t="str">
        <f>INDEX('Account executives'!$C$2:$C$25,MATCH(C1045,'Account executives'!$A$2:$A$25,0))</f>
        <v>mid_market</v>
      </c>
      <c r="X1045" s="0" t="str">
        <f>SUBSTITUTE(LOWER(INDEX('Periods'!$G$2:$G$22,MATCH(N1045,'Periods'!$A$2:$A$22,0)))," ","_")</f>
        <v>q3_2026</v>
      </c>
    </row>
    <row r="1046">
      <c r="A1046" s="0" t="inlineStr">
        <is>
          <t xml:space="preserve">o1045</t>
        </is>
      </c>
      <c r="B1046" s="0" t="inlineStr">
        <is>
          <t xml:space="preserve">a0323</t>
        </is>
      </c>
      <c r="C1046" s="0" t="inlineStr">
        <is>
          <t xml:space="preserve">r04</t>
        </is>
      </c>
      <c r="D1046" s="0" t="inlineStr">
        <is>
          <t xml:space="preserve">s_amer_east_out</t>
        </is>
      </c>
      <c r="E1046" s="0" t="inlineStr">
        <is>
          <t xml:space="preserve">outbound</t>
        </is>
      </c>
      <c r="F1046" s="0" t="inlineStr">
        <is>
          <t xml:space="preserve">closed_lost</t>
        </is>
      </c>
      <c r="G1046" s="4">
        <v>1</v>
      </c>
      <c r="H1046" s="4">
        <v>29200</v>
      </c>
      <c r="I1046" s="4">
        <v>1</v>
      </c>
      <c r="J1046" s="4">
        <v>0</v>
      </c>
      <c r="K1046" s="16">
        <v>45894</v>
      </c>
      <c r="L1046" s="16">
        <v>45942</v>
      </c>
      <c r="M1046" s="0" t="inlineStr">
        <is>
          <t xml:space="preserve">aug25</t>
        </is>
      </c>
      <c r="N1046" s="0" t="inlineStr">
        <is>
          <t xml:space="preserve">oct25</t>
        </is>
      </c>
      <c r="O1046" s="4">
        <v>48</v>
      </c>
      <c r="P1046" s="4">
        <v>0</v>
      </c>
      <c r="Q1046" s="4">
        <v>1</v>
      </c>
      <c r="R1046" s="4">
        <v>0</v>
      </c>
      <c r="S1046" s="4">
        <f>(H1046*INDEX('Stages'!$D$2:$D$7,MATCH(F1046,'Stages'!$A$2:$A$7,0)))</f>
        <v>0</v>
      </c>
      <c r="T1046" s="4">
        <f>(H1046*I1046)</f>
        <v>29200</v>
      </c>
      <c r="U1046" s="4">
        <f>(H1046*(I1046-1))</f>
        <v>0</v>
      </c>
      <c r="V1046" s="0" t="str">
        <f>INDEX('Account executives'!$B$2:$B$25,MATCH(C1046,'Account executives'!$A$2:$A$25,0))</f>
        <v>amer_east</v>
      </c>
      <c r="W1046" s="0" t="str">
        <f>INDEX('Account executives'!$C$2:$C$25,MATCH(C1046,'Account executives'!$A$2:$A$25,0))</f>
        <v>mid_market</v>
      </c>
      <c r="X1046" s="0" t="str">
        <f>SUBSTITUTE(LOWER(INDEX('Periods'!$G$2:$G$22,MATCH(N1046,'Periods'!$A$2:$A$22,0)))," ","_")</f>
        <v>q4_2025</v>
      </c>
    </row>
    <row r="1047">
      <c r="A1047" s="0" t="inlineStr">
        <is>
          <t xml:space="preserve">o1046</t>
        </is>
      </c>
      <c r="B1047" s="0" t="inlineStr">
        <is>
          <t xml:space="preserve">a1255</t>
        </is>
      </c>
      <c r="C1047" s="0" t="inlineStr">
        <is>
          <t xml:space="preserve">r24</t>
        </is>
      </c>
      <c r="D1047" s="0" t="inlineStr">
        <is>
          <t xml:space="preserve">s_apac_in</t>
        </is>
      </c>
      <c r="E1047" s="0" t="inlineStr">
        <is>
          <t xml:space="preserve">inbound</t>
        </is>
      </c>
      <c r="F1047" s="0" t="inlineStr">
        <is>
          <t xml:space="preserve">discovery</t>
        </is>
      </c>
      <c r="G1047" s="4">
        <v>1</v>
      </c>
      <c r="H1047" s="4">
        <v>3400</v>
      </c>
      <c r="I1047" s="4">
        <v>1</v>
      </c>
      <c r="J1047" s="4">
        <v>0</v>
      </c>
      <c r="K1047" s="16">
        <v>46281</v>
      </c>
      <c r="L1047" s="16">
        <v>46293</v>
      </c>
      <c r="M1047" s="0" t="inlineStr">
        <is>
          <t xml:space="preserve">sep26</t>
        </is>
      </c>
      <c r="N1047" s="0" t="inlineStr">
        <is>
          <t xml:space="preserve">sep26</t>
        </is>
      </c>
      <c r="O1047" s="4">
        <v>17</v>
      </c>
      <c r="P1047" s="4">
        <v>0</v>
      </c>
      <c r="Q1047" s="4">
        <v>0</v>
      </c>
      <c r="R1047" s="4">
        <v>1</v>
      </c>
      <c r="S1047" s="4">
        <f>(H1047*INDEX('Stages'!$D$2:$D$7,MATCH(F1047,'Stages'!$A$2:$A$7,0)))</f>
        <v>340</v>
      </c>
      <c r="T1047" s="4">
        <f>(H1047*I1047)</f>
        <v>3400</v>
      </c>
      <c r="U1047" s="4">
        <f>(H1047*(I1047-1))</f>
        <v>0</v>
      </c>
      <c r="V1047" s="0" t="str">
        <f>INDEX('Account executives'!$B$2:$B$25,MATCH(C1047,'Account executives'!$A$2:$A$25,0))</f>
        <v>apac</v>
      </c>
      <c r="W1047" s="0" t="str">
        <f>INDEX('Account executives'!$C$2:$C$25,MATCH(C1047,'Account executives'!$A$2:$A$25,0))</f>
        <v>smb</v>
      </c>
      <c r="X1047" s="0" t="str">
        <f>SUBSTITUTE(LOWER(INDEX('Periods'!$G$2:$G$22,MATCH(N1047,'Periods'!$A$2:$A$22,0)))," ","_")</f>
        <v>q3_2026</v>
      </c>
    </row>
    <row r="1048">
      <c r="A1048" s="0" t="inlineStr">
        <is>
          <t xml:space="preserve">o1047</t>
        </is>
      </c>
      <c r="B1048" s="0" t="inlineStr">
        <is>
          <t xml:space="preserve">a0072</t>
        </is>
      </c>
      <c r="C1048" s="0" t="inlineStr">
        <is>
          <t xml:space="preserve">r04</t>
        </is>
      </c>
      <c r="D1048" s="0"/>
      <c r="E1048" s="0" t="inlineStr">
        <is>
          <t xml:space="preserve">events</t>
        </is>
      </c>
      <c r="F1048" s="0" t="inlineStr">
        <is>
          <t xml:space="preserve">closed_lost</t>
        </is>
      </c>
      <c r="G1048" s="4">
        <v>0</v>
      </c>
      <c r="H1048" s="4">
        <v>20900</v>
      </c>
      <c r="I1048" s="4">
        <v>1</v>
      </c>
      <c r="J1048" s="4">
        <v>1</v>
      </c>
      <c r="K1048" s="16">
        <v>45810</v>
      </c>
      <c r="L1048" s="16">
        <v>45883</v>
      </c>
      <c r="M1048" s="0" t="inlineStr">
        <is>
          <t xml:space="preserve">jun25</t>
        </is>
      </c>
      <c r="N1048" s="0" t="inlineStr">
        <is>
          <t xml:space="preserve">aug25</t>
        </is>
      </c>
      <c r="O1048" s="4">
        <v>73</v>
      </c>
      <c r="P1048" s="4">
        <v>0</v>
      </c>
      <c r="Q1048" s="4">
        <v>1</v>
      </c>
      <c r="R1048" s="4">
        <v>0</v>
      </c>
      <c r="S1048" s="4">
        <f>(H1048*INDEX('Stages'!$D$2:$D$7,MATCH(F1048,'Stages'!$A$2:$A$7,0)))</f>
        <v>0</v>
      </c>
      <c r="T1048" s="4">
        <f>(H1048*I1048)</f>
        <v>20900</v>
      </c>
      <c r="U1048" s="4">
        <f>(H1048*(I1048-1))</f>
        <v>0</v>
      </c>
      <c r="V1048" s="0" t="str">
        <f>INDEX('Account executives'!$B$2:$B$25,MATCH(C1048,'Account executives'!$A$2:$A$25,0))</f>
        <v>amer_east</v>
      </c>
      <c r="W1048" s="0" t="str">
        <f>INDEX('Account executives'!$C$2:$C$25,MATCH(C1048,'Account executives'!$A$2:$A$25,0))</f>
        <v>mid_market</v>
      </c>
      <c r="X1048" s="0" t="str">
        <f>SUBSTITUTE(LOWER(INDEX('Periods'!$G$2:$G$22,MATCH(N1048,'Periods'!$A$2:$A$22,0)))," ","_")</f>
        <v>q3_2025</v>
      </c>
    </row>
    <row r="1049">
      <c r="A1049" s="0" t="inlineStr">
        <is>
          <t xml:space="preserve">o1048</t>
        </is>
      </c>
      <c r="B1049" s="0" t="inlineStr">
        <is>
          <t xml:space="preserve">a0419</t>
        </is>
      </c>
      <c r="C1049" s="0" t="inlineStr">
        <is>
          <t xml:space="preserve">r01</t>
        </is>
      </c>
      <c r="D1049" s="0" t="inlineStr">
        <is>
          <t xml:space="preserve">s_amer_east_in</t>
        </is>
      </c>
      <c r="E1049" s="0" t="inlineStr">
        <is>
          <t xml:space="preserve">inbound</t>
        </is>
      </c>
      <c r="F1049" s="0" t="inlineStr">
        <is>
          <t xml:space="preserve">closed_won</t>
        </is>
      </c>
      <c r="G1049" s="4">
        <v>0</v>
      </c>
      <c r="H1049" s="4">
        <v>99700</v>
      </c>
      <c r="I1049" s="4">
        <v>2</v>
      </c>
      <c r="J1049" s="4">
        <v>0</v>
      </c>
      <c r="K1049" s="16">
        <v>46038</v>
      </c>
      <c r="L1049" s="16">
        <v>46175</v>
      </c>
      <c r="M1049" s="0" t="inlineStr">
        <is>
          <t xml:space="preserve">jan26</t>
        </is>
      </c>
      <c r="N1049" s="0" t="inlineStr">
        <is>
          <t xml:space="preserve">jun26</t>
        </is>
      </c>
      <c r="O1049" s="4">
        <v>137</v>
      </c>
      <c r="P1049" s="4">
        <v>1</v>
      </c>
      <c r="Q1049" s="4">
        <v>0</v>
      </c>
      <c r="R1049" s="4">
        <v>0</v>
      </c>
      <c r="S1049" s="4">
        <f>(H1049*INDEX('Stages'!$D$2:$D$7,MATCH(F1049,'Stages'!$A$2:$A$7,0)))</f>
        <v>99700</v>
      </c>
      <c r="T1049" s="4">
        <f>(H1049*I1049)</f>
        <v>199400</v>
      </c>
      <c r="U1049" s="4">
        <f>(H1049*(I1049-1))</f>
        <v>99700</v>
      </c>
      <c r="V1049" s="0" t="str">
        <f>INDEX('Account executives'!$B$2:$B$25,MATCH(C1049,'Account executives'!$A$2:$A$25,0))</f>
        <v>amer_east</v>
      </c>
      <c r="W1049" s="0" t="str">
        <f>INDEX('Account executives'!$C$2:$C$25,MATCH(C1049,'Account executives'!$A$2:$A$25,0))</f>
        <v>enterprise</v>
      </c>
      <c r="X1049" s="0" t="str">
        <f>SUBSTITUTE(LOWER(INDEX('Periods'!$G$2:$G$22,MATCH(N1049,'Periods'!$A$2:$A$22,0)))," ","_")</f>
        <v>q2_2026</v>
      </c>
    </row>
    <row r="1050">
      <c r="A1050" s="0" t="inlineStr">
        <is>
          <t xml:space="preserve">o1049</t>
        </is>
      </c>
      <c r="B1050" s="0" t="inlineStr">
        <is>
          <t xml:space="preserve">a0795</t>
        </is>
      </c>
      <c r="C1050" s="0" t="inlineStr">
        <is>
          <t xml:space="preserve">r24</t>
        </is>
      </c>
      <c r="D1050" s="0" t="inlineStr">
        <is>
          <t xml:space="preserve">s_apac_in</t>
        </is>
      </c>
      <c r="E1050" s="0" t="inlineStr">
        <is>
          <t xml:space="preserve">inbound</t>
        </is>
      </c>
      <c r="F1050" s="0" t="inlineStr">
        <is>
          <t xml:space="preserve">closed_lost</t>
        </is>
      </c>
      <c r="G1050" s="4">
        <v>1</v>
      </c>
      <c r="H1050" s="4">
        <v>19900</v>
      </c>
      <c r="I1050" s="4">
        <v>1</v>
      </c>
      <c r="J1050" s="4">
        <v>0</v>
      </c>
      <c r="K1050" s="16">
        <v>46089</v>
      </c>
      <c r="L1050" s="16">
        <v>46201</v>
      </c>
      <c r="M1050" s="0" t="inlineStr">
        <is>
          <t xml:space="preserve">mar26</t>
        </is>
      </c>
      <c r="N1050" s="0" t="inlineStr">
        <is>
          <t xml:space="preserve">jun26</t>
        </is>
      </c>
      <c r="O1050" s="4">
        <v>112</v>
      </c>
      <c r="P1050" s="4">
        <v>0</v>
      </c>
      <c r="Q1050" s="4">
        <v>1</v>
      </c>
      <c r="R1050" s="4">
        <v>0</v>
      </c>
      <c r="S1050" s="4">
        <f>(H1050*INDEX('Stages'!$D$2:$D$7,MATCH(F1050,'Stages'!$A$2:$A$7,0)))</f>
        <v>0</v>
      </c>
      <c r="T1050" s="4">
        <f>(H1050*I1050)</f>
        <v>19900</v>
      </c>
      <c r="U1050" s="4">
        <f>(H1050*(I1050-1))</f>
        <v>0</v>
      </c>
      <c r="V1050" s="0" t="str">
        <f>INDEX('Account executives'!$B$2:$B$25,MATCH(C1050,'Account executives'!$A$2:$A$25,0))</f>
        <v>apac</v>
      </c>
      <c r="W1050" s="0" t="str">
        <f>INDEX('Account executives'!$C$2:$C$25,MATCH(C1050,'Account executives'!$A$2:$A$25,0))</f>
        <v>smb</v>
      </c>
      <c r="X1050" s="0" t="str">
        <f>SUBSTITUTE(LOWER(INDEX('Periods'!$G$2:$G$22,MATCH(N1050,'Periods'!$A$2:$A$22,0)))," ","_")</f>
        <v>q2_2026</v>
      </c>
    </row>
    <row r="1051">
      <c r="A1051" s="0" t="inlineStr">
        <is>
          <t xml:space="preserve">o1050</t>
        </is>
      </c>
      <c r="B1051" s="0" t="inlineStr">
        <is>
          <t xml:space="preserve">a0457</t>
        </is>
      </c>
      <c r="C1051" s="0" t="inlineStr">
        <is>
          <t xml:space="preserve">r17</t>
        </is>
      </c>
      <c r="D1051" s="0"/>
      <c r="E1051" s="0" t="inlineStr">
        <is>
          <t xml:space="preserve">events</t>
        </is>
      </c>
      <c r="F1051" s="0" t="inlineStr">
        <is>
          <t xml:space="preserve">closed_won</t>
        </is>
      </c>
      <c r="G1051" s="4">
        <v>1</v>
      </c>
      <c r="H1051" s="4">
        <v>12400</v>
      </c>
      <c r="I1051" s="4">
        <v>1</v>
      </c>
      <c r="J1051" s="4">
        <v>0</v>
      </c>
      <c r="K1051" s="16">
        <v>45935</v>
      </c>
      <c r="L1051" s="16">
        <v>45958</v>
      </c>
      <c r="M1051" s="0" t="inlineStr">
        <is>
          <t xml:space="preserve">oct25</t>
        </is>
      </c>
      <c r="N1051" s="0" t="inlineStr">
        <is>
          <t xml:space="preserve">oct25</t>
        </is>
      </c>
      <c r="O1051" s="4">
        <v>23</v>
      </c>
      <c r="P1051" s="4">
        <v>1</v>
      </c>
      <c r="Q1051" s="4">
        <v>0</v>
      </c>
      <c r="R1051" s="4">
        <v>0</v>
      </c>
      <c r="S1051" s="4">
        <f>(H1051*INDEX('Stages'!$D$2:$D$7,MATCH(F1051,'Stages'!$A$2:$A$7,0)))</f>
        <v>12400</v>
      </c>
      <c r="T1051" s="4">
        <f>(H1051*I1051)</f>
        <v>12400</v>
      </c>
      <c r="U1051" s="4">
        <f>(H1051*(I1051-1))</f>
        <v>0</v>
      </c>
      <c r="V1051" s="0" t="str">
        <f>INDEX('Account executives'!$B$2:$B$25,MATCH(C1051,'Account executives'!$A$2:$A$25,0))</f>
        <v>emea</v>
      </c>
      <c r="W1051" s="0" t="str">
        <f>INDEX('Account executives'!$C$2:$C$25,MATCH(C1051,'Account executives'!$A$2:$A$25,0))</f>
        <v>smb</v>
      </c>
      <c r="X1051" s="0" t="str">
        <f>SUBSTITUTE(LOWER(INDEX('Periods'!$G$2:$G$22,MATCH(N1051,'Periods'!$A$2:$A$22,0)))," ","_")</f>
        <v>q4_2025</v>
      </c>
    </row>
    <row r="1052">
      <c r="A1052" s="0" t="inlineStr">
        <is>
          <t xml:space="preserve">o1051</t>
        </is>
      </c>
      <c r="B1052" s="0" t="inlineStr">
        <is>
          <t xml:space="preserve">a0780</t>
        </is>
      </c>
      <c r="C1052" s="0" t="inlineStr">
        <is>
          <t xml:space="preserve">r18</t>
        </is>
      </c>
      <c r="D1052" s="0"/>
      <c r="E1052" s="0" t="inlineStr">
        <is>
          <t xml:space="preserve">events</t>
        </is>
      </c>
      <c r="F1052" s="0" t="inlineStr">
        <is>
          <t xml:space="preserve">closed_won</t>
        </is>
      </c>
      <c r="G1052" s="4">
        <v>0</v>
      </c>
      <c r="H1052" s="4">
        <v>5200</v>
      </c>
      <c r="I1052" s="4">
        <v>1</v>
      </c>
      <c r="J1052" s="4">
        <v>0</v>
      </c>
      <c r="K1052" s="16">
        <v>46261</v>
      </c>
      <c r="L1052" s="16">
        <v>46284</v>
      </c>
      <c r="M1052" s="0" t="inlineStr">
        <is>
          <t xml:space="preserve">aug26</t>
        </is>
      </c>
      <c r="N1052" s="0" t="inlineStr">
        <is>
          <t xml:space="preserve">sep26</t>
        </is>
      </c>
      <c r="O1052" s="4">
        <v>23</v>
      </c>
      <c r="P1052" s="4">
        <v>1</v>
      </c>
      <c r="Q1052" s="4">
        <v>0</v>
      </c>
      <c r="R1052" s="4">
        <v>0</v>
      </c>
      <c r="S1052" s="4">
        <f>(H1052*INDEX('Stages'!$D$2:$D$7,MATCH(F1052,'Stages'!$A$2:$A$7,0)))</f>
        <v>5200</v>
      </c>
      <c r="T1052" s="4">
        <f>(H1052*I1052)</f>
        <v>5200</v>
      </c>
      <c r="U1052" s="4">
        <f>(H1052*(I1052-1))</f>
        <v>0</v>
      </c>
      <c r="V1052" s="0" t="str">
        <f>INDEX('Account executives'!$B$2:$B$25,MATCH(C1052,'Account executives'!$A$2:$A$25,0))</f>
        <v>emea</v>
      </c>
      <c r="W1052" s="0" t="str">
        <f>INDEX('Account executives'!$C$2:$C$25,MATCH(C1052,'Account executives'!$A$2:$A$25,0))</f>
        <v>smb</v>
      </c>
      <c r="X1052" s="0" t="str">
        <f>SUBSTITUTE(LOWER(INDEX('Periods'!$G$2:$G$22,MATCH(N1052,'Periods'!$A$2:$A$22,0)))," ","_")</f>
        <v>q3_2026</v>
      </c>
    </row>
    <row r="1053">
      <c r="A1053" s="0" t="inlineStr">
        <is>
          <t xml:space="preserve">o1052</t>
        </is>
      </c>
      <c r="B1053" s="0" t="inlineStr">
        <is>
          <t xml:space="preserve">a1217</t>
        </is>
      </c>
      <c r="C1053" s="0" t="inlineStr">
        <is>
          <t xml:space="preserve">r01</t>
        </is>
      </c>
      <c r="D1053" s="0" t="inlineStr">
        <is>
          <t xml:space="preserve">s_amer_east_in</t>
        </is>
      </c>
      <c r="E1053" s="0" t="inlineStr">
        <is>
          <t xml:space="preserve">inbound</t>
        </is>
      </c>
      <c r="F1053" s="0" t="inlineStr">
        <is>
          <t xml:space="preserve">discovery</t>
        </is>
      </c>
      <c r="G1053" s="4">
        <v>1</v>
      </c>
      <c r="H1053" s="4">
        <v>215700</v>
      </c>
      <c r="I1053" s="4">
        <v>1</v>
      </c>
      <c r="J1053" s="4">
        <v>0</v>
      </c>
      <c r="K1053" s="16">
        <v>46277</v>
      </c>
      <c r="L1053" s="16">
        <v>46371</v>
      </c>
      <c r="M1053" s="0" t="inlineStr">
        <is>
          <t xml:space="preserve">sep26</t>
        </is>
      </c>
      <c r="N1053" s="0" t="inlineStr">
        <is>
          <t xml:space="preserve">dec26</t>
        </is>
      </c>
      <c r="O1053" s="4">
        <v>99</v>
      </c>
      <c r="P1053" s="4">
        <v>0</v>
      </c>
      <c r="Q1053" s="4">
        <v>0</v>
      </c>
      <c r="R1053" s="4">
        <v>1</v>
      </c>
      <c r="S1053" s="4">
        <f>(H1053*INDEX('Stages'!$D$2:$D$7,MATCH(F1053,'Stages'!$A$2:$A$7,0)))</f>
        <v>21570</v>
      </c>
      <c r="T1053" s="4">
        <f>(H1053*I1053)</f>
        <v>215700</v>
      </c>
      <c r="U1053" s="4">
        <f>(H1053*(I1053-1))</f>
        <v>0</v>
      </c>
      <c r="V1053" s="0" t="str">
        <f>INDEX('Account executives'!$B$2:$B$25,MATCH(C1053,'Account executives'!$A$2:$A$25,0))</f>
        <v>amer_east</v>
      </c>
      <c r="W1053" s="0" t="str">
        <f>INDEX('Account executives'!$C$2:$C$25,MATCH(C1053,'Account executives'!$A$2:$A$25,0))</f>
        <v>enterprise</v>
      </c>
      <c r="X1053" s="0" t="str">
        <f>SUBSTITUTE(LOWER(INDEX('Periods'!$G$2:$G$22,MATCH(N1053,'Periods'!$A$2:$A$22,0)))," ","_")</f>
        <v>q4_2026</v>
      </c>
    </row>
    <row r="1054">
      <c r="A1054" s="0" t="inlineStr">
        <is>
          <t xml:space="preserve">o1053</t>
        </is>
      </c>
      <c r="B1054" s="0" t="inlineStr">
        <is>
          <t xml:space="preserve">a1003</t>
        </is>
      </c>
      <c r="C1054" s="0" t="inlineStr">
        <is>
          <t xml:space="preserve">r11</t>
        </is>
      </c>
      <c r="D1054" s="0" t="inlineStr">
        <is>
          <t xml:space="preserve">s_amer_west_out</t>
        </is>
      </c>
      <c r="E1054" s="0" t="inlineStr">
        <is>
          <t xml:space="preserve">outbound</t>
        </is>
      </c>
      <c r="F1054" s="0" t="inlineStr">
        <is>
          <t xml:space="preserve">closed_lost</t>
        </is>
      </c>
      <c r="G1054" s="4">
        <v>1</v>
      </c>
      <c r="H1054" s="4">
        <v>20200</v>
      </c>
      <c r="I1054" s="4">
        <v>1</v>
      </c>
      <c r="J1054" s="4">
        <v>0</v>
      </c>
      <c r="K1054" s="16">
        <v>46184</v>
      </c>
      <c r="L1054" s="16">
        <v>46208</v>
      </c>
      <c r="M1054" s="0" t="inlineStr">
        <is>
          <t xml:space="preserve">jun26</t>
        </is>
      </c>
      <c r="N1054" s="0" t="inlineStr">
        <is>
          <t xml:space="preserve">jul26</t>
        </is>
      </c>
      <c r="O1054" s="4">
        <v>24</v>
      </c>
      <c r="P1054" s="4">
        <v>0</v>
      </c>
      <c r="Q1054" s="4">
        <v>1</v>
      </c>
      <c r="R1054" s="4">
        <v>0</v>
      </c>
      <c r="S1054" s="4">
        <f>(H1054*INDEX('Stages'!$D$2:$D$7,MATCH(F1054,'Stages'!$A$2:$A$7,0)))</f>
        <v>0</v>
      </c>
      <c r="T1054" s="4">
        <f>(H1054*I1054)</f>
        <v>20200</v>
      </c>
      <c r="U1054" s="4">
        <f>(H1054*(I1054-1))</f>
        <v>0</v>
      </c>
      <c r="V1054" s="0" t="str">
        <f>INDEX('Account executives'!$B$2:$B$25,MATCH(C1054,'Account executives'!$A$2:$A$25,0))</f>
        <v>amer_west</v>
      </c>
      <c r="W1054" s="0" t="str">
        <f>INDEX('Account executives'!$C$2:$C$25,MATCH(C1054,'Account executives'!$A$2:$A$25,0))</f>
        <v>smb</v>
      </c>
      <c r="X1054" s="0" t="str">
        <f>SUBSTITUTE(LOWER(INDEX('Periods'!$G$2:$G$22,MATCH(N1054,'Periods'!$A$2:$A$22,0)))," ","_")</f>
        <v>q3_2026</v>
      </c>
    </row>
    <row r="1055">
      <c r="A1055" s="0" t="inlineStr">
        <is>
          <t xml:space="preserve">o1054</t>
        </is>
      </c>
      <c r="B1055" s="0" t="inlineStr">
        <is>
          <t xml:space="preserve">a0143</t>
        </is>
      </c>
      <c r="C1055" s="0" t="inlineStr">
        <is>
          <t xml:space="preserve">r19</t>
        </is>
      </c>
      <c r="D1055" s="0" t="inlineStr">
        <is>
          <t xml:space="preserve">s_apac_out</t>
        </is>
      </c>
      <c r="E1055" s="0" t="inlineStr">
        <is>
          <t xml:space="preserve">outbound</t>
        </is>
      </c>
      <c r="F1055" s="0" t="inlineStr">
        <is>
          <t xml:space="preserve">closed_lost</t>
        </is>
      </c>
      <c r="G1055" s="4">
        <v>0</v>
      </c>
      <c r="H1055" s="4">
        <v>80100</v>
      </c>
      <c r="I1055" s="4">
        <v>1</v>
      </c>
      <c r="J1055" s="4">
        <v>0</v>
      </c>
      <c r="K1055" s="16">
        <v>45840</v>
      </c>
      <c r="L1055" s="16">
        <v>45937</v>
      </c>
      <c r="M1055" s="0" t="inlineStr">
        <is>
          <t xml:space="preserve">jul25</t>
        </is>
      </c>
      <c r="N1055" s="0" t="inlineStr">
        <is>
          <t xml:space="preserve">oct25</t>
        </is>
      </c>
      <c r="O1055" s="4">
        <v>97</v>
      </c>
      <c r="P1055" s="4">
        <v>0</v>
      </c>
      <c r="Q1055" s="4">
        <v>1</v>
      </c>
      <c r="R1055" s="4">
        <v>0</v>
      </c>
      <c r="S1055" s="4">
        <f>(H1055*INDEX('Stages'!$D$2:$D$7,MATCH(F1055,'Stages'!$A$2:$A$7,0)))</f>
        <v>0</v>
      </c>
      <c r="T1055" s="4">
        <f>(H1055*I1055)</f>
        <v>80100</v>
      </c>
      <c r="U1055" s="4">
        <f>(H1055*(I1055-1))</f>
        <v>0</v>
      </c>
      <c r="V1055" s="0" t="str">
        <f>INDEX('Account executives'!$B$2:$B$25,MATCH(C1055,'Account executives'!$A$2:$A$25,0))</f>
        <v>apac</v>
      </c>
      <c r="W1055" s="0" t="str">
        <f>INDEX('Account executives'!$C$2:$C$25,MATCH(C1055,'Account executives'!$A$2:$A$25,0))</f>
        <v>enterprise</v>
      </c>
      <c r="X1055" s="0" t="str">
        <f>SUBSTITUTE(LOWER(INDEX('Periods'!$G$2:$G$22,MATCH(N1055,'Periods'!$A$2:$A$22,0)))," ","_")</f>
        <v>q4_2025</v>
      </c>
    </row>
    <row r="1056">
      <c r="A1056" s="0" t="inlineStr">
        <is>
          <t xml:space="preserve">o1055</t>
        </is>
      </c>
      <c r="B1056" s="0" t="inlineStr">
        <is>
          <t xml:space="preserve">a0957</t>
        </is>
      </c>
      <c r="C1056" s="0" t="inlineStr">
        <is>
          <t xml:space="preserve">r06</t>
        </is>
      </c>
      <c r="D1056" s="0" t="inlineStr">
        <is>
          <t xml:space="preserve">s_amer_east_in</t>
        </is>
      </c>
      <c r="E1056" s="0" t="inlineStr">
        <is>
          <t xml:space="preserve">inbound</t>
        </is>
      </c>
      <c r="F1056" s="0" t="inlineStr">
        <is>
          <t xml:space="preserve">closed_lost</t>
        </is>
      </c>
      <c r="G1056" s="4">
        <v>1</v>
      </c>
      <c r="H1056" s="4">
        <v>8500</v>
      </c>
      <c r="I1056" s="4">
        <v>1</v>
      </c>
      <c r="J1056" s="4">
        <v>1</v>
      </c>
      <c r="K1056" s="16">
        <v>46189</v>
      </c>
      <c r="L1056" s="16">
        <v>46213</v>
      </c>
      <c r="M1056" s="0" t="inlineStr">
        <is>
          <t xml:space="preserve">jun26</t>
        </is>
      </c>
      <c r="N1056" s="0" t="inlineStr">
        <is>
          <t xml:space="preserve">jul26</t>
        </is>
      </c>
      <c r="O1056" s="4">
        <v>24</v>
      </c>
      <c r="P1056" s="4">
        <v>0</v>
      </c>
      <c r="Q1056" s="4">
        <v>1</v>
      </c>
      <c r="R1056" s="4">
        <v>0</v>
      </c>
      <c r="S1056" s="4">
        <f>(H1056*INDEX('Stages'!$D$2:$D$7,MATCH(F1056,'Stages'!$A$2:$A$7,0)))</f>
        <v>0</v>
      </c>
      <c r="T1056" s="4">
        <f>(H1056*I1056)</f>
        <v>8500</v>
      </c>
      <c r="U1056" s="4">
        <f>(H1056*(I1056-1))</f>
        <v>0</v>
      </c>
      <c r="V1056" s="0" t="str">
        <f>INDEX('Account executives'!$B$2:$B$25,MATCH(C1056,'Account executives'!$A$2:$A$25,0))</f>
        <v>amer_east</v>
      </c>
      <c r="W1056" s="0" t="str">
        <f>INDEX('Account executives'!$C$2:$C$25,MATCH(C1056,'Account executives'!$A$2:$A$25,0))</f>
        <v>smb</v>
      </c>
      <c r="X1056" s="0" t="str">
        <f>SUBSTITUTE(LOWER(INDEX('Periods'!$G$2:$G$22,MATCH(N1056,'Periods'!$A$2:$A$22,0)))," ","_")</f>
        <v>q3_2026</v>
      </c>
    </row>
    <row r="1057">
      <c r="A1057" s="0" t="inlineStr">
        <is>
          <t xml:space="preserve">o1056</t>
        </is>
      </c>
      <c r="B1057" s="0" t="inlineStr">
        <is>
          <t xml:space="preserve">a0968</t>
        </is>
      </c>
      <c r="C1057" s="0" t="inlineStr">
        <is>
          <t xml:space="preserve">r03</t>
        </is>
      </c>
      <c r="D1057" s="0"/>
      <c r="E1057" s="0" t="inlineStr">
        <is>
          <t xml:space="preserve">events</t>
        </is>
      </c>
      <c r="F1057" s="0" t="inlineStr">
        <is>
          <t xml:space="preserve">closed_lost</t>
        </is>
      </c>
      <c r="G1057" s="4">
        <v>1</v>
      </c>
      <c r="H1057" s="4">
        <v>50000</v>
      </c>
      <c r="I1057" s="4">
        <v>1</v>
      </c>
      <c r="J1057" s="4">
        <v>0</v>
      </c>
      <c r="K1057" s="16">
        <v>46194</v>
      </c>
      <c r="L1057" s="16">
        <v>46267</v>
      </c>
      <c r="M1057" s="0" t="inlineStr">
        <is>
          <t xml:space="preserve">jun26</t>
        </is>
      </c>
      <c r="N1057" s="0" t="inlineStr">
        <is>
          <t xml:space="preserve">sep26</t>
        </is>
      </c>
      <c r="O1057" s="4">
        <v>73</v>
      </c>
      <c r="P1057" s="4">
        <v>0</v>
      </c>
      <c r="Q1057" s="4">
        <v>1</v>
      </c>
      <c r="R1057" s="4">
        <v>0</v>
      </c>
      <c r="S1057" s="4">
        <f>(H1057*INDEX('Stages'!$D$2:$D$7,MATCH(F1057,'Stages'!$A$2:$A$7,0)))</f>
        <v>0</v>
      </c>
      <c r="T1057" s="4">
        <f>(H1057*I1057)</f>
        <v>50000</v>
      </c>
      <c r="U1057" s="4">
        <f>(H1057*(I1057-1))</f>
        <v>0</v>
      </c>
      <c r="V1057" s="0" t="str">
        <f>INDEX('Account executives'!$B$2:$B$25,MATCH(C1057,'Account executives'!$A$2:$A$25,0))</f>
        <v>amer_east</v>
      </c>
      <c r="W1057" s="0" t="str">
        <f>INDEX('Account executives'!$C$2:$C$25,MATCH(C1057,'Account executives'!$A$2:$A$25,0))</f>
        <v>mid_market</v>
      </c>
      <c r="X1057" s="0" t="str">
        <f>SUBSTITUTE(LOWER(INDEX('Periods'!$G$2:$G$22,MATCH(N1057,'Periods'!$A$2:$A$22,0)))," ","_")</f>
        <v>q3_2026</v>
      </c>
    </row>
    <row r="1058">
      <c r="A1058" s="0" t="inlineStr">
        <is>
          <t xml:space="preserve">o1057</t>
        </is>
      </c>
      <c r="B1058" s="0" t="inlineStr">
        <is>
          <t xml:space="preserve">a0268</t>
        </is>
      </c>
      <c r="C1058" s="0" t="inlineStr">
        <is>
          <t xml:space="preserve">r11</t>
        </is>
      </c>
      <c r="D1058" s="0"/>
      <c r="E1058" s="0" t="inlineStr">
        <is>
          <t xml:space="preserve">events</t>
        </is>
      </c>
      <c r="F1058" s="0" t="inlineStr">
        <is>
          <t xml:space="preserve">closed_lost</t>
        </is>
      </c>
      <c r="G1058" s="4">
        <v>0</v>
      </c>
      <c r="H1058" s="4">
        <v>2500</v>
      </c>
      <c r="I1058" s="4">
        <v>1</v>
      </c>
      <c r="J1058" s="4">
        <v>0</v>
      </c>
      <c r="K1058" s="16">
        <v>46127</v>
      </c>
      <c r="L1058" s="16">
        <v>46157</v>
      </c>
      <c r="M1058" s="0" t="inlineStr">
        <is>
          <t xml:space="preserve">apr26</t>
        </is>
      </c>
      <c r="N1058" s="0" t="inlineStr">
        <is>
          <t xml:space="preserve">may26</t>
        </is>
      </c>
      <c r="O1058" s="4">
        <v>30</v>
      </c>
      <c r="P1058" s="4">
        <v>0</v>
      </c>
      <c r="Q1058" s="4">
        <v>1</v>
      </c>
      <c r="R1058" s="4">
        <v>0</v>
      </c>
      <c r="S1058" s="4">
        <f>(H1058*INDEX('Stages'!$D$2:$D$7,MATCH(F1058,'Stages'!$A$2:$A$7,0)))</f>
        <v>0</v>
      </c>
      <c r="T1058" s="4">
        <f>(H1058*I1058)</f>
        <v>2500</v>
      </c>
      <c r="U1058" s="4">
        <f>(H1058*(I1058-1))</f>
        <v>0</v>
      </c>
      <c r="V1058" s="0" t="str">
        <f>INDEX('Account executives'!$B$2:$B$25,MATCH(C1058,'Account executives'!$A$2:$A$25,0))</f>
        <v>amer_west</v>
      </c>
      <c r="W1058" s="0" t="str">
        <f>INDEX('Account executives'!$C$2:$C$25,MATCH(C1058,'Account executives'!$A$2:$A$25,0))</f>
        <v>smb</v>
      </c>
      <c r="X1058" s="0" t="str">
        <f>SUBSTITUTE(LOWER(INDEX('Periods'!$G$2:$G$22,MATCH(N1058,'Periods'!$A$2:$A$22,0)))," ","_")</f>
        <v>q2_2026</v>
      </c>
    </row>
    <row r="1059">
      <c r="A1059" s="0" t="inlineStr">
        <is>
          <t xml:space="preserve">o1058</t>
        </is>
      </c>
      <c r="B1059" s="0" t="inlineStr">
        <is>
          <t xml:space="preserve">a0330</t>
        </is>
      </c>
      <c r="C1059" s="0" t="inlineStr">
        <is>
          <t xml:space="preserve">r09</t>
        </is>
      </c>
      <c r="D1059" s="0"/>
      <c r="E1059" s="0" t="inlineStr">
        <is>
          <t xml:space="preserve">events</t>
        </is>
      </c>
      <c r="F1059" s="0" t="inlineStr">
        <is>
          <t xml:space="preserve">closed_won</t>
        </is>
      </c>
      <c r="G1059" s="4">
        <v>0</v>
      </c>
      <c r="H1059" s="4">
        <v>8100</v>
      </c>
      <c r="I1059" s="4">
        <v>2</v>
      </c>
      <c r="J1059" s="4">
        <v>0</v>
      </c>
      <c r="K1059" s="16">
        <v>45877</v>
      </c>
      <c r="L1059" s="16">
        <v>46019</v>
      </c>
      <c r="M1059" s="0" t="inlineStr">
        <is>
          <t xml:space="preserve">aug25</t>
        </is>
      </c>
      <c r="N1059" s="0" t="inlineStr">
        <is>
          <t xml:space="preserve">dec25</t>
        </is>
      </c>
      <c r="O1059" s="4">
        <v>142</v>
      </c>
      <c r="P1059" s="4">
        <v>1</v>
      </c>
      <c r="Q1059" s="4">
        <v>0</v>
      </c>
      <c r="R1059" s="4">
        <v>0</v>
      </c>
      <c r="S1059" s="4">
        <f>(H1059*INDEX('Stages'!$D$2:$D$7,MATCH(F1059,'Stages'!$A$2:$A$7,0)))</f>
        <v>8100</v>
      </c>
      <c r="T1059" s="4">
        <f>(H1059*I1059)</f>
        <v>16200</v>
      </c>
      <c r="U1059" s="4">
        <f>(H1059*(I1059-1))</f>
        <v>8100</v>
      </c>
      <c r="V1059" s="0" t="str">
        <f>INDEX('Account executives'!$B$2:$B$25,MATCH(C1059,'Account executives'!$A$2:$A$25,0))</f>
        <v>amer_west</v>
      </c>
      <c r="W1059" s="0" t="str">
        <f>INDEX('Account executives'!$C$2:$C$25,MATCH(C1059,'Account executives'!$A$2:$A$25,0))</f>
        <v>mid_market</v>
      </c>
      <c r="X1059" s="0" t="str">
        <f>SUBSTITUTE(LOWER(INDEX('Periods'!$G$2:$G$22,MATCH(N1059,'Periods'!$A$2:$A$22,0)))," ","_")</f>
        <v>q4_2025</v>
      </c>
    </row>
    <row r="1060">
      <c r="A1060" s="0" t="inlineStr">
        <is>
          <t xml:space="preserve">o1059</t>
        </is>
      </c>
      <c r="B1060" s="0" t="inlineStr">
        <is>
          <t xml:space="preserve">a1151</t>
        </is>
      </c>
      <c r="C1060" s="0" t="inlineStr">
        <is>
          <t xml:space="preserve">r06</t>
        </is>
      </c>
      <c r="D1060" s="0" t="inlineStr">
        <is>
          <t xml:space="preserve">s_amer_east_in</t>
        </is>
      </c>
      <c r="E1060" s="0" t="inlineStr">
        <is>
          <t xml:space="preserve">paid</t>
        </is>
      </c>
      <c r="F1060" s="0" t="inlineStr">
        <is>
          <t xml:space="preserve">closed_lost</t>
        </is>
      </c>
      <c r="G1060" s="4">
        <v>1</v>
      </c>
      <c r="H1060" s="4">
        <v>6300</v>
      </c>
      <c r="I1060" s="4">
        <v>1</v>
      </c>
      <c r="J1060" s="4">
        <v>0</v>
      </c>
      <c r="K1060" s="16">
        <v>46260</v>
      </c>
      <c r="L1060" s="16">
        <v>46283</v>
      </c>
      <c r="M1060" s="0" t="inlineStr">
        <is>
          <t xml:space="preserve">aug26</t>
        </is>
      </c>
      <c r="N1060" s="0" t="inlineStr">
        <is>
          <t xml:space="preserve">sep26</t>
        </is>
      </c>
      <c r="O1060" s="4">
        <v>23</v>
      </c>
      <c r="P1060" s="4">
        <v>0</v>
      </c>
      <c r="Q1060" s="4">
        <v>1</v>
      </c>
      <c r="R1060" s="4">
        <v>0</v>
      </c>
      <c r="S1060" s="4">
        <f>(H1060*INDEX('Stages'!$D$2:$D$7,MATCH(F1060,'Stages'!$A$2:$A$7,0)))</f>
        <v>0</v>
      </c>
      <c r="T1060" s="4">
        <f>(H1060*I1060)</f>
        <v>6300</v>
      </c>
      <c r="U1060" s="4">
        <f>(H1060*(I1060-1))</f>
        <v>0</v>
      </c>
      <c r="V1060" s="0" t="str">
        <f>INDEX('Account executives'!$B$2:$B$25,MATCH(C1060,'Account executives'!$A$2:$A$25,0))</f>
        <v>amer_east</v>
      </c>
      <c r="W1060" s="0" t="str">
        <f>INDEX('Account executives'!$C$2:$C$25,MATCH(C1060,'Account executives'!$A$2:$A$25,0))</f>
        <v>smb</v>
      </c>
      <c r="X1060" s="0" t="str">
        <f>SUBSTITUTE(LOWER(INDEX('Periods'!$G$2:$G$22,MATCH(N1060,'Periods'!$A$2:$A$22,0)))," ","_")</f>
        <v>q3_2026</v>
      </c>
    </row>
    <row r="1061">
      <c r="A1061" s="0" t="inlineStr">
        <is>
          <t xml:space="preserve">o1060</t>
        </is>
      </c>
      <c r="B1061" s="0" t="inlineStr">
        <is>
          <t xml:space="preserve">a1166</t>
        </is>
      </c>
      <c r="C1061" s="0" t="inlineStr">
        <is>
          <t xml:space="preserve">r01</t>
        </is>
      </c>
      <c r="D1061" s="0"/>
      <c r="E1061" s="0" t="inlineStr">
        <is>
          <t xml:space="preserve">referral</t>
        </is>
      </c>
      <c r="F1061" s="0" t="inlineStr">
        <is>
          <t xml:space="preserve">discovery</t>
        </is>
      </c>
      <c r="G1061" s="4">
        <v>1</v>
      </c>
      <c r="H1061" s="4">
        <v>183900</v>
      </c>
      <c r="I1061" s="4">
        <v>2</v>
      </c>
      <c r="J1061" s="4">
        <v>0</v>
      </c>
      <c r="K1061" s="16">
        <v>46254</v>
      </c>
      <c r="L1061" s="16">
        <v>46334</v>
      </c>
      <c r="M1061" s="0" t="inlineStr">
        <is>
          <t xml:space="preserve">aug26</t>
        </is>
      </c>
      <c r="N1061" s="0" t="inlineStr">
        <is>
          <t xml:space="preserve">nov26</t>
        </is>
      </c>
      <c r="O1061" s="4">
        <v>122</v>
      </c>
      <c r="P1061" s="4">
        <v>0</v>
      </c>
      <c r="Q1061" s="4">
        <v>0</v>
      </c>
      <c r="R1061" s="4">
        <v>1</v>
      </c>
      <c r="S1061" s="4">
        <f>(H1061*INDEX('Stages'!$D$2:$D$7,MATCH(F1061,'Stages'!$A$2:$A$7,0)))</f>
        <v>18390</v>
      </c>
      <c r="T1061" s="4">
        <f>(H1061*I1061)</f>
        <v>367800</v>
      </c>
      <c r="U1061" s="4">
        <f>(H1061*(I1061-1))</f>
        <v>183900</v>
      </c>
      <c r="V1061" s="0" t="str">
        <f>INDEX('Account executives'!$B$2:$B$25,MATCH(C1061,'Account executives'!$A$2:$A$25,0))</f>
        <v>amer_east</v>
      </c>
      <c r="W1061" s="0" t="str">
        <f>INDEX('Account executives'!$C$2:$C$25,MATCH(C1061,'Account executives'!$A$2:$A$25,0))</f>
        <v>enterprise</v>
      </c>
      <c r="X1061" s="0" t="str">
        <f>SUBSTITUTE(LOWER(INDEX('Periods'!$G$2:$G$22,MATCH(N1061,'Periods'!$A$2:$A$22,0)))," ","_")</f>
        <v>q4_2026</v>
      </c>
    </row>
    <row r="1062">
      <c r="A1062" s="0" t="inlineStr">
        <is>
          <t xml:space="preserve">o1061</t>
        </is>
      </c>
      <c r="B1062" s="0" t="inlineStr">
        <is>
          <t xml:space="preserve">a0366</t>
        </is>
      </c>
      <c r="C1062" s="0" t="inlineStr">
        <is>
          <t xml:space="preserve">r03</t>
        </is>
      </c>
      <c r="D1062" s="0" t="inlineStr">
        <is>
          <t xml:space="preserve">s_amer_east_in</t>
        </is>
      </c>
      <c r="E1062" s="0" t="inlineStr">
        <is>
          <t xml:space="preserve">inbound</t>
        </is>
      </c>
      <c r="F1062" s="0" t="inlineStr">
        <is>
          <t xml:space="preserve">closed_lost</t>
        </is>
      </c>
      <c r="G1062" s="4">
        <v>0</v>
      </c>
      <c r="H1062" s="4">
        <v>12500</v>
      </c>
      <c r="I1062" s="4">
        <v>1</v>
      </c>
      <c r="J1062" s="4">
        <v>0</v>
      </c>
      <c r="K1062" s="16">
        <v>45971</v>
      </c>
      <c r="L1062" s="16">
        <v>46031</v>
      </c>
      <c r="M1062" s="0" t="inlineStr">
        <is>
          <t xml:space="preserve">nov25</t>
        </is>
      </c>
      <c r="N1062" s="0" t="inlineStr">
        <is>
          <t xml:space="preserve">jan26</t>
        </is>
      </c>
      <c r="O1062" s="4">
        <v>60</v>
      </c>
      <c r="P1062" s="4">
        <v>0</v>
      </c>
      <c r="Q1062" s="4">
        <v>1</v>
      </c>
      <c r="R1062" s="4">
        <v>0</v>
      </c>
      <c r="S1062" s="4">
        <f>(H1062*INDEX('Stages'!$D$2:$D$7,MATCH(F1062,'Stages'!$A$2:$A$7,0)))</f>
        <v>0</v>
      </c>
      <c r="T1062" s="4">
        <f>(H1062*I1062)</f>
        <v>12500</v>
      </c>
      <c r="U1062" s="4">
        <f>(H1062*(I1062-1))</f>
        <v>0</v>
      </c>
      <c r="V1062" s="0" t="str">
        <f>INDEX('Account executives'!$B$2:$B$25,MATCH(C1062,'Account executives'!$A$2:$A$25,0))</f>
        <v>amer_east</v>
      </c>
      <c r="W1062" s="0" t="str">
        <f>INDEX('Account executives'!$C$2:$C$25,MATCH(C1062,'Account executives'!$A$2:$A$25,0))</f>
        <v>mid_market</v>
      </c>
      <c r="X1062" s="0" t="str">
        <f>SUBSTITUTE(LOWER(INDEX('Periods'!$G$2:$G$22,MATCH(N1062,'Periods'!$A$2:$A$22,0)))," ","_")</f>
        <v>q1_2026</v>
      </c>
    </row>
    <row r="1063">
      <c r="A1063" s="0" t="inlineStr">
        <is>
          <t xml:space="preserve">o1062</t>
        </is>
      </c>
      <c r="B1063" s="0" t="inlineStr">
        <is>
          <t xml:space="preserve">a0134</t>
        </is>
      </c>
      <c r="C1063" s="0" t="inlineStr">
        <is>
          <t xml:space="preserve">r15</t>
        </is>
      </c>
      <c r="D1063" s="0"/>
      <c r="E1063" s="0" t="inlineStr">
        <is>
          <t xml:space="preserve">partner</t>
        </is>
      </c>
      <c r="F1063" s="0" t="inlineStr">
        <is>
          <t xml:space="preserve">closed_won</t>
        </is>
      </c>
      <c r="G1063" s="4">
        <v>1</v>
      </c>
      <c r="H1063" s="4">
        <v>27600</v>
      </c>
      <c r="I1063" s="4">
        <v>1</v>
      </c>
      <c r="J1063" s="4">
        <v>0</v>
      </c>
      <c r="K1063" s="16">
        <v>45784</v>
      </c>
      <c r="L1063" s="16">
        <v>45830</v>
      </c>
      <c r="M1063" s="0" t="inlineStr">
        <is>
          <t xml:space="preserve">may25</t>
        </is>
      </c>
      <c r="N1063" s="0" t="inlineStr">
        <is>
          <t xml:space="preserve">jun25</t>
        </is>
      </c>
      <c r="O1063" s="4">
        <v>46</v>
      </c>
      <c r="P1063" s="4">
        <v>1</v>
      </c>
      <c r="Q1063" s="4">
        <v>0</v>
      </c>
      <c r="R1063" s="4">
        <v>0</v>
      </c>
      <c r="S1063" s="4">
        <f>(H1063*INDEX('Stages'!$D$2:$D$7,MATCH(F1063,'Stages'!$A$2:$A$7,0)))</f>
        <v>27600</v>
      </c>
      <c r="T1063" s="4">
        <f>(H1063*I1063)</f>
        <v>27600</v>
      </c>
      <c r="U1063" s="4">
        <f>(H1063*(I1063-1))</f>
        <v>0</v>
      </c>
      <c r="V1063" s="0" t="str">
        <f>INDEX('Account executives'!$B$2:$B$25,MATCH(C1063,'Account executives'!$A$2:$A$25,0))</f>
        <v>emea</v>
      </c>
      <c r="W1063" s="0" t="str">
        <f>INDEX('Account executives'!$C$2:$C$25,MATCH(C1063,'Account executives'!$A$2:$A$25,0))</f>
        <v>mid_market</v>
      </c>
      <c r="X1063" s="0" t="str">
        <f>SUBSTITUTE(LOWER(INDEX('Periods'!$G$2:$G$22,MATCH(N1063,'Periods'!$A$2:$A$22,0)))," ","_")</f>
        <v>q2_2025</v>
      </c>
    </row>
    <row r="1064">
      <c r="A1064" s="0" t="inlineStr">
        <is>
          <t xml:space="preserve">o1063</t>
        </is>
      </c>
      <c r="B1064" s="0" t="inlineStr">
        <is>
          <t xml:space="preserve">a0705</t>
        </is>
      </c>
      <c r="C1064" s="0" t="inlineStr">
        <is>
          <t xml:space="preserve">r17</t>
        </is>
      </c>
      <c r="D1064" s="0" t="inlineStr">
        <is>
          <t xml:space="preserve">s_emea_out</t>
        </is>
      </c>
      <c r="E1064" s="0" t="inlineStr">
        <is>
          <t xml:space="preserve">outbound</t>
        </is>
      </c>
      <c r="F1064" s="0" t="inlineStr">
        <is>
          <t xml:space="preserve">closed_won</t>
        </is>
      </c>
      <c r="G1064" s="4">
        <v>1</v>
      </c>
      <c r="H1064" s="4">
        <v>46100</v>
      </c>
      <c r="I1064" s="4">
        <v>1</v>
      </c>
      <c r="J1064" s="4">
        <v>0</v>
      </c>
      <c r="K1064" s="16">
        <v>46061</v>
      </c>
      <c r="L1064" s="16">
        <v>46089</v>
      </c>
      <c r="M1064" s="0" t="inlineStr">
        <is>
          <t xml:space="preserve">feb26</t>
        </is>
      </c>
      <c r="N1064" s="0" t="inlineStr">
        <is>
          <t xml:space="preserve">mar26</t>
        </is>
      </c>
      <c r="O1064" s="4">
        <v>28</v>
      </c>
      <c r="P1064" s="4">
        <v>1</v>
      </c>
      <c r="Q1064" s="4">
        <v>0</v>
      </c>
      <c r="R1064" s="4">
        <v>0</v>
      </c>
      <c r="S1064" s="4">
        <f>(H1064*INDEX('Stages'!$D$2:$D$7,MATCH(F1064,'Stages'!$A$2:$A$7,0)))</f>
        <v>46100</v>
      </c>
      <c r="T1064" s="4">
        <f>(H1064*I1064)</f>
        <v>46100</v>
      </c>
      <c r="U1064" s="4">
        <f>(H1064*(I1064-1))</f>
        <v>0</v>
      </c>
      <c r="V1064" s="0" t="str">
        <f>INDEX('Account executives'!$B$2:$B$25,MATCH(C1064,'Account executives'!$A$2:$A$25,0))</f>
        <v>emea</v>
      </c>
      <c r="W1064" s="0" t="str">
        <f>INDEX('Account executives'!$C$2:$C$25,MATCH(C1064,'Account executives'!$A$2:$A$25,0))</f>
        <v>smb</v>
      </c>
      <c r="X1064" s="0" t="str">
        <f>SUBSTITUTE(LOWER(INDEX('Periods'!$G$2:$G$22,MATCH(N1064,'Periods'!$A$2:$A$22,0)))," ","_")</f>
        <v>q1_2026</v>
      </c>
    </row>
    <row r="1065">
      <c r="A1065" s="0" t="inlineStr">
        <is>
          <t xml:space="preserve">o1064</t>
        </is>
      </c>
      <c r="B1065" s="0" t="inlineStr">
        <is>
          <t xml:space="preserve">a0328</t>
        </is>
      </c>
      <c r="C1065" s="0" t="inlineStr">
        <is>
          <t xml:space="preserve">r11</t>
        </is>
      </c>
      <c r="D1065" s="0" t="inlineStr">
        <is>
          <t xml:space="preserve">s_amer_west_in</t>
        </is>
      </c>
      <c r="E1065" s="0" t="inlineStr">
        <is>
          <t xml:space="preserve">inbound</t>
        </is>
      </c>
      <c r="F1065" s="0" t="inlineStr">
        <is>
          <t xml:space="preserve">closed_won</t>
        </is>
      </c>
      <c r="G1065" s="4">
        <v>1</v>
      </c>
      <c r="H1065" s="4">
        <v>17800</v>
      </c>
      <c r="I1065" s="4">
        <v>1</v>
      </c>
      <c r="J1065" s="4">
        <v>1</v>
      </c>
      <c r="K1065" s="16">
        <v>45874</v>
      </c>
      <c r="L1065" s="16">
        <v>45899</v>
      </c>
      <c r="M1065" s="0" t="inlineStr">
        <is>
          <t xml:space="preserve">aug25</t>
        </is>
      </c>
      <c r="N1065" s="0" t="inlineStr">
        <is>
          <t xml:space="preserve">aug25</t>
        </is>
      </c>
      <c r="O1065" s="4">
        <v>25</v>
      </c>
      <c r="P1065" s="4">
        <v>1</v>
      </c>
      <c r="Q1065" s="4">
        <v>0</v>
      </c>
      <c r="R1065" s="4">
        <v>0</v>
      </c>
      <c r="S1065" s="4">
        <f>(H1065*INDEX('Stages'!$D$2:$D$7,MATCH(F1065,'Stages'!$A$2:$A$7,0)))</f>
        <v>17800</v>
      </c>
      <c r="T1065" s="4">
        <f>(H1065*I1065)</f>
        <v>17800</v>
      </c>
      <c r="U1065" s="4">
        <f>(H1065*(I1065-1))</f>
        <v>0</v>
      </c>
      <c r="V1065" s="0" t="str">
        <f>INDEX('Account executives'!$B$2:$B$25,MATCH(C1065,'Account executives'!$A$2:$A$25,0))</f>
        <v>amer_west</v>
      </c>
      <c r="W1065" s="0" t="str">
        <f>INDEX('Account executives'!$C$2:$C$25,MATCH(C1065,'Account executives'!$A$2:$A$25,0))</f>
        <v>smb</v>
      </c>
      <c r="X1065" s="0" t="str">
        <f>SUBSTITUTE(LOWER(INDEX('Periods'!$G$2:$G$22,MATCH(N1065,'Periods'!$A$2:$A$22,0)))," ","_")</f>
        <v>q3_2025</v>
      </c>
    </row>
    <row r="1066">
      <c r="A1066" s="0" t="inlineStr">
        <is>
          <t xml:space="preserve">o1065</t>
        </is>
      </c>
      <c r="B1066" s="0" t="inlineStr">
        <is>
          <t xml:space="preserve">a0913</t>
        </is>
      </c>
      <c r="C1066" s="0" t="inlineStr">
        <is>
          <t xml:space="preserve">r09</t>
        </is>
      </c>
      <c r="D1066" s="0" t="inlineStr">
        <is>
          <t xml:space="preserve">s_amer_west_in</t>
        </is>
      </c>
      <c r="E1066" s="0" t="inlineStr">
        <is>
          <t xml:space="preserve">inbound</t>
        </is>
      </c>
      <c r="F1066" s="0" t="inlineStr">
        <is>
          <t xml:space="preserve">closed_won</t>
        </is>
      </c>
      <c r="G1066" s="4">
        <v>1</v>
      </c>
      <c r="H1066" s="4">
        <v>72100</v>
      </c>
      <c r="I1066" s="4">
        <v>1</v>
      </c>
      <c r="J1066" s="4">
        <v>0</v>
      </c>
      <c r="K1066" s="16">
        <v>46149</v>
      </c>
      <c r="L1066" s="16">
        <v>46217</v>
      </c>
      <c r="M1066" s="0" t="inlineStr">
        <is>
          <t xml:space="preserve">may26</t>
        </is>
      </c>
      <c r="N1066" s="0" t="inlineStr">
        <is>
          <t xml:space="preserve">jul26</t>
        </is>
      </c>
      <c r="O1066" s="4">
        <v>68</v>
      </c>
      <c r="P1066" s="4">
        <v>1</v>
      </c>
      <c r="Q1066" s="4">
        <v>0</v>
      </c>
      <c r="R1066" s="4">
        <v>0</v>
      </c>
      <c r="S1066" s="4">
        <f>(H1066*INDEX('Stages'!$D$2:$D$7,MATCH(F1066,'Stages'!$A$2:$A$7,0)))</f>
        <v>72100</v>
      </c>
      <c r="T1066" s="4">
        <f>(H1066*I1066)</f>
        <v>72100</v>
      </c>
      <c r="U1066" s="4">
        <f>(H1066*(I1066-1))</f>
        <v>0</v>
      </c>
      <c r="V1066" s="0" t="str">
        <f>INDEX('Account executives'!$B$2:$B$25,MATCH(C1066,'Account executives'!$A$2:$A$25,0))</f>
        <v>amer_west</v>
      </c>
      <c r="W1066" s="0" t="str">
        <f>INDEX('Account executives'!$C$2:$C$25,MATCH(C1066,'Account executives'!$A$2:$A$25,0))</f>
        <v>mid_market</v>
      </c>
      <c r="X1066" s="0" t="str">
        <f>SUBSTITUTE(LOWER(INDEX('Periods'!$G$2:$G$22,MATCH(N1066,'Periods'!$A$2:$A$22,0)))," ","_")</f>
        <v>q3_2026</v>
      </c>
    </row>
    <row r="1067">
      <c r="A1067" s="0" t="inlineStr">
        <is>
          <t xml:space="preserve">o1066</t>
        </is>
      </c>
      <c r="B1067" s="0" t="inlineStr">
        <is>
          <t xml:space="preserve">a0904</t>
        </is>
      </c>
      <c r="C1067" s="0" t="inlineStr">
        <is>
          <t xml:space="preserve">r05</t>
        </is>
      </c>
      <c r="D1067" s="0" t="inlineStr">
        <is>
          <t xml:space="preserve">s_amer_east_out</t>
        </is>
      </c>
      <c r="E1067" s="0" t="inlineStr">
        <is>
          <t xml:space="preserve">outbound</t>
        </is>
      </c>
      <c r="F1067" s="0" t="inlineStr">
        <is>
          <t xml:space="preserve">closed_lost</t>
        </is>
      </c>
      <c r="G1067" s="4">
        <v>1</v>
      </c>
      <c r="H1067" s="4">
        <v>9300</v>
      </c>
      <c r="I1067" s="4">
        <v>1</v>
      </c>
      <c r="J1067" s="4">
        <v>1</v>
      </c>
      <c r="K1067" s="16">
        <v>46157</v>
      </c>
      <c r="L1067" s="16">
        <v>46174</v>
      </c>
      <c r="M1067" s="0" t="inlineStr">
        <is>
          <t xml:space="preserve">may26</t>
        </is>
      </c>
      <c r="N1067" s="0" t="inlineStr">
        <is>
          <t xml:space="preserve">jun26</t>
        </is>
      </c>
      <c r="O1067" s="4">
        <v>17</v>
      </c>
      <c r="P1067" s="4">
        <v>0</v>
      </c>
      <c r="Q1067" s="4">
        <v>1</v>
      </c>
      <c r="R1067" s="4">
        <v>0</v>
      </c>
      <c r="S1067" s="4">
        <f>(H1067*INDEX('Stages'!$D$2:$D$7,MATCH(F1067,'Stages'!$A$2:$A$7,0)))</f>
        <v>0</v>
      </c>
      <c r="T1067" s="4">
        <f>(H1067*I1067)</f>
        <v>9300</v>
      </c>
      <c r="U1067" s="4">
        <f>(H1067*(I1067-1))</f>
        <v>0</v>
      </c>
      <c r="V1067" s="0" t="str">
        <f>INDEX('Account executives'!$B$2:$B$25,MATCH(C1067,'Account executives'!$A$2:$A$25,0))</f>
        <v>amer_east</v>
      </c>
      <c r="W1067" s="0" t="str">
        <f>INDEX('Account executives'!$C$2:$C$25,MATCH(C1067,'Account executives'!$A$2:$A$25,0))</f>
        <v>smb</v>
      </c>
      <c r="X1067" s="0" t="str">
        <f>SUBSTITUTE(LOWER(INDEX('Periods'!$G$2:$G$22,MATCH(N1067,'Periods'!$A$2:$A$22,0)))," ","_")</f>
        <v>q2_2026</v>
      </c>
    </row>
    <row r="1068">
      <c r="A1068" s="0" t="inlineStr">
        <is>
          <t xml:space="preserve">o1067</t>
        </is>
      </c>
      <c r="B1068" s="0" t="inlineStr">
        <is>
          <t xml:space="preserve">a0155</t>
        </is>
      </c>
      <c r="C1068" s="0" t="inlineStr">
        <is>
          <t xml:space="preserve">r05</t>
        </is>
      </c>
      <c r="D1068" s="0" t="inlineStr">
        <is>
          <t xml:space="preserve">s_amer_east_in</t>
        </is>
      </c>
      <c r="E1068" s="0" t="inlineStr">
        <is>
          <t xml:space="preserve">inbound</t>
        </is>
      </c>
      <c r="F1068" s="0" t="inlineStr">
        <is>
          <t xml:space="preserve">closed_lost</t>
        </is>
      </c>
      <c r="G1068" s="4">
        <v>0</v>
      </c>
      <c r="H1068" s="4">
        <v>2500</v>
      </c>
      <c r="I1068" s="4">
        <v>1</v>
      </c>
      <c r="J1068" s="4">
        <v>0</v>
      </c>
      <c r="K1068" s="16">
        <v>46098</v>
      </c>
      <c r="L1068" s="16">
        <v>46121</v>
      </c>
      <c r="M1068" s="0" t="inlineStr">
        <is>
          <t xml:space="preserve">mar26</t>
        </is>
      </c>
      <c r="N1068" s="0" t="inlineStr">
        <is>
          <t xml:space="preserve">apr26</t>
        </is>
      </c>
      <c r="O1068" s="4">
        <v>23</v>
      </c>
      <c r="P1068" s="4">
        <v>0</v>
      </c>
      <c r="Q1068" s="4">
        <v>1</v>
      </c>
      <c r="R1068" s="4">
        <v>0</v>
      </c>
      <c r="S1068" s="4">
        <f>(H1068*INDEX('Stages'!$D$2:$D$7,MATCH(F1068,'Stages'!$A$2:$A$7,0)))</f>
        <v>0</v>
      </c>
      <c r="T1068" s="4">
        <f>(H1068*I1068)</f>
        <v>2500</v>
      </c>
      <c r="U1068" s="4">
        <f>(H1068*(I1068-1))</f>
        <v>0</v>
      </c>
      <c r="V1068" s="0" t="str">
        <f>INDEX('Account executives'!$B$2:$B$25,MATCH(C1068,'Account executives'!$A$2:$A$25,0))</f>
        <v>amer_east</v>
      </c>
      <c r="W1068" s="0" t="str">
        <f>INDEX('Account executives'!$C$2:$C$25,MATCH(C1068,'Account executives'!$A$2:$A$25,0))</f>
        <v>smb</v>
      </c>
      <c r="X1068" s="0" t="str">
        <f>SUBSTITUTE(LOWER(INDEX('Periods'!$G$2:$G$22,MATCH(N1068,'Periods'!$A$2:$A$22,0)))," ","_")</f>
        <v>q2_2026</v>
      </c>
    </row>
    <row r="1069">
      <c r="A1069" s="0" t="inlineStr">
        <is>
          <t xml:space="preserve">o1068</t>
        </is>
      </c>
      <c r="B1069" s="0" t="inlineStr">
        <is>
          <t xml:space="preserve">a0831</t>
        </is>
      </c>
      <c r="C1069" s="0" t="inlineStr">
        <is>
          <t xml:space="preserve">r05</t>
        </is>
      </c>
      <c r="D1069" s="0"/>
      <c r="E1069" s="0" t="inlineStr">
        <is>
          <t xml:space="preserve">events</t>
        </is>
      </c>
      <c r="F1069" s="0" t="inlineStr">
        <is>
          <t xml:space="preserve">closed_lost</t>
        </is>
      </c>
      <c r="G1069" s="4">
        <v>1</v>
      </c>
      <c r="H1069" s="4">
        <v>8300</v>
      </c>
      <c r="I1069" s="4">
        <v>1</v>
      </c>
      <c r="J1069" s="4">
        <v>1</v>
      </c>
      <c r="K1069" s="16">
        <v>46117</v>
      </c>
      <c r="L1069" s="16">
        <v>46139</v>
      </c>
      <c r="M1069" s="0" t="inlineStr">
        <is>
          <t xml:space="preserve">apr26</t>
        </is>
      </c>
      <c r="N1069" s="0" t="inlineStr">
        <is>
          <t xml:space="preserve">apr26</t>
        </is>
      </c>
      <c r="O1069" s="4">
        <v>22</v>
      </c>
      <c r="P1069" s="4">
        <v>0</v>
      </c>
      <c r="Q1069" s="4">
        <v>1</v>
      </c>
      <c r="R1069" s="4">
        <v>0</v>
      </c>
      <c r="S1069" s="4">
        <f>(H1069*INDEX('Stages'!$D$2:$D$7,MATCH(F1069,'Stages'!$A$2:$A$7,0)))</f>
        <v>0</v>
      </c>
      <c r="T1069" s="4">
        <f>(H1069*I1069)</f>
        <v>8300</v>
      </c>
      <c r="U1069" s="4">
        <f>(H1069*(I1069-1))</f>
        <v>0</v>
      </c>
      <c r="V1069" s="0" t="str">
        <f>INDEX('Account executives'!$B$2:$B$25,MATCH(C1069,'Account executives'!$A$2:$A$25,0))</f>
        <v>amer_east</v>
      </c>
      <c r="W1069" s="0" t="str">
        <f>INDEX('Account executives'!$C$2:$C$25,MATCH(C1069,'Account executives'!$A$2:$A$25,0))</f>
        <v>smb</v>
      </c>
      <c r="X1069" s="0" t="str">
        <f>SUBSTITUTE(LOWER(INDEX('Periods'!$G$2:$G$22,MATCH(N1069,'Periods'!$A$2:$A$22,0)))," ","_")</f>
        <v>q2_2026</v>
      </c>
    </row>
    <row r="1070">
      <c r="A1070" s="0" t="inlineStr">
        <is>
          <t xml:space="preserve">o1069</t>
        </is>
      </c>
      <c r="B1070" s="0" t="inlineStr">
        <is>
          <t xml:space="preserve">a1043</t>
        </is>
      </c>
      <c r="C1070" s="0" t="inlineStr">
        <is>
          <t xml:space="preserve">r24</t>
        </is>
      </c>
      <c r="D1070" s="0" t="inlineStr">
        <is>
          <t xml:space="preserve">s_apac_in</t>
        </is>
      </c>
      <c r="E1070" s="0" t="inlineStr">
        <is>
          <t xml:space="preserve">inbound</t>
        </is>
      </c>
      <c r="F1070" s="0" t="inlineStr">
        <is>
          <t xml:space="preserve">closed_won</t>
        </is>
      </c>
      <c r="G1070" s="4">
        <v>1</v>
      </c>
      <c r="H1070" s="4">
        <v>18600</v>
      </c>
      <c r="I1070" s="4">
        <v>1</v>
      </c>
      <c r="J1070" s="4">
        <v>1</v>
      </c>
      <c r="K1070" s="16">
        <v>46190</v>
      </c>
      <c r="L1070" s="16">
        <v>46218</v>
      </c>
      <c r="M1070" s="0" t="inlineStr">
        <is>
          <t xml:space="preserve">jun26</t>
        </is>
      </c>
      <c r="N1070" s="0" t="inlineStr">
        <is>
          <t xml:space="preserve">jul26</t>
        </is>
      </c>
      <c r="O1070" s="4">
        <v>28</v>
      </c>
      <c r="P1070" s="4">
        <v>1</v>
      </c>
      <c r="Q1070" s="4">
        <v>0</v>
      </c>
      <c r="R1070" s="4">
        <v>0</v>
      </c>
      <c r="S1070" s="4">
        <f>(H1070*INDEX('Stages'!$D$2:$D$7,MATCH(F1070,'Stages'!$A$2:$A$7,0)))</f>
        <v>18600</v>
      </c>
      <c r="T1070" s="4">
        <f>(H1070*I1070)</f>
        <v>18600</v>
      </c>
      <c r="U1070" s="4">
        <f>(H1070*(I1070-1))</f>
        <v>0</v>
      </c>
      <c r="V1070" s="0" t="str">
        <f>INDEX('Account executives'!$B$2:$B$25,MATCH(C1070,'Account executives'!$A$2:$A$25,0))</f>
        <v>apac</v>
      </c>
      <c r="W1070" s="0" t="str">
        <f>INDEX('Account executives'!$C$2:$C$25,MATCH(C1070,'Account executives'!$A$2:$A$25,0))</f>
        <v>smb</v>
      </c>
      <c r="X1070" s="0" t="str">
        <f>SUBSTITUTE(LOWER(INDEX('Periods'!$G$2:$G$22,MATCH(N1070,'Periods'!$A$2:$A$22,0)))," ","_")</f>
        <v>q3_2026</v>
      </c>
    </row>
    <row r="1071">
      <c r="A1071" s="0" t="inlineStr">
        <is>
          <t xml:space="preserve">o1070</t>
        </is>
      </c>
      <c r="B1071" s="0" t="inlineStr">
        <is>
          <t xml:space="preserve">a0235</t>
        </is>
      </c>
      <c r="C1071" s="0" t="inlineStr">
        <is>
          <t xml:space="preserve">r03</t>
        </is>
      </c>
      <c r="D1071" s="0" t="inlineStr">
        <is>
          <t xml:space="preserve">s_amer_east_in</t>
        </is>
      </c>
      <c r="E1071" s="0" t="inlineStr">
        <is>
          <t xml:space="preserve">inbound</t>
        </is>
      </c>
      <c r="F1071" s="0" t="inlineStr">
        <is>
          <t xml:space="preserve">closed_won</t>
        </is>
      </c>
      <c r="G1071" s="4">
        <v>1</v>
      </c>
      <c r="H1071" s="4">
        <v>40700</v>
      </c>
      <c r="I1071" s="4">
        <v>1</v>
      </c>
      <c r="J1071" s="4">
        <v>0</v>
      </c>
      <c r="K1071" s="16">
        <v>45845</v>
      </c>
      <c r="L1071" s="16">
        <v>45940</v>
      </c>
      <c r="M1071" s="0" t="inlineStr">
        <is>
          <t xml:space="preserve">jul25</t>
        </is>
      </c>
      <c r="N1071" s="0" t="inlineStr">
        <is>
          <t xml:space="preserve">oct25</t>
        </is>
      </c>
      <c r="O1071" s="4">
        <v>95</v>
      </c>
      <c r="P1071" s="4">
        <v>1</v>
      </c>
      <c r="Q1071" s="4">
        <v>0</v>
      </c>
      <c r="R1071" s="4">
        <v>0</v>
      </c>
      <c r="S1071" s="4">
        <f>(H1071*INDEX('Stages'!$D$2:$D$7,MATCH(F1071,'Stages'!$A$2:$A$7,0)))</f>
        <v>40700</v>
      </c>
      <c r="T1071" s="4">
        <f>(H1071*I1071)</f>
        <v>40700</v>
      </c>
      <c r="U1071" s="4">
        <f>(H1071*(I1071-1))</f>
        <v>0</v>
      </c>
      <c r="V1071" s="0" t="str">
        <f>INDEX('Account executives'!$B$2:$B$25,MATCH(C1071,'Account executives'!$A$2:$A$25,0))</f>
        <v>amer_east</v>
      </c>
      <c r="W1071" s="0" t="str">
        <f>INDEX('Account executives'!$C$2:$C$25,MATCH(C1071,'Account executives'!$A$2:$A$25,0))</f>
        <v>mid_market</v>
      </c>
      <c r="X1071" s="0" t="str">
        <f>SUBSTITUTE(LOWER(INDEX('Periods'!$G$2:$G$22,MATCH(N1071,'Periods'!$A$2:$A$22,0)))," ","_")</f>
        <v>q4_2025</v>
      </c>
    </row>
    <row r="1072">
      <c r="A1072" s="0" t="inlineStr">
        <is>
          <t xml:space="preserve">o1071</t>
        </is>
      </c>
      <c r="B1072" s="0" t="inlineStr">
        <is>
          <t xml:space="preserve">a0263</t>
        </is>
      </c>
      <c r="C1072" s="0" t="inlineStr">
        <is>
          <t xml:space="preserve">r12</t>
        </is>
      </c>
      <c r="D1072" s="0" t="inlineStr">
        <is>
          <t xml:space="preserve">s_amer_west_out</t>
        </is>
      </c>
      <c r="E1072" s="0" t="inlineStr">
        <is>
          <t xml:space="preserve">outbound</t>
        </is>
      </c>
      <c r="F1072" s="0" t="inlineStr">
        <is>
          <t xml:space="preserve">closed_lost</t>
        </is>
      </c>
      <c r="G1072" s="4">
        <v>1</v>
      </c>
      <c r="H1072" s="4">
        <v>11600</v>
      </c>
      <c r="I1072" s="4">
        <v>1</v>
      </c>
      <c r="J1072" s="4">
        <v>0</v>
      </c>
      <c r="K1072" s="16">
        <v>45842</v>
      </c>
      <c r="L1072" s="16">
        <v>45928</v>
      </c>
      <c r="M1072" s="0" t="inlineStr">
        <is>
          <t xml:space="preserve">jul25</t>
        </is>
      </c>
      <c r="N1072" s="0" t="inlineStr">
        <is>
          <t xml:space="preserve">sep25</t>
        </is>
      </c>
      <c r="O1072" s="4">
        <v>86</v>
      </c>
      <c r="P1072" s="4">
        <v>0</v>
      </c>
      <c r="Q1072" s="4">
        <v>1</v>
      </c>
      <c r="R1072" s="4">
        <v>0</v>
      </c>
      <c r="S1072" s="4">
        <f>(H1072*INDEX('Stages'!$D$2:$D$7,MATCH(F1072,'Stages'!$A$2:$A$7,0)))</f>
        <v>0</v>
      </c>
      <c r="T1072" s="4">
        <f>(H1072*I1072)</f>
        <v>11600</v>
      </c>
      <c r="U1072" s="4">
        <f>(H1072*(I1072-1))</f>
        <v>0</v>
      </c>
      <c r="V1072" s="0" t="str">
        <f>INDEX('Account executives'!$B$2:$B$25,MATCH(C1072,'Account executives'!$A$2:$A$25,0))</f>
        <v>amer_west</v>
      </c>
      <c r="W1072" s="0" t="str">
        <f>INDEX('Account executives'!$C$2:$C$25,MATCH(C1072,'Account executives'!$A$2:$A$25,0))</f>
        <v>smb</v>
      </c>
      <c r="X1072" s="0" t="str">
        <f>SUBSTITUTE(LOWER(INDEX('Periods'!$G$2:$G$22,MATCH(N1072,'Periods'!$A$2:$A$22,0)))," ","_")</f>
        <v>q3_2025</v>
      </c>
    </row>
    <row r="1073">
      <c r="A1073" s="0" t="inlineStr">
        <is>
          <t xml:space="preserve">o1072</t>
        </is>
      </c>
      <c r="B1073" s="0" t="inlineStr">
        <is>
          <t xml:space="preserve">a0835</t>
        </is>
      </c>
      <c r="C1073" s="0" t="inlineStr">
        <is>
          <t xml:space="preserve">r04</t>
        </is>
      </c>
      <c r="D1073" s="0" t="inlineStr">
        <is>
          <t xml:space="preserve">s_amer_east_out</t>
        </is>
      </c>
      <c r="E1073" s="0" t="inlineStr">
        <is>
          <t xml:space="preserve">outbound</t>
        </is>
      </c>
      <c r="F1073" s="0" t="inlineStr">
        <is>
          <t xml:space="preserve">closed_lost</t>
        </is>
      </c>
      <c r="G1073" s="4">
        <v>1</v>
      </c>
      <c r="H1073" s="4">
        <v>90900</v>
      </c>
      <c r="I1073" s="4">
        <v>1</v>
      </c>
      <c r="J1073" s="4">
        <v>0</v>
      </c>
      <c r="K1073" s="16">
        <v>46127</v>
      </c>
      <c r="L1073" s="16">
        <v>46203</v>
      </c>
      <c r="M1073" s="0" t="inlineStr">
        <is>
          <t xml:space="preserve">apr26</t>
        </is>
      </c>
      <c r="N1073" s="0" t="inlineStr">
        <is>
          <t xml:space="preserve">jun26</t>
        </is>
      </c>
      <c r="O1073" s="4">
        <v>76</v>
      </c>
      <c r="P1073" s="4">
        <v>0</v>
      </c>
      <c r="Q1073" s="4">
        <v>1</v>
      </c>
      <c r="R1073" s="4">
        <v>0</v>
      </c>
      <c r="S1073" s="4">
        <f>(H1073*INDEX('Stages'!$D$2:$D$7,MATCH(F1073,'Stages'!$A$2:$A$7,0)))</f>
        <v>0</v>
      </c>
      <c r="T1073" s="4">
        <f>(H1073*I1073)</f>
        <v>90900</v>
      </c>
      <c r="U1073" s="4">
        <f>(H1073*(I1073-1))</f>
        <v>0</v>
      </c>
      <c r="V1073" s="0" t="str">
        <f>INDEX('Account executives'!$B$2:$B$25,MATCH(C1073,'Account executives'!$A$2:$A$25,0))</f>
        <v>amer_east</v>
      </c>
      <c r="W1073" s="0" t="str">
        <f>INDEX('Account executives'!$C$2:$C$25,MATCH(C1073,'Account executives'!$A$2:$A$25,0))</f>
        <v>mid_market</v>
      </c>
      <c r="X1073" s="0" t="str">
        <f>SUBSTITUTE(LOWER(INDEX('Periods'!$G$2:$G$22,MATCH(N1073,'Periods'!$A$2:$A$22,0)))," ","_")</f>
        <v>q2_2026</v>
      </c>
    </row>
    <row r="1074">
      <c r="A1074" s="0" t="inlineStr">
        <is>
          <t xml:space="preserve">o1073</t>
        </is>
      </c>
      <c r="B1074" s="0" t="inlineStr">
        <is>
          <t xml:space="preserve">a0565</t>
        </is>
      </c>
      <c r="C1074" s="0" t="inlineStr">
        <is>
          <t xml:space="preserve">r12</t>
        </is>
      </c>
      <c r="D1074" s="0" t="inlineStr">
        <is>
          <t xml:space="preserve">s_amer_west_in</t>
        </is>
      </c>
      <c r="E1074" s="0" t="inlineStr">
        <is>
          <t xml:space="preserve">paid</t>
        </is>
      </c>
      <c r="F1074" s="0" t="inlineStr">
        <is>
          <t xml:space="preserve">closed_lost</t>
        </is>
      </c>
      <c r="G1074" s="4">
        <v>1</v>
      </c>
      <c r="H1074" s="4">
        <v>10200</v>
      </c>
      <c r="I1074" s="4">
        <v>2</v>
      </c>
      <c r="J1074" s="4">
        <v>0</v>
      </c>
      <c r="K1074" s="16">
        <v>46004</v>
      </c>
      <c r="L1074" s="16">
        <v>46040</v>
      </c>
      <c r="M1074" s="0" t="inlineStr">
        <is>
          <t xml:space="preserve">dec25</t>
        </is>
      </c>
      <c r="N1074" s="0" t="inlineStr">
        <is>
          <t xml:space="preserve">jan26</t>
        </is>
      </c>
      <c r="O1074" s="4">
        <v>36</v>
      </c>
      <c r="P1074" s="4">
        <v>0</v>
      </c>
      <c r="Q1074" s="4">
        <v>1</v>
      </c>
      <c r="R1074" s="4">
        <v>0</v>
      </c>
      <c r="S1074" s="4">
        <f>(H1074*INDEX('Stages'!$D$2:$D$7,MATCH(F1074,'Stages'!$A$2:$A$7,0)))</f>
        <v>0</v>
      </c>
      <c r="T1074" s="4">
        <f>(H1074*I1074)</f>
        <v>20400</v>
      </c>
      <c r="U1074" s="4">
        <f>(H1074*(I1074-1))</f>
        <v>10200</v>
      </c>
      <c r="V1074" s="0" t="str">
        <f>INDEX('Account executives'!$B$2:$B$25,MATCH(C1074,'Account executives'!$A$2:$A$25,0))</f>
        <v>amer_west</v>
      </c>
      <c r="W1074" s="0" t="str">
        <f>INDEX('Account executives'!$C$2:$C$25,MATCH(C1074,'Account executives'!$A$2:$A$25,0))</f>
        <v>smb</v>
      </c>
      <c r="X1074" s="0" t="str">
        <f>SUBSTITUTE(LOWER(INDEX('Periods'!$G$2:$G$22,MATCH(N1074,'Periods'!$A$2:$A$22,0)))," ","_")</f>
        <v>q1_2026</v>
      </c>
    </row>
    <row r="1075">
      <c r="A1075" s="0" t="inlineStr">
        <is>
          <t xml:space="preserve">o1074</t>
        </is>
      </c>
      <c r="B1075" s="0" t="inlineStr">
        <is>
          <t xml:space="preserve">a0440</t>
        </is>
      </c>
      <c r="C1075" s="0" t="inlineStr">
        <is>
          <t xml:space="preserve">r11</t>
        </is>
      </c>
      <c r="D1075" s="0" t="inlineStr">
        <is>
          <t xml:space="preserve">s_amer_west_in</t>
        </is>
      </c>
      <c r="E1075" s="0" t="inlineStr">
        <is>
          <t xml:space="preserve">inbound</t>
        </is>
      </c>
      <c r="F1075" s="0" t="inlineStr">
        <is>
          <t xml:space="preserve">closed_won</t>
        </is>
      </c>
      <c r="G1075" s="4">
        <v>0</v>
      </c>
      <c r="H1075" s="4">
        <v>12900</v>
      </c>
      <c r="I1075" s="4">
        <v>1</v>
      </c>
      <c r="J1075" s="4">
        <v>1</v>
      </c>
      <c r="K1075" s="16">
        <v>46015</v>
      </c>
      <c r="L1075" s="16">
        <v>46039</v>
      </c>
      <c r="M1075" s="0" t="inlineStr">
        <is>
          <t xml:space="preserve">dec25</t>
        </is>
      </c>
      <c r="N1075" s="0" t="inlineStr">
        <is>
          <t xml:space="preserve">jan26</t>
        </is>
      </c>
      <c r="O1075" s="4">
        <v>24</v>
      </c>
      <c r="P1075" s="4">
        <v>1</v>
      </c>
      <c r="Q1075" s="4">
        <v>0</v>
      </c>
      <c r="R1075" s="4">
        <v>0</v>
      </c>
      <c r="S1075" s="4">
        <f>(H1075*INDEX('Stages'!$D$2:$D$7,MATCH(F1075,'Stages'!$A$2:$A$7,0)))</f>
        <v>12900</v>
      </c>
      <c r="T1075" s="4">
        <f>(H1075*I1075)</f>
        <v>12900</v>
      </c>
      <c r="U1075" s="4">
        <f>(H1075*(I1075-1))</f>
        <v>0</v>
      </c>
      <c r="V1075" s="0" t="str">
        <f>INDEX('Account executives'!$B$2:$B$25,MATCH(C1075,'Account executives'!$A$2:$A$25,0))</f>
        <v>amer_west</v>
      </c>
      <c r="W1075" s="0" t="str">
        <f>INDEX('Account executives'!$C$2:$C$25,MATCH(C1075,'Account executives'!$A$2:$A$25,0))</f>
        <v>smb</v>
      </c>
      <c r="X1075" s="0" t="str">
        <f>SUBSTITUTE(LOWER(INDEX('Periods'!$G$2:$G$22,MATCH(N1075,'Periods'!$A$2:$A$22,0)))," ","_")</f>
        <v>q1_2026</v>
      </c>
    </row>
    <row r="1076">
      <c r="A1076" s="0" t="inlineStr">
        <is>
          <t xml:space="preserve">o1075</t>
        </is>
      </c>
      <c r="B1076" s="0" t="inlineStr">
        <is>
          <t xml:space="preserve">a1055</t>
        </is>
      </c>
      <c r="C1076" s="0" t="inlineStr">
        <is>
          <t xml:space="preserve">r22</t>
        </is>
      </c>
      <c r="D1076" s="0"/>
      <c r="E1076" s="0" t="inlineStr">
        <is>
          <t xml:space="preserve">partner</t>
        </is>
      </c>
      <c r="F1076" s="0" t="inlineStr">
        <is>
          <t xml:space="preserve">closed_lost</t>
        </is>
      </c>
      <c r="G1076" s="4">
        <v>1</v>
      </c>
      <c r="H1076" s="4">
        <v>15000</v>
      </c>
      <c r="I1076" s="4">
        <v>1</v>
      </c>
      <c r="J1076" s="4">
        <v>0</v>
      </c>
      <c r="K1076" s="16">
        <v>46184</v>
      </c>
      <c r="L1076" s="16">
        <v>46263</v>
      </c>
      <c r="M1076" s="0" t="inlineStr">
        <is>
          <t xml:space="preserve">jun26</t>
        </is>
      </c>
      <c r="N1076" s="0" t="inlineStr">
        <is>
          <t xml:space="preserve">aug26</t>
        </is>
      </c>
      <c r="O1076" s="4">
        <v>79</v>
      </c>
      <c r="P1076" s="4">
        <v>0</v>
      </c>
      <c r="Q1076" s="4">
        <v>1</v>
      </c>
      <c r="R1076" s="4">
        <v>0</v>
      </c>
      <c r="S1076" s="4">
        <f>(H1076*INDEX('Stages'!$D$2:$D$7,MATCH(F1076,'Stages'!$A$2:$A$7,0)))</f>
        <v>0</v>
      </c>
      <c r="T1076" s="4">
        <f>(H1076*I1076)</f>
        <v>15000</v>
      </c>
      <c r="U1076" s="4">
        <f>(H1076*(I1076-1))</f>
        <v>0</v>
      </c>
      <c r="V1076" s="0" t="str">
        <f>INDEX('Account executives'!$B$2:$B$25,MATCH(C1076,'Account executives'!$A$2:$A$25,0))</f>
        <v>apac</v>
      </c>
      <c r="W1076" s="0" t="str">
        <f>INDEX('Account executives'!$C$2:$C$25,MATCH(C1076,'Account executives'!$A$2:$A$25,0))</f>
        <v>mid_market</v>
      </c>
      <c r="X1076" s="0" t="str">
        <f>SUBSTITUTE(LOWER(INDEX('Periods'!$G$2:$G$22,MATCH(N1076,'Periods'!$A$2:$A$22,0)))," ","_")</f>
        <v>q3_2026</v>
      </c>
    </row>
    <row r="1077">
      <c r="A1077" s="0" t="inlineStr">
        <is>
          <t xml:space="preserve">o1076</t>
        </is>
      </c>
      <c r="B1077" s="0" t="inlineStr">
        <is>
          <t xml:space="preserve">a1157</t>
        </is>
      </c>
      <c r="C1077" s="0" t="inlineStr">
        <is>
          <t xml:space="preserve">r06</t>
        </is>
      </c>
      <c r="D1077" s="0"/>
      <c r="E1077" s="0" t="inlineStr">
        <is>
          <t xml:space="preserve">events</t>
        </is>
      </c>
      <c r="F1077" s="0" t="inlineStr">
        <is>
          <t xml:space="preserve">closed_won</t>
        </is>
      </c>
      <c r="G1077" s="4">
        <v>1</v>
      </c>
      <c r="H1077" s="4">
        <v>12600</v>
      </c>
      <c r="I1077" s="4">
        <v>1</v>
      </c>
      <c r="J1077" s="4">
        <v>0</v>
      </c>
      <c r="K1077" s="16">
        <v>46247</v>
      </c>
      <c r="L1077" s="16">
        <v>46275</v>
      </c>
      <c r="M1077" s="0" t="inlineStr">
        <is>
          <t xml:space="preserve">aug26</t>
        </is>
      </c>
      <c r="N1077" s="0" t="inlineStr">
        <is>
          <t xml:space="preserve">sep26</t>
        </is>
      </c>
      <c r="O1077" s="4">
        <v>28</v>
      </c>
      <c r="P1077" s="4">
        <v>1</v>
      </c>
      <c r="Q1077" s="4">
        <v>0</v>
      </c>
      <c r="R1077" s="4">
        <v>0</v>
      </c>
      <c r="S1077" s="4">
        <f>(H1077*INDEX('Stages'!$D$2:$D$7,MATCH(F1077,'Stages'!$A$2:$A$7,0)))</f>
        <v>12600</v>
      </c>
      <c r="T1077" s="4">
        <f>(H1077*I1077)</f>
        <v>12600</v>
      </c>
      <c r="U1077" s="4">
        <f>(H1077*(I1077-1))</f>
        <v>0</v>
      </c>
      <c r="V1077" s="0" t="str">
        <f>INDEX('Account executives'!$B$2:$B$25,MATCH(C1077,'Account executives'!$A$2:$A$25,0))</f>
        <v>amer_east</v>
      </c>
      <c r="W1077" s="0" t="str">
        <f>INDEX('Account executives'!$C$2:$C$25,MATCH(C1077,'Account executives'!$A$2:$A$25,0))</f>
        <v>smb</v>
      </c>
      <c r="X1077" s="0" t="str">
        <f>SUBSTITUTE(LOWER(INDEX('Periods'!$G$2:$G$22,MATCH(N1077,'Periods'!$A$2:$A$22,0)))," ","_")</f>
        <v>q3_2026</v>
      </c>
    </row>
    <row r="1078">
      <c r="A1078" s="0" t="inlineStr">
        <is>
          <t xml:space="preserve">o1077</t>
        </is>
      </c>
      <c r="B1078" s="0" t="inlineStr">
        <is>
          <t xml:space="preserve">a0588</t>
        </is>
      </c>
      <c r="C1078" s="0" t="inlineStr">
        <is>
          <t xml:space="preserve">r15</t>
        </is>
      </c>
      <c r="D1078" s="0" t="inlineStr">
        <is>
          <t xml:space="preserve">s_emea_in</t>
        </is>
      </c>
      <c r="E1078" s="0" t="inlineStr">
        <is>
          <t xml:space="preserve">inbound</t>
        </is>
      </c>
      <c r="F1078" s="0" t="inlineStr">
        <is>
          <t xml:space="preserve">closed_lost</t>
        </is>
      </c>
      <c r="G1078" s="4">
        <v>1</v>
      </c>
      <c r="H1078" s="4">
        <v>45600</v>
      </c>
      <c r="I1078" s="4">
        <v>1</v>
      </c>
      <c r="J1078" s="4">
        <v>0</v>
      </c>
      <c r="K1078" s="16">
        <v>46015</v>
      </c>
      <c r="L1078" s="16">
        <v>46063</v>
      </c>
      <c r="M1078" s="0" t="inlineStr">
        <is>
          <t xml:space="preserve">dec25</t>
        </is>
      </c>
      <c r="N1078" s="0" t="inlineStr">
        <is>
          <t xml:space="preserve">feb26</t>
        </is>
      </c>
      <c r="O1078" s="4">
        <v>48</v>
      </c>
      <c r="P1078" s="4">
        <v>0</v>
      </c>
      <c r="Q1078" s="4">
        <v>1</v>
      </c>
      <c r="R1078" s="4">
        <v>0</v>
      </c>
      <c r="S1078" s="4">
        <f>(H1078*INDEX('Stages'!$D$2:$D$7,MATCH(F1078,'Stages'!$A$2:$A$7,0)))</f>
        <v>0</v>
      </c>
      <c r="T1078" s="4">
        <f>(H1078*I1078)</f>
        <v>45600</v>
      </c>
      <c r="U1078" s="4">
        <f>(H1078*(I1078-1))</f>
        <v>0</v>
      </c>
      <c r="V1078" s="0" t="str">
        <f>INDEX('Account executives'!$B$2:$B$25,MATCH(C1078,'Account executives'!$A$2:$A$25,0))</f>
        <v>emea</v>
      </c>
      <c r="W1078" s="0" t="str">
        <f>INDEX('Account executives'!$C$2:$C$25,MATCH(C1078,'Account executives'!$A$2:$A$25,0))</f>
        <v>mid_market</v>
      </c>
      <c r="X1078" s="0" t="str">
        <f>SUBSTITUTE(LOWER(INDEX('Periods'!$G$2:$G$22,MATCH(N1078,'Periods'!$A$2:$A$22,0)))," ","_")</f>
        <v>q1_2026</v>
      </c>
    </row>
    <row r="1079">
      <c r="A1079" s="0" t="inlineStr">
        <is>
          <t xml:space="preserve">o1078</t>
        </is>
      </c>
      <c r="B1079" s="0" t="inlineStr">
        <is>
          <t xml:space="preserve">a0206</t>
        </is>
      </c>
      <c r="C1079" s="0" t="inlineStr">
        <is>
          <t xml:space="preserve">r16</t>
        </is>
      </c>
      <c r="D1079" s="0" t="inlineStr">
        <is>
          <t xml:space="preserve">s_emea_in</t>
        </is>
      </c>
      <c r="E1079" s="0" t="inlineStr">
        <is>
          <t xml:space="preserve">inbound</t>
        </is>
      </c>
      <c r="F1079" s="0" t="inlineStr">
        <is>
          <t xml:space="preserve">closed_won</t>
        </is>
      </c>
      <c r="G1079" s="4">
        <v>0</v>
      </c>
      <c r="H1079" s="4">
        <v>39700</v>
      </c>
      <c r="I1079" s="4">
        <v>1</v>
      </c>
      <c r="J1079" s="4">
        <v>1</v>
      </c>
      <c r="K1079" s="16">
        <v>45949</v>
      </c>
      <c r="L1079" s="16">
        <v>46005</v>
      </c>
      <c r="M1079" s="0" t="inlineStr">
        <is>
          <t xml:space="preserve">oct25</t>
        </is>
      </c>
      <c r="N1079" s="0" t="inlineStr">
        <is>
          <t xml:space="preserve">dec25</t>
        </is>
      </c>
      <c r="O1079" s="4">
        <v>56</v>
      </c>
      <c r="P1079" s="4">
        <v>1</v>
      </c>
      <c r="Q1079" s="4">
        <v>0</v>
      </c>
      <c r="R1079" s="4">
        <v>0</v>
      </c>
      <c r="S1079" s="4">
        <f>(H1079*INDEX('Stages'!$D$2:$D$7,MATCH(F1079,'Stages'!$A$2:$A$7,0)))</f>
        <v>39700</v>
      </c>
      <c r="T1079" s="4">
        <f>(H1079*I1079)</f>
        <v>39700</v>
      </c>
      <c r="U1079" s="4">
        <f>(H1079*(I1079-1))</f>
        <v>0</v>
      </c>
      <c r="V1079" s="0" t="str">
        <f>INDEX('Account executives'!$B$2:$B$25,MATCH(C1079,'Account executives'!$A$2:$A$25,0))</f>
        <v>emea</v>
      </c>
      <c r="W1079" s="0" t="str">
        <f>INDEX('Account executives'!$C$2:$C$25,MATCH(C1079,'Account executives'!$A$2:$A$25,0))</f>
        <v>mid_market</v>
      </c>
      <c r="X1079" s="0" t="str">
        <f>SUBSTITUTE(LOWER(INDEX('Periods'!$G$2:$G$22,MATCH(N1079,'Periods'!$A$2:$A$22,0)))," ","_")</f>
        <v>q4_2025</v>
      </c>
    </row>
    <row r="1080">
      <c r="A1080" s="0" t="inlineStr">
        <is>
          <t xml:space="preserve">o1079</t>
        </is>
      </c>
      <c r="B1080" s="0" t="inlineStr">
        <is>
          <t xml:space="preserve">a0164</t>
        </is>
      </c>
      <c r="C1080" s="0" t="inlineStr">
        <is>
          <t xml:space="preserve">r05</t>
        </is>
      </c>
      <c r="D1080" s="0"/>
      <c r="E1080" s="0" t="inlineStr">
        <is>
          <t xml:space="preserve">partner</t>
        </is>
      </c>
      <c r="F1080" s="0" t="inlineStr">
        <is>
          <t xml:space="preserve">closed_lost</t>
        </is>
      </c>
      <c r="G1080" s="4">
        <v>0</v>
      </c>
      <c r="H1080" s="4">
        <v>9900</v>
      </c>
      <c r="I1080" s="4">
        <v>1</v>
      </c>
      <c r="J1080" s="4">
        <v>0</v>
      </c>
      <c r="K1080" s="16">
        <v>45897</v>
      </c>
      <c r="L1080" s="16">
        <v>45918</v>
      </c>
      <c r="M1080" s="0" t="inlineStr">
        <is>
          <t xml:space="preserve">aug25</t>
        </is>
      </c>
      <c r="N1080" s="0" t="inlineStr">
        <is>
          <t xml:space="preserve">sep25</t>
        </is>
      </c>
      <c r="O1080" s="4">
        <v>21</v>
      </c>
      <c r="P1080" s="4">
        <v>0</v>
      </c>
      <c r="Q1080" s="4">
        <v>1</v>
      </c>
      <c r="R1080" s="4">
        <v>0</v>
      </c>
      <c r="S1080" s="4">
        <f>(H1080*INDEX('Stages'!$D$2:$D$7,MATCH(F1080,'Stages'!$A$2:$A$7,0)))</f>
        <v>0</v>
      </c>
      <c r="T1080" s="4">
        <f>(H1080*I1080)</f>
        <v>9900</v>
      </c>
      <c r="U1080" s="4">
        <f>(H1080*(I1080-1))</f>
        <v>0</v>
      </c>
      <c r="V1080" s="0" t="str">
        <f>INDEX('Account executives'!$B$2:$B$25,MATCH(C1080,'Account executives'!$A$2:$A$25,0))</f>
        <v>amer_east</v>
      </c>
      <c r="W1080" s="0" t="str">
        <f>INDEX('Account executives'!$C$2:$C$25,MATCH(C1080,'Account executives'!$A$2:$A$25,0))</f>
        <v>smb</v>
      </c>
      <c r="X1080" s="0" t="str">
        <f>SUBSTITUTE(LOWER(INDEX('Periods'!$G$2:$G$22,MATCH(N1080,'Periods'!$A$2:$A$22,0)))," ","_")</f>
        <v>q3_2025</v>
      </c>
    </row>
    <row r="1081">
      <c r="A1081" s="0" t="inlineStr">
        <is>
          <t xml:space="preserve">o1080</t>
        </is>
      </c>
      <c r="B1081" s="0" t="inlineStr">
        <is>
          <t xml:space="preserve">a0357</t>
        </is>
      </c>
      <c r="C1081" s="0" t="inlineStr">
        <is>
          <t xml:space="preserve">r24</t>
        </is>
      </c>
      <c r="D1081" s="0" t="inlineStr">
        <is>
          <t xml:space="preserve">s_apac_in</t>
        </is>
      </c>
      <c r="E1081" s="0" t="inlineStr">
        <is>
          <t xml:space="preserve">paid</t>
        </is>
      </c>
      <c r="F1081" s="0" t="inlineStr">
        <is>
          <t xml:space="preserve">closed_won</t>
        </is>
      </c>
      <c r="G1081" s="4">
        <v>0</v>
      </c>
      <c r="H1081" s="4">
        <v>2500</v>
      </c>
      <c r="I1081" s="4">
        <v>1</v>
      </c>
      <c r="J1081" s="4">
        <v>0</v>
      </c>
      <c r="K1081" s="16">
        <v>46246</v>
      </c>
      <c r="L1081" s="16">
        <v>46271</v>
      </c>
      <c r="M1081" s="0" t="inlineStr">
        <is>
          <t xml:space="preserve">aug26</t>
        </is>
      </c>
      <c r="N1081" s="0" t="inlineStr">
        <is>
          <t xml:space="preserve">sep26</t>
        </is>
      </c>
      <c r="O1081" s="4">
        <v>25</v>
      </c>
      <c r="P1081" s="4">
        <v>1</v>
      </c>
      <c r="Q1081" s="4">
        <v>0</v>
      </c>
      <c r="R1081" s="4">
        <v>0</v>
      </c>
      <c r="S1081" s="4">
        <f>(H1081*INDEX('Stages'!$D$2:$D$7,MATCH(F1081,'Stages'!$A$2:$A$7,0)))</f>
        <v>2500</v>
      </c>
      <c r="T1081" s="4">
        <f>(H1081*I1081)</f>
        <v>2500</v>
      </c>
      <c r="U1081" s="4">
        <f>(H1081*(I1081-1))</f>
        <v>0</v>
      </c>
      <c r="V1081" s="0" t="str">
        <f>INDEX('Account executives'!$B$2:$B$25,MATCH(C1081,'Account executives'!$A$2:$A$25,0))</f>
        <v>apac</v>
      </c>
      <c r="W1081" s="0" t="str">
        <f>INDEX('Account executives'!$C$2:$C$25,MATCH(C1081,'Account executives'!$A$2:$A$25,0))</f>
        <v>smb</v>
      </c>
      <c r="X1081" s="0" t="str">
        <f>SUBSTITUTE(LOWER(INDEX('Periods'!$G$2:$G$22,MATCH(N1081,'Periods'!$A$2:$A$22,0)))," ","_")</f>
        <v>q3_2026</v>
      </c>
    </row>
    <row r="1082">
      <c r="A1082" s="0" t="inlineStr">
        <is>
          <t xml:space="preserve">o1081</t>
        </is>
      </c>
      <c r="B1082" s="0" t="inlineStr">
        <is>
          <t xml:space="preserve">a0532</t>
        </is>
      </c>
      <c r="C1082" s="0" t="inlineStr">
        <is>
          <t xml:space="preserve">r24</t>
        </is>
      </c>
      <c r="D1082" s="0" t="inlineStr">
        <is>
          <t xml:space="preserve">s_apac_out</t>
        </is>
      </c>
      <c r="E1082" s="0" t="inlineStr">
        <is>
          <t xml:space="preserve">outbound</t>
        </is>
      </c>
      <c r="F1082" s="0" t="inlineStr">
        <is>
          <t xml:space="preserve">closed_won</t>
        </is>
      </c>
      <c r="G1082" s="4">
        <v>1</v>
      </c>
      <c r="H1082" s="4">
        <v>17100</v>
      </c>
      <c r="I1082" s="4">
        <v>1</v>
      </c>
      <c r="J1082" s="4">
        <v>0</v>
      </c>
      <c r="K1082" s="16">
        <v>45963</v>
      </c>
      <c r="L1082" s="16">
        <v>46003</v>
      </c>
      <c r="M1082" s="0" t="inlineStr">
        <is>
          <t xml:space="preserve">nov25</t>
        </is>
      </c>
      <c r="N1082" s="0" t="inlineStr">
        <is>
          <t xml:space="preserve">dec25</t>
        </is>
      </c>
      <c r="O1082" s="4">
        <v>40</v>
      </c>
      <c r="P1082" s="4">
        <v>1</v>
      </c>
      <c r="Q1082" s="4">
        <v>0</v>
      </c>
      <c r="R1082" s="4">
        <v>0</v>
      </c>
      <c r="S1082" s="4">
        <f>(H1082*INDEX('Stages'!$D$2:$D$7,MATCH(F1082,'Stages'!$A$2:$A$7,0)))</f>
        <v>17100</v>
      </c>
      <c r="T1082" s="4">
        <f>(H1082*I1082)</f>
        <v>17100</v>
      </c>
      <c r="U1082" s="4">
        <f>(H1082*(I1082-1))</f>
        <v>0</v>
      </c>
      <c r="V1082" s="0" t="str">
        <f>INDEX('Account executives'!$B$2:$B$25,MATCH(C1082,'Account executives'!$A$2:$A$25,0))</f>
        <v>apac</v>
      </c>
      <c r="W1082" s="0" t="str">
        <f>INDEX('Account executives'!$C$2:$C$25,MATCH(C1082,'Account executives'!$A$2:$A$25,0))</f>
        <v>smb</v>
      </c>
      <c r="X1082" s="0" t="str">
        <f>SUBSTITUTE(LOWER(INDEX('Periods'!$G$2:$G$22,MATCH(N1082,'Periods'!$A$2:$A$22,0)))," ","_")</f>
        <v>q4_2025</v>
      </c>
    </row>
    <row r="1083">
      <c r="A1083" s="0" t="inlineStr">
        <is>
          <t xml:space="preserve">o1082</t>
        </is>
      </c>
      <c r="B1083" s="0" t="inlineStr">
        <is>
          <t xml:space="preserve">a0655</t>
        </is>
      </c>
      <c r="C1083" s="0" t="inlineStr">
        <is>
          <t xml:space="preserve">r22</t>
        </is>
      </c>
      <c r="D1083" s="0" t="inlineStr">
        <is>
          <t xml:space="preserve">s_apac_out</t>
        </is>
      </c>
      <c r="E1083" s="0" t="inlineStr">
        <is>
          <t xml:space="preserve">outbound</t>
        </is>
      </c>
      <c r="F1083" s="0" t="inlineStr">
        <is>
          <t xml:space="preserve">closed_lost</t>
        </is>
      </c>
      <c r="G1083" s="4">
        <v>1</v>
      </c>
      <c r="H1083" s="4">
        <v>21400</v>
      </c>
      <c r="I1083" s="4">
        <v>1</v>
      </c>
      <c r="J1083" s="4">
        <v>1</v>
      </c>
      <c r="K1083" s="16">
        <v>46023</v>
      </c>
      <c r="L1083" s="16">
        <v>46109</v>
      </c>
      <c r="M1083" s="0" t="inlineStr">
        <is>
          <t xml:space="preserve">jan26</t>
        </is>
      </c>
      <c r="N1083" s="0" t="inlineStr">
        <is>
          <t xml:space="preserve">mar26</t>
        </is>
      </c>
      <c r="O1083" s="4">
        <v>86</v>
      </c>
      <c r="P1083" s="4">
        <v>0</v>
      </c>
      <c r="Q1083" s="4">
        <v>1</v>
      </c>
      <c r="R1083" s="4">
        <v>0</v>
      </c>
      <c r="S1083" s="4">
        <f>(H1083*INDEX('Stages'!$D$2:$D$7,MATCH(F1083,'Stages'!$A$2:$A$7,0)))</f>
        <v>0</v>
      </c>
      <c r="T1083" s="4">
        <f>(H1083*I1083)</f>
        <v>21400</v>
      </c>
      <c r="U1083" s="4">
        <f>(H1083*(I1083-1))</f>
        <v>0</v>
      </c>
      <c r="V1083" s="0" t="str">
        <f>INDEX('Account executives'!$B$2:$B$25,MATCH(C1083,'Account executives'!$A$2:$A$25,0))</f>
        <v>apac</v>
      </c>
      <c r="W1083" s="0" t="str">
        <f>INDEX('Account executives'!$C$2:$C$25,MATCH(C1083,'Account executives'!$A$2:$A$25,0))</f>
        <v>mid_market</v>
      </c>
      <c r="X1083" s="0" t="str">
        <f>SUBSTITUTE(LOWER(INDEX('Periods'!$G$2:$G$22,MATCH(N1083,'Periods'!$A$2:$A$22,0)))," ","_")</f>
        <v>q1_2026</v>
      </c>
    </row>
    <row r="1084">
      <c r="A1084" s="0" t="inlineStr">
        <is>
          <t xml:space="preserve">o1083</t>
        </is>
      </c>
      <c r="B1084" s="0" t="inlineStr">
        <is>
          <t xml:space="preserve">a1093</t>
        </is>
      </c>
      <c r="C1084" s="0" t="inlineStr">
        <is>
          <t xml:space="preserve">r11</t>
        </is>
      </c>
      <c r="D1084" s="0" t="inlineStr">
        <is>
          <t xml:space="preserve">s_amer_west_in</t>
        </is>
      </c>
      <c r="E1084" s="0" t="inlineStr">
        <is>
          <t xml:space="preserve">inbound</t>
        </is>
      </c>
      <c r="F1084" s="0" t="inlineStr">
        <is>
          <t xml:space="preserve">negotiation</t>
        </is>
      </c>
      <c r="G1084" s="4">
        <v>1</v>
      </c>
      <c r="H1084" s="4">
        <v>10400</v>
      </c>
      <c r="I1084" s="4">
        <v>1</v>
      </c>
      <c r="J1084" s="4">
        <v>1</v>
      </c>
      <c r="K1084" s="16">
        <v>46228</v>
      </c>
      <c r="L1084" s="16">
        <v>46371</v>
      </c>
      <c r="M1084" s="0" t="inlineStr">
        <is>
          <t xml:space="preserve">jul26</t>
        </is>
      </c>
      <c r="N1084" s="0" t="inlineStr">
        <is>
          <t xml:space="preserve">dec26</t>
        </is>
      </c>
      <c r="O1084" s="4">
        <v>65</v>
      </c>
      <c r="P1084" s="4">
        <v>0</v>
      </c>
      <c r="Q1084" s="4">
        <v>0</v>
      </c>
      <c r="R1084" s="4">
        <v>1</v>
      </c>
      <c r="S1084" s="4">
        <f>(H1084*INDEX('Stages'!$D$2:$D$7,MATCH(F1084,'Stages'!$A$2:$A$7,0)))</f>
        <v>7800</v>
      </c>
      <c r="T1084" s="4">
        <f>(H1084*I1084)</f>
        <v>10400</v>
      </c>
      <c r="U1084" s="4">
        <f>(H1084*(I1084-1))</f>
        <v>0</v>
      </c>
      <c r="V1084" s="0" t="str">
        <f>INDEX('Account executives'!$B$2:$B$25,MATCH(C1084,'Account executives'!$A$2:$A$25,0))</f>
        <v>amer_west</v>
      </c>
      <c r="W1084" s="0" t="str">
        <f>INDEX('Account executives'!$C$2:$C$25,MATCH(C1084,'Account executives'!$A$2:$A$25,0))</f>
        <v>smb</v>
      </c>
      <c r="X1084" s="0" t="str">
        <f>SUBSTITUTE(LOWER(INDEX('Periods'!$G$2:$G$22,MATCH(N1084,'Periods'!$A$2:$A$22,0)))," ","_")</f>
        <v>q4_2026</v>
      </c>
    </row>
    <row r="1085">
      <c r="A1085" s="0" t="inlineStr">
        <is>
          <t xml:space="preserve">o1084</t>
        </is>
      </c>
      <c r="B1085" s="0" t="inlineStr">
        <is>
          <t xml:space="preserve">a0158</t>
        </is>
      </c>
      <c r="C1085" s="0" t="inlineStr">
        <is>
          <t xml:space="preserve">r06</t>
        </is>
      </c>
      <c r="D1085" s="0" t="inlineStr">
        <is>
          <t xml:space="preserve">s_amer_east_in</t>
        </is>
      </c>
      <c r="E1085" s="0" t="inlineStr">
        <is>
          <t xml:space="preserve">inbound</t>
        </is>
      </c>
      <c r="F1085" s="0" t="inlineStr">
        <is>
          <t xml:space="preserve">closed_won</t>
        </is>
      </c>
      <c r="G1085" s="4">
        <v>1</v>
      </c>
      <c r="H1085" s="4">
        <v>13600</v>
      </c>
      <c r="I1085" s="4">
        <v>1</v>
      </c>
      <c r="J1085" s="4">
        <v>1</v>
      </c>
      <c r="K1085" s="16">
        <v>45828</v>
      </c>
      <c r="L1085" s="16">
        <v>45851</v>
      </c>
      <c r="M1085" s="0" t="inlineStr">
        <is>
          <t xml:space="preserve">jun25</t>
        </is>
      </c>
      <c r="N1085" s="0" t="inlineStr">
        <is>
          <t xml:space="preserve">jul25</t>
        </is>
      </c>
      <c r="O1085" s="4">
        <v>23</v>
      </c>
      <c r="P1085" s="4">
        <v>1</v>
      </c>
      <c r="Q1085" s="4">
        <v>0</v>
      </c>
      <c r="R1085" s="4">
        <v>0</v>
      </c>
      <c r="S1085" s="4">
        <f>(H1085*INDEX('Stages'!$D$2:$D$7,MATCH(F1085,'Stages'!$A$2:$A$7,0)))</f>
        <v>13600</v>
      </c>
      <c r="T1085" s="4">
        <f>(H1085*I1085)</f>
        <v>13600</v>
      </c>
      <c r="U1085" s="4">
        <f>(H1085*(I1085-1))</f>
        <v>0</v>
      </c>
      <c r="V1085" s="0" t="str">
        <f>INDEX('Account executives'!$B$2:$B$25,MATCH(C1085,'Account executives'!$A$2:$A$25,0))</f>
        <v>amer_east</v>
      </c>
      <c r="W1085" s="0" t="str">
        <f>INDEX('Account executives'!$C$2:$C$25,MATCH(C1085,'Account executives'!$A$2:$A$25,0))</f>
        <v>smb</v>
      </c>
      <c r="X1085" s="0" t="str">
        <f>SUBSTITUTE(LOWER(INDEX('Periods'!$G$2:$G$22,MATCH(N1085,'Periods'!$A$2:$A$22,0)))," ","_")</f>
        <v>q3_2025</v>
      </c>
    </row>
    <row r="1086">
      <c r="A1086" s="0" t="inlineStr">
        <is>
          <t xml:space="preserve">o1085</t>
        </is>
      </c>
      <c r="B1086" s="0" t="inlineStr">
        <is>
          <t xml:space="preserve">a1014</t>
        </is>
      </c>
      <c r="C1086" s="0" t="inlineStr">
        <is>
          <t xml:space="preserve">r13</t>
        </is>
      </c>
      <c r="D1086" s="0" t="inlineStr">
        <is>
          <t xml:space="preserve">s_emea_in</t>
        </is>
      </c>
      <c r="E1086" s="0" t="inlineStr">
        <is>
          <t xml:space="preserve">paid</t>
        </is>
      </c>
      <c r="F1086" s="0" t="inlineStr">
        <is>
          <t xml:space="preserve">proposal</t>
        </is>
      </c>
      <c r="G1086" s="4">
        <v>0</v>
      </c>
      <c r="H1086" s="4">
        <v>63700</v>
      </c>
      <c r="I1086" s="4">
        <v>1</v>
      </c>
      <c r="J1086" s="4">
        <v>0</v>
      </c>
      <c r="K1086" s="16">
        <v>46197</v>
      </c>
      <c r="L1086" s="16">
        <v>46371</v>
      </c>
      <c r="M1086" s="0" t="inlineStr">
        <is>
          <t xml:space="preserve">jun26</t>
        </is>
      </c>
      <c r="N1086" s="0" t="inlineStr">
        <is>
          <t xml:space="preserve">dec26</t>
        </is>
      </c>
      <c r="O1086" s="4">
        <v>96</v>
      </c>
      <c r="P1086" s="4">
        <v>0</v>
      </c>
      <c r="Q1086" s="4">
        <v>0</v>
      </c>
      <c r="R1086" s="4">
        <v>1</v>
      </c>
      <c r="S1086" s="4">
        <f>(H1086*INDEX('Stages'!$D$2:$D$7,MATCH(F1086,'Stages'!$A$2:$A$7,0)))</f>
        <v>31850</v>
      </c>
      <c r="T1086" s="4">
        <f>(H1086*I1086)</f>
        <v>63700</v>
      </c>
      <c r="U1086" s="4">
        <f>(H1086*(I1086-1))</f>
        <v>0</v>
      </c>
      <c r="V1086" s="0" t="str">
        <f>INDEX('Account executives'!$B$2:$B$25,MATCH(C1086,'Account executives'!$A$2:$A$25,0))</f>
        <v>emea</v>
      </c>
      <c r="W1086" s="0" t="str">
        <f>INDEX('Account executives'!$C$2:$C$25,MATCH(C1086,'Account executives'!$A$2:$A$25,0))</f>
        <v>enterprise</v>
      </c>
      <c r="X1086" s="0" t="str">
        <f>SUBSTITUTE(LOWER(INDEX('Periods'!$G$2:$G$22,MATCH(N1086,'Periods'!$A$2:$A$22,0)))," ","_")</f>
        <v>q4_2026</v>
      </c>
    </row>
    <row r="1087">
      <c r="A1087" s="0" t="inlineStr">
        <is>
          <t xml:space="preserve">o1086</t>
        </is>
      </c>
      <c r="B1087" s="0" t="inlineStr">
        <is>
          <t xml:space="preserve">a1009</t>
        </is>
      </c>
      <c r="C1087" s="0" t="inlineStr">
        <is>
          <t xml:space="preserve">r09</t>
        </is>
      </c>
      <c r="D1087" s="0"/>
      <c r="E1087" s="0" t="inlineStr">
        <is>
          <t xml:space="preserve">referral</t>
        </is>
      </c>
      <c r="F1087" s="0" t="inlineStr">
        <is>
          <t xml:space="preserve">closed_lost</t>
        </is>
      </c>
      <c r="G1087" s="4">
        <v>1</v>
      </c>
      <c r="H1087" s="4">
        <v>48300</v>
      </c>
      <c r="I1087" s="4">
        <v>1</v>
      </c>
      <c r="J1087" s="4">
        <v>1</v>
      </c>
      <c r="K1087" s="16">
        <v>46183</v>
      </c>
      <c r="L1087" s="16">
        <v>46229</v>
      </c>
      <c r="M1087" s="0" t="inlineStr">
        <is>
          <t xml:space="preserve">jun26</t>
        </is>
      </c>
      <c r="N1087" s="0" t="inlineStr">
        <is>
          <t xml:space="preserve">jul26</t>
        </is>
      </c>
      <c r="O1087" s="4">
        <v>46</v>
      </c>
      <c r="P1087" s="4">
        <v>0</v>
      </c>
      <c r="Q1087" s="4">
        <v>1</v>
      </c>
      <c r="R1087" s="4">
        <v>0</v>
      </c>
      <c r="S1087" s="4">
        <f>(H1087*INDEX('Stages'!$D$2:$D$7,MATCH(F1087,'Stages'!$A$2:$A$7,0)))</f>
        <v>0</v>
      </c>
      <c r="T1087" s="4">
        <f>(H1087*I1087)</f>
        <v>48300</v>
      </c>
      <c r="U1087" s="4">
        <f>(H1087*(I1087-1))</f>
        <v>0</v>
      </c>
      <c r="V1087" s="0" t="str">
        <f>INDEX('Account executives'!$B$2:$B$25,MATCH(C1087,'Account executives'!$A$2:$A$25,0))</f>
        <v>amer_west</v>
      </c>
      <c r="W1087" s="0" t="str">
        <f>INDEX('Account executives'!$C$2:$C$25,MATCH(C1087,'Account executives'!$A$2:$A$25,0))</f>
        <v>mid_market</v>
      </c>
      <c r="X1087" s="0" t="str">
        <f>SUBSTITUTE(LOWER(INDEX('Periods'!$G$2:$G$22,MATCH(N1087,'Periods'!$A$2:$A$22,0)))," ","_")</f>
        <v>q3_2026</v>
      </c>
    </row>
    <row r="1088">
      <c r="A1088" s="0" t="inlineStr">
        <is>
          <t xml:space="preserve">o1087</t>
        </is>
      </c>
      <c r="B1088" s="0" t="inlineStr">
        <is>
          <t xml:space="preserve">a1103</t>
        </is>
      </c>
      <c r="C1088" s="0" t="inlineStr">
        <is>
          <t xml:space="preserve">r09</t>
        </is>
      </c>
      <c r="D1088" s="0"/>
      <c r="E1088" s="0" t="inlineStr">
        <is>
          <t xml:space="preserve">events</t>
        </is>
      </c>
      <c r="F1088" s="0" t="inlineStr">
        <is>
          <t xml:space="preserve">closed_lost</t>
        </is>
      </c>
      <c r="G1088" s="4">
        <v>1</v>
      </c>
      <c r="H1088" s="4">
        <v>31500</v>
      </c>
      <c r="I1088" s="4">
        <v>2</v>
      </c>
      <c r="J1088" s="4">
        <v>0</v>
      </c>
      <c r="K1088" s="16">
        <v>46206</v>
      </c>
      <c r="L1088" s="16">
        <v>46254</v>
      </c>
      <c r="M1088" s="0" t="inlineStr">
        <is>
          <t xml:space="preserve">jul26</t>
        </is>
      </c>
      <c r="N1088" s="0" t="inlineStr">
        <is>
          <t xml:space="preserve">aug26</t>
        </is>
      </c>
      <c r="O1088" s="4">
        <v>48</v>
      </c>
      <c r="P1088" s="4">
        <v>0</v>
      </c>
      <c r="Q1088" s="4">
        <v>1</v>
      </c>
      <c r="R1088" s="4">
        <v>0</v>
      </c>
      <c r="S1088" s="4">
        <f>(H1088*INDEX('Stages'!$D$2:$D$7,MATCH(F1088,'Stages'!$A$2:$A$7,0)))</f>
        <v>0</v>
      </c>
      <c r="T1088" s="4">
        <f>(H1088*I1088)</f>
        <v>63000</v>
      </c>
      <c r="U1088" s="4">
        <f>(H1088*(I1088-1))</f>
        <v>31500</v>
      </c>
      <c r="V1088" s="0" t="str">
        <f>INDEX('Account executives'!$B$2:$B$25,MATCH(C1088,'Account executives'!$A$2:$A$25,0))</f>
        <v>amer_west</v>
      </c>
      <c r="W1088" s="0" t="str">
        <f>INDEX('Account executives'!$C$2:$C$25,MATCH(C1088,'Account executives'!$A$2:$A$25,0))</f>
        <v>mid_market</v>
      </c>
      <c r="X1088" s="0" t="str">
        <f>SUBSTITUTE(LOWER(INDEX('Periods'!$G$2:$G$22,MATCH(N1088,'Periods'!$A$2:$A$22,0)))," ","_")</f>
        <v>q3_2026</v>
      </c>
    </row>
    <row r="1089">
      <c r="A1089" s="0" t="inlineStr">
        <is>
          <t xml:space="preserve">o1088</t>
        </is>
      </c>
      <c r="B1089" s="0" t="inlineStr">
        <is>
          <t xml:space="preserve">a0261</t>
        </is>
      </c>
      <c r="C1089" s="0" t="inlineStr">
        <is>
          <t xml:space="preserve">r12</t>
        </is>
      </c>
      <c r="D1089" s="0"/>
      <c r="E1089" s="0" t="inlineStr">
        <is>
          <t xml:space="preserve">partner</t>
        </is>
      </c>
      <c r="F1089" s="0" t="inlineStr">
        <is>
          <t xml:space="preserve">closed_lost</t>
        </is>
      </c>
      <c r="G1089" s="4">
        <v>0</v>
      </c>
      <c r="H1089" s="4">
        <v>4100</v>
      </c>
      <c r="I1089" s="4">
        <v>1</v>
      </c>
      <c r="J1089" s="4">
        <v>0</v>
      </c>
      <c r="K1089" s="16">
        <v>45996</v>
      </c>
      <c r="L1089" s="16">
        <v>46011</v>
      </c>
      <c r="M1089" s="0" t="inlineStr">
        <is>
          <t xml:space="preserve">dec25</t>
        </is>
      </c>
      <c r="N1089" s="0" t="inlineStr">
        <is>
          <t xml:space="preserve">dec25</t>
        </is>
      </c>
      <c r="O1089" s="4">
        <v>15</v>
      </c>
      <c r="P1089" s="4">
        <v>0</v>
      </c>
      <c r="Q1089" s="4">
        <v>1</v>
      </c>
      <c r="R1089" s="4">
        <v>0</v>
      </c>
      <c r="S1089" s="4">
        <f>(H1089*INDEX('Stages'!$D$2:$D$7,MATCH(F1089,'Stages'!$A$2:$A$7,0)))</f>
        <v>0</v>
      </c>
      <c r="T1089" s="4">
        <f>(H1089*I1089)</f>
        <v>4100</v>
      </c>
      <c r="U1089" s="4">
        <f>(H1089*(I1089-1))</f>
        <v>0</v>
      </c>
      <c r="V1089" s="0" t="str">
        <f>INDEX('Account executives'!$B$2:$B$25,MATCH(C1089,'Account executives'!$A$2:$A$25,0))</f>
        <v>amer_west</v>
      </c>
      <c r="W1089" s="0" t="str">
        <f>INDEX('Account executives'!$C$2:$C$25,MATCH(C1089,'Account executives'!$A$2:$A$25,0))</f>
        <v>smb</v>
      </c>
      <c r="X1089" s="0" t="str">
        <f>SUBSTITUTE(LOWER(INDEX('Periods'!$G$2:$G$22,MATCH(N1089,'Periods'!$A$2:$A$22,0)))," ","_")</f>
        <v>q4_2025</v>
      </c>
    </row>
    <row r="1090">
      <c r="A1090" s="0" t="inlineStr">
        <is>
          <t xml:space="preserve">o1089</t>
        </is>
      </c>
      <c r="B1090" s="0" t="inlineStr">
        <is>
          <t xml:space="preserve">a0659</t>
        </is>
      </c>
      <c r="C1090" s="0" t="inlineStr">
        <is>
          <t xml:space="preserve">r05</t>
        </is>
      </c>
      <c r="D1090" s="0" t="inlineStr">
        <is>
          <t xml:space="preserve">s_amer_east_in</t>
        </is>
      </c>
      <c r="E1090" s="0" t="inlineStr">
        <is>
          <t xml:space="preserve">inbound</t>
        </is>
      </c>
      <c r="F1090" s="0" t="inlineStr">
        <is>
          <t xml:space="preserve">closed_lost</t>
        </is>
      </c>
      <c r="G1090" s="4">
        <v>1</v>
      </c>
      <c r="H1090" s="4">
        <v>6400</v>
      </c>
      <c r="I1090" s="4">
        <v>1</v>
      </c>
      <c r="J1090" s="4">
        <v>0</v>
      </c>
      <c r="K1090" s="16">
        <v>46067</v>
      </c>
      <c r="L1090" s="16">
        <v>46093</v>
      </c>
      <c r="M1090" s="0" t="inlineStr">
        <is>
          <t xml:space="preserve">feb26</t>
        </is>
      </c>
      <c r="N1090" s="0" t="inlineStr">
        <is>
          <t xml:space="preserve">mar26</t>
        </is>
      </c>
      <c r="O1090" s="4">
        <v>26</v>
      </c>
      <c r="P1090" s="4">
        <v>0</v>
      </c>
      <c r="Q1090" s="4">
        <v>1</v>
      </c>
      <c r="R1090" s="4">
        <v>0</v>
      </c>
      <c r="S1090" s="4">
        <f>(H1090*INDEX('Stages'!$D$2:$D$7,MATCH(F1090,'Stages'!$A$2:$A$7,0)))</f>
        <v>0</v>
      </c>
      <c r="T1090" s="4">
        <f>(H1090*I1090)</f>
        <v>6400</v>
      </c>
      <c r="U1090" s="4">
        <f>(H1090*(I1090-1))</f>
        <v>0</v>
      </c>
      <c r="V1090" s="0" t="str">
        <f>INDEX('Account executives'!$B$2:$B$25,MATCH(C1090,'Account executives'!$A$2:$A$25,0))</f>
        <v>amer_east</v>
      </c>
      <c r="W1090" s="0" t="str">
        <f>INDEX('Account executives'!$C$2:$C$25,MATCH(C1090,'Account executives'!$A$2:$A$25,0))</f>
        <v>smb</v>
      </c>
      <c r="X1090" s="0" t="str">
        <f>SUBSTITUTE(LOWER(INDEX('Periods'!$G$2:$G$22,MATCH(N1090,'Periods'!$A$2:$A$22,0)))," ","_")</f>
        <v>q1_2026</v>
      </c>
    </row>
    <row r="1091">
      <c r="A1091" s="0" t="inlineStr">
        <is>
          <t xml:space="preserve">o1090</t>
        </is>
      </c>
      <c r="B1091" s="0" t="inlineStr">
        <is>
          <t xml:space="preserve">a0079</t>
        </is>
      </c>
      <c r="C1091" s="0" t="inlineStr">
        <is>
          <t xml:space="preserve">r01</t>
        </is>
      </c>
      <c r="D1091" s="0"/>
      <c r="E1091" s="0" t="inlineStr">
        <is>
          <t xml:space="preserve">events</t>
        </is>
      </c>
      <c r="F1091" s="0" t="inlineStr">
        <is>
          <t xml:space="preserve">closed_lost</t>
        </is>
      </c>
      <c r="G1091" s="4">
        <v>1</v>
      </c>
      <c r="H1091" s="4">
        <v>69400</v>
      </c>
      <c r="I1091" s="4">
        <v>2</v>
      </c>
      <c r="J1091" s="4">
        <v>0</v>
      </c>
      <c r="K1091" s="16">
        <v>45788</v>
      </c>
      <c r="L1091" s="16">
        <v>45859</v>
      </c>
      <c r="M1091" s="0" t="inlineStr">
        <is>
          <t xml:space="preserve">may25</t>
        </is>
      </c>
      <c r="N1091" s="0" t="inlineStr">
        <is>
          <t xml:space="preserve">jul25</t>
        </is>
      </c>
      <c r="O1091" s="4">
        <v>71</v>
      </c>
      <c r="P1091" s="4">
        <v>0</v>
      </c>
      <c r="Q1091" s="4">
        <v>1</v>
      </c>
      <c r="R1091" s="4">
        <v>0</v>
      </c>
      <c r="S1091" s="4">
        <f>(H1091*INDEX('Stages'!$D$2:$D$7,MATCH(F1091,'Stages'!$A$2:$A$7,0)))</f>
        <v>0</v>
      </c>
      <c r="T1091" s="4">
        <f>(H1091*I1091)</f>
        <v>138800</v>
      </c>
      <c r="U1091" s="4">
        <f>(H1091*(I1091-1))</f>
        <v>69400</v>
      </c>
      <c r="V1091" s="0" t="str">
        <f>INDEX('Account executives'!$B$2:$B$25,MATCH(C1091,'Account executives'!$A$2:$A$25,0))</f>
        <v>amer_east</v>
      </c>
      <c r="W1091" s="0" t="str">
        <f>INDEX('Account executives'!$C$2:$C$25,MATCH(C1091,'Account executives'!$A$2:$A$25,0))</f>
        <v>enterprise</v>
      </c>
      <c r="X1091" s="0" t="str">
        <f>SUBSTITUTE(LOWER(INDEX('Periods'!$G$2:$G$22,MATCH(N1091,'Periods'!$A$2:$A$22,0)))," ","_")</f>
        <v>q3_2025</v>
      </c>
    </row>
    <row r="1092">
      <c r="A1092" s="0" t="inlineStr">
        <is>
          <t xml:space="preserve">o1091</t>
        </is>
      </c>
      <c r="B1092" s="0" t="inlineStr">
        <is>
          <t xml:space="preserve">a0573</t>
        </is>
      </c>
      <c r="C1092" s="0" t="inlineStr">
        <is>
          <t xml:space="preserve">r09</t>
        </is>
      </c>
      <c r="D1092" s="0" t="inlineStr">
        <is>
          <t xml:space="preserve">s_amer_west_out</t>
        </is>
      </c>
      <c r="E1092" s="0" t="inlineStr">
        <is>
          <t xml:space="preserve">outbound</t>
        </is>
      </c>
      <c r="F1092" s="0" t="inlineStr">
        <is>
          <t xml:space="preserve">closed_lost</t>
        </is>
      </c>
      <c r="G1092" s="4">
        <v>1</v>
      </c>
      <c r="H1092" s="4">
        <v>69800</v>
      </c>
      <c r="I1092" s="4">
        <v>2</v>
      </c>
      <c r="J1092" s="4">
        <v>0</v>
      </c>
      <c r="K1092" s="16">
        <v>46015</v>
      </c>
      <c r="L1092" s="16">
        <v>46077</v>
      </c>
      <c r="M1092" s="0" t="inlineStr">
        <is>
          <t xml:space="preserve">dec25</t>
        </is>
      </c>
      <c r="N1092" s="0" t="inlineStr">
        <is>
          <t xml:space="preserve">feb26</t>
        </is>
      </c>
      <c r="O1092" s="4">
        <v>62</v>
      </c>
      <c r="P1092" s="4">
        <v>0</v>
      </c>
      <c r="Q1092" s="4">
        <v>1</v>
      </c>
      <c r="R1092" s="4">
        <v>0</v>
      </c>
      <c r="S1092" s="4">
        <f>(H1092*INDEX('Stages'!$D$2:$D$7,MATCH(F1092,'Stages'!$A$2:$A$7,0)))</f>
        <v>0</v>
      </c>
      <c r="T1092" s="4">
        <f>(H1092*I1092)</f>
        <v>139600</v>
      </c>
      <c r="U1092" s="4">
        <f>(H1092*(I1092-1))</f>
        <v>69800</v>
      </c>
      <c r="V1092" s="0" t="str">
        <f>INDEX('Account executives'!$B$2:$B$25,MATCH(C1092,'Account executives'!$A$2:$A$25,0))</f>
        <v>amer_west</v>
      </c>
      <c r="W1092" s="0" t="str">
        <f>INDEX('Account executives'!$C$2:$C$25,MATCH(C1092,'Account executives'!$A$2:$A$25,0))</f>
        <v>mid_market</v>
      </c>
      <c r="X1092" s="0" t="str">
        <f>SUBSTITUTE(LOWER(INDEX('Periods'!$G$2:$G$22,MATCH(N1092,'Periods'!$A$2:$A$22,0)))," ","_")</f>
        <v>q1_2026</v>
      </c>
    </row>
    <row r="1093">
      <c r="A1093" s="0" t="inlineStr">
        <is>
          <t xml:space="preserve">o1092</t>
        </is>
      </c>
      <c r="B1093" s="0" t="inlineStr">
        <is>
          <t xml:space="preserve">a0801</t>
        </is>
      </c>
      <c r="C1093" s="0" t="inlineStr">
        <is>
          <t xml:space="preserve">r19</t>
        </is>
      </c>
      <c r="D1093" s="0" t="inlineStr">
        <is>
          <t xml:space="preserve">s_apac_in</t>
        </is>
      </c>
      <c r="E1093" s="0" t="inlineStr">
        <is>
          <t xml:space="preserve">paid</t>
        </is>
      </c>
      <c r="F1093" s="0" t="inlineStr">
        <is>
          <t xml:space="preserve">closed_lost</t>
        </is>
      </c>
      <c r="G1093" s="4">
        <v>1</v>
      </c>
      <c r="H1093" s="4">
        <v>162500</v>
      </c>
      <c r="I1093" s="4">
        <v>2</v>
      </c>
      <c r="J1093" s="4">
        <v>0</v>
      </c>
      <c r="K1093" s="16">
        <v>46089</v>
      </c>
      <c r="L1093" s="16">
        <v>46206</v>
      </c>
      <c r="M1093" s="0" t="inlineStr">
        <is>
          <t xml:space="preserve">mar26</t>
        </is>
      </c>
      <c r="N1093" s="0" t="inlineStr">
        <is>
          <t xml:space="preserve">jul26</t>
        </is>
      </c>
      <c r="O1093" s="4">
        <v>117</v>
      </c>
      <c r="P1093" s="4">
        <v>0</v>
      </c>
      <c r="Q1093" s="4">
        <v>1</v>
      </c>
      <c r="R1093" s="4">
        <v>0</v>
      </c>
      <c r="S1093" s="4">
        <f>(H1093*INDEX('Stages'!$D$2:$D$7,MATCH(F1093,'Stages'!$A$2:$A$7,0)))</f>
        <v>0</v>
      </c>
      <c r="T1093" s="4">
        <f>(H1093*I1093)</f>
        <v>325000</v>
      </c>
      <c r="U1093" s="4">
        <f>(H1093*(I1093-1))</f>
        <v>162500</v>
      </c>
      <c r="V1093" s="0" t="str">
        <f>INDEX('Account executives'!$B$2:$B$25,MATCH(C1093,'Account executives'!$A$2:$A$25,0))</f>
        <v>apac</v>
      </c>
      <c r="W1093" s="0" t="str">
        <f>INDEX('Account executives'!$C$2:$C$25,MATCH(C1093,'Account executives'!$A$2:$A$25,0))</f>
        <v>enterprise</v>
      </c>
      <c r="X1093" s="0" t="str">
        <f>SUBSTITUTE(LOWER(INDEX('Periods'!$G$2:$G$22,MATCH(N1093,'Periods'!$A$2:$A$22,0)))," ","_")</f>
        <v>q3_2026</v>
      </c>
    </row>
    <row r="1094">
      <c r="A1094" s="0" t="inlineStr">
        <is>
          <t xml:space="preserve">o1093</t>
        </is>
      </c>
      <c r="B1094" s="0" t="inlineStr">
        <is>
          <t xml:space="preserve">a1125</t>
        </is>
      </c>
      <c r="C1094" s="0" t="inlineStr">
        <is>
          <t xml:space="preserve">r14</t>
        </is>
      </c>
      <c r="D1094" s="0" t="inlineStr">
        <is>
          <t xml:space="preserve">s_emea_in</t>
        </is>
      </c>
      <c r="E1094" s="0" t="inlineStr">
        <is>
          <t xml:space="preserve">paid</t>
        </is>
      </c>
      <c r="F1094" s="0" t="inlineStr">
        <is>
          <t xml:space="preserve">discovery</t>
        </is>
      </c>
      <c r="G1094" s="4">
        <v>1</v>
      </c>
      <c r="H1094" s="4">
        <v>157200</v>
      </c>
      <c r="I1094" s="4">
        <v>1</v>
      </c>
      <c r="J1094" s="4">
        <v>0</v>
      </c>
      <c r="K1094" s="16">
        <v>46223</v>
      </c>
      <c r="L1094" s="16">
        <v>46323</v>
      </c>
      <c r="M1094" s="0" t="inlineStr">
        <is>
          <t xml:space="preserve">jul26</t>
        </is>
      </c>
      <c r="N1094" s="0" t="inlineStr">
        <is>
          <t xml:space="preserve">oct26</t>
        </is>
      </c>
      <c r="O1094" s="4">
        <v>154</v>
      </c>
      <c r="P1094" s="4">
        <v>0</v>
      </c>
      <c r="Q1094" s="4">
        <v>0</v>
      </c>
      <c r="R1094" s="4">
        <v>1</v>
      </c>
      <c r="S1094" s="4">
        <f>(H1094*INDEX('Stages'!$D$2:$D$7,MATCH(F1094,'Stages'!$A$2:$A$7,0)))</f>
        <v>15720</v>
      </c>
      <c r="T1094" s="4">
        <f>(H1094*I1094)</f>
        <v>157200</v>
      </c>
      <c r="U1094" s="4">
        <f>(H1094*(I1094-1))</f>
        <v>0</v>
      </c>
      <c r="V1094" s="0" t="str">
        <f>INDEX('Account executives'!$B$2:$B$25,MATCH(C1094,'Account executives'!$A$2:$A$25,0))</f>
        <v>emea</v>
      </c>
      <c r="W1094" s="0" t="str">
        <f>INDEX('Account executives'!$C$2:$C$25,MATCH(C1094,'Account executives'!$A$2:$A$25,0))</f>
        <v>enterprise</v>
      </c>
      <c r="X1094" s="0" t="str">
        <f>SUBSTITUTE(LOWER(INDEX('Periods'!$G$2:$G$22,MATCH(N1094,'Periods'!$A$2:$A$22,0)))," ","_")</f>
        <v>q4_2026</v>
      </c>
    </row>
    <row r="1095">
      <c r="A1095" s="0" t="inlineStr">
        <is>
          <t xml:space="preserve">o1094</t>
        </is>
      </c>
      <c r="B1095" s="0" t="inlineStr">
        <is>
          <t xml:space="preserve">a0104</t>
        </is>
      </c>
      <c r="C1095" s="0" t="inlineStr">
        <is>
          <t xml:space="preserve">r09</t>
        </is>
      </c>
      <c r="D1095" s="0" t="inlineStr">
        <is>
          <t xml:space="preserve">s_amer_west_out</t>
        </is>
      </c>
      <c r="E1095" s="0" t="inlineStr">
        <is>
          <t xml:space="preserve">outbound</t>
        </is>
      </c>
      <c r="F1095" s="0" t="inlineStr">
        <is>
          <t xml:space="preserve">closed_lost</t>
        </is>
      </c>
      <c r="G1095" s="4">
        <v>1</v>
      </c>
      <c r="H1095" s="4">
        <v>39800</v>
      </c>
      <c r="I1095" s="4">
        <v>1</v>
      </c>
      <c r="J1095" s="4">
        <v>0</v>
      </c>
      <c r="K1095" s="16">
        <v>45801</v>
      </c>
      <c r="L1095" s="16">
        <v>45897</v>
      </c>
      <c r="M1095" s="0" t="inlineStr">
        <is>
          <t xml:space="preserve">may25</t>
        </is>
      </c>
      <c r="N1095" s="0" t="inlineStr">
        <is>
          <t xml:space="preserve">aug25</t>
        </is>
      </c>
      <c r="O1095" s="4">
        <v>96</v>
      </c>
      <c r="P1095" s="4">
        <v>0</v>
      </c>
      <c r="Q1095" s="4">
        <v>1</v>
      </c>
      <c r="R1095" s="4">
        <v>0</v>
      </c>
      <c r="S1095" s="4">
        <f>(H1095*INDEX('Stages'!$D$2:$D$7,MATCH(F1095,'Stages'!$A$2:$A$7,0)))</f>
        <v>0</v>
      </c>
      <c r="T1095" s="4">
        <f>(H1095*I1095)</f>
        <v>39800</v>
      </c>
      <c r="U1095" s="4">
        <f>(H1095*(I1095-1))</f>
        <v>0</v>
      </c>
      <c r="V1095" s="0" t="str">
        <f>INDEX('Account executives'!$B$2:$B$25,MATCH(C1095,'Account executives'!$A$2:$A$25,0))</f>
        <v>amer_west</v>
      </c>
      <c r="W1095" s="0" t="str">
        <f>INDEX('Account executives'!$C$2:$C$25,MATCH(C1095,'Account executives'!$A$2:$A$25,0))</f>
        <v>mid_market</v>
      </c>
      <c r="X1095" s="0" t="str">
        <f>SUBSTITUTE(LOWER(INDEX('Periods'!$G$2:$G$22,MATCH(N1095,'Periods'!$A$2:$A$22,0)))," ","_")</f>
        <v>q3_2025</v>
      </c>
    </row>
    <row r="1096">
      <c r="A1096" s="0" t="inlineStr">
        <is>
          <t xml:space="preserve">o1095</t>
        </is>
      </c>
      <c r="B1096" s="0" t="inlineStr">
        <is>
          <t xml:space="preserve">a0645</t>
        </is>
      </c>
      <c r="C1096" s="0" t="inlineStr">
        <is>
          <t xml:space="preserve">r13</t>
        </is>
      </c>
      <c r="D1096" s="0" t="inlineStr">
        <is>
          <t xml:space="preserve">s_emea_in</t>
        </is>
      </c>
      <c r="E1096" s="0" t="inlineStr">
        <is>
          <t xml:space="preserve">inbound</t>
        </is>
      </c>
      <c r="F1096" s="0" t="inlineStr">
        <is>
          <t xml:space="preserve">closed_lost</t>
        </is>
      </c>
      <c r="G1096" s="4">
        <v>1</v>
      </c>
      <c r="H1096" s="4">
        <v>92000</v>
      </c>
      <c r="I1096" s="4">
        <v>2</v>
      </c>
      <c r="J1096" s="4">
        <v>0</v>
      </c>
      <c r="K1096" s="16">
        <v>46030</v>
      </c>
      <c r="L1096" s="16">
        <v>46201</v>
      </c>
      <c r="M1096" s="0" t="inlineStr">
        <is>
          <t xml:space="preserve">jan26</t>
        </is>
      </c>
      <c r="N1096" s="0" t="inlineStr">
        <is>
          <t xml:space="preserve">jun26</t>
        </is>
      </c>
      <c r="O1096" s="4">
        <v>171</v>
      </c>
      <c r="P1096" s="4">
        <v>0</v>
      </c>
      <c r="Q1096" s="4">
        <v>1</v>
      </c>
      <c r="R1096" s="4">
        <v>0</v>
      </c>
      <c r="S1096" s="4">
        <f>(H1096*INDEX('Stages'!$D$2:$D$7,MATCH(F1096,'Stages'!$A$2:$A$7,0)))</f>
        <v>0</v>
      </c>
      <c r="T1096" s="4">
        <f>(H1096*I1096)</f>
        <v>184000</v>
      </c>
      <c r="U1096" s="4">
        <f>(H1096*(I1096-1))</f>
        <v>92000</v>
      </c>
      <c r="V1096" s="0" t="str">
        <f>INDEX('Account executives'!$B$2:$B$25,MATCH(C1096,'Account executives'!$A$2:$A$25,0))</f>
        <v>emea</v>
      </c>
      <c r="W1096" s="0" t="str">
        <f>INDEX('Account executives'!$C$2:$C$25,MATCH(C1096,'Account executives'!$A$2:$A$25,0))</f>
        <v>enterprise</v>
      </c>
      <c r="X1096" s="0" t="str">
        <f>SUBSTITUTE(LOWER(INDEX('Periods'!$G$2:$G$22,MATCH(N1096,'Periods'!$A$2:$A$22,0)))," ","_")</f>
        <v>q2_2026</v>
      </c>
    </row>
    <row r="1097">
      <c r="A1097" s="0" t="inlineStr">
        <is>
          <t xml:space="preserve">o1096</t>
        </is>
      </c>
      <c r="B1097" s="0" t="inlineStr">
        <is>
          <t xml:space="preserve">a0039</t>
        </is>
      </c>
      <c r="C1097" s="0" t="inlineStr">
        <is>
          <t xml:space="preserve">r07</t>
        </is>
      </c>
      <c r="D1097" s="0"/>
      <c r="E1097" s="0" t="inlineStr">
        <is>
          <t xml:space="preserve">referral</t>
        </is>
      </c>
      <c r="F1097" s="0" t="inlineStr">
        <is>
          <t xml:space="preserve">closed_lost</t>
        </is>
      </c>
      <c r="G1097" s="4">
        <v>1</v>
      </c>
      <c r="H1097" s="4">
        <v>77600</v>
      </c>
      <c r="I1097" s="4">
        <v>2</v>
      </c>
      <c r="J1097" s="4">
        <v>1</v>
      </c>
      <c r="K1097" s="16">
        <v>45758</v>
      </c>
      <c r="L1097" s="16">
        <v>45857</v>
      </c>
      <c r="M1097" s="0" t="inlineStr">
        <is>
          <t xml:space="preserve">apr25</t>
        </is>
      </c>
      <c r="N1097" s="0" t="inlineStr">
        <is>
          <t xml:space="preserve">jul25</t>
        </is>
      </c>
      <c r="O1097" s="4">
        <v>99</v>
      </c>
      <c r="P1097" s="4">
        <v>0</v>
      </c>
      <c r="Q1097" s="4">
        <v>1</v>
      </c>
      <c r="R1097" s="4">
        <v>0</v>
      </c>
      <c r="S1097" s="4">
        <f>(H1097*INDEX('Stages'!$D$2:$D$7,MATCH(F1097,'Stages'!$A$2:$A$7,0)))</f>
        <v>0</v>
      </c>
      <c r="T1097" s="4">
        <f>(H1097*I1097)</f>
        <v>155200</v>
      </c>
      <c r="U1097" s="4">
        <f>(H1097*(I1097-1))</f>
        <v>77600</v>
      </c>
      <c r="V1097" s="0" t="str">
        <f>INDEX('Account executives'!$B$2:$B$25,MATCH(C1097,'Account executives'!$A$2:$A$25,0))</f>
        <v>amer_west</v>
      </c>
      <c r="W1097" s="0" t="str">
        <f>INDEX('Account executives'!$C$2:$C$25,MATCH(C1097,'Account executives'!$A$2:$A$25,0))</f>
        <v>enterprise</v>
      </c>
      <c r="X1097" s="0" t="str">
        <f>SUBSTITUTE(LOWER(INDEX('Periods'!$G$2:$G$22,MATCH(N1097,'Periods'!$A$2:$A$22,0)))," ","_")</f>
        <v>q3_2025</v>
      </c>
    </row>
    <row r="1098">
      <c r="A1098" s="0" t="inlineStr">
        <is>
          <t xml:space="preserve">o1097</t>
        </is>
      </c>
      <c r="B1098" s="0" t="inlineStr">
        <is>
          <t xml:space="preserve">a0860</t>
        </is>
      </c>
      <c r="C1098" s="0" t="inlineStr">
        <is>
          <t xml:space="preserve">r15</t>
        </is>
      </c>
      <c r="D1098" s="0" t="inlineStr">
        <is>
          <t xml:space="preserve">s_emea_in</t>
        </is>
      </c>
      <c r="E1098" s="0" t="inlineStr">
        <is>
          <t xml:space="preserve">inbound</t>
        </is>
      </c>
      <c r="F1098" s="0" t="inlineStr">
        <is>
          <t xml:space="preserve">closed_won</t>
        </is>
      </c>
      <c r="G1098" s="4">
        <v>1</v>
      </c>
      <c r="H1098" s="4">
        <v>20400</v>
      </c>
      <c r="I1098" s="4">
        <v>1</v>
      </c>
      <c r="J1098" s="4">
        <v>0</v>
      </c>
      <c r="K1098" s="16">
        <v>46139</v>
      </c>
      <c r="L1098" s="16">
        <v>46187</v>
      </c>
      <c r="M1098" s="0" t="inlineStr">
        <is>
          <t xml:space="preserve">apr26</t>
        </is>
      </c>
      <c r="N1098" s="0" t="inlineStr">
        <is>
          <t xml:space="preserve">jun26</t>
        </is>
      </c>
      <c r="O1098" s="4">
        <v>48</v>
      </c>
      <c r="P1098" s="4">
        <v>1</v>
      </c>
      <c r="Q1098" s="4">
        <v>0</v>
      </c>
      <c r="R1098" s="4">
        <v>0</v>
      </c>
      <c r="S1098" s="4">
        <f>(H1098*INDEX('Stages'!$D$2:$D$7,MATCH(F1098,'Stages'!$A$2:$A$7,0)))</f>
        <v>20400</v>
      </c>
      <c r="T1098" s="4">
        <f>(H1098*I1098)</f>
        <v>20400</v>
      </c>
      <c r="U1098" s="4">
        <f>(H1098*(I1098-1))</f>
        <v>0</v>
      </c>
      <c r="V1098" s="0" t="str">
        <f>INDEX('Account executives'!$B$2:$B$25,MATCH(C1098,'Account executives'!$A$2:$A$25,0))</f>
        <v>emea</v>
      </c>
      <c r="W1098" s="0" t="str">
        <f>INDEX('Account executives'!$C$2:$C$25,MATCH(C1098,'Account executives'!$A$2:$A$25,0))</f>
        <v>mid_market</v>
      </c>
      <c r="X1098" s="0" t="str">
        <f>SUBSTITUTE(LOWER(INDEX('Periods'!$G$2:$G$22,MATCH(N1098,'Periods'!$A$2:$A$22,0)))," ","_")</f>
        <v>q2_2026</v>
      </c>
    </row>
    <row r="1099">
      <c r="A1099" s="0" t="inlineStr">
        <is>
          <t xml:space="preserve">o1098</t>
        </is>
      </c>
      <c r="B1099" s="0" t="inlineStr">
        <is>
          <t xml:space="preserve">a0775</t>
        </is>
      </c>
      <c r="C1099" s="0" t="inlineStr">
        <is>
          <t xml:space="preserve">r18</t>
        </is>
      </c>
      <c r="D1099" s="0" t="inlineStr">
        <is>
          <t xml:space="preserve">s_emea_in</t>
        </is>
      </c>
      <c r="E1099" s="0" t="inlineStr">
        <is>
          <t xml:space="preserve">inbound</t>
        </is>
      </c>
      <c r="F1099" s="0" t="inlineStr">
        <is>
          <t xml:space="preserve">closed_lost</t>
        </is>
      </c>
      <c r="G1099" s="4">
        <v>1</v>
      </c>
      <c r="H1099" s="4">
        <v>11800</v>
      </c>
      <c r="I1099" s="4">
        <v>1</v>
      </c>
      <c r="J1099" s="4">
        <v>0</v>
      </c>
      <c r="K1099" s="16">
        <v>46086</v>
      </c>
      <c r="L1099" s="16">
        <v>46103</v>
      </c>
      <c r="M1099" s="0" t="inlineStr">
        <is>
          <t xml:space="preserve">mar26</t>
        </is>
      </c>
      <c r="N1099" s="0" t="inlineStr">
        <is>
          <t xml:space="preserve">mar26</t>
        </is>
      </c>
      <c r="O1099" s="4">
        <v>17</v>
      </c>
      <c r="P1099" s="4">
        <v>0</v>
      </c>
      <c r="Q1099" s="4">
        <v>1</v>
      </c>
      <c r="R1099" s="4">
        <v>0</v>
      </c>
      <c r="S1099" s="4">
        <f>(H1099*INDEX('Stages'!$D$2:$D$7,MATCH(F1099,'Stages'!$A$2:$A$7,0)))</f>
        <v>0</v>
      </c>
      <c r="T1099" s="4">
        <f>(H1099*I1099)</f>
        <v>11800</v>
      </c>
      <c r="U1099" s="4">
        <f>(H1099*(I1099-1))</f>
        <v>0</v>
      </c>
      <c r="V1099" s="0" t="str">
        <f>INDEX('Account executives'!$B$2:$B$25,MATCH(C1099,'Account executives'!$A$2:$A$25,0))</f>
        <v>emea</v>
      </c>
      <c r="W1099" s="0" t="str">
        <f>INDEX('Account executives'!$C$2:$C$25,MATCH(C1099,'Account executives'!$A$2:$A$25,0))</f>
        <v>smb</v>
      </c>
      <c r="X1099" s="0" t="str">
        <f>SUBSTITUTE(LOWER(INDEX('Periods'!$G$2:$G$22,MATCH(N1099,'Periods'!$A$2:$A$22,0)))," ","_")</f>
        <v>q1_2026</v>
      </c>
    </row>
    <row r="1100">
      <c r="A1100" s="0" t="inlineStr">
        <is>
          <t xml:space="preserve">o1099</t>
        </is>
      </c>
      <c r="B1100" s="0" t="inlineStr">
        <is>
          <t xml:space="preserve">a0524</t>
        </is>
      </c>
      <c r="C1100" s="0" t="inlineStr">
        <is>
          <t xml:space="preserve">r24</t>
        </is>
      </c>
      <c r="D1100" s="0" t="inlineStr">
        <is>
          <t xml:space="preserve">s_apac_in</t>
        </is>
      </c>
      <c r="E1100" s="0" t="inlineStr">
        <is>
          <t xml:space="preserve">inbound</t>
        </is>
      </c>
      <c r="F1100" s="0" t="inlineStr">
        <is>
          <t xml:space="preserve">closed_lost</t>
        </is>
      </c>
      <c r="G1100" s="4">
        <v>0</v>
      </c>
      <c r="H1100" s="4">
        <v>3100</v>
      </c>
      <c r="I1100" s="4">
        <v>1</v>
      </c>
      <c r="J1100" s="4">
        <v>0</v>
      </c>
      <c r="K1100" s="16">
        <v>46199</v>
      </c>
      <c r="L1100" s="16">
        <v>46232</v>
      </c>
      <c r="M1100" s="0" t="inlineStr">
        <is>
          <t xml:space="preserve">jun26</t>
        </is>
      </c>
      <c r="N1100" s="0" t="inlineStr">
        <is>
          <t xml:space="preserve">jul26</t>
        </is>
      </c>
      <c r="O1100" s="4">
        <v>33</v>
      </c>
      <c r="P1100" s="4">
        <v>0</v>
      </c>
      <c r="Q1100" s="4">
        <v>1</v>
      </c>
      <c r="R1100" s="4">
        <v>0</v>
      </c>
      <c r="S1100" s="4">
        <f>(H1100*INDEX('Stages'!$D$2:$D$7,MATCH(F1100,'Stages'!$A$2:$A$7,0)))</f>
        <v>0</v>
      </c>
      <c r="T1100" s="4">
        <f>(H1100*I1100)</f>
        <v>3100</v>
      </c>
      <c r="U1100" s="4">
        <f>(H1100*(I1100-1))</f>
        <v>0</v>
      </c>
      <c r="V1100" s="0" t="str">
        <f>INDEX('Account executives'!$B$2:$B$25,MATCH(C1100,'Account executives'!$A$2:$A$25,0))</f>
        <v>apac</v>
      </c>
      <c r="W1100" s="0" t="str">
        <f>INDEX('Account executives'!$C$2:$C$25,MATCH(C1100,'Account executives'!$A$2:$A$25,0))</f>
        <v>smb</v>
      </c>
      <c r="X1100" s="0" t="str">
        <f>SUBSTITUTE(LOWER(INDEX('Periods'!$G$2:$G$22,MATCH(N1100,'Periods'!$A$2:$A$22,0)))," ","_")</f>
        <v>q3_2026</v>
      </c>
    </row>
    <row r="1101">
      <c r="A1101" s="0" t="inlineStr">
        <is>
          <t xml:space="preserve">o1100</t>
        </is>
      </c>
      <c r="B1101" s="0" t="inlineStr">
        <is>
          <t xml:space="preserve">a0357</t>
        </is>
      </c>
      <c r="C1101" s="0" t="inlineStr">
        <is>
          <t xml:space="preserve">r24</t>
        </is>
      </c>
      <c r="D1101" s="0" t="inlineStr">
        <is>
          <t xml:space="preserve">s_apac_in</t>
        </is>
      </c>
      <c r="E1101" s="0" t="inlineStr">
        <is>
          <t xml:space="preserve">paid</t>
        </is>
      </c>
      <c r="F1101" s="0" t="inlineStr">
        <is>
          <t xml:space="preserve">closed_lost</t>
        </is>
      </c>
      <c r="G1101" s="4">
        <v>0</v>
      </c>
      <c r="H1101" s="4">
        <v>3500</v>
      </c>
      <c r="I1101" s="4">
        <v>1</v>
      </c>
      <c r="J1101" s="4">
        <v>0</v>
      </c>
      <c r="K1101" s="16">
        <v>45938</v>
      </c>
      <c r="L1101" s="16">
        <v>45972</v>
      </c>
      <c r="M1101" s="0" t="inlineStr">
        <is>
          <t xml:space="preserve">oct25</t>
        </is>
      </c>
      <c r="N1101" s="0" t="inlineStr">
        <is>
          <t xml:space="preserve">nov25</t>
        </is>
      </c>
      <c r="O1101" s="4">
        <v>34</v>
      </c>
      <c r="P1101" s="4">
        <v>0</v>
      </c>
      <c r="Q1101" s="4">
        <v>1</v>
      </c>
      <c r="R1101" s="4">
        <v>0</v>
      </c>
      <c r="S1101" s="4">
        <f>(H1101*INDEX('Stages'!$D$2:$D$7,MATCH(F1101,'Stages'!$A$2:$A$7,0)))</f>
        <v>0</v>
      </c>
      <c r="T1101" s="4">
        <f>(H1101*I1101)</f>
        <v>3500</v>
      </c>
      <c r="U1101" s="4">
        <f>(H1101*(I1101-1))</f>
        <v>0</v>
      </c>
      <c r="V1101" s="0" t="str">
        <f>INDEX('Account executives'!$B$2:$B$25,MATCH(C1101,'Account executives'!$A$2:$A$25,0))</f>
        <v>apac</v>
      </c>
      <c r="W1101" s="0" t="str">
        <f>INDEX('Account executives'!$C$2:$C$25,MATCH(C1101,'Account executives'!$A$2:$A$25,0))</f>
        <v>smb</v>
      </c>
      <c r="X1101" s="0" t="str">
        <f>SUBSTITUTE(LOWER(INDEX('Periods'!$G$2:$G$22,MATCH(N1101,'Periods'!$A$2:$A$22,0)))," ","_")</f>
        <v>q4_2025</v>
      </c>
    </row>
    <row r="1102">
      <c r="A1102" s="0" t="inlineStr">
        <is>
          <t xml:space="preserve">o1101</t>
        </is>
      </c>
      <c r="B1102" s="0" t="inlineStr">
        <is>
          <t xml:space="preserve">a1025</t>
        </is>
      </c>
      <c r="C1102" s="0" t="inlineStr">
        <is>
          <t xml:space="preserve">r16</t>
        </is>
      </c>
      <c r="D1102" s="0"/>
      <c r="E1102" s="0" t="inlineStr">
        <is>
          <t xml:space="preserve">events</t>
        </is>
      </c>
      <c r="F1102" s="0" t="inlineStr">
        <is>
          <t xml:space="preserve">closed_won</t>
        </is>
      </c>
      <c r="G1102" s="4">
        <v>1</v>
      </c>
      <c r="H1102" s="4">
        <v>70400</v>
      </c>
      <c r="I1102" s="4">
        <v>2</v>
      </c>
      <c r="J1102" s="4">
        <v>0</v>
      </c>
      <c r="K1102" s="16">
        <v>46174</v>
      </c>
      <c r="L1102" s="16">
        <v>46232</v>
      </c>
      <c r="M1102" s="0" t="inlineStr">
        <is>
          <t xml:space="preserve">jun26</t>
        </is>
      </c>
      <c r="N1102" s="0" t="inlineStr">
        <is>
          <t xml:space="preserve">jul26</t>
        </is>
      </c>
      <c r="O1102" s="4">
        <v>58</v>
      </c>
      <c r="P1102" s="4">
        <v>1</v>
      </c>
      <c r="Q1102" s="4">
        <v>0</v>
      </c>
      <c r="R1102" s="4">
        <v>0</v>
      </c>
      <c r="S1102" s="4">
        <f>(H1102*INDEX('Stages'!$D$2:$D$7,MATCH(F1102,'Stages'!$A$2:$A$7,0)))</f>
        <v>70400</v>
      </c>
      <c r="T1102" s="4">
        <f>(H1102*I1102)</f>
        <v>140800</v>
      </c>
      <c r="U1102" s="4">
        <f>(H1102*(I1102-1))</f>
        <v>70400</v>
      </c>
      <c r="V1102" s="0" t="str">
        <f>INDEX('Account executives'!$B$2:$B$25,MATCH(C1102,'Account executives'!$A$2:$A$25,0))</f>
        <v>emea</v>
      </c>
      <c r="W1102" s="0" t="str">
        <f>INDEX('Account executives'!$C$2:$C$25,MATCH(C1102,'Account executives'!$A$2:$A$25,0))</f>
        <v>mid_market</v>
      </c>
      <c r="X1102" s="0" t="str">
        <f>SUBSTITUTE(LOWER(INDEX('Periods'!$G$2:$G$22,MATCH(N1102,'Periods'!$A$2:$A$22,0)))," ","_")</f>
        <v>q3_2026</v>
      </c>
    </row>
    <row r="1103">
      <c r="A1103" s="0" t="inlineStr">
        <is>
          <t xml:space="preserve">o1102</t>
        </is>
      </c>
      <c r="B1103" s="0" t="inlineStr">
        <is>
          <t xml:space="preserve">a0435</t>
        </is>
      </c>
      <c r="C1103" s="0" t="inlineStr">
        <is>
          <t xml:space="preserve">r11</t>
        </is>
      </c>
      <c r="D1103" s="0" t="inlineStr">
        <is>
          <t xml:space="preserve">s_amer_west_in</t>
        </is>
      </c>
      <c r="E1103" s="0" t="inlineStr">
        <is>
          <t xml:space="preserve">paid</t>
        </is>
      </c>
      <c r="F1103" s="0" t="inlineStr">
        <is>
          <t xml:space="preserve">proposal</t>
        </is>
      </c>
      <c r="G1103" s="4">
        <v>0</v>
      </c>
      <c r="H1103" s="4">
        <v>9100</v>
      </c>
      <c r="I1103" s="4">
        <v>1</v>
      </c>
      <c r="J1103" s="4">
        <v>0</v>
      </c>
      <c r="K1103" s="16">
        <v>46218</v>
      </c>
      <c r="L1103" s="16">
        <v>46307</v>
      </c>
      <c r="M1103" s="0" t="inlineStr">
        <is>
          <t xml:space="preserve">jul26</t>
        </is>
      </c>
      <c r="N1103" s="0" t="inlineStr">
        <is>
          <t xml:space="preserve">oct26</t>
        </is>
      </c>
      <c r="O1103" s="4">
        <v>75</v>
      </c>
      <c r="P1103" s="4">
        <v>0</v>
      </c>
      <c r="Q1103" s="4">
        <v>0</v>
      </c>
      <c r="R1103" s="4">
        <v>1</v>
      </c>
      <c r="S1103" s="4">
        <f>(H1103*INDEX('Stages'!$D$2:$D$7,MATCH(F1103,'Stages'!$A$2:$A$7,0)))</f>
        <v>4550</v>
      </c>
      <c r="T1103" s="4">
        <f>(H1103*I1103)</f>
        <v>9100</v>
      </c>
      <c r="U1103" s="4">
        <f>(H1103*(I1103-1))</f>
        <v>0</v>
      </c>
      <c r="V1103" s="0" t="str">
        <f>INDEX('Account executives'!$B$2:$B$25,MATCH(C1103,'Account executives'!$A$2:$A$25,0))</f>
        <v>amer_west</v>
      </c>
      <c r="W1103" s="0" t="str">
        <f>INDEX('Account executives'!$C$2:$C$25,MATCH(C1103,'Account executives'!$A$2:$A$25,0))</f>
        <v>smb</v>
      </c>
      <c r="X1103" s="0" t="str">
        <f>SUBSTITUTE(LOWER(INDEX('Periods'!$G$2:$G$22,MATCH(N1103,'Periods'!$A$2:$A$22,0)))," ","_")</f>
        <v>q4_2026</v>
      </c>
    </row>
    <row r="1104">
      <c r="A1104" s="0" t="inlineStr">
        <is>
          <t xml:space="preserve">o1103</t>
        </is>
      </c>
      <c r="B1104" s="0" t="inlineStr">
        <is>
          <t xml:space="preserve">a0481</t>
        </is>
      </c>
      <c r="C1104" s="0" t="inlineStr">
        <is>
          <t xml:space="preserve">r04</t>
        </is>
      </c>
      <c r="D1104" s="0" t="inlineStr">
        <is>
          <t xml:space="preserve">s_amer_east_in</t>
        </is>
      </c>
      <c r="E1104" s="0" t="inlineStr">
        <is>
          <t xml:space="preserve">paid</t>
        </is>
      </c>
      <c r="F1104" s="0" t="inlineStr">
        <is>
          <t xml:space="preserve">closed_lost</t>
        </is>
      </c>
      <c r="G1104" s="4">
        <v>1</v>
      </c>
      <c r="H1104" s="4">
        <v>48100</v>
      </c>
      <c r="I1104" s="4">
        <v>1</v>
      </c>
      <c r="J1104" s="4">
        <v>0</v>
      </c>
      <c r="K1104" s="16">
        <v>45981</v>
      </c>
      <c r="L1104" s="16">
        <v>46027</v>
      </c>
      <c r="M1104" s="0" t="inlineStr">
        <is>
          <t xml:space="preserve">nov25</t>
        </is>
      </c>
      <c r="N1104" s="0" t="inlineStr">
        <is>
          <t xml:space="preserve">jan26</t>
        </is>
      </c>
      <c r="O1104" s="4">
        <v>46</v>
      </c>
      <c r="P1104" s="4">
        <v>0</v>
      </c>
      <c r="Q1104" s="4">
        <v>1</v>
      </c>
      <c r="R1104" s="4">
        <v>0</v>
      </c>
      <c r="S1104" s="4">
        <f>(H1104*INDEX('Stages'!$D$2:$D$7,MATCH(F1104,'Stages'!$A$2:$A$7,0)))</f>
        <v>0</v>
      </c>
      <c r="T1104" s="4">
        <f>(H1104*I1104)</f>
        <v>48100</v>
      </c>
      <c r="U1104" s="4">
        <f>(H1104*(I1104-1))</f>
        <v>0</v>
      </c>
      <c r="V1104" s="0" t="str">
        <f>INDEX('Account executives'!$B$2:$B$25,MATCH(C1104,'Account executives'!$A$2:$A$25,0))</f>
        <v>amer_east</v>
      </c>
      <c r="W1104" s="0" t="str">
        <f>INDEX('Account executives'!$C$2:$C$25,MATCH(C1104,'Account executives'!$A$2:$A$25,0))</f>
        <v>mid_market</v>
      </c>
      <c r="X1104" s="0" t="str">
        <f>SUBSTITUTE(LOWER(INDEX('Periods'!$G$2:$G$22,MATCH(N1104,'Periods'!$A$2:$A$22,0)))," ","_")</f>
        <v>q1_2026</v>
      </c>
    </row>
    <row r="1105">
      <c r="A1105" s="0" t="inlineStr">
        <is>
          <t xml:space="preserve">o1104</t>
        </is>
      </c>
      <c r="B1105" s="0" t="inlineStr">
        <is>
          <t xml:space="preserve">a0485</t>
        </is>
      </c>
      <c r="C1105" s="0" t="inlineStr">
        <is>
          <t xml:space="preserve">r04</t>
        </is>
      </c>
      <c r="D1105" s="0"/>
      <c r="E1105" s="0" t="inlineStr">
        <is>
          <t xml:space="preserve">partner</t>
        </is>
      </c>
      <c r="F1105" s="0" t="inlineStr">
        <is>
          <t xml:space="preserve">closed_won</t>
        </is>
      </c>
      <c r="G1105" s="4">
        <v>1</v>
      </c>
      <c r="H1105" s="4">
        <v>26900</v>
      </c>
      <c r="I1105" s="4">
        <v>1</v>
      </c>
      <c r="J1105" s="4">
        <v>0</v>
      </c>
      <c r="K1105" s="16">
        <v>45979</v>
      </c>
      <c r="L1105" s="16">
        <v>46001</v>
      </c>
      <c r="M1105" s="0" t="inlineStr">
        <is>
          <t xml:space="preserve">nov25</t>
        </is>
      </c>
      <c r="N1105" s="0" t="inlineStr">
        <is>
          <t xml:space="preserve">dec25</t>
        </is>
      </c>
      <c r="O1105" s="4">
        <v>22</v>
      </c>
      <c r="P1105" s="4">
        <v>1</v>
      </c>
      <c r="Q1105" s="4">
        <v>0</v>
      </c>
      <c r="R1105" s="4">
        <v>0</v>
      </c>
      <c r="S1105" s="4">
        <f>(H1105*INDEX('Stages'!$D$2:$D$7,MATCH(F1105,'Stages'!$A$2:$A$7,0)))</f>
        <v>26900</v>
      </c>
      <c r="T1105" s="4">
        <f>(H1105*I1105)</f>
        <v>26900</v>
      </c>
      <c r="U1105" s="4">
        <f>(H1105*(I1105-1))</f>
        <v>0</v>
      </c>
      <c r="V1105" s="0" t="str">
        <f>INDEX('Account executives'!$B$2:$B$25,MATCH(C1105,'Account executives'!$A$2:$A$25,0))</f>
        <v>amer_east</v>
      </c>
      <c r="W1105" s="0" t="str">
        <f>INDEX('Account executives'!$C$2:$C$25,MATCH(C1105,'Account executives'!$A$2:$A$25,0))</f>
        <v>mid_market</v>
      </c>
      <c r="X1105" s="0" t="str">
        <f>SUBSTITUTE(LOWER(INDEX('Periods'!$G$2:$G$22,MATCH(N1105,'Periods'!$A$2:$A$22,0)))," ","_")</f>
        <v>q4_2025</v>
      </c>
    </row>
    <row r="1106">
      <c r="A1106" s="0" t="inlineStr">
        <is>
          <t xml:space="preserve">o1105</t>
        </is>
      </c>
      <c r="B1106" s="0" t="inlineStr">
        <is>
          <t xml:space="preserve">a0723</t>
        </is>
      </c>
      <c r="C1106" s="0" t="inlineStr">
        <is>
          <t xml:space="preserve">r05</t>
        </is>
      </c>
      <c r="D1106" s="0" t="inlineStr">
        <is>
          <t xml:space="preserve">s_amer_east_in</t>
        </is>
      </c>
      <c r="E1106" s="0" t="inlineStr">
        <is>
          <t xml:space="preserve">inbound</t>
        </is>
      </c>
      <c r="F1106" s="0" t="inlineStr">
        <is>
          <t xml:space="preserve">closed_lost</t>
        </is>
      </c>
      <c r="G1106" s="4">
        <v>0</v>
      </c>
      <c r="H1106" s="4">
        <v>10400</v>
      </c>
      <c r="I1106" s="4">
        <v>1</v>
      </c>
      <c r="J1106" s="4">
        <v>0</v>
      </c>
      <c r="K1106" s="16">
        <v>46154</v>
      </c>
      <c r="L1106" s="16">
        <v>46178</v>
      </c>
      <c r="M1106" s="0" t="inlineStr">
        <is>
          <t xml:space="preserve">may26</t>
        </is>
      </c>
      <c r="N1106" s="0" t="inlineStr">
        <is>
          <t xml:space="preserve">jun26</t>
        </is>
      </c>
      <c r="O1106" s="4">
        <v>24</v>
      </c>
      <c r="P1106" s="4">
        <v>0</v>
      </c>
      <c r="Q1106" s="4">
        <v>1</v>
      </c>
      <c r="R1106" s="4">
        <v>0</v>
      </c>
      <c r="S1106" s="4">
        <f>(H1106*INDEX('Stages'!$D$2:$D$7,MATCH(F1106,'Stages'!$A$2:$A$7,0)))</f>
        <v>0</v>
      </c>
      <c r="T1106" s="4">
        <f>(H1106*I1106)</f>
        <v>10400</v>
      </c>
      <c r="U1106" s="4">
        <f>(H1106*(I1106-1))</f>
        <v>0</v>
      </c>
      <c r="V1106" s="0" t="str">
        <f>INDEX('Account executives'!$B$2:$B$25,MATCH(C1106,'Account executives'!$A$2:$A$25,0))</f>
        <v>amer_east</v>
      </c>
      <c r="W1106" s="0" t="str">
        <f>INDEX('Account executives'!$C$2:$C$25,MATCH(C1106,'Account executives'!$A$2:$A$25,0))</f>
        <v>smb</v>
      </c>
      <c r="X1106" s="0" t="str">
        <f>SUBSTITUTE(LOWER(INDEX('Periods'!$G$2:$G$22,MATCH(N1106,'Periods'!$A$2:$A$22,0)))," ","_")</f>
        <v>q2_2026</v>
      </c>
    </row>
    <row r="1107">
      <c r="A1107" s="0" t="inlineStr">
        <is>
          <t xml:space="preserve">o1106</t>
        </is>
      </c>
      <c r="B1107" s="0" t="inlineStr">
        <is>
          <t xml:space="preserve">a0461</t>
        </is>
      </c>
      <c r="C1107" s="0" t="inlineStr">
        <is>
          <t xml:space="preserve">r18</t>
        </is>
      </c>
      <c r="D1107" s="0"/>
      <c r="E1107" s="0" t="inlineStr">
        <is>
          <t xml:space="preserve">partner</t>
        </is>
      </c>
      <c r="F1107" s="0" t="inlineStr">
        <is>
          <t xml:space="preserve">closed_won</t>
        </is>
      </c>
      <c r="G1107" s="4">
        <v>1</v>
      </c>
      <c r="H1107" s="4">
        <v>17300</v>
      </c>
      <c r="I1107" s="4">
        <v>1</v>
      </c>
      <c r="J1107" s="4">
        <v>0</v>
      </c>
      <c r="K1107" s="16">
        <v>45950</v>
      </c>
      <c r="L1107" s="16">
        <v>45971</v>
      </c>
      <c r="M1107" s="0" t="inlineStr">
        <is>
          <t xml:space="preserve">oct25</t>
        </is>
      </c>
      <c r="N1107" s="0" t="inlineStr">
        <is>
          <t xml:space="preserve">nov25</t>
        </is>
      </c>
      <c r="O1107" s="4">
        <v>21</v>
      </c>
      <c r="P1107" s="4">
        <v>1</v>
      </c>
      <c r="Q1107" s="4">
        <v>0</v>
      </c>
      <c r="R1107" s="4">
        <v>0</v>
      </c>
      <c r="S1107" s="4">
        <f>(H1107*INDEX('Stages'!$D$2:$D$7,MATCH(F1107,'Stages'!$A$2:$A$7,0)))</f>
        <v>17300</v>
      </c>
      <c r="T1107" s="4">
        <f>(H1107*I1107)</f>
        <v>17300</v>
      </c>
      <c r="U1107" s="4">
        <f>(H1107*(I1107-1))</f>
        <v>0</v>
      </c>
      <c r="V1107" s="0" t="str">
        <f>INDEX('Account executives'!$B$2:$B$25,MATCH(C1107,'Account executives'!$A$2:$A$25,0))</f>
        <v>emea</v>
      </c>
      <c r="W1107" s="0" t="str">
        <f>INDEX('Account executives'!$C$2:$C$25,MATCH(C1107,'Account executives'!$A$2:$A$25,0))</f>
        <v>smb</v>
      </c>
      <c r="X1107" s="0" t="str">
        <f>SUBSTITUTE(LOWER(INDEX('Periods'!$G$2:$G$22,MATCH(N1107,'Periods'!$A$2:$A$22,0)))," ","_")</f>
        <v>q4_2025</v>
      </c>
    </row>
    <row r="1108">
      <c r="A1108" s="0" t="inlineStr">
        <is>
          <t xml:space="preserve">o1107</t>
        </is>
      </c>
      <c r="B1108" s="0" t="inlineStr">
        <is>
          <t xml:space="preserve">a0869</t>
        </is>
      </c>
      <c r="C1108" s="0" t="inlineStr">
        <is>
          <t xml:space="preserve">r18</t>
        </is>
      </c>
      <c r="D1108" s="0"/>
      <c r="E1108" s="0" t="inlineStr">
        <is>
          <t xml:space="preserve">partner</t>
        </is>
      </c>
      <c r="F1108" s="0" t="inlineStr">
        <is>
          <t xml:space="preserve">closed_won</t>
        </is>
      </c>
      <c r="G1108" s="4">
        <v>1</v>
      </c>
      <c r="H1108" s="4">
        <v>16700</v>
      </c>
      <c r="I1108" s="4">
        <v>1</v>
      </c>
      <c r="J1108" s="4">
        <v>1</v>
      </c>
      <c r="K1108" s="16">
        <v>46120</v>
      </c>
      <c r="L1108" s="16">
        <v>46137</v>
      </c>
      <c r="M1108" s="0" t="inlineStr">
        <is>
          <t xml:space="preserve">apr26</t>
        </is>
      </c>
      <c r="N1108" s="0" t="inlineStr">
        <is>
          <t xml:space="preserve">apr26</t>
        </is>
      </c>
      <c r="O1108" s="4">
        <v>17</v>
      </c>
      <c r="P1108" s="4">
        <v>1</v>
      </c>
      <c r="Q1108" s="4">
        <v>0</v>
      </c>
      <c r="R1108" s="4">
        <v>0</v>
      </c>
      <c r="S1108" s="4">
        <f>(H1108*INDEX('Stages'!$D$2:$D$7,MATCH(F1108,'Stages'!$A$2:$A$7,0)))</f>
        <v>16700</v>
      </c>
      <c r="T1108" s="4">
        <f>(H1108*I1108)</f>
        <v>16700</v>
      </c>
      <c r="U1108" s="4">
        <f>(H1108*(I1108-1))</f>
        <v>0</v>
      </c>
      <c r="V1108" s="0" t="str">
        <f>INDEX('Account executives'!$B$2:$B$25,MATCH(C1108,'Account executives'!$A$2:$A$25,0))</f>
        <v>emea</v>
      </c>
      <c r="W1108" s="0" t="str">
        <f>INDEX('Account executives'!$C$2:$C$25,MATCH(C1108,'Account executives'!$A$2:$A$25,0))</f>
        <v>smb</v>
      </c>
      <c r="X1108" s="0" t="str">
        <f>SUBSTITUTE(LOWER(INDEX('Periods'!$G$2:$G$22,MATCH(N1108,'Periods'!$A$2:$A$22,0)))," ","_")</f>
        <v>q2_2026</v>
      </c>
    </row>
    <row r="1109">
      <c r="A1109" s="0" t="inlineStr">
        <is>
          <t xml:space="preserve">o1108</t>
        </is>
      </c>
      <c r="B1109" s="0" t="inlineStr">
        <is>
          <t xml:space="preserve">a1109</t>
        </is>
      </c>
      <c r="C1109" s="0" t="inlineStr">
        <is>
          <t xml:space="preserve">r12</t>
        </is>
      </c>
      <c r="D1109" s="0" t="inlineStr">
        <is>
          <t xml:space="preserve">s_amer_west_out</t>
        </is>
      </c>
      <c r="E1109" s="0" t="inlineStr">
        <is>
          <t xml:space="preserve">outbound</t>
        </is>
      </c>
      <c r="F1109" s="0" t="inlineStr">
        <is>
          <t xml:space="preserve">closed_lost</t>
        </is>
      </c>
      <c r="G1109" s="4">
        <v>1</v>
      </c>
      <c r="H1109" s="4">
        <v>20600</v>
      </c>
      <c r="I1109" s="4">
        <v>1</v>
      </c>
      <c r="J1109" s="4">
        <v>1</v>
      </c>
      <c r="K1109" s="16">
        <v>46220</v>
      </c>
      <c r="L1109" s="16">
        <v>46253</v>
      </c>
      <c r="M1109" s="0" t="inlineStr">
        <is>
          <t xml:space="preserve">jul26</t>
        </is>
      </c>
      <c r="N1109" s="0" t="inlineStr">
        <is>
          <t xml:space="preserve">aug26</t>
        </is>
      </c>
      <c r="O1109" s="4">
        <v>33</v>
      </c>
      <c r="P1109" s="4">
        <v>0</v>
      </c>
      <c r="Q1109" s="4">
        <v>1</v>
      </c>
      <c r="R1109" s="4">
        <v>0</v>
      </c>
      <c r="S1109" s="4">
        <f>(H1109*INDEX('Stages'!$D$2:$D$7,MATCH(F1109,'Stages'!$A$2:$A$7,0)))</f>
        <v>0</v>
      </c>
      <c r="T1109" s="4">
        <f>(H1109*I1109)</f>
        <v>20600</v>
      </c>
      <c r="U1109" s="4">
        <f>(H1109*(I1109-1))</f>
        <v>0</v>
      </c>
      <c r="V1109" s="0" t="str">
        <f>INDEX('Account executives'!$B$2:$B$25,MATCH(C1109,'Account executives'!$A$2:$A$25,0))</f>
        <v>amer_west</v>
      </c>
      <c r="W1109" s="0" t="str">
        <f>INDEX('Account executives'!$C$2:$C$25,MATCH(C1109,'Account executives'!$A$2:$A$25,0))</f>
        <v>smb</v>
      </c>
      <c r="X1109" s="0" t="str">
        <f>SUBSTITUTE(LOWER(INDEX('Periods'!$G$2:$G$22,MATCH(N1109,'Periods'!$A$2:$A$22,0)))," ","_")</f>
        <v>q3_2026</v>
      </c>
    </row>
    <row r="1110">
      <c r="A1110" s="0" t="inlineStr">
        <is>
          <t xml:space="preserve">o1109</t>
        </is>
      </c>
      <c r="B1110" s="0" t="inlineStr">
        <is>
          <t xml:space="preserve">a0313</t>
        </is>
      </c>
      <c r="C1110" s="0" t="inlineStr">
        <is>
          <t xml:space="preserve">r04</t>
        </is>
      </c>
      <c r="D1110" s="0" t="inlineStr">
        <is>
          <t xml:space="preserve">s_amer_east_in</t>
        </is>
      </c>
      <c r="E1110" s="0" t="inlineStr">
        <is>
          <t xml:space="preserve">inbound</t>
        </is>
      </c>
      <c r="F1110" s="0" t="inlineStr">
        <is>
          <t xml:space="preserve">closed_won</t>
        </is>
      </c>
      <c r="G1110" s="4">
        <v>0</v>
      </c>
      <c r="H1110" s="4">
        <v>16900</v>
      </c>
      <c r="I1110" s="4">
        <v>2</v>
      </c>
      <c r="J1110" s="4">
        <v>1</v>
      </c>
      <c r="K1110" s="16">
        <v>45966</v>
      </c>
      <c r="L1110" s="16">
        <v>46025</v>
      </c>
      <c r="M1110" s="0" t="inlineStr">
        <is>
          <t xml:space="preserve">nov25</t>
        </is>
      </c>
      <c r="N1110" s="0" t="inlineStr">
        <is>
          <t xml:space="preserve">jan26</t>
        </is>
      </c>
      <c r="O1110" s="4">
        <v>59</v>
      </c>
      <c r="P1110" s="4">
        <v>1</v>
      </c>
      <c r="Q1110" s="4">
        <v>0</v>
      </c>
      <c r="R1110" s="4">
        <v>0</v>
      </c>
      <c r="S1110" s="4">
        <f>(H1110*INDEX('Stages'!$D$2:$D$7,MATCH(F1110,'Stages'!$A$2:$A$7,0)))</f>
        <v>16900</v>
      </c>
      <c r="T1110" s="4">
        <f>(H1110*I1110)</f>
        <v>33800</v>
      </c>
      <c r="U1110" s="4">
        <f>(H1110*(I1110-1))</f>
        <v>16900</v>
      </c>
      <c r="V1110" s="0" t="str">
        <f>INDEX('Account executives'!$B$2:$B$25,MATCH(C1110,'Account executives'!$A$2:$A$25,0))</f>
        <v>amer_east</v>
      </c>
      <c r="W1110" s="0" t="str">
        <f>INDEX('Account executives'!$C$2:$C$25,MATCH(C1110,'Account executives'!$A$2:$A$25,0))</f>
        <v>mid_market</v>
      </c>
      <c r="X1110" s="0" t="str">
        <f>SUBSTITUTE(LOWER(INDEX('Periods'!$G$2:$G$22,MATCH(N1110,'Periods'!$A$2:$A$22,0)))," ","_")</f>
        <v>q1_2026</v>
      </c>
    </row>
    <row r="1111">
      <c r="A1111" s="0" t="inlineStr">
        <is>
          <t xml:space="preserve">o1110</t>
        </is>
      </c>
      <c r="B1111" s="0" t="inlineStr">
        <is>
          <t xml:space="preserve">a0880</t>
        </is>
      </c>
      <c r="C1111" s="0" t="inlineStr">
        <is>
          <t xml:space="preserve">r22</t>
        </is>
      </c>
      <c r="D1111" s="0" t="inlineStr">
        <is>
          <t xml:space="preserve">s_apac_out</t>
        </is>
      </c>
      <c r="E1111" s="0" t="inlineStr">
        <is>
          <t xml:space="preserve">outbound</t>
        </is>
      </c>
      <c r="F1111" s="0" t="inlineStr">
        <is>
          <t xml:space="preserve">closed_lost</t>
        </is>
      </c>
      <c r="G1111" s="4">
        <v>1</v>
      </c>
      <c r="H1111" s="4">
        <v>38100</v>
      </c>
      <c r="I1111" s="4">
        <v>1</v>
      </c>
      <c r="J1111" s="4">
        <v>0</v>
      </c>
      <c r="K1111" s="16">
        <v>46135</v>
      </c>
      <c r="L1111" s="16">
        <v>46192</v>
      </c>
      <c r="M1111" s="0" t="inlineStr">
        <is>
          <t xml:space="preserve">apr26</t>
        </is>
      </c>
      <c r="N1111" s="0" t="inlineStr">
        <is>
          <t xml:space="preserve">jun26</t>
        </is>
      </c>
      <c r="O1111" s="4">
        <v>57</v>
      </c>
      <c r="P1111" s="4">
        <v>0</v>
      </c>
      <c r="Q1111" s="4">
        <v>1</v>
      </c>
      <c r="R1111" s="4">
        <v>0</v>
      </c>
      <c r="S1111" s="4">
        <f>(H1111*INDEX('Stages'!$D$2:$D$7,MATCH(F1111,'Stages'!$A$2:$A$7,0)))</f>
        <v>0</v>
      </c>
      <c r="T1111" s="4">
        <f>(H1111*I1111)</f>
        <v>38100</v>
      </c>
      <c r="U1111" s="4">
        <f>(H1111*(I1111-1))</f>
        <v>0</v>
      </c>
      <c r="V1111" s="0" t="str">
        <f>INDEX('Account executives'!$B$2:$B$25,MATCH(C1111,'Account executives'!$A$2:$A$25,0))</f>
        <v>apac</v>
      </c>
      <c r="W1111" s="0" t="str">
        <f>INDEX('Account executives'!$C$2:$C$25,MATCH(C1111,'Account executives'!$A$2:$A$25,0))</f>
        <v>mid_market</v>
      </c>
      <c r="X1111" s="0" t="str">
        <f>SUBSTITUTE(LOWER(INDEX('Periods'!$G$2:$G$22,MATCH(N1111,'Periods'!$A$2:$A$22,0)))," ","_")</f>
        <v>q2_2026</v>
      </c>
    </row>
    <row r="1112">
      <c r="A1112" s="0" t="inlineStr">
        <is>
          <t xml:space="preserve">o1111</t>
        </is>
      </c>
      <c r="B1112" s="0" t="inlineStr">
        <is>
          <t xml:space="preserve">a0224</t>
        </is>
      </c>
      <c r="C1112" s="0" t="inlineStr">
        <is>
          <t xml:space="preserve">r21</t>
        </is>
      </c>
      <c r="D1112" s="0" t="inlineStr">
        <is>
          <t xml:space="preserve">s_apac_in</t>
        </is>
      </c>
      <c r="E1112" s="0" t="inlineStr">
        <is>
          <t xml:space="preserve">inbound</t>
        </is>
      </c>
      <c r="F1112" s="0" t="inlineStr">
        <is>
          <t xml:space="preserve">closed_lost</t>
        </is>
      </c>
      <c r="G1112" s="4">
        <v>0</v>
      </c>
      <c r="H1112" s="4">
        <v>33700</v>
      </c>
      <c r="I1112" s="4">
        <v>1</v>
      </c>
      <c r="J1112" s="4">
        <v>0</v>
      </c>
      <c r="K1112" s="16">
        <v>45947</v>
      </c>
      <c r="L1112" s="16">
        <v>46007</v>
      </c>
      <c r="M1112" s="0" t="inlineStr">
        <is>
          <t xml:space="preserve">oct25</t>
        </is>
      </c>
      <c r="N1112" s="0" t="inlineStr">
        <is>
          <t xml:space="preserve">dec25</t>
        </is>
      </c>
      <c r="O1112" s="4">
        <v>60</v>
      </c>
      <c r="P1112" s="4">
        <v>0</v>
      </c>
      <c r="Q1112" s="4">
        <v>1</v>
      </c>
      <c r="R1112" s="4">
        <v>0</v>
      </c>
      <c r="S1112" s="4">
        <f>(H1112*INDEX('Stages'!$D$2:$D$7,MATCH(F1112,'Stages'!$A$2:$A$7,0)))</f>
        <v>0</v>
      </c>
      <c r="T1112" s="4">
        <f>(H1112*I1112)</f>
        <v>33700</v>
      </c>
      <c r="U1112" s="4">
        <f>(H1112*(I1112-1))</f>
        <v>0</v>
      </c>
      <c r="V1112" s="0" t="str">
        <f>INDEX('Account executives'!$B$2:$B$25,MATCH(C1112,'Account executives'!$A$2:$A$25,0))</f>
        <v>apac</v>
      </c>
      <c r="W1112" s="0" t="str">
        <f>INDEX('Account executives'!$C$2:$C$25,MATCH(C1112,'Account executives'!$A$2:$A$25,0))</f>
        <v>mid_market</v>
      </c>
      <c r="X1112" s="0" t="str">
        <f>SUBSTITUTE(LOWER(INDEX('Periods'!$G$2:$G$22,MATCH(N1112,'Periods'!$A$2:$A$22,0)))," ","_")</f>
        <v>q4_2025</v>
      </c>
    </row>
    <row r="1113">
      <c r="A1113" s="0" t="inlineStr">
        <is>
          <t xml:space="preserve">o1112</t>
        </is>
      </c>
      <c r="B1113" s="0" t="inlineStr">
        <is>
          <t xml:space="preserve">a0520</t>
        </is>
      </c>
      <c r="C1113" s="0" t="inlineStr">
        <is>
          <t xml:space="preserve">r17</t>
        </is>
      </c>
      <c r="D1113" s="0" t="inlineStr">
        <is>
          <t xml:space="preserve">s_emea_in</t>
        </is>
      </c>
      <c r="E1113" s="0" t="inlineStr">
        <is>
          <t xml:space="preserve">paid</t>
        </is>
      </c>
      <c r="F1113" s="0" t="inlineStr">
        <is>
          <t xml:space="preserve">closed_lost</t>
        </is>
      </c>
      <c r="G1113" s="4">
        <v>1</v>
      </c>
      <c r="H1113" s="4">
        <v>8500</v>
      </c>
      <c r="I1113" s="4">
        <v>2</v>
      </c>
      <c r="J1113" s="4">
        <v>1</v>
      </c>
      <c r="K1113" s="16">
        <v>45972</v>
      </c>
      <c r="L1113" s="16">
        <v>46008</v>
      </c>
      <c r="M1113" s="0" t="inlineStr">
        <is>
          <t xml:space="preserve">nov25</t>
        </is>
      </c>
      <c r="N1113" s="0" t="inlineStr">
        <is>
          <t xml:space="preserve">dec25</t>
        </is>
      </c>
      <c r="O1113" s="4">
        <v>36</v>
      </c>
      <c r="P1113" s="4">
        <v>0</v>
      </c>
      <c r="Q1113" s="4">
        <v>1</v>
      </c>
      <c r="R1113" s="4">
        <v>0</v>
      </c>
      <c r="S1113" s="4">
        <f>(H1113*INDEX('Stages'!$D$2:$D$7,MATCH(F1113,'Stages'!$A$2:$A$7,0)))</f>
        <v>0</v>
      </c>
      <c r="T1113" s="4">
        <f>(H1113*I1113)</f>
        <v>17000</v>
      </c>
      <c r="U1113" s="4">
        <f>(H1113*(I1113-1))</f>
        <v>8500</v>
      </c>
      <c r="V1113" s="0" t="str">
        <f>INDEX('Account executives'!$B$2:$B$25,MATCH(C1113,'Account executives'!$A$2:$A$25,0))</f>
        <v>emea</v>
      </c>
      <c r="W1113" s="0" t="str">
        <f>INDEX('Account executives'!$C$2:$C$25,MATCH(C1113,'Account executives'!$A$2:$A$25,0))</f>
        <v>smb</v>
      </c>
      <c r="X1113" s="0" t="str">
        <f>SUBSTITUTE(LOWER(INDEX('Periods'!$G$2:$G$22,MATCH(N1113,'Periods'!$A$2:$A$22,0)))," ","_")</f>
        <v>q4_2025</v>
      </c>
    </row>
    <row r="1114">
      <c r="A1114" s="0" t="inlineStr">
        <is>
          <t xml:space="preserve">o1113</t>
        </is>
      </c>
      <c r="B1114" s="0" t="inlineStr">
        <is>
          <t xml:space="preserve">a0966</t>
        </is>
      </c>
      <c r="C1114" s="0" t="inlineStr">
        <is>
          <t xml:space="preserve">r04</t>
        </is>
      </c>
      <c r="D1114" s="0" t="inlineStr">
        <is>
          <t xml:space="preserve">s_amer_east_in</t>
        </is>
      </c>
      <c r="E1114" s="0" t="inlineStr">
        <is>
          <t xml:space="preserve">paid</t>
        </is>
      </c>
      <c r="F1114" s="0" t="inlineStr">
        <is>
          <t xml:space="preserve">closed_lost</t>
        </is>
      </c>
      <c r="G1114" s="4">
        <v>1</v>
      </c>
      <c r="H1114" s="4">
        <v>78600</v>
      </c>
      <c r="I1114" s="4">
        <v>1</v>
      </c>
      <c r="J1114" s="4">
        <v>0</v>
      </c>
      <c r="K1114" s="16">
        <v>46183</v>
      </c>
      <c r="L1114" s="16">
        <v>46240</v>
      </c>
      <c r="M1114" s="0" t="inlineStr">
        <is>
          <t xml:space="preserve">jun26</t>
        </is>
      </c>
      <c r="N1114" s="0" t="inlineStr">
        <is>
          <t xml:space="preserve">aug26</t>
        </is>
      </c>
      <c r="O1114" s="4">
        <v>57</v>
      </c>
      <c r="P1114" s="4">
        <v>0</v>
      </c>
      <c r="Q1114" s="4">
        <v>1</v>
      </c>
      <c r="R1114" s="4">
        <v>0</v>
      </c>
      <c r="S1114" s="4">
        <f>(H1114*INDEX('Stages'!$D$2:$D$7,MATCH(F1114,'Stages'!$A$2:$A$7,0)))</f>
        <v>0</v>
      </c>
      <c r="T1114" s="4">
        <f>(H1114*I1114)</f>
        <v>78600</v>
      </c>
      <c r="U1114" s="4">
        <f>(H1114*(I1114-1))</f>
        <v>0</v>
      </c>
      <c r="V1114" s="0" t="str">
        <f>INDEX('Account executives'!$B$2:$B$25,MATCH(C1114,'Account executives'!$A$2:$A$25,0))</f>
        <v>amer_east</v>
      </c>
      <c r="W1114" s="0" t="str">
        <f>INDEX('Account executives'!$C$2:$C$25,MATCH(C1114,'Account executives'!$A$2:$A$25,0))</f>
        <v>mid_market</v>
      </c>
      <c r="X1114" s="0" t="str">
        <f>SUBSTITUTE(LOWER(INDEX('Periods'!$G$2:$G$22,MATCH(N1114,'Periods'!$A$2:$A$22,0)))," ","_")</f>
        <v>q3_2026</v>
      </c>
    </row>
    <row r="1115">
      <c r="A1115" s="0" t="inlineStr">
        <is>
          <t xml:space="preserve">o1114</t>
        </is>
      </c>
      <c r="B1115" s="0" t="inlineStr">
        <is>
          <t xml:space="preserve">a1194</t>
        </is>
      </c>
      <c r="C1115" s="0" t="inlineStr">
        <is>
          <t xml:space="preserve">r17</t>
        </is>
      </c>
      <c r="D1115" s="0" t="inlineStr">
        <is>
          <t xml:space="preserve">s_emea_out</t>
        </is>
      </c>
      <c r="E1115" s="0" t="inlineStr">
        <is>
          <t xml:space="preserve">outbound</t>
        </is>
      </c>
      <c r="F1115" s="0" t="inlineStr">
        <is>
          <t xml:space="preserve">proposal</t>
        </is>
      </c>
      <c r="G1115" s="4">
        <v>1</v>
      </c>
      <c r="H1115" s="4">
        <v>43600</v>
      </c>
      <c r="I1115" s="4">
        <v>1</v>
      </c>
      <c r="J1115" s="4">
        <v>0</v>
      </c>
      <c r="K1115" s="16">
        <v>46255</v>
      </c>
      <c r="L1115" s="16">
        <v>46324</v>
      </c>
      <c r="M1115" s="0" t="inlineStr">
        <is>
          <t xml:space="preserve">aug26</t>
        </is>
      </c>
      <c r="N1115" s="0" t="inlineStr">
        <is>
          <t xml:space="preserve">oct26</t>
        </is>
      </c>
      <c r="O1115" s="4">
        <v>33</v>
      </c>
      <c r="P1115" s="4">
        <v>0</v>
      </c>
      <c r="Q1115" s="4">
        <v>0</v>
      </c>
      <c r="R1115" s="4">
        <v>1</v>
      </c>
      <c r="S1115" s="4">
        <f>(H1115*INDEX('Stages'!$D$2:$D$7,MATCH(F1115,'Stages'!$A$2:$A$7,0)))</f>
        <v>21800</v>
      </c>
      <c r="T1115" s="4">
        <f>(H1115*I1115)</f>
        <v>43600</v>
      </c>
      <c r="U1115" s="4">
        <f>(H1115*(I1115-1))</f>
        <v>0</v>
      </c>
      <c r="V1115" s="0" t="str">
        <f>INDEX('Account executives'!$B$2:$B$25,MATCH(C1115,'Account executives'!$A$2:$A$25,0))</f>
        <v>emea</v>
      </c>
      <c r="W1115" s="0" t="str">
        <f>INDEX('Account executives'!$C$2:$C$25,MATCH(C1115,'Account executives'!$A$2:$A$25,0))</f>
        <v>smb</v>
      </c>
      <c r="X1115" s="0" t="str">
        <f>SUBSTITUTE(LOWER(INDEX('Periods'!$G$2:$G$22,MATCH(N1115,'Periods'!$A$2:$A$22,0)))," ","_")</f>
        <v>q4_2026</v>
      </c>
    </row>
    <row r="1116">
      <c r="A1116" s="0" t="inlineStr">
        <is>
          <t xml:space="preserve">o1115</t>
        </is>
      </c>
      <c r="B1116" s="0" t="inlineStr">
        <is>
          <t xml:space="preserve">a1060</t>
        </is>
      </c>
      <c r="C1116" s="0" t="inlineStr">
        <is>
          <t xml:space="preserve">r22</t>
        </is>
      </c>
      <c r="D1116" s="0" t="inlineStr">
        <is>
          <t xml:space="preserve">s_apac_out</t>
        </is>
      </c>
      <c r="E1116" s="0" t="inlineStr">
        <is>
          <t xml:space="preserve">outbound</t>
        </is>
      </c>
      <c r="F1116" s="0" t="inlineStr">
        <is>
          <t xml:space="preserve">closed_won</t>
        </is>
      </c>
      <c r="G1116" s="4">
        <v>1</v>
      </c>
      <c r="H1116" s="4">
        <v>45300</v>
      </c>
      <c r="I1116" s="4">
        <v>1</v>
      </c>
      <c r="J1116" s="4">
        <v>0</v>
      </c>
      <c r="K1116" s="16">
        <v>46199</v>
      </c>
      <c r="L1116" s="16">
        <v>46277</v>
      </c>
      <c r="M1116" s="0" t="inlineStr">
        <is>
          <t xml:space="preserve">jun26</t>
        </is>
      </c>
      <c r="N1116" s="0" t="inlineStr">
        <is>
          <t xml:space="preserve">sep26</t>
        </is>
      </c>
      <c r="O1116" s="4">
        <v>78</v>
      </c>
      <c r="P1116" s="4">
        <v>1</v>
      </c>
      <c r="Q1116" s="4">
        <v>0</v>
      </c>
      <c r="R1116" s="4">
        <v>0</v>
      </c>
      <c r="S1116" s="4">
        <f>(H1116*INDEX('Stages'!$D$2:$D$7,MATCH(F1116,'Stages'!$A$2:$A$7,0)))</f>
        <v>45300</v>
      </c>
      <c r="T1116" s="4">
        <f>(H1116*I1116)</f>
        <v>45300</v>
      </c>
      <c r="U1116" s="4">
        <f>(H1116*(I1116-1))</f>
        <v>0</v>
      </c>
      <c r="V1116" s="0" t="str">
        <f>INDEX('Account executives'!$B$2:$B$25,MATCH(C1116,'Account executives'!$A$2:$A$25,0))</f>
        <v>apac</v>
      </c>
      <c r="W1116" s="0" t="str">
        <f>INDEX('Account executives'!$C$2:$C$25,MATCH(C1116,'Account executives'!$A$2:$A$25,0))</f>
        <v>mid_market</v>
      </c>
      <c r="X1116" s="0" t="str">
        <f>SUBSTITUTE(LOWER(INDEX('Periods'!$G$2:$G$22,MATCH(N1116,'Periods'!$A$2:$A$22,0)))," ","_")</f>
        <v>q3_2026</v>
      </c>
    </row>
    <row r="1117">
      <c r="A1117" s="0" t="inlineStr">
        <is>
          <t xml:space="preserve">o1116</t>
        </is>
      </c>
      <c r="B1117" s="0" t="inlineStr">
        <is>
          <t xml:space="preserve">a0521</t>
        </is>
      </c>
      <c r="C1117" s="0" t="inlineStr">
        <is>
          <t xml:space="preserve">r13</t>
        </is>
      </c>
      <c r="D1117" s="0" t="inlineStr">
        <is>
          <t xml:space="preserve">s_emea_in</t>
        </is>
      </c>
      <c r="E1117" s="0" t="inlineStr">
        <is>
          <t xml:space="preserve">paid</t>
        </is>
      </c>
      <c r="F1117" s="0" t="inlineStr">
        <is>
          <t xml:space="preserve">closed_won</t>
        </is>
      </c>
      <c r="G1117" s="4">
        <v>1</v>
      </c>
      <c r="H1117" s="4">
        <v>115400</v>
      </c>
      <c r="I1117" s="4">
        <v>1</v>
      </c>
      <c r="J1117" s="4">
        <v>1</v>
      </c>
      <c r="K1117" s="16">
        <v>45987</v>
      </c>
      <c r="L1117" s="16">
        <v>46174</v>
      </c>
      <c r="M1117" s="0" t="inlineStr">
        <is>
          <t xml:space="preserve">nov25</t>
        </is>
      </c>
      <c r="N1117" s="0" t="inlineStr">
        <is>
          <t xml:space="preserve">jun26</t>
        </is>
      </c>
      <c r="O1117" s="4">
        <v>187</v>
      </c>
      <c r="P1117" s="4">
        <v>1</v>
      </c>
      <c r="Q1117" s="4">
        <v>0</v>
      </c>
      <c r="R1117" s="4">
        <v>0</v>
      </c>
      <c r="S1117" s="4">
        <f>(H1117*INDEX('Stages'!$D$2:$D$7,MATCH(F1117,'Stages'!$A$2:$A$7,0)))</f>
        <v>115400</v>
      </c>
      <c r="T1117" s="4">
        <f>(H1117*I1117)</f>
        <v>115400</v>
      </c>
      <c r="U1117" s="4">
        <f>(H1117*(I1117-1))</f>
        <v>0</v>
      </c>
      <c r="V1117" s="0" t="str">
        <f>INDEX('Account executives'!$B$2:$B$25,MATCH(C1117,'Account executives'!$A$2:$A$25,0))</f>
        <v>emea</v>
      </c>
      <c r="W1117" s="0" t="str">
        <f>INDEX('Account executives'!$C$2:$C$25,MATCH(C1117,'Account executives'!$A$2:$A$25,0))</f>
        <v>enterprise</v>
      </c>
      <c r="X1117" s="0" t="str">
        <f>SUBSTITUTE(LOWER(INDEX('Periods'!$G$2:$G$22,MATCH(N1117,'Periods'!$A$2:$A$22,0)))," ","_")</f>
        <v>q2_2026</v>
      </c>
    </row>
    <row r="1118">
      <c r="A1118" s="0" t="inlineStr">
        <is>
          <t xml:space="preserve">o1117</t>
        </is>
      </c>
      <c r="B1118" s="0" t="inlineStr">
        <is>
          <t xml:space="preserve">a0947</t>
        </is>
      </c>
      <c r="C1118" s="0" t="inlineStr">
        <is>
          <t xml:space="preserve">r22</t>
        </is>
      </c>
      <c r="D1118" s="0" t="inlineStr">
        <is>
          <t xml:space="preserve">s_apac_in</t>
        </is>
      </c>
      <c r="E1118" s="0" t="inlineStr">
        <is>
          <t xml:space="preserve">paid</t>
        </is>
      </c>
      <c r="F1118" s="0" t="inlineStr">
        <is>
          <t xml:space="preserve">closed_lost</t>
        </is>
      </c>
      <c r="G1118" s="4">
        <v>1</v>
      </c>
      <c r="H1118" s="4">
        <v>14200</v>
      </c>
      <c r="I1118" s="4">
        <v>2</v>
      </c>
      <c r="J1118" s="4">
        <v>1</v>
      </c>
      <c r="K1118" s="16">
        <v>46145</v>
      </c>
      <c r="L1118" s="16">
        <v>46205</v>
      </c>
      <c r="M1118" s="0" t="inlineStr">
        <is>
          <t xml:space="preserve">may26</t>
        </is>
      </c>
      <c r="N1118" s="0" t="inlineStr">
        <is>
          <t xml:space="preserve">jul26</t>
        </is>
      </c>
      <c r="O1118" s="4">
        <v>60</v>
      </c>
      <c r="P1118" s="4">
        <v>0</v>
      </c>
      <c r="Q1118" s="4">
        <v>1</v>
      </c>
      <c r="R1118" s="4">
        <v>0</v>
      </c>
      <c r="S1118" s="4">
        <f>(H1118*INDEX('Stages'!$D$2:$D$7,MATCH(F1118,'Stages'!$A$2:$A$7,0)))</f>
        <v>0</v>
      </c>
      <c r="T1118" s="4">
        <f>(H1118*I1118)</f>
        <v>28400</v>
      </c>
      <c r="U1118" s="4">
        <f>(H1118*(I1118-1))</f>
        <v>14200</v>
      </c>
      <c r="V1118" s="0" t="str">
        <f>INDEX('Account executives'!$B$2:$B$25,MATCH(C1118,'Account executives'!$A$2:$A$25,0))</f>
        <v>apac</v>
      </c>
      <c r="W1118" s="0" t="str">
        <f>INDEX('Account executives'!$C$2:$C$25,MATCH(C1118,'Account executives'!$A$2:$A$25,0))</f>
        <v>mid_market</v>
      </c>
      <c r="X1118" s="0" t="str">
        <f>SUBSTITUTE(LOWER(INDEX('Periods'!$G$2:$G$22,MATCH(N1118,'Periods'!$A$2:$A$22,0)))," ","_")</f>
        <v>q3_2026</v>
      </c>
    </row>
    <row r="1119">
      <c r="A1119" s="0" t="inlineStr">
        <is>
          <t xml:space="preserve">o1118</t>
        </is>
      </c>
      <c r="B1119" s="0" t="inlineStr">
        <is>
          <t xml:space="preserve">a0774</t>
        </is>
      </c>
      <c r="C1119" s="0" t="inlineStr">
        <is>
          <t xml:space="preserve">r17</t>
        </is>
      </c>
      <c r="D1119" s="0" t="inlineStr">
        <is>
          <t xml:space="preserve">s_emea_in</t>
        </is>
      </c>
      <c r="E1119" s="0" t="inlineStr">
        <is>
          <t xml:space="preserve">inbound</t>
        </is>
      </c>
      <c r="F1119" s="0" t="inlineStr">
        <is>
          <t xml:space="preserve">closed_won</t>
        </is>
      </c>
      <c r="G1119" s="4">
        <v>1</v>
      </c>
      <c r="H1119" s="4">
        <v>12600</v>
      </c>
      <c r="I1119" s="4">
        <v>1</v>
      </c>
      <c r="J1119" s="4">
        <v>0</v>
      </c>
      <c r="K1119" s="16">
        <v>46091</v>
      </c>
      <c r="L1119" s="16">
        <v>46124</v>
      </c>
      <c r="M1119" s="0" t="inlineStr">
        <is>
          <t xml:space="preserve">mar26</t>
        </is>
      </c>
      <c r="N1119" s="0" t="inlineStr">
        <is>
          <t xml:space="preserve">apr26</t>
        </is>
      </c>
      <c r="O1119" s="4">
        <v>33</v>
      </c>
      <c r="P1119" s="4">
        <v>1</v>
      </c>
      <c r="Q1119" s="4">
        <v>0</v>
      </c>
      <c r="R1119" s="4">
        <v>0</v>
      </c>
      <c r="S1119" s="4">
        <f>(H1119*INDEX('Stages'!$D$2:$D$7,MATCH(F1119,'Stages'!$A$2:$A$7,0)))</f>
        <v>12600</v>
      </c>
      <c r="T1119" s="4">
        <f>(H1119*I1119)</f>
        <v>12600</v>
      </c>
      <c r="U1119" s="4">
        <f>(H1119*(I1119-1))</f>
        <v>0</v>
      </c>
      <c r="V1119" s="0" t="str">
        <f>INDEX('Account executives'!$B$2:$B$25,MATCH(C1119,'Account executives'!$A$2:$A$25,0))</f>
        <v>emea</v>
      </c>
      <c r="W1119" s="0" t="str">
        <f>INDEX('Account executives'!$C$2:$C$25,MATCH(C1119,'Account executives'!$A$2:$A$25,0))</f>
        <v>smb</v>
      </c>
      <c r="X1119" s="0" t="str">
        <f>SUBSTITUTE(LOWER(INDEX('Periods'!$G$2:$G$22,MATCH(N1119,'Periods'!$A$2:$A$22,0)))," ","_")</f>
        <v>q2_2026</v>
      </c>
    </row>
    <row r="1120">
      <c r="A1120" s="0" t="inlineStr">
        <is>
          <t xml:space="preserve">o1119</t>
        </is>
      </c>
      <c r="B1120" s="0" t="inlineStr">
        <is>
          <t xml:space="preserve">a0345</t>
        </is>
      </c>
      <c r="C1120" s="0" t="inlineStr">
        <is>
          <t xml:space="preserve">r17</t>
        </is>
      </c>
      <c r="D1120" s="0" t="inlineStr">
        <is>
          <t xml:space="preserve">s_emea_in</t>
        </is>
      </c>
      <c r="E1120" s="0" t="inlineStr">
        <is>
          <t xml:space="preserve">inbound</t>
        </is>
      </c>
      <c r="F1120" s="0" t="inlineStr">
        <is>
          <t xml:space="preserve">closed_won</t>
        </is>
      </c>
      <c r="G1120" s="4">
        <v>0</v>
      </c>
      <c r="H1120" s="4">
        <v>5200</v>
      </c>
      <c r="I1120" s="4">
        <v>1</v>
      </c>
      <c r="J1120" s="4">
        <v>0</v>
      </c>
      <c r="K1120" s="16">
        <v>45947</v>
      </c>
      <c r="L1120" s="16">
        <v>45988</v>
      </c>
      <c r="M1120" s="0" t="inlineStr">
        <is>
          <t xml:space="preserve">oct25</t>
        </is>
      </c>
      <c r="N1120" s="0" t="inlineStr">
        <is>
          <t xml:space="preserve">nov25</t>
        </is>
      </c>
      <c r="O1120" s="4">
        <v>41</v>
      </c>
      <c r="P1120" s="4">
        <v>1</v>
      </c>
      <c r="Q1120" s="4">
        <v>0</v>
      </c>
      <c r="R1120" s="4">
        <v>0</v>
      </c>
      <c r="S1120" s="4">
        <f>(H1120*INDEX('Stages'!$D$2:$D$7,MATCH(F1120,'Stages'!$A$2:$A$7,0)))</f>
        <v>5200</v>
      </c>
      <c r="T1120" s="4">
        <f>(H1120*I1120)</f>
        <v>5200</v>
      </c>
      <c r="U1120" s="4">
        <f>(H1120*(I1120-1))</f>
        <v>0</v>
      </c>
      <c r="V1120" s="0" t="str">
        <f>INDEX('Account executives'!$B$2:$B$25,MATCH(C1120,'Account executives'!$A$2:$A$25,0))</f>
        <v>emea</v>
      </c>
      <c r="W1120" s="0" t="str">
        <f>INDEX('Account executives'!$C$2:$C$25,MATCH(C1120,'Account executives'!$A$2:$A$25,0))</f>
        <v>smb</v>
      </c>
      <c r="X1120" s="0" t="str">
        <f>SUBSTITUTE(LOWER(INDEX('Periods'!$G$2:$G$22,MATCH(N1120,'Periods'!$A$2:$A$22,0)))," ","_")</f>
        <v>q4_2025</v>
      </c>
    </row>
    <row r="1121">
      <c r="A1121" s="0" t="inlineStr">
        <is>
          <t xml:space="preserve">o1120</t>
        </is>
      </c>
      <c r="B1121" s="0" t="inlineStr">
        <is>
          <t xml:space="preserve">a0338</t>
        </is>
      </c>
      <c r="C1121" s="0" t="inlineStr">
        <is>
          <t xml:space="preserve">r15</t>
        </is>
      </c>
      <c r="D1121" s="0" t="inlineStr">
        <is>
          <t xml:space="preserve">s_emea_in</t>
        </is>
      </c>
      <c r="E1121" s="0" t="inlineStr">
        <is>
          <t xml:space="preserve">inbound</t>
        </is>
      </c>
      <c r="F1121" s="0" t="inlineStr">
        <is>
          <t xml:space="preserve">closed_lost</t>
        </is>
      </c>
      <c r="G1121" s="4">
        <v>1</v>
      </c>
      <c r="H1121" s="4">
        <v>47100</v>
      </c>
      <c r="I1121" s="4">
        <v>1</v>
      </c>
      <c r="J1121" s="4">
        <v>1</v>
      </c>
      <c r="K1121" s="16">
        <v>45885</v>
      </c>
      <c r="L1121" s="16">
        <v>45927</v>
      </c>
      <c r="M1121" s="0" t="inlineStr">
        <is>
          <t xml:space="preserve">aug25</t>
        </is>
      </c>
      <c r="N1121" s="0" t="inlineStr">
        <is>
          <t xml:space="preserve">sep25</t>
        </is>
      </c>
      <c r="O1121" s="4">
        <v>42</v>
      </c>
      <c r="P1121" s="4">
        <v>0</v>
      </c>
      <c r="Q1121" s="4">
        <v>1</v>
      </c>
      <c r="R1121" s="4">
        <v>0</v>
      </c>
      <c r="S1121" s="4">
        <f>(H1121*INDEX('Stages'!$D$2:$D$7,MATCH(F1121,'Stages'!$A$2:$A$7,0)))</f>
        <v>0</v>
      </c>
      <c r="T1121" s="4">
        <f>(H1121*I1121)</f>
        <v>47100</v>
      </c>
      <c r="U1121" s="4">
        <f>(H1121*(I1121-1))</f>
        <v>0</v>
      </c>
      <c r="V1121" s="0" t="str">
        <f>INDEX('Account executives'!$B$2:$B$25,MATCH(C1121,'Account executives'!$A$2:$A$25,0))</f>
        <v>emea</v>
      </c>
      <c r="W1121" s="0" t="str">
        <f>INDEX('Account executives'!$C$2:$C$25,MATCH(C1121,'Account executives'!$A$2:$A$25,0))</f>
        <v>mid_market</v>
      </c>
      <c r="X1121" s="0" t="str">
        <f>SUBSTITUTE(LOWER(INDEX('Periods'!$G$2:$G$22,MATCH(N1121,'Periods'!$A$2:$A$22,0)))," ","_")</f>
        <v>q3_2025</v>
      </c>
    </row>
    <row r="1122">
      <c r="A1122" s="0" t="inlineStr">
        <is>
          <t xml:space="preserve">o1121</t>
        </is>
      </c>
      <c r="B1122" s="0" t="inlineStr">
        <is>
          <t xml:space="preserve">a0228</t>
        </is>
      </c>
      <c r="C1122" s="0" t="inlineStr">
        <is>
          <t xml:space="preserve">r21</t>
        </is>
      </c>
      <c r="D1122" s="0"/>
      <c r="E1122" s="0" t="inlineStr">
        <is>
          <t xml:space="preserve">events</t>
        </is>
      </c>
      <c r="F1122" s="0" t="inlineStr">
        <is>
          <t xml:space="preserve">closed_won</t>
        </is>
      </c>
      <c r="G1122" s="4">
        <v>1</v>
      </c>
      <c r="H1122" s="4">
        <v>29400</v>
      </c>
      <c r="I1122" s="4">
        <v>1</v>
      </c>
      <c r="J1122" s="4">
        <v>0</v>
      </c>
      <c r="K1122" s="16">
        <v>45833</v>
      </c>
      <c r="L1122" s="16">
        <v>45890</v>
      </c>
      <c r="M1122" s="0" t="inlineStr">
        <is>
          <t xml:space="preserve">jun25</t>
        </is>
      </c>
      <c r="N1122" s="0" t="inlineStr">
        <is>
          <t xml:space="preserve">aug25</t>
        </is>
      </c>
      <c r="O1122" s="4">
        <v>57</v>
      </c>
      <c r="P1122" s="4">
        <v>1</v>
      </c>
      <c r="Q1122" s="4">
        <v>0</v>
      </c>
      <c r="R1122" s="4">
        <v>0</v>
      </c>
      <c r="S1122" s="4">
        <f>(H1122*INDEX('Stages'!$D$2:$D$7,MATCH(F1122,'Stages'!$A$2:$A$7,0)))</f>
        <v>29400</v>
      </c>
      <c r="T1122" s="4">
        <f>(H1122*I1122)</f>
        <v>29400</v>
      </c>
      <c r="U1122" s="4">
        <f>(H1122*(I1122-1))</f>
        <v>0</v>
      </c>
      <c r="V1122" s="0" t="str">
        <f>INDEX('Account executives'!$B$2:$B$25,MATCH(C1122,'Account executives'!$A$2:$A$25,0))</f>
        <v>apac</v>
      </c>
      <c r="W1122" s="0" t="str">
        <f>INDEX('Account executives'!$C$2:$C$25,MATCH(C1122,'Account executives'!$A$2:$A$25,0))</f>
        <v>mid_market</v>
      </c>
      <c r="X1122" s="0" t="str">
        <f>SUBSTITUTE(LOWER(INDEX('Periods'!$G$2:$G$22,MATCH(N1122,'Periods'!$A$2:$A$22,0)))," ","_")</f>
        <v>q3_2025</v>
      </c>
    </row>
    <row r="1123">
      <c r="A1123" s="0" t="inlineStr">
        <is>
          <t xml:space="preserve">o1122</t>
        </is>
      </c>
      <c r="B1123" s="0" t="inlineStr">
        <is>
          <t xml:space="preserve">a0201</t>
        </is>
      </c>
      <c r="C1123" s="0" t="inlineStr">
        <is>
          <t xml:space="preserve">r12</t>
        </is>
      </c>
      <c r="D1123" s="0" t="inlineStr">
        <is>
          <t xml:space="preserve">s_amer_west_out</t>
        </is>
      </c>
      <c r="E1123" s="0" t="inlineStr">
        <is>
          <t xml:space="preserve">outbound</t>
        </is>
      </c>
      <c r="F1123" s="0" t="inlineStr">
        <is>
          <t xml:space="preserve">closed_lost</t>
        </is>
      </c>
      <c r="G1123" s="4">
        <v>1</v>
      </c>
      <c r="H1123" s="4">
        <v>24700</v>
      </c>
      <c r="I1123" s="4">
        <v>1</v>
      </c>
      <c r="J1123" s="4">
        <v>1</v>
      </c>
      <c r="K1123" s="16">
        <v>45812</v>
      </c>
      <c r="L1123" s="16">
        <v>45841</v>
      </c>
      <c r="M1123" s="0" t="inlineStr">
        <is>
          <t xml:space="preserve">jun25</t>
        </is>
      </c>
      <c r="N1123" s="0" t="inlineStr">
        <is>
          <t xml:space="preserve">jul25</t>
        </is>
      </c>
      <c r="O1123" s="4">
        <v>29</v>
      </c>
      <c r="P1123" s="4">
        <v>0</v>
      </c>
      <c r="Q1123" s="4">
        <v>1</v>
      </c>
      <c r="R1123" s="4">
        <v>0</v>
      </c>
      <c r="S1123" s="4">
        <f>(H1123*INDEX('Stages'!$D$2:$D$7,MATCH(F1123,'Stages'!$A$2:$A$7,0)))</f>
        <v>0</v>
      </c>
      <c r="T1123" s="4">
        <f>(H1123*I1123)</f>
        <v>24700</v>
      </c>
      <c r="U1123" s="4">
        <f>(H1123*(I1123-1))</f>
        <v>0</v>
      </c>
      <c r="V1123" s="0" t="str">
        <f>INDEX('Account executives'!$B$2:$B$25,MATCH(C1123,'Account executives'!$A$2:$A$25,0))</f>
        <v>amer_west</v>
      </c>
      <c r="W1123" s="0" t="str">
        <f>INDEX('Account executives'!$C$2:$C$25,MATCH(C1123,'Account executives'!$A$2:$A$25,0))</f>
        <v>smb</v>
      </c>
      <c r="X1123" s="0" t="str">
        <f>SUBSTITUTE(LOWER(INDEX('Periods'!$G$2:$G$22,MATCH(N1123,'Periods'!$A$2:$A$22,0)))," ","_")</f>
        <v>q3_2025</v>
      </c>
    </row>
    <row r="1124">
      <c r="A1124" s="0" t="inlineStr">
        <is>
          <t xml:space="preserve">o1123</t>
        </is>
      </c>
      <c r="B1124" s="0" t="inlineStr">
        <is>
          <t xml:space="preserve">a0925</t>
        </is>
      </c>
      <c r="C1124" s="0" t="inlineStr">
        <is>
          <t xml:space="preserve">r12</t>
        </is>
      </c>
      <c r="D1124" s="0"/>
      <c r="E1124" s="0" t="inlineStr">
        <is>
          <t xml:space="preserve">partner</t>
        </is>
      </c>
      <c r="F1124" s="0" t="inlineStr">
        <is>
          <t xml:space="preserve">closed_lost</t>
        </is>
      </c>
      <c r="G1124" s="4">
        <v>1</v>
      </c>
      <c r="H1124" s="4">
        <v>25600</v>
      </c>
      <c r="I1124" s="4">
        <v>1</v>
      </c>
      <c r="J1124" s="4">
        <v>1</v>
      </c>
      <c r="K1124" s="16">
        <v>46152</v>
      </c>
      <c r="L1124" s="16">
        <v>46172</v>
      </c>
      <c r="M1124" s="0" t="inlineStr">
        <is>
          <t xml:space="preserve">may26</t>
        </is>
      </c>
      <c r="N1124" s="0" t="inlineStr">
        <is>
          <t xml:space="preserve">may26</t>
        </is>
      </c>
      <c r="O1124" s="4">
        <v>20</v>
      </c>
      <c r="P1124" s="4">
        <v>0</v>
      </c>
      <c r="Q1124" s="4">
        <v>1</v>
      </c>
      <c r="R1124" s="4">
        <v>0</v>
      </c>
      <c r="S1124" s="4">
        <f>(H1124*INDEX('Stages'!$D$2:$D$7,MATCH(F1124,'Stages'!$A$2:$A$7,0)))</f>
        <v>0</v>
      </c>
      <c r="T1124" s="4">
        <f>(H1124*I1124)</f>
        <v>25600</v>
      </c>
      <c r="U1124" s="4">
        <f>(H1124*(I1124-1))</f>
        <v>0</v>
      </c>
      <c r="V1124" s="0" t="str">
        <f>INDEX('Account executives'!$B$2:$B$25,MATCH(C1124,'Account executives'!$A$2:$A$25,0))</f>
        <v>amer_west</v>
      </c>
      <c r="W1124" s="0" t="str">
        <f>INDEX('Account executives'!$C$2:$C$25,MATCH(C1124,'Account executives'!$A$2:$A$25,0))</f>
        <v>smb</v>
      </c>
      <c r="X1124" s="0" t="str">
        <f>SUBSTITUTE(LOWER(INDEX('Periods'!$G$2:$G$22,MATCH(N1124,'Periods'!$A$2:$A$22,0)))," ","_")</f>
        <v>q2_2026</v>
      </c>
    </row>
    <row r="1125">
      <c r="A1125" s="0" t="inlineStr">
        <is>
          <t xml:space="preserve">o1124</t>
        </is>
      </c>
      <c r="B1125" s="0" t="inlineStr">
        <is>
          <t xml:space="preserve">a1040</t>
        </is>
      </c>
      <c r="C1125" s="0" t="inlineStr">
        <is>
          <t xml:space="preserve">r23</t>
        </is>
      </c>
      <c r="D1125" s="0" t="inlineStr">
        <is>
          <t xml:space="preserve">s_apac_in</t>
        </is>
      </c>
      <c r="E1125" s="0" t="inlineStr">
        <is>
          <t xml:space="preserve">inbound</t>
        </is>
      </c>
      <c r="F1125" s="0" t="inlineStr">
        <is>
          <t xml:space="preserve">closed_won</t>
        </is>
      </c>
      <c r="G1125" s="4">
        <v>1</v>
      </c>
      <c r="H1125" s="4">
        <v>11000</v>
      </c>
      <c r="I1125" s="4">
        <v>1</v>
      </c>
      <c r="J1125" s="4">
        <v>1</v>
      </c>
      <c r="K1125" s="16">
        <v>46180</v>
      </c>
      <c r="L1125" s="16">
        <v>46196</v>
      </c>
      <c r="M1125" s="0" t="inlineStr">
        <is>
          <t xml:space="preserve">jun26</t>
        </is>
      </c>
      <c r="N1125" s="0" t="inlineStr">
        <is>
          <t xml:space="preserve">jun26</t>
        </is>
      </c>
      <c r="O1125" s="4">
        <v>16</v>
      </c>
      <c r="P1125" s="4">
        <v>1</v>
      </c>
      <c r="Q1125" s="4">
        <v>0</v>
      </c>
      <c r="R1125" s="4">
        <v>0</v>
      </c>
      <c r="S1125" s="4">
        <f>(H1125*INDEX('Stages'!$D$2:$D$7,MATCH(F1125,'Stages'!$A$2:$A$7,0)))</f>
        <v>11000</v>
      </c>
      <c r="T1125" s="4">
        <f>(H1125*I1125)</f>
        <v>11000</v>
      </c>
      <c r="U1125" s="4">
        <f>(H1125*(I1125-1))</f>
        <v>0</v>
      </c>
      <c r="V1125" s="0" t="str">
        <f>INDEX('Account executives'!$B$2:$B$25,MATCH(C1125,'Account executives'!$A$2:$A$25,0))</f>
        <v>apac</v>
      </c>
      <c r="W1125" s="0" t="str">
        <f>INDEX('Account executives'!$C$2:$C$25,MATCH(C1125,'Account executives'!$A$2:$A$25,0))</f>
        <v>smb</v>
      </c>
      <c r="X1125" s="0" t="str">
        <f>SUBSTITUTE(LOWER(INDEX('Periods'!$G$2:$G$22,MATCH(N1125,'Periods'!$A$2:$A$22,0)))," ","_")</f>
        <v>q2_2026</v>
      </c>
    </row>
    <row r="1126">
      <c r="A1126" s="0" t="inlineStr">
        <is>
          <t xml:space="preserve">o1125</t>
        </is>
      </c>
      <c r="B1126" s="0" t="inlineStr">
        <is>
          <t xml:space="preserve">a0578</t>
        </is>
      </c>
      <c r="C1126" s="0" t="inlineStr">
        <is>
          <t xml:space="preserve">r09</t>
        </is>
      </c>
      <c r="D1126" s="0" t="inlineStr">
        <is>
          <t xml:space="preserve">s_amer_west_out</t>
        </is>
      </c>
      <c r="E1126" s="0" t="inlineStr">
        <is>
          <t xml:space="preserve">outbound</t>
        </is>
      </c>
      <c r="F1126" s="0" t="inlineStr">
        <is>
          <t xml:space="preserve">closed_won</t>
        </is>
      </c>
      <c r="G1126" s="4">
        <v>1</v>
      </c>
      <c r="H1126" s="4">
        <v>7100</v>
      </c>
      <c r="I1126" s="4">
        <v>1</v>
      </c>
      <c r="J1126" s="4">
        <v>0</v>
      </c>
      <c r="K1126" s="16">
        <v>46013</v>
      </c>
      <c r="L1126" s="16">
        <v>46083</v>
      </c>
      <c r="M1126" s="0" t="inlineStr">
        <is>
          <t xml:space="preserve">dec25</t>
        </is>
      </c>
      <c r="N1126" s="0" t="inlineStr">
        <is>
          <t xml:space="preserve">mar26</t>
        </is>
      </c>
      <c r="O1126" s="4">
        <v>70</v>
      </c>
      <c r="P1126" s="4">
        <v>1</v>
      </c>
      <c r="Q1126" s="4">
        <v>0</v>
      </c>
      <c r="R1126" s="4">
        <v>0</v>
      </c>
      <c r="S1126" s="4">
        <f>(H1126*INDEX('Stages'!$D$2:$D$7,MATCH(F1126,'Stages'!$A$2:$A$7,0)))</f>
        <v>7100</v>
      </c>
      <c r="T1126" s="4">
        <f>(H1126*I1126)</f>
        <v>7100</v>
      </c>
      <c r="U1126" s="4">
        <f>(H1126*(I1126-1))</f>
        <v>0</v>
      </c>
      <c r="V1126" s="0" t="str">
        <f>INDEX('Account executives'!$B$2:$B$25,MATCH(C1126,'Account executives'!$A$2:$A$25,0))</f>
        <v>amer_west</v>
      </c>
      <c r="W1126" s="0" t="str">
        <f>INDEX('Account executives'!$C$2:$C$25,MATCH(C1126,'Account executives'!$A$2:$A$25,0))</f>
        <v>mid_market</v>
      </c>
      <c r="X1126" s="0" t="str">
        <f>SUBSTITUTE(LOWER(INDEX('Periods'!$G$2:$G$22,MATCH(N1126,'Periods'!$A$2:$A$22,0)))," ","_")</f>
        <v>q1_2026</v>
      </c>
    </row>
    <row r="1127">
      <c r="A1127" s="0" t="inlineStr">
        <is>
          <t xml:space="preserve">o1126</t>
        </is>
      </c>
      <c r="B1127" s="0" t="inlineStr">
        <is>
          <t xml:space="preserve">a0122</t>
        </is>
      </c>
      <c r="C1127" s="0" t="inlineStr">
        <is>
          <t xml:space="preserve">r18</t>
        </is>
      </c>
      <c r="D1127" s="0" t="inlineStr">
        <is>
          <t xml:space="preserve">s_emea_in</t>
        </is>
      </c>
      <c r="E1127" s="0" t="inlineStr">
        <is>
          <t xml:space="preserve">inbound</t>
        </is>
      </c>
      <c r="F1127" s="0" t="inlineStr">
        <is>
          <t xml:space="preserve">closed_lost</t>
        </is>
      </c>
      <c r="G1127" s="4">
        <v>1</v>
      </c>
      <c r="H1127" s="4">
        <v>40000</v>
      </c>
      <c r="I1127" s="4">
        <v>1</v>
      </c>
      <c r="J1127" s="4">
        <v>0</v>
      </c>
      <c r="K1127" s="16">
        <v>45790</v>
      </c>
      <c r="L1127" s="16">
        <v>45833</v>
      </c>
      <c r="M1127" s="0" t="inlineStr">
        <is>
          <t xml:space="preserve">may25</t>
        </is>
      </c>
      <c r="N1127" s="0" t="inlineStr">
        <is>
          <t xml:space="preserve">jun25</t>
        </is>
      </c>
      <c r="O1127" s="4">
        <v>43</v>
      </c>
      <c r="P1127" s="4">
        <v>0</v>
      </c>
      <c r="Q1127" s="4">
        <v>1</v>
      </c>
      <c r="R1127" s="4">
        <v>0</v>
      </c>
      <c r="S1127" s="4">
        <f>(H1127*INDEX('Stages'!$D$2:$D$7,MATCH(F1127,'Stages'!$A$2:$A$7,0)))</f>
        <v>0</v>
      </c>
      <c r="T1127" s="4">
        <f>(H1127*I1127)</f>
        <v>40000</v>
      </c>
      <c r="U1127" s="4">
        <f>(H1127*(I1127-1))</f>
        <v>0</v>
      </c>
      <c r="V1127" s="0" t="str">
        <f>INDEX('Account executives'!$B$2:$B$25,MATCH(C1127,'Account executives'!$A$2:$A$25,0))</f>
        <v>emea</v>
      </c>
      <c r="W1127" s="0" t="str">
        <f>INDEX('Account executives'!$C$2:$C$25,MATCH(C1127,'Account executives'!$A$2:$A$25,0))</f>
        <v>smb</v>
      </c>
      <c r="X1127" s="0" t="str">
        <f>SUBSTITUTE(LOWER(INDEX('Periods'!$G$2:$G$22,MATCH(N1127,'Periods'!$A$2:$A$22,0)))," ","_")</f>
        <v>q2_2025</v>
      </c>
    </row>
    <row r="1128">
      <c r="A1128" s="0" t="inlineStr">
        <is>
          <t xml:space="preserve">o1127</t>
        </is>
      </c>
      <c r="B1128" s="0" t="inlineStr">
        <is>
          <t xml:space="preserve">a0073</t>
        </is>
      </c>
      <c r="C1128" s="0" t="inlineStr">
        <is>
          <t xml:space="preserve">r05</t>
        </is>
      </c>
      <c r="D1128" s="0" t="inlineStr">
        <is>
          <t xml:space="preserve">s_amer_east_in</t>
        </is>
      </c>
      <c r="E1128" s="0" t="inlineStr">
        <is>
          <t xml:space="preserve">paid</t>
        </is>
      </c>
      <c r="F1128" s="0" t="inlineStr">
        <is>
          <t xml:space="preserve">closed_won</t>
        </is>
      </c>
      <c r="G1128" s="4">
        <v>1</v>
      </c>
      <c r="H1128" s="4">
        <v>13600</v>
      </c>
      <c r="I1128" s="4">
        <v>1</v>
      </c>
      <c r="J1128" s="4">
        <v>1</v>
      </c>
      <c r="K1128" s="16">
        <v>45787</v>
      </c>
      <c r="L1128" s="16">
        <v>45810</v>
      </c>
      <c r="M1128" s="0" t="inlineStr">
        <is>
          <t xml:space="preserve">may25</t>
        </is>
      </c>
      <c r="N1128" s="0" t="inlineStr">
        <is>
          <t xml:space="preserve">jun25</t>
        </is>
      </c>
      <c r="O1128" s="4">
        <v>23</v>
      </c>
      <c r="P1128" s="4">
        <v>1</v>
      </c>
      <c r="Q1128" s="4">
        <v>0</v>
      </c>
      <c r="R1128" s="4">
        <v>0</v>
      </c>
      <c r="S1128" s="4">
        <f>(H1128*INDEX('Stages'!$D$2:$D$7,MATCH(F1128,'Stages'!$A$2:$A$7,0)))</f>
        <v>13600</v>
      </c>
      <c r="T1128" s="4">
        <f>(H1128*I1128)</f>
        <v>13600</v>
      </c>
      <c r="U1128" s="4">
        <f>(H1128*(I1128-1))</f>
        <v>0</v>
      </c>
      <c r="V1128" s="0" t="str">
        <f>INDEX('Account executives'!$B$2:$B$25,MATCH(C1128,'Account executives'!$A$2:$A$25,0))</f>
        <v>amer_east</v>
      </c>
      <c r="W1128" s="0" t="str">
        <f>INDEX('Account executives'!$C$2:$C$25,MATCH(C1128,'Account executives'!$A$2:$A$25,0))</f>
        <v>smb</v>
      </c>
      <c r="X1128" s="0" t="str">
        <f>SUBSTITUTE(LOWER(INDEX('Periods'!$G$2:$G$22,MATCH(N1128,'Periods'!$A$2:$A$22,0)))," ","_")</f>
        <v>q2_2025</v>
      </c>
    </row>
    <row r="1129">
      <c r="A1129" s="0" t="inlineStr">
        <is>
          <t xml:space="preserve">o1128</t>
        </is>
      </c>
      <c r="B1129" s="0" t="inlineStr">
        <is>
          <t xml:space="preserve">a1095</t>
        </is>
      </c>
      <c r="C1129" s="0" t="inlineStr">
        <is>
          <t xml:space="preserve">r09</t>
        </is>
      </c>
      <c r="D1129" s="0" t="inlineStr">
        <is>
          <t xml:space="preserve">s_amer_west_in</t>
        </is>
      </c>
      <c r="E1129" s="0" t="inlineStr">
        <is>
          <t xml:space="preserve">inbound</t>
        </is>
      </c>
      <c r="F1129" s="0" t="inlineStr">
        <is>
          <t xml:space="preserve">closed_lost</t>
        </is>
      </c>
      <c r="G1129" s="4">
        <v>1</v>
      </c>
      <c r="H1129" s="4">
        <v>51100</v>
      </c>
      <c r="I1129" s="4">
        <v>1</v>
      </c>
      <c r="J1129" s="4">
        <v>1</v>
      </c>
      <c r="K1129" s="16">
        <v>46222</v>
      </c>
      <c r="L1129" s="16">
        <v>46255</v>
      </c>
      <c r="M1129" s="0" t="inlineStr">
        <is>
          <t xml:space="preserve">jul26</t>
        </is>
      </c>
      <c r="N1129" s="0" t="inlineStr">
        <is>
          <t xml:space="preserve">aug26</t>
        </is>
      </c>
      <c r="O1129" s="4">
        <v>33</v>
      </c>
      <c r="P1129" s="4">
        <v>0</v>
      </c>
      <c r="Q1129" s="4">
        <v>1</v>
      </c>
      <c r="R1129" s="4">
        <v>0</v>
      </c>
      <c r="S1129" s="4">
        <f>(H1129*INDEX('Stages'!$D$2:$D$7,MATCH(F1129,'Stages'!$A$2:$A$7,0)))</f>
        <v>0</v>
      </c>
      <c r="T1129" s="4">
        <f>(H1129*I1129)</f>
        <v>51100</v>
      </c>
      <c r="U1129" s="4">
        <f>(H1129*(I1129-1))</f>
        <v>0</v>
      </c>
      <c r="V1129" s="0" t="str">
        <f>INDEX('Account executives'!$B$2:$B$25,MATCH(C1129,'Account executives'!$A$2:$A$25,0))</f>
        <v>amer_west</v>
      </c>
      <c r="W1129" s="0" t="str">
        <f>INDEX('Account executives'!$C$2:$C$25,MATCH(C1129,'Account executives'!$A$2:$A$25,0))</f>
        <v>mid_market</v>
      </c>
      <c r="X1129" s="0" t="str">
        <f>SUBSTITUTE(LOWER(INDEX('Periods'!$G$2:$G$22,MATCH(N1129,'Periods'!$A$2:$A$22,0)))," ","_")</f>
        <v>q3_2026</v>
      </c>
    </row>
    <row r="1130">
      <c r="A1130" s="0" t="inlineStr">
        <is>
          <t xml:space="preserve">o1129</t>
        </is>
      </c>
      <c r="B1130" s="0" t="inlineStr">
        <is>
          <t xml:space="preserve">a0298</t>
        </is>
      </c>
      <c r="C1130" s="0" t="inlineStr">
        <is>
          <t xml:space="preserve">r21</t>
        </is>
      </c>
      <c r="D1130" s="0"/>
      <c r="E1130" s="0" t="inlineStr">
        <is>
          <t xml:space="preserve">events</t>
        </is>
      </c>
      <c r="F1130" s="0" t="inlineStr">
        <is>
          <t xml:space="preserve">closed_lost</t>
        </is>
      </c>
      <c r="G1130" s="4">
        <v>0</v>
      </c>
      <c r="H1130" s="4">
        <v>8900</v>
      </c>
      <c r="I1130" s="4">
        <v>1</v>
      </c>
      <c r="J1130" s="4">
        <v>0</v>
      </c>
      <c r="K1130" s="16">
        <v>45916</v>
      </c>
      <c r="L1130" s="16">
        <v>45950</v>
      </c>
      <c r="M1130" s="0" t="inlineStr">
        <is>
          <t xml:space="preserve">sep25</t>
        </is>
      </c>
      <c r="N1130" s="0" t="inlineStr">
        <is>
          <t xml:space="preserve">oct25</t>
        </is>
      </c>
      <c r="O1130" s="4">
        <v>34</v>
      </c>
      <c r="P1130" s="4">
        <v>0</v>
      </c>
      <c r="Q1130" s="4">
        <v>1</v>
      </c>
      <c r="R1130" s="4">
        <v>0</v>
      </c>
      <c r="S1130" s="4">
        <f>(H1130*INDEX('Stages'!$D$2:$D$7,MATCH(F1130,'Stages'!$A$2:$A$7,0)))</f>
        <v>0</v>
      </c>
      <c r="T1130" s="4">
        <f>(H1130*I1130)</f>
        <v>8900</v>
      </c>
      <c r="U1130" s="4">
        <f>(H1130*(I1130-1))</f>
        <v>0</v>
      </c>
      <c r="V1130" s="0" t="str">
        <f>INDEX('Account executives'!$B$2:$B$25,MATCH(C1130,'Account executives'!$A$2:$A$25,0))</f>
        <v>apac</v>
      </c>
      <c r="W1130" s="0" t="str">
        <f>INDEX('Account executives'!$C$2:$C$25,MATCH(C1130,'Account executives'!$A$2:$A$25,0))</f>
        <v>mid_market</v>
      </c>
      <c r="X1130" s="0" t="str">
        <f>SUBSTITUTE(LOWER(INDEX('Periods'!$G$2:$G$22,MATCH(N1130,'Periods'!$A$2:$A$22,0)))," ","_")</f>
        <v>q4_2025</v>
      </c>
    </row>
    <row r="1131">
      <c r="A1131" s="0" t="inlineStr">
        <is>
          <t xml:space="preserve">o1130</t>
        </is>
      </c>
      <c r="B1131" s="0" t="inlineStr">
        <is>
          <t xml:space="preserve">a0174</t>
        </is>
      </c>
      <c r="C1131" s="0" t="inlineStr">
        <is>
          <t xml:space="preserve">r06</t>
        </is>
      </c>
      <c r="D1131" s="0"/>
      <c r="E1131" s="0" t="inlineStr">
        <is>
          <t xml:space="preserve">events</t>
        </is>
      </c>
      <c r="F1131" s="0" t="inlineStr">
        <is>
          <t xml:space="preserve">closed_lost</t>
        </is>
      </c>
      <c r="G1131" s="4">
        <v>1</v>
      </c>
      <c r="H1131" s="4">
        <v>17100</v>
      </c>
      <c r="I1131" s="4">
        <v>1</v>
      </c>
      <c r="J1131" s="4">
        <v>0</v>
      </c>
      <c r="K1131" s="16">
        <v>45824</v>
      </c>
      <c r="L1131" s="16">
        <v>45834</v>
      </c>
      <c r="M1131" s="0" t="inlineStr">
        <is>
          <t xml:space="preserve">jun25</t>
        </is>
      </c>
      <c r="N1131" s="0" t="inlineStr">
        <is>
          <t xml:space="preserve">jun25</t>
        </is>
      </c>
      <c r="O1131" s="4">
        <v>10</v>
      </c>
      <c r="P1131" s="4">
        <v>0</v>
      </c>
      <c r="Q1131" s="4">
        <v>1</v>
      </c>
      <c r="R1131" s="4">
        <v>0</v>
      </c>
      <c r="S1131" s="4">
        <f>(H1131*INDEX('Stages'!$D$2:$D$7,MATCH(F1131,'Stages'!$A$2:$A$7,0)))</f>
        <v>0</v>
      </c>
      <c r="T1131" s="4">
        <f>(H1131*I1131)</f>
        <v>17100</v>
      </c>
      <c r="U1131" s="4">
        <f>(H1131*(I1131-1))</f>
        <v>0</v>
      </c>
      <c r="V1131" s="0" t="str">
        <f>INDEX('Account executives'!$B$2:$B$25,MATCH(C1131,'Account executives'!$A$2:$A$25,0))</f>
        <v>amer_east</v>
      </c>
      <c r="W1131" s="0" t="str">
        <f>INDEX('Account executives'!$C$2:$C$25,MATCH(C1131,'Account executives'!$A$2:$A$25,0))</f>
        <v>smb</v>
      </c>
      <c r="X1131" s="0" t="str">
        <f>SUBSTITUTE(LOWER(INDEX('Periods'!$G$2:$G$22,MATCH(N1131,'Periods'!$A$2:$A$22,0)))," ","_")</f>
        <v>q2_2025</v>
      </c>
    </row>
    <row r="1132">
      <c r="A1132" s="0" t="inlineStr">
        <is>
          <t xml:space="preserve">o1131</t>
        </is>
      </c>
      <c r="B1132" s="0" t="inlineStr">
        <is>
          <t xml:space="preserve">a0781</t>
        </is>
      </c>
      <c r="C1132" s="0" t="inlineStr">
        <is>
          <t xml:space="preserve">r16</t>
        </is>
      </c>
      <c r="D1132" s="0"/>
      <c r="E1132" s="0" t="inlineStr">
        <is>
          <t xml:space="preserve">events</t>
        </is>
      </c>
      <c r="F1132" s="0" t="inlineStr">
        <is>
          <t xml:space="preserve">closed_lost</t>
        </is>
      </c>
      <c r="G1132" s="4">
        <v>1</v>
      </c>
      <c r="H1132" s="4">
        <v>21500</v>
      </c>
      <c r="I1132" s="4">
        <v>1</v>
      </c>
      <c r="J1132" s="4">
        <v>0</v>
      </c>
      <c r="K1132" s="16">
        <v>46102</v>
      </c>
      <c r="L1132" s="16">
        <v>46167</v>
      </c>
      <c r="M1132" s="0" t="inlineStr">
        <is>
          <t xml:space="preserve">mar26</t>
        </is>
      </c>
      <c r="N1132" s="0" t="inlineStr">
        <is>
          <t xml:space="preserve">may26</t>
        </is>
      </c>
      <c r="O1132" s="4">
        <v>65</v>
      </c>
      <c r="P1132" s="4">
        <v>0</v>
      </c>
      <c r="Q1132" s="4">
        <v>1</v>
      </c>
      <c r="R1132" s="4">
        <v>0</v>
      </c>
      <c r="S1132" s="4">
        <f>(H1132*INDEX('Stages'!$D$2:$D$7,MATCH(F1132,'Stages'!$A$2:$A$7,0)))</f>
        <v>0</v>
      </c>
      <c r="T1132" s="4">
        <f>(H1132*I1132)</f>
        <v>21500</v>
      </c>
      <c r="U1132" s="4">
        <f>(H1132*(I1132-1))</f>
        <v>0</v>
      </c>
      <c r="V1132" s="0" t="str">
        <f>INDEX('Account executives'!$B$2:$B$25,MATCH(C1132,'Account executives'!$A$2:$A$25,0))</f>
        <v>emea</v>
      </c>
      <c r="W1132" s="0" t="str">
        <f>INDEX('Account executives'!$C$2:$C$25,MATCH(C1132,'Account executives'!$A$2:$A$25,0))</f>
        <v>mid_market</v>
      </c>
      <c r="X1132" s="0" t="str">
        <f>SUBSTITUTE(LOWER(INDEX('Periods'!$G$2:$G$22,MATCH(N1132,'Periods'!$A$2:$A$22,0)))," ","_")</f>
        <v>q2_2026</v>
      </c>
    </row>
    <row r="1133">
      <c r="A1133" s="0" t="inlineStr">
        <is>
          <t xml:space="preserve">o1132</t>
        </is>
      </c>
      <c r="B1133" s="0" t="inlineStr">
        <is>
          <t xml:space="preserve">a0082</t>
        </is>
      </c>
      <c r="C1133" s="0" t="inlineStr">
        <is>
          <t xml:space="preserve">r04</t>
        </is>
      </c>
      <c r="D1133" s="0"/>
      <c r="E1133" s="0" t="inlineStr">
        <is>
          <t xml:space="preserve">events</t>
        </is>
      </c>
      <c r="F1133" s="0" t="inlineStr">
        <is>
          <t xml:space="preserve">closed_lost</t>
        </is>
      </c>
      <c r="G1133" s="4">
        <v>1</v>
      </c>
      <c r="H1133" s="4">
        <v>38300</v>
      </c>
      <c r="I1133" s="4">
        <v>1</v>
      </c>
      <c r="J1133" s="4">
        <v>0</v>
      </c>
      <c r="K1133" s="16">
        <v>45784</v>
      </c>
      <c r="L1133" s="16">
        <v>45844</v>
      </c>
      <c r="M1133" s="0" t="inlineStr">
        <is>
          <t xml:space="preserve">may25</t>
        </is>
      </c>
      <c r="N1133" s="0" t="inlineStr">
        <is>
          <t xml:space="preserve">jul25</t>
        </is>
      </c>
      <c r="O1133" s="4">
        <v>60</v>
      </c>
      <c r="P1133" s="4">
        <v>0</v>
      </c>
      <c r="Q1133" s="4">
        <v>1</v>
      </c>
      <c r="R1133" s="4">
        <v>0</v>
      </c>
      <c r="S1133" s="4">
        <f>(H1133*INDEX('Stages'!$D$2:$D$7,MATCH(F1133,'Stages'!$A$2:$A$7,0)))</f>
        <v>0</v>
      </c>
      <c r="T1133" s="4">
        <f>(H1133*I1133)</f>
        <v>38300</v>
      </c>
      <c r="U1133" s="4">
        <f>(H1133*(I1133-1))</f>
        <v>0</v>
      </c>
      <c r="V1133" s="0" t="str">
        <f>INDEX('Account executives'!$B$2:$B$25,MATCH(C1133,'Account executives'!$A$2:$A$25,0))</f>
        <v>amer_east</v>
      </c>
      <c r="W1133" s="0" t="str">
        <f>INDEX('Account executives'!$C$2:$C$25,MATCH(C1133,'Account executives'!$A$2:$A$25,0))</f>
        <v>mid_market</v>
      </c>
      <c r="X1133" s="0" t="str">
        <f>SUBSTITUTE(LOWER(INDEX('Periods'!$G$2:$G$22,MATCH(N1133,'Periods'!$A$2:$A$22,0)))," ","_")</f>
        <v>q3_2025</v>
      </c>
    </row>
    <row r="1134">
      <c r="A1134" s="0" t="inlineStr">
        <is>
          <t xml:space="preserve">o1133</t>
        </is>
      </c>
      <c r="B1134" s="0" t="inlineStr">
        <is>
          <t xml:space="preserve">a0197</t>
        </is>
      </c>
      <c r="C1134" s="0" t="inlineStr">
        <is>
          <t xml:space="preserve">r11</t>
        </is>
      </c>
      <c r="D1134" s="0" t="inlineStr">
        <is>
          <t xml:space="preserve">s_amer_west_in</t>
        </is>
      </c>
      <c r="E1134" s="0" t="inlineStr">
        <is>
          <t xml:space="preserve">paid</t>
        </is>
      </c>
      <c r="F1134" s="0" t="inlineStr">
        <is>
          <t xml:space="preserve">closed_lost</t>
        </is>
      </c>
      <c r="G1134" s="4">
        <v>0</v>
      </c>
      <c r="H1134" s="4">
        <v>3000</v>
      </c>
      <c r="I1134" s="4">
        <v>1</v>
      </c>
      <c r="J1134" s="4">
        <v>0</v>
      </c>
      <c r="K1134" s="16">
        <v>45850</v>
      </c>
      <c r="L1134" s="16">
        <v>45870</v>
      </c>
      <c r="M1134" s="0" t="inlineStr">
        <is>
          <t xml:space="preserve">jul25</t>
        </is>
      </c>
      <c r="N1134" s="0" t="inlineStr">
        <is>
          <t xml:space="preserve">aug25</t>
        </is>
      </c>
      <c r="O1134" s="4">
        <v>20</v>
      </c>
      <c r="P1134" s="4">
        <v>0</v>
      </c>
      <c r="Q1134" s="4">
        <v>1</v>
      </c>
      <c r="R1134" s="4">
        <v>0</v>
      </c>
      <c r="S1134" s="4">
        <f>(H1134*INDEX('Stages'!$D$2:$D$7,MATCH(F1134,'Stages'!$A$2:$A$7,0)))</f>
        <v>0</v>
      </c>
      <c r="T1134" s="4">
        <f>(H1134*I1134)</f>
        <v>3000</v>
      </c>
      <c r="U1134" s="4">
        <f>(H1134*(I1134-1))</f>
        <v>0</v>
      </c>
      <c r="V1134" s="0" t="str">
        <f>INDEX('Account executives'!$B$2:$B$25,MATCH(C1134,'Account executives'!$A$2:$A$25,0))</f>
        <v>amer_west</v>
      </c>
      <c r="W1134" s="0" t="str">
        <f>INDEX('Account executives'!$C$2:$C$25,MATCH(C1134,'Account executives'!$A$2:$A$25,0))</f>
        <v>smb</v>
      </c>
      <c r="X1134" s="0" t="str">
        <f>SUBSTITUTE(LOWER(INDEX('Periods'!$G$2:$G$22,MATCH(N1134,'Periods'!$A$2:$A$22,0)))," ","_")</f>
        <v>q3_2025</v>
      </c>
    </row>
    <row r="1135">
      <c r="A1135" s="0" t="inlineStr">
        <is>
          <t xml:space="preserve">o1134</t>
        </is>
      </c>
      <c r="B1135" s="0" t="inlineStr">
        <is>
          <t xml:space="preserve">a0118</t>
        </is>
      </c>
      <c r="C1135" s="0" t="inlineStr">
        <is>
          <t xml:space="preserve">r15</t>
        </is>
      </c>
      <c r="D1135" s="0" t="inlineStr">
        <is>
          <t xml:space="preserve">s_emea_in</t>
        </is>
      </c>
      <c r="E1135" s="0" t="inlineStr">
        <is>
          <t xml:space="preserve">inbound</t>
        </is>
      </c>
      <c r="F1135" s="0" t="inlineStr">
        <is>
          <t xml:space="preserve">closed_lost</t>
        </is>
      </c>
      <c r="G1135" s="4">
        <v>1</v>
      </c>
      <c r="H1135" s="4">
        <v>18000</v>
      </c>
      <c r="I1135" s="4">
        <v>1</v>
      </c>
      <c r="J1135" s="4">
        <v>1</v>
      </c>
      <c r="K1135" s="16">
        <v>45791</v>
      </c>
      <c r="L1135" s="16">
        <v>45928</v>
      </c>
      <c r="M1135" s="0" t="inlineStr">
        <is>
          <t xml:space="preserve">may25</t>
        </is>
      </c>
      <c r="N1135" s="0" t="inlineStr">
        <is>
          <t xml:space="preserve">sep25</t>
        </is>
      </c>
      <c r="O1135" s="4">
        <v>137</v>
      </c>
      <c r="P1135" s="4">
        <v>0</v>
      </c>
      <c r="Q1135" s="4">
        <v>1</v>
      </c>
      <c r="R1135" s="4">
        <v>0</v>
      </c>
      <c r="S1135" s="4">
        <f>(H1135*INDEX('Stages'!$D$2:$D$7,MATCH(F1135,'Stages'!$A$2:$A$7,0)))</f>
        <v>0</v>
      </c>
      <c r="T1135" s="4">
        <f>(H1135*I1135)</f>
        <v>18000</v>
      </c>
      <c r="U1135" s="4">
        <f>(H1135*(I1135-1))</f>
        <v>0</v>
      </c>
      <c r="V1135" s="0" t="str">
        <f>INDEX('Account executives'!$B$2:$B$25,MATCH(C1135,'Account executives'!$A$2:$A$25,0))</f>
        <v>emea</v>
      </c>
      <c r="W1135" s="0" t="str">
        <f>INDEX('Account executives'!$C$2:$C$25,MATCH(C1135,'Account executives'!$A$2:$A$25,0))</f>
        <v>mid_market</v>
      </c>
      <c r="X1135" s="0" t="str">
        <f>SUBSTITUTE(LOWER(INDEX('Periods'!$G$2:$G$22,MATCH(N1135,'Periods'!$A$2:$A$22,0)))," ","_")</f>
        <v>q3_2025</v>
      </c>
    </row>
    <row r="1136">
      <c r="A1136" s="0" t="inlineStr">
        <is>
          <t xml:space="preserve">o1135</t>
        </is>
      </c>
      <c r="B1136" s="0" t="inlineStr">
        <is>
          <t xml:space="preserve">a0560</t>
        </is>
      </c>
      <c r="C1136" s="0" t="inlineStr">
        <is>
          <t xml:space="preserve">r09</t>
        </is>
      </c>
      <c r="D1136" s="0" t="inlineStr">
        <is>
          <t xml:space="preserve">s_amer_west_in</t>
        </is>
      </c>
      <c r="E1136" s="0" t="inlineStr">
        <is>
          <t xml:space="preserve">inbound</t>
        </is>
      </c>
      <c r="F1136" s="0" t="inlineStr">
        <is>
          <t xml:space="preserve">closed_won</t>
        </is>
      </c>
      <c r="G1136" s="4">
        <v>1</v>
      </c>
      <c r="H1136" s="4">
        <v>11600</v>
      </c>
      <c r="I1136" s="4">
        <v>1</v>
      </c>
      <c r="J1136" s="4">
        <v>0</v>
      </c>
      <c r="K1136" s="16">
        <v>46013</v>
      </c>
      <c r="L1136" s="16">
        <v>46095</v>
      </c>
      <c r="M1136" s="0" t="inlineStr">
        <is>
          <t xml:space="preserve">dec25</t>
        </is>
      </c>
      <c r="N1136" s="0" t="inlineStr">
        <is>
          <t xml:space="preserve">mar26</t>
        </is>
      </c>
      <c r="O1136" s="4">
        <v>82</v>
      </c>
      <c r="P1136" s="4">
        <v>1</v>
      </c>
      <c r="Q1136" s="4">
        <v>0</v>
      </c>
      <c r="R1136" s="4">
        <v>0</v>
      </c>
      <c r="S1136" s="4">
        <f>(H1136*INDEX('Stages'!$D$2:$D$7,MATCH(F1136,'Stages'!$A$2:$A$7,0)))</f>
        <v>11600</v>
      </c>
      <c r="T1136" s="4">
        <f>(H1136*I1136)</f>
        <v>11600</v>
      </c>
      <c r="U1136" s="4">
        <f>(H1136*(I1136-1))</f>
        <v>0</v>
      </c>
      <c r="V1136" s="0" t="str">
        <f>INDEX('Account executives'!$B$2:$B$25,MATCH(C1136,'Account executives'!$A$2:$A$25,0))</f>
        <v>amer_west</v>
      </c>
      <c r="W1136" s="0" t="str">
        <f>INDEX('Account executives'!$C$2:$C$25,MATCH(C1136,'Account executives'!$A$2:$A$25,0))</f>
        <v>mid_market</v>
      </c>
      <c r="X1136" s="0" t="str">
        <f>SUBSTITUTE(LOWER(INDEX('Periods'!$G$2:$G$22,MATCH(N1136,'Periods'!$A$2:$A$22,0)))," ","_")</f>
        <v>q1_2026</v>
      </c>
    </row>
    <row r="1137">
      <c r="A1137" s="0" t="inlineStr">
        <is>
          <t xml:space="preserve">o1136</t>
        </is>
      </c>
      <c r="B1137" s="0" t="inlineStr">
        <is>
          <t xml:space="preserve">a0687</t>
        </is>
      </c>
      <c r="C1137" s="0" t="inlineStr">
        <is>
          <t xml:space="preserve">r10</t>
        </is>
      </c>
      <c r="D1137" s="0"/>
      <c r="E1137" s="0" t="inlineStr">
        <is>
          <t xml:space="preserve">partner</t>
        </is>
      </c>
      <c r="F1137" s="0" t="inlineStr">
        <is>
          <t xml:space="preserve">closed_won</t>
        </is>
      </c>
      <c r="G1137" s="4">
        <v>1</v>
      </c>
      <c r="H1137" s="4">
        <v>71500</v>
      </c>
      <c r="I1137" s="4">
        <v>1</v>
      </c>
      <c r="J1137" s="4">
        <v>1</v>
      </c>
      <c r="K1137" s="16">
        <v>46079</v>
      </c>
      <c r="L1137" s="16">
        <v>46126</v>
      </c>
      <c r="M1137" s="0" t="inlineStr">
        <is>
          <t xml:space="preserve">feb26</t>
        </is>
      </c>
      <c r="N1137" s="0" t="inlineStr">
        <is>
          <t xml:space="preserve">apr26</t>
        </is>
      </c>
      <c r="O1137" s="4">
        <v>47</v>
      </c>
      <c r="P1137" s="4">
        <v>1</v>
      </c>
      <c r="Q1137" s="4">
        <v>0</v>
      </c>
      <c r="R1137" s="4">
        <v>0</v>
      </c>
      <c r="S1137" s="4">
        <f>(H1137*INDEX('Stages'!$D$2:$D$7,MATCH(F1137,'Stages'!$A$2:$A$7,0)))</f>
        <v>71500</v>
      </c>
      <c r="T1137" s="4">
        <f>(H1137*I1137)</f>
        <v>71500</v>
      </c>
      <c r="U1137" s="4">
        <f>(H1137*(I1137-1))</f>
        <v>0</v>
      </c>
      <c r="V1137" s="0" t="str">
        <f>INDEX('Account executives'!$B$2:$B$25,MATCH(C1137,'Account executives'!$A$2:$A$25,0))</f>
        <v>amer_west</v>
      </c>
      <c r="W1137" s="0" t="str">
        <f>INDEX('Account executives'!$C$2:$C$25,MATCH(C1137,'Account executives'!$A$2:$A$25,0))</f>
        <v>mid_market</v>
      </c>
      <c r="X1137" s="0" t="str">
        <f>SUBSTITUTE(LOWER(INDEX('Periods'!$G$2:$G$22,MATCH(N1137,'Periods'!$A$2:$A$22,0)))," ","_")</f>
        <v>q2_2026</v>
      </c>
    </row>
    <row r="1138">
      <c r="A1138" s="0" t="inlineStr">
        <is>
          <t xml:space="preserve">o1137</t>
        </is>
      </c>
      <c r="B1138" s="0" t="inlineStr">
        <is>
          <t xml:space="preserve">a0033</t>
        </is>
      </c>
      <c r="C1138" s="0" t="inlineStr">
        <is>
          <t xml:space="preserve">r09</t>
        </is>
      </c>
      <c r="D1138" s="0" t="inlineStr">
        <is>
          <t xml:space="preserve">s_amer_west_in</t>
        </is>
      </c>
      <c r="E1138" s="0" t="inlineStr">
        <is>
          <t xml:space="preserve">inbound</t>
        </is>
      </c>
      <c r="F1138" s="0" t="inlineStr">
        <is>
          <t xml:space="preserve">closed_won</t>
        </is>
      </c>
      <c r="G1138" s="4">
        <v>0</v>
      </c>
      <c r="H1138" s="4">
        <v>5600</v>
      </c>
      <c r="I1138" s="4">
        <v>2</v>
      </c>
      <c r="J1138" s="4">
        <v>0</v>
      </c>
      <c r="K1138" s="16">
        <v>45922</v>
      </c>
      <c r="L1138" s="16">
        <v>45968</v>
      </c>
      <c r="M1138" s="0" t="inlineStr">
        <is>
          <t xml:space="preserve">sep25</t>
        </is>
      </c>
      <c r="N1138" s="0" t="inlineStr">
        <is>
          <t xml:space="preserve">nov25</t>
        </is>
      </c>
      <c r="O1138" s="4">
        <v>46</v>
      </c>
      <c r="P1138" s="4">
        <v>1</v>
      </c>
      <c r="Q1138" s="4">
        <v>0</v>
      </c>
      <c r="R1138" s="4">
        <v>0</v>
      </c>
      <c r="S1138" s="4">
        <f>(H1138*INDEX('Stages'!$D$2:$D$7,MATCH(F1138,'Stages'!$A$2:$A$7,0)))</f>
        <v>5600</v>
      </c>
      <c r="T1138" s="4">
        <f>(H1138*I1138)</f>
        <v>11200</v>
      </c>
      <c r="U1138" s="4">
        <f>(H1138*(I1138-1))</f>
        <v>5600</v>
      </c>
      <c r="V1138" s="0" t="str">
        <f>INDEX('Account executives'!$B$2:$B$25,MATCH(C1138,'Account executives'!$A$2:$A$25,0))</f>
        <v>amer_west</v>
      </c>
      <c r="W1138" s="0" t="str">
        <f>INDEX('Account executives'!$C$2:$C$25,MATCH(C1138,'Account executives'!$A$2:$A$25,0))</f>
        <v>mid_market</v>
      </c>
      <c r="X1138" s="0" t="str">
        <f>SUBSTITUTE(LOWER(INDEX('Periods'!$G$2:$G$22,MATCH(N1138,'Periods'!$A$2:$A$22,0)))," ","_")</f>
        <v>q4_2025</v>
      </c>
    </row>
    <row r="1139">
      <c r="A1139" s="0" t="inlineStr">
        <is>
          <t xml:space="preserve">o1138</t>
        </is>
      </c>
      <c r="B1139" s="0" t="inlineStr">
        <is>
          <t xml:space="preserve">a0917</t>
        </is>
      </c>
      <c r="C1139" s="0" t="inlineStr">
        <is>
          <t xml:space="preserve">r09</t>
        </is>
      </c>
      <c r="D1139" s="0" t="inlineStr">
        <is>
          <t xml:space="preserve">s_amer_west_in</t>
        </is>
      </c>
      <c r="E1139" s="0" t="inlineStr">
        <is>
          <t xml:space="preserve">paid</t>
        </is>
      </c>
      <c r="F1139" s="0" t="inlineStr">
        <is>
          <t xml:space="preserve">closed_won</t>
        </is>
      </c>
      <c r="G1139" s="4">
        <v>1</v>
      </c>
      <c r="H1139" s="4">
        <v>24100</v>
      </c>
      <c r="I1139" s="4">
        <v>1</v>
      </c>
      <c r="J1139" s="4">
        <v>1</v>
      </c>
      <c r="K1139" s="16">
        <v>46144</v>
      </c>
      <c r="L1139" s="16">
        <v>46226</v>
      </c>
      <c r="M1139" s="0" t="inlineStr">
        <is>
          <t xml:space="preserve">may26</t>
        </is>
      </c>
      <c r="N1139" s="0" t="inlineStr">
        <is>
          <t xml:space="preserve">jul26</t>
        </is>
      </c>
      <c r="O1139" s="4">
        <v>82</v>
      </c>
      <c r="P1139" s="4">
        <v>1</v>
      </c>
      <c r="Q1139" s="4">
        <v>0</v>
      </c>
      <c r="R1139" s="4">
        <v>0</v>
      </c>
      <c r="S1139" s="4">
        <f>(H1139*INDEX('Stages'!$D$2:$D$7,MATCH(F1139,'Stages'!$A$2:$A$7,0)))</f>
        <v>24100</v>
      </c>
      <c r="T1139" s="4">
        <f>(H1139*I1139)</f>
        <v>24100</v>
      </c>
      <c r="U1139" s="4">
        <f>(H1139*(I1139-1))</f>
        <v>0</v>
      </c>
      <c r="V1139" s="0" t="str">
        <f>INDEX('Account executives'!$B$2:$B$25,MATCH(C1139,'Account executives'!$A$2:$A$25,0))</f>
        <v>amer_west</v>
      </c>
      <c r="W1139" s="0" t="str">
        <f>INDEX('Account executives'!$C$2:$C$25,MATCH(C1139,'Account executives'!$A$2:$A$25,0))</f>
        <v>mid_market</v>
      </c>
      <c r="X1139" s="0" t="str">
        <f>SUBSTITUTE(LOWER(INDEX('Periods'!$G$2:$G$22,MATCH(N1139,'Periods'!$A$2:$A$22,0)))," ","_")</f>
        <v>q3_2026</v>
      </c>
    </row>
    <row r="1140">
      <c r="A1140" s="0" t="inlineStr">
        <is>
          <t xml:space="preserve">o1139</t>
        </is>
      </c>
      <c r="B1140" s="0" t="inlineStr">
        <is>
          <t xml:space="preserve">a0072</t>
        </is>
      </c>
      <c r="C1140" s="0" t="inlineStr">
        <is>
          <t xml:space="preserve">r03</t>
        </is>
      </c>
      <c r="D1140" s="0"/>
      <c r="E1140" s="0" t="inlineStr">
        <is>
          <t xml:space="preserve">events</t>
        </is>
      </c>
      <c r="F1140" s="0" t="inlineStr">
        <is>
          <t xml:space="preserve">closed_won</t>
        </is>
      </c>
      <c r="G1140" s="4">
        <v>0</v>
      </c>
      <c r="H1140" s="4">
        <v>14000</v>
      </c>
      <c r="I1140" s="4">
        <v>1</v>
      </c>
      <c r="J1140" s="4">
        <v>0</v>
      </c>
      <c r="K1140" s="16">
        <v>45950</v>
      </c>
      <c r="L1140" s="16">
        <v>45998</v>
      </c>
      <c r="M1140" s="0" t="inlineStr">
        <is>
          <t xml:space="preserve">oct25</t>
        </is>
      </c>
      <c r="N1140" s="0" t="inlineStr">
        <is>
          <t xml:space="preserve">dec25</t>
        </is>
      </c>
      <c r="O1140" s="4">
        <v>48</v>
      </c>
      <c r="P1140" s="4">
        <v>1</v>
      </c>
      <c r="Q1140" s="4">
        <v>0</v>
      </c>
      <c r="R1140" s="4">
        <v>0</v>
      </c>
      <c r="S1140" s="4">
        <f>(H1140*INDEX('Stages'!$D$2:$D$7,MATCH(F1140,'Stages'!$A$2:$A$7,0)))</f>
        <v>14000</v>
      </c>
      <c r="T1140" s="4">
        <f>(H1140*I1140)</f>
        <v>14000</v>
      </c>
      <c r="U1140" s="4">
        <f>(H1140*(I1140-1))</f>
        <v>0</v>
      </c>
      <c r="V1140" s="0" t="str">
        <f>INDEX('Account executives'!$B$2:$B$25,MATCH(C1140,'Account executives'!$A$2:$A$25,0))</f>
        <v>amer_east</v>
      </c>
      <c r="W1140" s="0" t="str">
        <f>INDEX('Account executives'!$C$2:$C$25,MATCH(C1140,'Account executives'!$A$2:$A$25,0))</f>
        <v>mid_market</v>
      </c>
      <c r="X1140" s="0" t="str">
        <f>SUBSTITUTE(LOWER(INDEX('Periods'!$G$2:$G$22,MATCH(N1140,'Periods'!$A$2:$A$22,0)))," ","_")</f>
        <v>q4_2025</v>
      </c>
    </row>
    <row r="1141">
      <c r="A1141" s="0" t="inlineStr">
        <is>
          <t xml:space="preserve">o1140</t>
        </is>
      </c>
      <c r="B1141" s="0" t="inlineStr">
        <is>
          <t xml:space="preserve">a0080</t>
        </is>
      </c>
      <c r="C1141" s="0" t="inlineStr">
        <is>
          <t xml:space="preserve">r05</t>
        </is>
      </c>
      <c r="D1141" s="0" t="inlineStr">
        <is>
          <t xml:space="preserve">s_amer_east_in</t>
        </is>
      </c>
      <c r="E1141" s="0" t="inlineStr">
        <is>
          <t xml:space="preserve">inbound</t>
        </is>
      </c>
      <c r="F1141" s="0" t="inlineStr">
        <is>
          <t xml:space="preserve">closed_won</t>
        </is>
      </c>
      <c r="G1141" s="4">
        <v>0</v>
      </c>
      <c r="H1141" s="4">
        <v>4600</v>
      </c>
      <c r="I1141" s="4">
        <v>1</v>
      </c>
      <c r="J1141" s="4">
        <v>0</v>
      </c>
      <c r="K1141" s="16">
        <v>45844</v>
      </c>
      <c r="L1141" s="16">
        <v>45928</v>
      </c>
      <c r="M1141" s="0" t="inlineStr">
        <is>
          <t xml:space="preserve">jul25</t>
        </is>
      </c>
      <c r="N1141" s="0" t="inlineStr">
        <is>
          <t xml:space="preserve">sep25</t>
        </is>
      </c>
      <c r="O1141" s="4">
        <v>84</v>
      </c>
      <c r="P1141" s="4">
        <v>1</v>
      </c>
      <c r="Q1141" s="4">
        <v>0</v>
      </c>
      <c r="R1141" s="4">
        <v>0</v>
      </c>
      <c r="S1141" s="4">
        <f>(H1141*INDEX('Stages'!$D$2:$D$7,MATCH(F1141,'Stages'!$A$2:$A$7,0)))</f>
        <v>4600</v>
      </c>
      <c r="T1141" s="4">
        <f>(H1141*I1141)</f>
        <v>4600</v>
      </c>
      <c r="U1141" s="4">
        <f>(H1141*(I1141-1))</f>
        <v>0</v>
      </c>
      <c r="V1141" s="0" t="str">
        <f>INDEX('Account executives'!$B$2:$B$25,MATCH(C1141,'Account executives'!$A$2:$A$25,0))</f>
        <v>amer_east</v>
      </c>
      <c r="W1141" s="0" t="str">
        <f>INDEX('Account executives'!$C$2:$C$25,MATCH(C1141,'Account executives'!$A$2:$A$25,0))</f>
        <v>smb</v>
      </c>
      <c r="X1141" s="0" t="str">
        <f>SUBSTITUTE(LOWER(INDEX('Periods'!$G$2:$G$22,MATCH(N1141,'Periods'!$A$2:$A$22,0)))," ","_")</f>
        <v>q3_2025</v>
      </c>
    </row>
    <row r="1142">
      <c r="A1142" s="0" t="inlineStr">
        <is>
          <t xml:space="preserve">o1141</t>
        </is>
      </c>
      <c r="B1142" s="0" t="inlineStr">
        <is>
          <t xml:space="preserve">a1173</t>
        </is>
      </c>
      <c r="C1142" s="0" t="inlineStr">
        <is>
          <t xml:space="preserve">r12</t>
        </is>
      </c>
      <c r="D1142" s="0" t="inlineStr">
        <is>
          <t xml:space="preserve">s_amer_west_in</t>
        </is>
      </c>
      <c r="E1142" s="0" t="inlineStr">
        <is>
          <t xml:space="preserve">paid</t>
        </is>
      </c>
      <c r="F1142" s="0" t="inlineStr">
        <is>
          <t xml:space="preserve">proposal</t>
        </is>
      </c>
      <c r="G1142" s="4">
        <v>1</v>
      </c>
      <c r="H1142" s="4">
        <v>12200</v>
      </c>
      <c r="I1142" s="4">
        <v>1</v>
      </c>
      <c r="J1142" s="4">
        <v>1</v>
      </c>
      <c r="K1142" s="16">
        <v>46259</v>
      </c>
      <c r="L1142" s="16">
        <v>46293</v>
      </c>
      <c r="M1142" s="0" t="inlineStr">
        <is>
          <t xml:space="preserve">aug26</t>
        </is>
      </c>
      <c r="N1142" s="0" t="inlineStr">
        <is>
          <t xml:space="preserve">sep26</t>
        </is>
      </c>
      <c r="O1142" s="4">
        <v>36</v>
      </c>
      <c r="P1142" s="4">
        <v>0</v>
      </c>
      <c r="Q1142" s="4">
        <v>0</v>
      </c>
      <c r="R1142" s="4">
        <v>1</v>
      </c>
      <c r="S1142" s="4">
        <f>(H1142*INDEX('Stages'!$D$2:$D$7,MATCH(F1142,'Stages'!$A$2:$A$7,0)))</f>
        <v>6100</v>
      </c>
      <c r="T1142" s="4">
        <f>(H1142*I1142)</f>
        <v>12200</v>
      </c>
      <c r="U1142" s="4">
        <f>(H1142*(I1142-1))</f>
        <v>0</v>
      </c>
      <c r="V1142" s="0" t="str">
        <f>INDEX('Account executives'!$B$2:$B$25,MATCH(C1142,'Account executives'!$A$2:$A$25,0))</f>
        <v>amer_west</v>
      </c>
      <c r="W1142" s="0" t="str">
        <f>INDEX('Account executives'!$C$2:$C$25,MATCH(C1142,'Account executives'!$A$2:$A$25,0))</f>
        <v>smb</v>
      </c>
      <c r="X1142" s="0" t="str">
        <f>SUBSTITUTE(LOWER(INDEX('Periods'!$G$2:$G$22,MATCH(N1142,'Periods'!$A$2:$A$22,0)))," ","_")</f>
        <v>q3_2026</v>
      </c>
    </row>
    <row r="1143">
      <c r="A1143" s="0" t="inlineStr">
        <is>
          <t xml:space="preserve">o1142</t>
        </is>
      </c>
      <c r="B1143" s="0" t="inlineStr">
        <is>
          <t xml:space="preserve">a0320</t>
        </is>
      </c>
      <c r="C1143" s="0" t="inlineStr">
        <is>
          <t xml:space="preserve">r05</t>
        </is>
      </c>
      <c r="D1143" s="0" t="inlineStr">
        <is>
          <t xml:space="preserve">s_amer_east_in</t>
        </is>
      </c>
      <c r="E1143" s="0" t="inlineStr">
        <is>
          <t xml:space="preserve">paid</t>
        </is>
      </c>
      <c r="F1143" s="0" t="inlineStr">
        <is>
          <t xml:space="preserve">closed_lost</t>
        </is>
      </c>
      <c r="G1143" s="4">
        <v>0</v>
      </c>
      <c r="H1143" s="4">
        <v>5400</v>
      </c>
      <c r="I1143" s="4">
        <v>1</v>
      </c>
      <c r="J1143" s="4">
        <v>0</v>
      </c>
      <c r="K1143" s="16">
        <v>45935</v>
      </c>
      <c r="L1143" s="16">
        <v>45958</v>
      </c>
      <c r="M1143" s="0" t="inlineStr">
        <is>
          <t xml:space="preserve">oct25</t>
        </is>
      </c>
      <c r="N1143" s="0" t="inlineStr">
        <is>
          <t xml:space="preserve">oct25</t>
        </is>
      </c>
      <c r="O1143" s="4">
        <v>23</v>
      </c>
      <c r="P1143" s="4">
        <v>0</v>
      </c>
      <c r="Q1143" s="4">
        <v>1</v>
      </c>
      <c r="R1143" s="4">
        <v>0</v>
      </c>
      <c r="S1143" s="4">
        <f>(H1143*INDEX('Stages'!$D$2:$D$7,MATCH(F1143,'Stages'!$A$2:$A$7,0)))</f>
        <v>0</v>
      </c>
      <c r="T1143" s="4">
        <f>(H1143*I1143)</f>
        <v>5400</v>
      </c>
      <c r="U1143" s="4">
        <f>(H1143*(I1143-1))</f>
        <v>0</v>
      </c>
      <c r="V1143" s="0" t="str">
        <f>INDEX('Account executives'!$B$2:$B$25,MATCH(C1143,'Account executives'!$A$2:$A$25,0))</f>
        <v>amer_east</v>
      </c>
      <c r="W1143" s="0" t="str">
        <f>INDEX('Account executives'!$C$2:$C$25,MATCH(C1143,'Account executives'!$A$2:$A$25,0))</f>
        <v>smb</v>
      </c>
      <c r="X1143" s="0" t="str">
        <f>SUBSTITUTE(LOWER(INDEX('Periods'!$G$2:$G$22,MATCH(N1143,'Periods'!$A$2:$A$22,0)))," ","_")</f>
        <v>q4_2025</v>
      </c>
    </row>
    <row r="1144">
      <c r="A1144" s="0" t="inlineStr">
        <is>
          <t xml:space="preserve">o1143</t>
        </is>
      </c>
      <c r="B1144" s="0" t="inlineStr">
        <is>
          <t xml:space="preserve">a0114</t>
        </is>
      </c>
      <c r="C1144" s="0" t="inlineStr">
        <is>
          <t xml:space="preserve">r13</t>
        </is>
      </c>
      <c r="D1144" s="0" t="inlineStr">
        <is>
          <t xml:space="preserve">s_emea_in</t>
        </is>
      </c>
      <c r="E1144" s="0" t="inlineStr">
        <is>
          <t xml:space="preserve">inbound</t>
        </is>
      </c>
      <c r="F1144" s="0" t="inlineStr">
        <is>
          <t xml:space="preserve">closed_won</t>
        </is>
      </c>
      <c r="G1144" s="4">
        <v>1</v>
      </c>
      <c r="H1144" s="4">
        <v>88100</v>
      </c>
      <c r="I1144" s="4">
        <v>1</v>
      </c>
      <c r="J1144" s="4">
        <v>1</v>
      </c>
      <c r="K1144" s="16">
        <v>45780</v>
      </c>
      <c r="L1144" s="16">
        <v>45907</v>
      </c>
      <c r="M1144" s="0" t="inlineStr">
        <is>
          <t xml:space="preserve">may25</t>
        </is>
      </c>
      <c r="N1144" s="0" t="inlineStr">
        <is>
          <t xml:space="preserve">sep25</t>
        </is>
      </c>
      <c r="O1144" s="4">
        <v>127</v>
      </c>
      <c r="P1144" s="4">
        <v>1</v>
      </c>
      <c r="Q1144" s="4">
        <v>0</v>
      </c>
      <c r="R1144" s="4">
        <v>0</v>
      </c>
      <c r="S1144" s="4">
        <f>(H1144*INDEX('Stages'!$D$2:$D$7,MATCH(F1144,'Stages'!$A$2:$A$7,0)))</f>
        <v>88100</v>
      </c>
      <c r="T1144" s="4">
        <f>(H1144*I1144)</f>
        <v>88100</v>
      </c>
      <c r="U1144" s="4">
        <f>(H1144*(I1144-1))</f>
        <v>0</v>
      </c>
      <c r="V1144" s="0" t="str">
        <f>INDEX('Account executives'!$B$2:$B$25,MATCH(C1144,'Account executives'!$A$2:$A$25,0))</f>
        <v>emea</v>
      </c>
      <c r="W1144" s="0" t="str">
        <f>INDEX('Account executives'!$C$2:$C$25,MATCH(C1144,'Account executives'!$A$2:$A$25,0))</f>
        <v>enterprise</v>
      </c>
      <c r="X1144" s="0" t="str">
        <f>SUBSTITUTE(LOWER(INDEX('Periods'!$G$2:$G$22,MATCH(N1144,'Periods'!$A$2:$A$22,0)))," ","_")</f>
        <v>q3_2025</v>
      </c>
    </row>
    <row r="1145">
      <c r="A1145" s="0" t="inlineStr">
        <is>
          <t xml:space="preserve">o1144</t>
        </is>
      </c>
      <c r="B1145" s="0" t="inlineStr">
        <is>
          <t xml:space="preserve">a0261</t>
        </is>
      </c>
      <c r="C1145" s="0" t="inlineStr">
        <is>
          <t xml:space="preserve">r11</t>
        </is>
      </c>
      <c r="D1145" s="0"/>
      <c r="E1145" s="0" t="inlineStr">
        <is>
          <t xml:space="preserve">partner</t>
        </is>
      </c>
      <c r="F1145" s="0" t="inlineStr">
        <is>
          <t xml:space="preserve">closed_won</t>
        </is>
      </c>
      <c r="G1145" s="4">
        <v>1</v>
      </c>
      <c r="H1145" s="4">
        <v>7000</v>
      </c>
      <c r="I1145" s="4">
        <v>1</v>
      </c>
      <c r="J1145" s="4">
        <v>0</v>
      </c>
      <c r="K1145" s="16">
        <v>45849</v>
      </c>
      <c r="L1145" s="16">
        <v>45928</v>
      </c>
      <c r="M1145" s="0" t="inlineStr">
        <is>
          <t xml:space="preserve">jul25</t>
        </is>
      </c>
      <c r="N1145" s="0" t="inlineStr">
        <is>
          <t xml:space="preserve">sep25</t>
        </is>
      </c>
      <c r="O1145" s="4">
        <v>79</v>
      </c>
      <c r="P1145" s="4">
        <v>1</v>
      </c>
      <c r="Q1145" s="4">
        <v>0</v>
      </c>
      <c r="R1145" s="4">
        <v>0</v>
      </c>
      <c r="S1145" s="4">
        <f>(H1145*INDEX('Stages'!$D$2:$D$7,MATCH(F1145,'Stages'!$A$2:$A$7,0)))</f>
        <v>7000</v>
      </c>
      <c r="T1145" s="4">
        <f>(H1145*I1145)</f>
        <v>7000</v>
      </c>
      <c r="U1145" s="4">
        <f>(H1145*(I1145-1))</f>
        <v>0</v>
      </c>
      <c r="V1145" s="0" t="str">
        <f>INDEX('Account executives'!$B$2:$B$25,MATCH(C1145,'Account executives'!$A$2:$A$25,0))</f>
        <v>amer_west</v>
      </c>
      <c r="W1145" s="0" t="str">
        <f>INDEX('Account executives'!$C$2:$C$25,MATCH(C1145,'Account executives'!$A$2:$A$25,0))</f>
        <v>smb</v>
      </c>
      <c r="X1145" s="0" t="str">
        <f>SUBSTITUTE(LOWER(INDEX('Periods'!$G$2:$G$22,MATCH(N1145,'Periods'!$A$2:$A$22,0)))," ","_")</f>
        <v>q3_2025</v>
      </c>
    </row>
    <row r="1146">
      <c r="A1146" s="0" t="inlineStr">
        <is>
          <t xml:space="preserve">o1145</t>
        </is>
      </c>
      <c r="B1146" s="0" t="inlineStr">
        <is>
          <t xml:space="preserve">a0025</t>
        </is>
      </c>
      <c r="C1146" s="0" t="inlineStr">
        <is>
          <t xml:space="preserve">r12</t>
        </is>
      </c>
      <c r="D1146" s="0" t="inlineStr">
        <is>
          <t xml:space="preserve">s_amer_west_in</t>
        </is>
      </c>
      <c r="E1146" s="0" t="inlineStr">
        <is>
          <t xml:space="preserve">inbound</t>
        </is>
      </c>
      <c r="F1146" s="0" t="inlineStr">
        <is>
          <t xml:space="preserve">closed_lost</t>
        </is>
      </c>
      <c r="G1146" s="4">
        <v>1</v>
      </c>
      <c r="H1146" s="4">
        <v>16400</v>
      </c>
      <c r="I1146" s="4">
        <v>1</v>
      </c>
      <c r="J1146" s="4">
        <v>1</v>
      </c>
      <c r="K1146" s="16">
        <v>45754</v>
      </c>
      <c r="L1146" s="16">
        <v>45786</v>
      </c>
      <c r="M1146" s="0" t="inlineStr">
        <is>
          <t xml:space="preserve">apr25</t>
        </is>
      </c>
      <c r="N1146" s="0" t="inlineStr">
        <is>
          <t xml:space="preserve">may25</t>
        </is>
      </c>
      <c r="O1146" s="4">
        <v>32</v>
      </c>
      <c r="P1146" s="4">
        <v>0</v>
      </c>
      <c r="Q1146" s="4">
        <v>1</v>
      </c>
      <c r="R1146" s="4">
        <v>0</v>
      </c>
      <c r="S1146" s="4">
        <f>(H1146*INDEX('Stages'!$D$2:$D$7,MATCH(F1146,'Stages'!$A$2:$A$7,0)))</f>
        <v>0</v>
      </c>
      <c r="T1146" s="4">
        <f>(H1146*I1146)</f>
        <v>16400</v>
      </c>
      <c r="U1146" s="4">
        <f>(H1146*(I1146-1))</f>
        <v>0</v>
      </c>
      <c r="V1146" s="0" t="str">
        <f>INDEX('Account executives'!$B$2:$B$25,MATCH(C1146,'Account executives'!$A$2:$A$25,0))</f>
        <v>amer_west</v>
      </c>
      <c r="W1146" s="0" t="str">
        <f>INDEX('Account executives'!$C$2:$C$25,MATCH(C1146,'Account executives'!$A$2:$A$25,0))</f>
        <v>smb</v>
      </c>
      <c r="X1146" s="0" t="str">
        <f>SUBSTITUTE(LOWER(INDEX('Periods'!$G$2:$G$22,MATCH(N1146,'Periods'!$A$2:$A$22,0)))," ","_")</f>
        <v>q2_2025</v>
      </c>
    </row>
    <row r="1147">
      <c r="A1147" s="0" t="inlineStr">
        <is>
          <t xml:space="preserve">o1146</t>
        </is>
      </c>
      <c r="B1147" s="0" t="inlineStr">
        <is>
          <t xml:space="preserve">a0213</t>
        </is>
      </c>
      <c r="C1147" s="0" t="inlineStr">
        <is>
          <t xml:space="preserve">r13</t>
        </is>
      </c>
      <c r="D1147" s="0" t="inlineStr">
        <is>
          <t xml:space="preserve">s_emea_in</t>
        </is>
      </c>
      <c r="E1147" s="0" t="inlineStr">
        <is>
          <t xml:space="preserve">paid</t>
        </is>
      </c>
      <c r="F1147" s="0" t="inlineStr">
        <is>
          <t xml:space="preserve">closed_lost</t>
        </is>
      </c>
      <c r="G1147" s="4">
        <v>1</v>
      </c>
      <c r="H1147" s="4">
        <v>107800</v>
      </c>
      <c r="I1147" s="4">
        <v>1</v>
      </c>
      <c r="J1147" s="4">
        <v>1</v>
      </c>
      <c r="K1147" s="16">
        <v>45835</v>
      </c>
      <c r="L1147" s="16">
        <v>45962</v>
      </c>
      <c r="M1147" s="0" t="inlineStr">
        <is>
          <t xml:space="preserve">jun25</t>
        </is>
      </c>
      <c r="N1147" s="0" t="inlineStr">
        <is>
          <t xml:space="preserve">nov25</t>
        </is>
      </c>
      <c r="O1147" s="4">
        <v>127</v>
      </c>
      <c r="P1147" s="4">
        <v>0</v>
      </c>
      <c r="Q1147" s="4">
        <v>1</v>
      </c>
      <c r="R1147" s="4">
        <v>0</v>
      </c>
      <c r="S1147" s="4">
        <f>(H1147*INDEX('Stages'!$D$2:$D$7,MATCH(F1147,'Stages'!$A$2:$A$7,0)))</f>
        <v>0</v>
      </c>
      <c r="T1147" s="4">
        <f>(H1147*I1147)</f>
        <v>107800</v>
      </c>
      <c r="U1147" s="4">
        <f>(H1147*(I1147-1))</f>
        <v>0</v>
      </c>
      <c r="V1147" s="0" t="str">
        <f>INDEX('Account executives'!$B$2:$B$25,MATCH(C1147,'Account executives'!$A$2:$A$25,0))</f>
        <v>emea</v>
      </c>
      <c r="W1147" s="0" t="str">
        <f>INDEX('Account executives'!$C$2:$C$25,MATCH(C1147,'Account executives'!$A$2:$A$25,0))</f>
        <v>enterprise</v>
      </c>
      <c r="X1147" s="0" t="str">
        <f>SUBSTITUTE(LOWER(INDEX('Periods'!$G$2:$G$22,MATCH(N1147,'Periods'!$A$2:$A$22,0)))," ","_")</f>
        <v>q4_2025</v>
      </c>
    </row>
    <row r="1148">
      <c r="A1148" s="0" t="inlineStr">
        <is>
          <t xml:space="preserve">o1147</t>
        </is>
      </c>
      <c r="B1148" s="0" t="inlineStr">
        <is>
          <t xml:space="preserve">a0031</t>
        </is>
      </c>
      <c r="C1148" s="0" t="inlineStr">
        <is>
          <t xml:space="preserve">r12</t>
        </is>
      </c>
      <c r="D1148" s="0" t="inlineStr">
        <is>
          <t xml:space="preserve">s_amer_west_in</t>
        </is>
      </c>
      <c r="E1148" s="0" t="inlineStr">
        <is>
          <t xml:space="preserve">paid</t>
        </is>
      </c>
      <c r="F1148" s="0" t="inlineStr">
        <is>
          <t xml:space="preserve">closed_won</t>
        </is>
      </c>
      <c r="G1148" s="4">
        <v>1</v>
      </c>
      <c r="H1148" s="4">
        <v>13100</v>
      </c>
      <c r="I1148" s="4">
        <v>1</v>
      </c>
      <c r="J1148" s="4">
        <v>0</v>
      </c>
      <c r="K1148" s="16">
        <v>45764</v>
      </c>
      <c r="L1148" s="16">
        <v>45789</v>
      </c>
      <c r="M1148" s="0" t="inlineStr">
        <is>
          <t xml:space="preserve">apr25</t>
        </is>
      </c>
      <c r="N1148" s="0" t="inlineStr">
        <is>
          <t xml:space="preserve">may25</t>
        </is>
      </c>
      <c r="O1148" s="4">
        <v>25</v>
      </c>
      <c r="P1148" s="4">
        <v>1</v>
      </c>
      <c r="Q1148" s="4">
        <v>0</v>
      </c>
      <c r="R1148" s="4">
        <v>0</v>
      </c>
      <c r="S1148" s="4">
        <f>(H1148*INDEX('Stages'!$D$2:$D$7,MATCH(F1148,'Stages'!$A$2:$A$7,0)))</f>
        <v>13100</v>
      </c>
      <c r="T1148" s="4">
        <f>(H1148*I1148)</f>
        <v>13100</v>
      </c>
      <c r="U1148" s="4">
        <f>(H1148*(I1148-1))</f>
        <v>0</v>
      </c>
      <c r="V1148" s="0" t="str">
        <f>INDEX('Account executives'!$B$2:$B$25,MATCH(C1148,'Account executives'!$A$2:$A$25,0))</f>
        <v>amer_west</v>
      </c>
      <c r="W1148" s="0" t="str">
        <f>INDEX('Account executives'!$C$2:$C$25,MATCH(C1148,'Account executives'!$A$2:$A$25,0))</f>
        <v>smb</v>
      </c>
      <c r="X1148" s="0" t="str">
        <f>SUBSTITUTE(LOWER(INDEX('Periods'!$G$2:$G$22,MATCH(N1148,'Periods'!$A$2:$A$22,0)))," ","_")</f>
        <v>q2_2025</v>
      </c>
    </row>
    <row r="1149">
      <c r="A1149" s="0" t="inlineStr">
        <is>
          <t xml:space="preserve">o1148</t>
        </is>
      </c>
      <c r="B1149" s="0" t="inlineStr">
        <is>
          <t xml:space="preserve">a0652</t>
        </is>
      </c>
      <c r="C1149" s="0" t="inlineStr">
        <is>
          <t xml:space="preserve">r20</t>
        </is>
      </c>
      <c r="D1149" s="0" t="inlineStr">
        <is>
          <t xml:space="preserve">s_apac_in</t>
        </is>
      </c>
      <c r="E1149" s="0" t="inlineStr">
        <is>
          <t xml:space="preserve">paid</t>
        </is>
      </c>
      <c r="F1149" s="0" t="inlineStr">
        <is>
          <t xml:space="preserve">closed_lost</t>
        </is>
      </c>
      <c r="G1149" s="4">
        <v>1</v>
      </c>
      <c r="H1149" s="4">
        <v>184000</v>
      </c>
      <c r="I1149" s="4">
        <v>2</v>
      </c>
      <c r="J1149" s="4">
        <v>1</v>
      </c>
      <c r="K1149" s="16">
        <v>46031</v>
      </c>
      <c r="L1149" s="16">
        <v>46130</v>
      </c>
      <c r="M1149" s="0" t="inlineStr">
        <is>
          <t xml:space="preserve">jan26</t>
        </is>
      </c>
      <c r="N1149" s="0" t="inlineStr">
        <is>
          <t xml:space="preserve">apr26</t>
        </is>
      </c>
      <c r="O1149" s="4">
        <v>99</v>
      </c>
      <c r="P1149" s="4">
        <v>0</v>
      </c>
      <c r="Q1149" s="4">
        <v>1</v>
      </c>
      <c r="R1149" s="4">
        <v>0</v>
      </c>
      <c r="S1149" s="4">
        <f>(H1149*INDEX('Stages'!$D$2:$D$7,MATCH(F1149,'Stages'!$A$2:$A$7,0)))</f>
        <v>0</v>
      </c>
      <c r="T1149" s="4">
        <f>(H1149*I1149)</f>
        <v>368000</v>
      </c>
      <c r="U1149" s="4">
        <f>(H1149*(I1149-1))</f>
        <v>184000</v>
      </c>
      <c r="V1149" s="0" t="str">
        <f>INDEX('Account executives'!$B$2:$B$25,MATCH(C1149,'Account executives'!$A$2:$A$25,0))</f>
        <v>apac</v>
      </c>
      <c r="W1149" s="0" t="str">
        <f>INDEX('Account executives'!$C$2:$C$25,MATCH(C1149,'Account executives'!$A$2:$A$25,0))</f>
        <v>enterprise</v>
      </c>
      <c r="X1149" s="0" t="str">
        <f>SUBSTITUTE(LOWER(INDEX('Periods'!$G$2:$G$22,MATCH(N1149,'Periods'!$A$2:$A$22,0)))," ","_")</f>
        <v>q2_2026</v>
      </c>
    </row>
    <row r="1150">
      <c r="A1150" s="0" t="inlineStr">
        <is>
          <t xml:space="preserve">o1149</t>
        </is>
      </c>
      <c r="B1150" s="0" t="inlineStr">
        <is>
          <t xml:space="preserve">a0057</t>
        </is>
      </c>
      <c r="C1150" s="0" t="inlineStr">
        <is>
          <t xml:space="preserve">r22</t>
        </is>
      </c>
      <c r="D1150" s="0"/>
      <c r="E1150" s="0" t="inlineStr">
        <is>
          <t xml:space="preserve">partner</t>
        </is>
      </c>
      <c r="F1150" s="0" t="inlineStr">
        <is>
          <t xml:space="preserve">closed_lost</t>
        </is>
      </c>
      <c r="G1150" s="4">
        <v>0</v>
      </c>
      <c r="H1150" s="4">
        <v>50300</v>
      </c>
      <c r="I1150" s="4">
        <v>1</v>
      </c>
      <c r="J1150" s="4">
        <v>1</v>
      </c>
      <c r="K1150" s="16">
        <v>45796</v>
      </c>
      <c r="L1150" s="16">
        <v>45873</v>
      </c>
      <c r="M1150" s="0" t="inlineStr">
        <is>
          <t xml:space="preserve">may25</t>
        </is>
      </c>
      <c r="N1150" s="0" t="inlineStr">
        <is>
          <t xml:space="preserve">aug25</t>
        </is>
      </c>
      <c r="O1150" s="4">
        <v>77</v>
      </c>
      <c r="P1150" s="4">
        <v>0</v>
      </c>
      <c r="Q1150" s="4">
        <v>1</v>
      </c>
      <c r="R1150" s="4">
        <v>0</v>
      </c>
      <c r="S1150" s="4">
        <f>(H1150*INDEX('Stages'!$D$2:$D$7,MATCH(F1150,'Stages'!$A$2:$A$7,0)))</f>
        <v>0</v>
      </c>
      <c r="T1150" s="4">
        <f>(H1150*I1150)</f>
        <v>50300</v>
      </c>
      <c r="U1150" s="4">
        <f>(H1150*(I1150-1))</f>
        <v>0</v>
      </c>
      <c r="V1150" s="0" t="str">
        <f>INDEX('Account executives'!$B$2:$B$25,MATCH(C1150,'Account executives'!$A$2:$A$25,0))</f>
        <v>apac</v>
      </c>
      <c r="W1150" s="0" t="str">
        <f>INDEX('Account executives'!$C$2:$C$25,MATCH(C1150,'Account executives'!$A$2:$A$25,0))</f>
        <v>mid_market</v>
      </c>
      <c r="X1150" s="0" t="str">
        <f>SUBSTITUTE(LOWER(INDEX('Periods'!$G$2:$G$22,MATCH(N1150,'Periods'!$A$2:$A$22,0)))," ","_")</f>
        <v>q3_2025</v>
      </c>
    </row>
    <row r="1151">
      <c r="A1151" s="0" t="inlineStr">
        <is>
          <t xml:space="preserve">o1150</t>
        </is>
      </c>
      <c r="B1151" s="0" t="inlineStr">
        <is>
          <t xml:space="preserve">a0656</t>
        </is>
      </c>
      <c r="C1151" s="0" t="inlineStr">
        <is>
          <t xml:space="preserve">r22</t>
        </is>
      </c>
      <c r="D1151" s="0" t="inlineStr">
        <is>
          <t xml:space="preserve">s_apac_out</t>
        </is>
      </c>
      <c r="E1151" s="0" t="inlineStr">
        <is>
          <t xml:space="preserve">outbound</t>
        </is>
      </c>
      <c r="F1151" s="0" t="inlineStr">
        <is>
          <t xml:space="preserve">closed_lost</t>
        </is>
      </c>
      <c r="G1151" s="4">
        <v>1</v>
      </c>
      <c r="H1151" s="4">
        <v>25100</v>
      </c>
      <c r="I1151" s="4">
        <v>3</v>
      </c>
      <c r="J1151" s="4">
        <v>0</v>
      </c>
      <c r="K1151" s="16">
        <v>46033</v>
      </c>
      <c r="L1151" s="16">
        <v>46088</v>
      </c>
      <c r="M1151" s="0" t="inlineStr">
        <is>
          <t xml:space="preserve">jan26</t>
        </is>
      </c>
      <c r="N1151" s="0" t="inlineStr">
        <is>
          <t xml:space="preserve">mar26</t>
        </is>
      </c>
      <c r="O1151" s="4">
        <v>55</v>
      </c>
      <c r="P1151" s="4">
        <v>0</v>
      </c>
      <c r="Q1151" s="4">
        <v>1</v>
      </c>
      <c r="R1151" s="4">
        <v>0</v>
      </c>
      <c r="S1151" s="4">
        <f>(H1151*INDEX('Stages'!$D$2:$D$7,MATCH(F1151,'Stages'!$A$2:$A$7,0)))</f>
        <v>0</v>
      </c>
      <c r="T1151" s="4">
        <f>(H1151*I1151)</f>
        <v>75300</v>
      </c>
      <c r="U1151" s="4">
        <f>(H1151*(I1151-1))</f>
        <v>50200</v>
      </c>
      <c r="V1151" s="0" t="str">
        <f>INDEX('Account executives'!$B$2:$B$25,MATCH(C1151,'Account executives'!$A$2:$A$25,0))</f>
        <v>apac</v>
      </c>
      <c r="W1151" s="0" t="str">
        <f>INDEX('Account executives'!$C$2:$C$25,MATCH(C1151,'Account executives'!$A$2:$A$25,0))</f>
        <v>mid_market</v>
      </c>
      <c r="X1151" s="0" t="str">
        <f>SUBSTITUTE(LOWER(INDEX('Periods'!$G$2:$G$22,MATCH(N1151,'Periods'!$A$2:$A$22,0)))," ","_")</f>
        <v>q1_2026</v>
      </c>
    </row>
    <row r="1152">
      <c r="A1152" s="0" t="inlineStr">
        <is>
          <t xml:space="preserve">o1151</t>
        </is>
      </c>
      <c r="B1152" s="0" t="inlineStr">
        <is>
          <t xml:space="preserve">a0052</t>
        </is>
      </c>
      <c r="C1152" s="0" t="inlineStr">
        <is>
          <t xml:space="preserve">r16</t>
        </is>
      </c>
      <c r="D1152" s="0" t="inlineStr">
        <is>
          <t xml:space="preserve">s_emea_out</t>
        </is>
      </c>
      <c r="E1152" s="0" t="inlineStr">
        <is>
          <t xml:space="preserve">outbound</t>
        </is>
      </c>
      <c r="F1152" s="0" t="inlineStr">
        <is>
          <t xml:space="preserve">closed_lost</t>
        </is>
      </c>
      <c r="G1152" s="4">
        <v>1</v>
      </c>
      <c r="H1152" s="4">
        <v>33900</v>
      </c>
      <c r="I1152" s="4">
        <v>1</v>
      </c>
      <c r="J1152" s="4">
        <v>1</v>
      </c>
      <c r="K1152" s="16">
        <v>45763</v>
      </c>
      <c r="L1152" s="16">
        <v>45804</v>
      </c>
      <c r="M1152" s="0" t="inlineStr">
        <is>
          <t xml:space="preserve">apr25</t>
        </is>
      </c>
      <c r="N1152" s="0" t="inlineStr">
        <is>
          <t xml:space="preserve">may25</t>
        </is>
      </c>
      <c r="O1152" s="4">
        <v>41</v>
      </c>
      <c r="P1152" s="4">
        <v>0</v>
      </c>
      <c r="Q1152" s="4">
        <v>1</v>
      </c>
      <c r="R1152" s="4">
        <v>0</v>
      </c>
      <c r="S1152" s="4">
        <f>(H1152*INDEX('Stages'!$D$2:$D$7,MATCH(F1152,'Stages'!$A$2:$A$7,0)))</f>
        <v>0</v>
      </c>
      <c r="T1152" s="4">
        <f>(H1152*I1152)</f>
        <v>33900</v>
      </c>
      <c r="U1152" s="4">
        <f>(H1152*(I1152-1))</f>
        <v>0</v>
      </c>
      <c r="V1152" s="0" t="str">
        <f>INDEX('Account executives'!$B$2:$B$25,MATCH(C1152,'Account executives'!$A$2:$A$25,0))</f>
        <v>emea</v>
      </c>
      <c r="W1152" s="0" t="str">
        <f>INDEX('Account executives'!$C$2:$C$25,MATCH(C1152,'Account executives'!$A$2:$A$25,0))</f>
        <v>mid_market</v>
      </c>
      <c r="X1152" s="0" t="str">
        <f>SUBSTITUTE(LOWER(INDEX('Periods'!$G$2:$G$22,MATCH(N1152,'Periods'!$A$2:$A$22,0)))," ","_")</f>
        <v>q2_2025</v>
      </c>
    </row>
    <row r="1153">
      <c r="A1153" s="0" t="inlineStr">
        <is>
          <t xml:space="preserve">o1152</t>
        </is>
      </c>
      <c r="B1153" s="0" t="inlineStr">
        <is>
          <t xml:space="preserve">a1133</t>
        </is>
      </c>
      <c r="C1153" s="0" t="inlineStr">
        <is>
          <t xml:space="preserve">r21</t>
        </is>
      </c>
      <c r="D1153" s="0" t="inlineStr">
        <is>
          <t xml:space="preserve">s_apac_in</t>
        </is>
      </c>
      <c r="E1153" s="0" t="inlineStr">
        <is>
          <t xml:space="preserve">inbound</t>
        </is>
      </c>
      <c r="F1153" s="0" t="inlineStr">
        <is>
          <t xml:space="preserve">closed_won</t>
        </is>
      </c>
      <c r="G1153" s="4">
        <v>1</v>
      </c>
      <c r="H1153" s="4">
        <v>14300</v>
      </c>
      <c r="I1153" s="4">
        <v>1</v>
      </c>
      <c r="J1153" s="4">
        <v>1</v>
      </c>
      <c r="K1153" s="16">
        <v>46205</v>
      </c>
      <c r="L1153" s="16">
        <v>46276</v>
      </c>
      <c r="M1153" s="0" t="inlineStr">
        <is>
          <t xml:space="preserve">jul26</t>
        </is>
      </c>
      <c r="N1153" s="0" t="inlineStr">
        <is>
          <t xml:space="preserve">sep26</t>
        </is>
      </c>
      <c r="O1153" s="4">
        <v>71</v>
      </c>
      <c r="P1153" s="4">
        <v>1</v>
      </c>
      <c r="Q1153" s="4">
        <v>0</v>
      </c>
      <c r="R1153" s="4">
        <v>0</v>
      </c>
      <c r="S1153" s="4">
        <f>(H1153*INDEX('Stages'!$D$2:$D$7,MATCH(F1153,'Stages'!$A$2:$A$7,0)))</f>
        <v>14300</v>
      </c>
      <c r="T1153" s="4">
        <f>(H1153*I1153)</f>
        <v>14300</v>
      </c>
      <c r="U1153" s="4">
        <f>(H1153*(I1153-1))</f>
        <v>0</v>
      </c>
      <c r="V1153" s="0" t="str">
        <f>INDEX('Account executives'!$B$2:$B$25,MATCH(C1153,'Account executives'!$A$2:$A$25,0))</f>
        <v>apac</v>
      </c>
      <c r="W1153" s="0" t="str">
        <f>INDEX('Account executives'!$C$2:$C$25,MATCH(C1153,'Account executives'!$A$2:$A$25,0))</f>
        <v>mid_market</v>
      </c>
      <c r="X1153" s="0" t="str">
        <f>SUBSTITUTE(LOWER(INDEX('Periods'!$G$2:$G$22,MATCH(N1153,'Periods'!$A$2:$A$22,0)))," ","_")</f>
        <v>q3_2026</v>
      </c>
    </row>
    <row r="1154">
      <c r="A1154" s="0" t="inlineStr">
        <is>
          <t xml:space="preserve">o1153</t>
        </is>
      </c>
      <c r="B1154" s="0" t="inlineStr">
        <is>
          <t xml:space="preserve">a0180</t>
        </is>
      </c>
      <c r="C1154" s="0" t="inlineStr">
        <is>
          <t xml:space="preserve">r04</t>
        </is>
      </c>
      <c r="D1154" s="0"/>
      <c r="E1154" s="0" t="inlineStr">
        <is>
          <t xml:space="preserve">partner</t>
        </is>
      </c>
      <c r="F1154" s="0" t="inlineStr">
        <is>
          <t xml:space="preserve">closed_won</t>
        </is>
      </c>
      <c r="G1154" s="4">
        <v>0</v>
      </c>
      <c r="H1154" s="4">
        <v>11000</v>
      </c>
      <c r="I1154" s="4">
        <v>1</v>
      </c>
      <c r="J1154" s="4">
        <v>0</v>
      </c>
      <c r="K1154" s="16">
        <v>45829</v>
      </c>
      <c r="L1154" s="16">
        <v>45901</v>
      </c>
      <c r="M1154" s="0" t="inlineStr">
        <is>
          <t xml:space="preserve">jun25</t>
        </is>
      </c>
      <c r="N1154" s="0" t="inlineStr">
        <is>
          <t xml:space="preserve">sep25</t>
        </is>
      </c>
      <c r="O1154" s="4">
        <v>72</v>
      </c>
      <c r="P1154" s="4">
        <v>1</v>
      </c>
      <c r="Q1154" s="4">
        <v>0</v>
      </c>
      <c r="R1154" s="4">
        <v>0</v>
      </c>
      <c r="S1154" s="4">
        <f>(H1154*INDEX('Stages'!$D$2:$D$7,MATCH(F1154,'Stages'!$A$2:$A$7,0)))</f>
        <v>11000</v>
      </c>
      <c r="T1154" s="4">
        <f>(H1154*I1154)</f>
        <v>11000</v>
      </c>
      <c r="U1154" s="4">
        <f>(H1154*(I1154-1))</f>
        <v>0</v>
      </c>
      <c r="V1154" s="0" t="str">
        <f>INDEX('Account executives'!$B$2:$B$25,MATCH(C1154,'Account executives'!$A$2:$A$25,0))</f>
        <v>amer_east</v>
      </c>
      <c r="W1154" s="0" t="str">
        <f>INDEX('Account executives'!$C$2:$C$25,MATCH(C1154,'Account executives'!$A$2:$A$25,0))</f>
        <v>mid_market</v>
      </c>
      <c r="X1154" s="0" t="str">
        <f>SUBSTITUTE(LOWER(INDEX('Periods'!$G$2:$G$22,MATCH(N1154,'Periods'!$A$2:$A$22,0)))," ","_")</f>
        <v>q3_2025</v>
      </c>
    </row>
    <row r="1155">
      <c r="A1155" s="0" t="inlineStr">
        <is>
          <t xml:space="preserve">o1154</t>
        </is>
      </c>
      <c r="B1155" s="0" t="inlineStr">
        <is>
          <t xml:space="preserve">a0069</t>
        </is>
      </c>
      <c r="C1155" s="0" t="inlineStr">
        <is>
          <t xml:space="preserve">r05</t>
        </is>
      </c>
      <c r="D1155" s="0" t="inlineStr">
        <is>
          <t xml:space="preserve">s_amer_east_in</t>
        </is>
      </c>
      <c r="E1155" s="0" t="inlineStr">
        <is>
          <t xml:space="preserve">paid</t>
        </is>
      </c>
      <c r="F1155" s="0" t="inlineStr">
        <is>
          <t xml:space="preserve">closed_lost</t>
        </is>
      </c>
      <c r="G1155" s="4">
        <v>1</v>
      </c>
      <c r="H1155" s="4">
        <v>28200</v>
      </c>
      <c r="I1155" s="4">
        <v>1</v>
      </c>
      <c r="J1155" s="4">
        <v>0</v>
      </c>
      <c r="K1155" s="16">
        <v>45788</v>
      </c>
      <c r="L1155" s="16">
        <v>45810</v>
      </c>
      <c r="M1155" s="0" t="inlineStr">
        <is>
          <t xml:space="preserve">may25</t>
        </is>
      </c>
      <c r="N1155" s="0" t="inlineStr">
        <is>
          <t xml:space="preserve">jun25</t>
        </is>
      </c>
      <c r="O1155" s="4">
        <v>22</v>
      </c>
      <c r="P1155" s="4">
        <v>0</v>
      </c>
      <c r="Q1155" s="4">
        <v>1</v>
      </c>
      <c r="R1155" s="4">
        <v>0</v>
      </c>
      <c r="S1155" s="4">
        <f>(H1155*INDEX('Stages'!$D$2:$D$7,MATCH(F1155,'Stages'!$A$2:$A$7,0)))</f>
        <v>0</v>
      </c>
      <c r="T1155" s="4">
        <f>(H1155*I1155)</f>
        <v>28200</v>
      </c>
      <c r="U1155" s="4">
        <f>(H1155*(I1155-1))</f>
        <v>0</v>
      </c>
      <c r="V1155" s="0" t="str">
        <f>INDEX('Account executives'!$B$2:$B$25,MATCH(C1155,'Account executives'!$A$2:$A$25,0))</f>
        <v>amer_east</v>
      </c>
      <c r="W1155" s="0" t="str">
        <f>INDEX('Account executives'!$C$2:$C$25,MATCH(C1155,'Account executives'!$A$2:$A$25,0))</f>
        <v>smb</v>
      </c>
      <c r="X1155" s="0" t="str">
        <f>SUBSTITUTE(LOWER(INDEX('Periods'!$G$2:$G$22,MATCH(N1155,'Periods'!$A$2:$A$22,0)))," ","_")</f>
        <v>q2_2025</v>
      </c>
    </row>
    <row r="1156">
      <c r="A1156" s="0" t="inlineStr">
        <is>
          <t xml:space="preserve">o1155</t>
        </is>
      </c>
      <c r="B1156" s="0" t="inlineStr">
        <is>
          <t xml:space="preserve">a0575</t>
        </is>
      </c>
      <c r="C1156" s="0" t="inlineStr">
        <is>
          <t xml:space="preserve">r09</t>
        </is>
      </c>
      <c r="D1156" s="0" t="inlineStr">
        <is>
          <t xml:space="preserve">s_amer_west_out</t>
        </is>
      </c>
      <c r="E1156" s="0" t="inlineStr">
        <is>
          <t xml:space="preserve">outbound</t>
        </is>
      </c>
      <c r="F1156" s="0" t="inlineStr">
        <is>
          <t xml:space="preserve">closed_lost</t>
        </is>
      </c>
      <c r="G1156" s="4">
        <v>1</v>
      </c>
      <c r="H1156" s="4">
        <v>62000</v>
      </c>
      <c r="I1156" s="4">
        <v>1</v>
      </c>
      <c r="J1156" s="4">
        <v>1</v>
      </c>
      <c r="K1156" s="16">
        <v>46014</v>
      </c>
      <c r="L1156" s="16">
        <v>46109</v>
      </c>
      <c r="M1156" s="0" t="inlineStr">
        <is>
          <t xml:space="preserve">dec25</t>
        </is>
      </c>
      <c r="N1156" s="0" t="inlineStr">
        <is>
          <t xml:space="preserve">mar26</t>
        </is>
      </c>
      <c r="O1156" s="4">
        <v>95</v>
      </c>
      <c r="P1156" s="4">
        <v>0</v>
      </c>
      <c r="Q1156" s="4">
        <v>1</v>
      </c>
      <c r="R1156" s="4">
        <v>0</v>
      </c>
      <c r="S1156" s="4">
        <f>(H1156*INDEX('Stages'!$D$2:$D$7,MATCH(F1156,'Stages'!$A$2:$A$7,0)))</f>
        <v>0</v>
      </c>
      <c r="T1156" s="4">
        <f>(H1156*I1156)</f>
        <v>62000</v>
      </c>
      <c r="U1156" s="4">
        <f>(H1156*(I1156-1))</f>
        <v>0</v>
      </c>
      <c r="V1156" s="0" t="str">
        <f>INDEX('Account executives'!$B$2:$B$25,MATCH(C1156,'Account executives'!$A$2:$A$25,0))</f>
        <v>amer_west</v>
      </c>
      <c r="W1156" s="0" t="str">
        <f>INDEX('Account executives'!$C$2:$C$25,MATCH(C1156,'Account executives'!$A$2:$A$25,0))</f>
        <v>mid_market</v>
      </c>
      <c r="X1156" s="0" t="str">
        <f>SUBSTITUTE(LOWER(INDEX('Periods'!$G$2:$G$22,MATCH(N1156,'Periods'!$A$2:$A$22,0)))," ","_")</f>
        <v>q1_2026</v>
      </c>
    </row>
    <row r="1157">
      <c r="A1157" s="0" t="inlineStr">
        <is>
          <t xml:space="preserve">o1156</t>
        </is>
      </c>
      <c r="B1157" s="0" t="inlineStr">
        <is>
          <t xml:space="preserve">a0842</t>
        </is>
      </c>
      <c r="C1157" s="0" t="inlineStr">
        <is>
          <t xml:space="preserve">r08</t>
        </is>
      </c>
      <c r="D1157" s="0" t="inlineStr">
        <is>
          <t xml:space="preserve">s_amer_west_in</t>
        </is>
      </c>
      <c r="E1157" s="0" t="inlineStr">
        <is>
          <t xml:space="preserve">inbound</t>
        </is>
      </c>
      <c r="F1157" s="0" t="inlineStr">
        <is>
          <t xml:space="preserve">closed_won</t>
        </is>
      </c>
      <c r="G1157" s="4">
        <v>1</v>
      </c>
      <c r="H1157" s="4">
        <v>386300</v>
      </c>
      <c r="I1157" s="4">
        <v>2</v>
      </c>
      <c r="J1157" s="4">
        <v>0</v>
      </c>
      <c r="K1157" s="16">
        <v>46137</v>
      </c>
      <c r="L1157" s="16">
        <v>46268</v>
      </c>
      <c r="M1157" s="0" t="inlineStr">
        <is>
          <t xml:space="preserve">apr26</t>
        </is>
      </c>
      <c r="N1157" s="0" t="inlineStr">
        <is>
          <t xml:space="preserve">sep26</t>
        </is>
      </c>
      <c r="O1157" s="4">
        <v>131</v>
      </c>
      <c r="P1157" s="4">
        <v>1</v>
      </c>
      <c r="Q1157" s="4">
        <v>0</v>
      </c>
      <c r="R1157" s="4">
        <v>0</v>
      </c>
      <c r="S1157" s="4">
        <f>(H1157*INDEX('Stages'!$D$2:$D$7,MATCH(F1157,'Stages'!$A$2:$A$7,0)))</f>
        <v>386300</v>
      </c>
      <c r="T1157" s="4">
        <f>(H1157*I1157)</f>
        <v>772600</v>
      </c>
      <c r="U1157" s="4">
        <f>(H1157*(I1157-1))</f>
        <v>386300</v>
      </c>
      <c r="V1157" s="0" t="str">
        <f>INDEX('Account executives'!$B$2:$B$25,MATCH(C1157,'Account executives'!$A$2:$A$25,0))</f>
        <v>amer_west</v>
      </c>
      <c r="W1157" s="0" t="str">
        <f>INDEX('Account executives'!$C$2:$C$25,MATCH(C1157,'Account executives'!$A$2:$A$25,0))</f>
        <v>enterprise</v>
      </c>
      <c r="X1157" s="0" t="str">
        <f>SUBSTITUTE(LOWER(INDEX('Periods'!$G$2:$G$22,MATCH(N1157,'Periods'!$A$2:$A$22,0)))," ","_")</f>
        <v>q3_2026</v>
      </c>
    </row>
    <row r="1158">
      <c r="A1158" s="0" t="inlineStr">
        <is>
          <t xml:space="preserve">o1157</t>
        </is>
      </c>
      <c r="B1158" s="0" t="inlineStr">
        <is>
          <t xml:space="preserve">a0007</t>
        </is>
      </c>
      <c r="C1158" s="0" t="inlineStr">
        <is>
          <t xml:space="preserve">r04</t>
        </is>
      </c>
      <c r="D1158" s="0" t="inlineStr">
        <is>
          <t xml:space="preserve">s_amer_east_out</t>
        </is>
      </c>
      <c r="E1158" s="0" t="inlineStr">
        <is>
          <t xml:space="preserve">outbound</t>
        </is>
      </c>
      <c r="F1158" s="0" t="inlineStr">
        <is>
          <t xml:space="preserve">closed_lost</t>
        </is>
      </c>
      <c r="G1158" s="4">
        <v>0</v>
      </c>
      <c r="H1158" s="4">
        <v>20900</v>
      </c>
      <c r="I1158" s="4">
        <v>1</v>
      </c>
      <c r="J1158" s="4">
        <v>0</v>
      </c>
      <c r="K1158" s="16">
        <v>45754</v>
      </c>
      <c r="L1158" s="16">
        <v>45838</v>
      </c>
      <c r="M1158" s="0" t="inlineStr">
        <is>
          <t xml:space="preserve">apr25</t>
        </is>
      </c>
      <c r="N1158" s="0" t="inlineStr">
        <is>
          <t xml:space="preserve">jun25</t>
        </is>
      </c>
      <c r="O1158" s="4">
        <v>84</v>
      </c>
      <c r="P1158" s="4">
        <v>0</v>
      </c>
      <c r="Q1158" s="4">
        <v>1</v>
      </c>
      <c r="R1158" s="4">
        <v>0</v>
      </c>
      <c r="S1158" s="4">
        <f>(H1158*INDEX('Stages'!$D$2:$D$7,MATCH(F1158,'Stages'!$A$2:$A$7,0)))</f>
        <v>0</v>
      </c>
      <c r="T1158" s="4">
        <f>(H1158*I1158)</f>
        <v>20900</v>
      </c>
      <c r="U1158" s="4">
        <f>(H1158*(I1158-1))</f>
        <v>0</v>
      </c>
      <c r="V1158" s="0" t="str">
        <f>INDEX('Account executives'!$B$2:$B$25,MATCH(C1158,'Account executives'!$A$2:$A$25,0))</f>
        <v>amer_east</v>
      </c>
      <c r="W1158" s="0" t="str">
        <f>INDEX('Account executives'!$C$2:$C$25,MATCH(C1158,'Account executives'!$A$2:$A$25,0))</f>
        <v>mid_market</v>
      </c>
      <c r="X1158" s="0" t="str">
        <f>SUBSTITUTE(LOWER(INDEX('Periods'!$G$2:$G$22,MATCH(N1158,'Periods'!$A$2:$A$22,0)))," ","_")</f>
        <v>q2_2025</v>
      </c>
    </row>
    <row r="1159">
      <c r="A1159" s="0" t="inlineStr">
        <is>
          <t xml:space="preserve">o1158</t>
        </is>
      </c>
      <c r="B1159" s="0" t="inlineStr">
        <is>
          <t xml:space="preserve">a0232</t>
        </is>
      </c>
      <c r="C1159" s="0" t="inlineStr">
        <is>
          <t xml:space="preserve">r05</t>
        </is>
      </c>
      <c r="D1159" s="0" t="inlineStr">
        <is>
          <t xml:space="preserve">s_amer_east_in</t>
        </is>
      </c>
      <c r="E1159" s="0" t="inlineStr">
        <is>
          <t xml:space="preserve">inbound</t>
        </is>
      </c>
      <c r="F1159" s="0" t="inlineStr">
        <is>
          <t xml:space="preserve">closed_won</t>
        </is>
      </c>
      <c r="G1159" s="4">
        <v>0</v>
      </c>
      <c r="H1159" s="4">
        <v>8500</v>
      </c>
      <c r="I1159" s="4">
        <v>1</v>
      </c>
      <c r="J1159" s="4">
        <v>0</v>
      </c>
      <c r="K1159" s="16">
        <v>46181</v>
      </c>
      <c r="L1159" s="16">
        <v>46223</v>
      </c>
      <c r="M1159" s="0" t="inlineStr">
        <is>
          <t xml:space="preserve">jun26</t>
        </is>
      </c>
      <c r="N1159" s="0" t="inlineStr">
        <is>
          <t xml:space="preserve">jul26</t>
        </is>
      </c>
      <c r="O1159" s="4">
        <v>42</v>
      </c>
      <c r="P1159" s="4">
        <v>1</v>
      </c>
      <c r="Q1159" s="4">
        <v>0</v>
      </c>
      <c r="R1159" s="4">
        <v>0</v>
      </c>
      <c r="S1159" s="4">
        <f>(H1159*INDEX('Stages'!$D$2:$D$7,MATCH(F1159,'Stages'!$A$2:$A$7,0)))</f>
        <v>8500</v>
      </c>
      <c r="T1159" s="4">
        <f>(H1159*I1159)</f>
        <v>8500</v>
      </c>
      <c r="U1159" s="4">
        <f>(H1159*(I1159-1))</f>
        <v>0</v>
      </c>
      <c r="V1159" s="0" t="str">
        <f>INDEX('Account executives'!$B$2:$B$25,MATCH(C1159,'Account executives'!$A$2:$A$25,0))</f>
        <v>amer_east</v>
      </c>
      <c r="W1159" s="0" t="str">
        <f>INDEX('Account executives'!$C$2:$C$25,MATCH(C1159,'Account executives'!$A$2:$A$25,0))</f>
        <v>smb</v>
      </c>
      <c r="X1159" s="0" t="str">
        <f>SUBSTITUTE(LOWER(INDEX('Periods'!$G$2:$G$22,MATCH(N1159,'Periods'!$A$2:$A$22,0)))," ","_")</f>
        <v>q3_2026</v>
      </c>
    </row>
    <row r="1160">
      <c r="A1160" s="0" t="inlineStr">
        <is>
          <t xml:space="preserve">o1159</t>
        </is>
      </c>
      <c r="B1160" s="0" t="inlineStr">
        <is>
          <t xml:space="preserve">a0855</t>
        </is>
      </c>
      <c r="C1160" s="0" t="inlineStr">
        <is>
          <t xml:space="preserve">r09</t>
        </is>
      </c>
      <c r="D1160" s="0"/>
      <c r="E1160" s="0" t="inlineStr">
        <is>
          <t xml:space="preserve">referral</t>
        </is>
      </c>
      <c r="F1160" s="0" t="inlineStr">
        <is>
          <t xml:space="preserve">closed_won</t>
        </is>
      </c>
      <c r="G1160" s="4">
        <v>1</v>
      </c>
      <c r="H1160" s="4">
        <v>19500</v>
      </c>
      <c r="I1160" s="4">
        <v>2</v>
      </c>
      <c r="J1160" s="4">
        <v>0</v>
      </c>
      <c r="K1160" s="16">
        <v>46137</v>
      </c>
      <c r="L1160" s="16">
        <v>46205</v>
      </c>
      <c r="M1160" s="0" t="inlineStr">
        <is>
          <t xml:space="preserve">apr26</t>
        </is>
      </c>
      <c r="N1160" s="0" t="inlineStr">
        <is>
          <t xml:space="preserve">jul26</t>
        </is>
      </c>
      <c r="O1160" s="4">
        <v>68</v>
      </c>
      <c r="P1160" s="4">
        <v>1</v>
      </c>
      <c r="Q1160" s="4">
        <v>0</v>
      </c>
      <c r="R1160" s="4">
        <v>0</v>
      </c>
      <c r="S1160" s="4">
        <f>(H1160*INDEX('Stages'!$D$2:$D$7,MATCH(F1160,'Stages'!$A$2:$A$7,0)))</f>
        <v>19500</v>
      </c>
      <c r="T1160" s="4">
        <f>(H1160*I1160)</f>
        <v>39000</v>
      </c>
      <c r="U1160" s="4">
        <f>(H1160*(I1160-1))</f>
        <v>19500</v>
      </c>
      <c r="V1160" s="0" t="str">
        <f>INDEX('Account executives'!$B$2:$B$25,MATCH(C1160,'Account executives'!$A$2:$A$25,0))</f>
        <v>amer_west</v>
      </c>
      <c r="W1160" s="0" t="str">
        <f>INDEX('Account executives'!$C$2:$C$25,MATCH(C1160,'Account executives'!$A$2:$A$25,0))</f>
        <v>mid_market</v>
      </c>
      <c r="X1160" s="0" t="str">
        <f>SUBSTITUTE(LOWER(INDEX('Periods'!$G$2:$G$22,MATCH(N1160,'Periods'!$A$2:$A$22,0)))," ","_")</f>
        <v>q3_2026</v>
      </c>
    </row>
    <row r="1161">
      <c r="A1161" s="0" t="inlineStr">
        <is>
          <t xml:space="preserve">o1160</t>
        </is>
      </c>
      <c r="B1161" s="0" t="inlineStr">
        <is>
          <t xml:space="preserve">a0081</t>
        </is>
      </c>
      <c r="C1161" s="0" t="inlineStr">
        <is>
          <t xml:space="preserve">r06</t>
        </is>
      </c>
      <c r="D1161" s="0" t="inlineStr">
        <is>
          <t xml:space="preserve">s_amer_east_in</t>
        </is>
      </c>
      <c r="E1161" s="0" t="inlineStr">
        <is>
          <t xml:space="preserve">inbound</t>
        </is>
      </c>
      <c r="F1161" s="0" t="inlineStr">
        <is>
          <t xml:space="preserve">closed_lost</t>
        </is>
      </c>
      <c r="G1161" s="4">
        <v>0</v>
      </c>
      <c r="H1161" s="4">
        <v>10700</v>
      </c>
      <c r="I1161" s="4">
        <v>1</v>
      </c>
      <c r="J1161" s="4">
        <v>0</v>
      </c>
      <c r="K1161" s="16">
        <v>45871</v>
      </c>
      <c r="L1161" s="16">
        <v>45928</v>
      </c>
      <c r="M1161" s="0" t="inlineStr">
        <is>
          <t xml:space="preserve">aug25</t>
        </is>
      </c>
      <c r="N1161" s="0" t="inlineStr">
        <is>
          <t xml:space="preserve">sep25</t>
        </is>
      </c>
      <c r="O1161" s="4">
        <v>57</v>
      </c>
      <c r="P1161" s="4">
        <v>0</v>
      </c>
      <c r="Q1161" s="4">
        <v>1</v>
      </c>
      <c r="R1161" s="4">
        <v>0</v>
      </c>
      <c r="S1161" s="4">
        <f>(H1161*INDEX('Stages'!$D$2:$D$7,MATCH(F1161,'Stages'!$A$2:$A$7,0)))</f>
        <v>0</v>
      </c>
      <c r="T1161" s="4">
        <f>(H1161*I1161)</f>
        <v>10700</v>
      </c>
      <c r="U1161" s="4">
        <f>(H1161*(I1161-1))</f>
        <v>0</v>
      </c>
      <c r="V1161" s="0" t="str">
        <f>INDEX('Account executives'!$B$2:$B$25,MATCH(C1161,'Account executives'!$A$2:$A$25,0))</f>
        <v>amer_east</v>
      </c>
      <c r="W1161" s="0" t="str">
        <f>INDEX('Account executives'!$C$2:$C$25,MATCH(C1161,'Account executives'!$A$2:$A$25,0))</f>
        <v>smb</v>
      </c>
      <c r="X1161" s="0" t="str">
        <f>SUBSTITUTE(LOWER(INDEX('Periods'!$G$2:$G$22,MATCH(N1161,'Periods'!$A$2:$A$22,0)))," ","_")</f>
        <v>q3_2025</v>
      </c>
    </row>
    <row r="1162">
      <c r="A1162" s="0" t="inlineStr">
        <is>
          <t xml:space="preserve">o1161</t>
        </is>
      </c>
      <c r="B1162" s="0" t="inlineStr">
        <is>
          <t xml:space="preserve">a0895</t>
        </is>
      </c>
      <c r="C1162" s="0" t="inlineStr">
        <is>
          <t xml:space="preserve">r01</t>
        </is>
      </c>
      <c r="D1162" s="0" t="inlineStr">
        <is>
          <t xml:space="preserve">s_amer_east_in</t>
        </is>
      </c>
      <c r="E1162" s="0" t="inlineStr">
        <is>
          <t xml:space="preserve">paid</t>
        </is>
      </c>
      <c r="F1162" s="0" t="inlineStr">
        <is>
          <t xml:space="preserve">proposal</t>
        </is>
      </c>
      <c r="G1162" s="4">
        <v>1</v>
      </c>
      <c r="H1162" s="4">
        <v>311700</v>
      </c>
      <c r="I1162" s="4">
        <v>1</v>
      </c>
      <c r="J1162" s="4">
        <v>0</v>
      </c>
      <c r="K1162" s="16">
        <v>46154</v>
      </c>
      <c r="L1162" s="16">
        <v>46325</v>
      </c>
      <c r="M1162" s="0" t="inlineStr">
        <is>
          <t xml:space="preserve">may26</t>
        </is>
      </c>
      <c r="N1162" s="0" t="inlineStr">
        <is>
          <t xml:space="preserve">oct26</t>
        </is>
      </c>
      <c r="O1162" s="4">
        <v>138</v>
      </c>
      <c r="P1162" s="4">
        <v>0</v>
      </c>
      <c r="Q1162" s="4">
        <v>0</v>
      </c>
      <c r="R1162" s="4">
        <v>1</v>
      </c>
      <c r="S1162" s="4">
        <f>(H1162*INDEX('Stages'!$D$2:$D$7,MATCH(F1162,'Stages'!$A$2:$A$7,0)))</f>
        <v>155850</v>
      </c>
      <c r="T1162" s="4">
        <f>(H1162*I1162)</f>
        <v>311700</v>
      </c>
      <c r="U1162" s="4">
        <f>(H1162*(I1162-1))</f>
        <v>0</v>
      </c>
      <c r="V1162" s="0" t="str">
        <f>INDEX('Account executives'!$B$2:$B$25,MATCH(C1162,'Account executives'!$A$2:$A$25,0))</f>
        <v>amer_east</v>
      </c>
      <c r="W1162" s="0" t="str">
        <f>INDEX('Account executives'!$C$2:$C$25,MATCH(C1162,'Account executives'!$A$2:$A$25,0))</f>
        <v>enterprise</v>
      </c>
      <c r="X1162" s="0" t="str">
        <f>SUBSTITUTE(LOWER(INDEX('Periods'!$G$2:$G$22,MATCH(N1162,'Periods'!$A$2:$A$22,0)))," ","_")</f>
        <v>q4_2026</v>
      </c>
    </row>
    <row r="1163">
      <c r="A1163" s="0" t="inlineStr">
        <is>
          <t xml:space="preserve">o1162</t>
        </is>
      </c>
      <c r="B1163" s="0" t="inlineStr">
        <is>
          <t xml:space="preserve">a0516</t>
        </is>
      </c>
      <c r="C1163" s="0" t="inlineStr">
        <is>
          <t xml:space="preserve">r18</t>
        </is>
      </c>
      <c r="D1163" s="0" t="inlineStr">
        <is>
          <t xml:space="preserve">s_emea_in</t>
        </is>
      </c>
      <c r="E1163" s="0" t="inlineStr">
        <is>
          <t xml:space="preserve">paid</t>
        </is>
      </c>
      <c r="F1163" s="0" t="inlineStr">
        <is>
          <t xml:space="preserve">closed_won</t>
        </is>
      </c>
      <c r="G1163" s="4">
        <v>0</v>
      </c>
      <c r="H1163" s="4">
        <v>5200</v>
      </c>
      <c r="I1163" s="4">
        <v>1</v>
      </c>
      <c r="J1163" s="4">
        <v>0</v>
      </c>
      <c r="K1163" s="16">
        <v>46076</v>
      </c>
      <c r="L1163" s="16">
        <v>46086</v>
      </c>
      <c r="M1163" s="0" t="inlineStr">
        <is>
          <t xml:space="preserve">feb26</t>
        </is>
      </c>
      <c r="N1163" s="0" t="inlineStr">
        <is>
          <t xml:space="preserve">mar26</t>
        </is>
      </c>
      <c r="O1163" s="4">
        <v>10</v>
      </c>
      <c r="P1163" s="4">
        <v>1</v>
      </c>
      <c r="Q1163" s="4">
        <v>0</v>
      </c>
      <c r="R1163" s="4">
        <v>0</v>
      </c>
      <c r="S1163" s="4">
        <f>(H1163*INDEX('Stages'!$D$2:$D$7,MATCH(F1163,'Stages'!$A$2:$A$7,0)))</f>
        <v>5200</v>
      </c>
      <c r="T1163" s="4">
        <f>(H1163*I1163)</f>
        <v>5200</v>
      </c>
      <c r="U1163" s="4">
        <f>(H1163*(I1163-1))</f>
        <v>0</v>
      </c>
      <c r="V1163" s="0" t="str">
        <f>INDEX('Account executives'!$B$2:$B$25,MATCH(C1163,'Account executives'!$A$2:$A$25,0))</f>
        <v>emea</v>
      </c>
      <c r="W1163" s="0" t="str">
        <f>INDEX('Account executives'!$C$2:$C$25,MATCH(C1163,'Account executives'!$A$2:$A$25,0))</f>
        <v>smb</v>
      </c>
      <c r="X1163" s="0" t="str">
        <f>SUBSTITUTE(LOWER(INDEX('Periods'!$G$2:$G$22,MATCH(N1163,'Periods'!$A$2:$A$22,0)))," ","_")</f>
        <v>q1_2026</v>
      </c>
    </row>
    <row r="1164">
      <c r="A1164" s="0" t="inlineStr">
        <is>
          <t xml:space="preserve">o1163</t>
        </is>
      </c>
      <c r="B1164" s="0" t="inlineStr">
        <is>
          <t xml:space="preserve">a0184</t>
        </is>
      </c>
      <c r="C1164" s="0" t="inlineStr">
        <is>
          <t xml:space="preserve">r06</t>
        </is>
      </c>
      <c r="D1164" s="0"/>
      <c r="E1164" s="0" t="inlineStr">
        <is>
          <t xml:space="preserve">referral</t>
        </is>
      </c>
      <c r="F1164" s="0" t="inlineStr">
        <is>
          <t xml:space="preserve">closed_won</t>
        </is>
      </c>
      <c r="G1164" s="4">
        <v>0</v>
      </c>
      <c r="H1164" s="4">
        <v>10500</v>
      </c>
      <c r="I1164" s="4">
        <v>3</v>
      </c>
      <c r="J1164" s="4">
        <v>0</v>
      </c>
      <c r="K1164" s="16">
        <v>46189</v>
      </c>
      <c r="L1164" s="16">
        <v>46196</v>
      </c>
      <c r="M1164" s="0" t="inlineStr">
        <is>
          <t xml:space="preserve">jun26</t>
        </is>
      </c>
      <c r="N1164" s="0" t="inlineStr">
        <is>
          <t xml:space="preserve">jun26</t>
        </is>
      </c>
      <c r="O1164" s="4">
        <v>7</v>
      </c>
      <c r="P1164" s="4">
        <v>1</v>
      </c>
      <c r="Q1164" s="4">
        <v>0</v>
      </c>
      <c r="R1164" s="4">
        <v>0</v>
      </c>
      <c r="S1164" s="4">
        <f>(H1164*INDEX('Stages'!$D$2:$D$7,MATCH(F1164,'Stages'!$A$2:$A$7,0)))</f>
        <v>10500</v>
      </c>
      <c r="T1164" s="4">
        <f>(H1164*I1164)</f>
        <v>31500</v>
      </c>
      <c r="U1164" s="4">
        <f>(H1164*(I1164-1))</f>
        <v>21000</v>
      </c>
      <c r="V1164" s="0" t="str">
        <f>INDEX('Account executives'!$B$2:$B$25,MATCH(C1164,'Account executives'!$A$2:$A$25,0))</f>
        <v>amer_east</v>
      </c>
      <c r="W1164" s="0" t="str">
        <f>INDEX('Account executives'!$C$2:$C$25,MATCH(C1164,'Account executives'!$A$2:$A$25,0))</f>
        <v>smb</v>
      </c>
      <c r="X1164" s="0" t="str">
        <f>SUBSTITUTE(LOWER(INDEX('Periods'!$G$2:$G$22,MATCH(N1164,'Periods'!$A$2:$A$22,0)))," ","_")</f>
        <v>q2_2026</v>
      </c>
    </row>
    <row r="1165">
      <c r="A1165" s="0" t="inlineStr">
        <is>
          <t xml:space="preserve">o1164</t>
        </is>
      </c>
      <c r="B1165" s="0" t="inlineStr">
        <is>
          <t xml:space="preserve">a0005</t>
        </is>
      </c>
      <c r="C1165" s="0" t="inlineStr">
        <is>
          <t xml:space="preserve">r06</t>
        </is>
      </c>
      <c r="D1165" s="0" t="inlineStr">
        <is>
          <t xml:space="preserve">s_amer_east_in</t>
        </is>
      </c>
      <c r="E1165" s="0" t="inlineStr">
        <is>
          <t xml:space="preserve">inbound</t>
        </is>
      </c>
      <c r="F1165" s="0" t="inlineStr">
        <is>
          <t xml:space="preserve">closed_won</t>
        </is>
      </c>
      <c r="G1165" s="4">
        <v>0</v>
      </c>
      <c r="H1165" s="4">
        <v>6800</v>
      </c>
      <c r="I1165" s="4">
        <v>1</v>
      </c>
      <c r="J1165" s="4">
        <v>0</v>
      </c>
      <c r="K1165" s="16">
        <v>45762</v>
      </c>
      <c r="L1165" s="16">
        <v>45769</v>
      </c>
      <c r="M1165" s="0" t="inlineStr">
        <is>
          <t xml:space="preserve">apr25</t>
        </is>
      </c>
      <c r="N1165" s="0" t="inlineStr">
        <is>
          <t xml:space="preserve">apr25</t>
        </is>
      </c>
      <c r="O1165" s="4">
        <v>7</v>
      </c>
      <c r="P1165" s="4">
        <v>1</v>
      </c>
      <c r="Q1165" s="4">
        <v>0</v>
      </c>
      <c r="R1165" s="4">
        <v>0</v>
      </c>
      <c r="S1165" s="4">
        <f>(H1165*INDEX('Stages'!$D$2:$D$7,MATCH(F1165,'Stages'!$A$2:$A$7,0)))</f>
        <v>6800</v>
      </c>
      <c r="T1165" s="4">
        <f>(H1165*I1165)</f>
        <v>6800</v>
      </c>
      <c r="U1165" s="4">
        <f>(H1165*(I1165-1))</f>
        <v>0</v>
      </c>
      <c r="V1165" s="0" t="str">
        <f>INDEX('Account executives'!$B$2:$B$25,MATCH(C1165,'Account executives'!$A$2:$A$25,0))</f>
        <v>amer_east</v>
      </c>
      <c r="W1165" s="0" t="str">
        <f>INDEX('Account executives'!$C$2:$C$25,MATCH(C1165,'Account executives'!$A$2:$A$25,0))</f>
        <v>smb</v>
      </c>
      <c r="X1165" s="0" t="str">
        <f>SUBSTITUTE(LOWER(INDEX('Periods'!$G$2:$G$22,MATCH(N1165,'Periods'!$A$2:$A$22,0)))," ","_")</f>
        <v>q2_2025</v>
      </c>
    </row>
    <row r="1166">
      <c r="A1166" s="0" t="inlineStr">
        <is>
          <t xml:space="preserve">o1165</t>
        </is>
      </c>
      <c r="B1166" s="0" t="inlineStr">
        <is>
          <t xml:space="preserve">a0907</t>
        </is>
      </c>
      <c r="C1166" s="0" t="inlineStr">
        <is>
          <t xml:space="preserve">r06</t>
        </is>
      </c>
      <c r="D1166" s="0"/>
      <c r="E1166" s="0" t="inlineStr">
        <is>
          <t xml:space="preserve">referral</t>
        </is>
      </c>
      <c r="F1166" s="0" t="inlineStr">
        <is>
          <t xml:space="preserve">closed_lost</t>
        </is>
      </c>
      <c r="G1166" s="4">
        <v>1</v>
      </c>
      <c r="H1166" s="4">
        <v>36100</v>
      </c>
      <c r="I1166" s="4">
        <v>1</v>
      </c>
      <c r="J1166" s="4">
        <v>0</v>
      </c>
      <c r="K1166" s="16">
        <v>46153</v>
      </c>
      <c r="L1166" s="16">
        <v>46171</v>
      </c>
      <c r="M1166" s="0" t="inlineStr">
        <is>
          <t xml:space="preserve">may26</t>
        </is>
      </c>
      <c r="N1166" s="0" t="inlineStr">
        <is>
          <t xml:space="preserve">may26</t>
        </is>
      </c>
      <c r="O1166" s="4">
        <v>18</v>
      </c>
      <c r="P1166" s="4">
        <v>0</v>
      </c>
      <c r="Q1166" s="4">
        <v>1</v>
      </c>
      <c r="R1166" s="4">
        <v>0</v>
      </c>
      <c r="S1166" s="4">
        <f>(H1166*INDEX('Stages'!$D$2:$D$7,MATCH(F1166,'Stages'!$A$2:$A$7,0)))</f>
        <v>0</v>
      </c>
      <c r="T1166" s="4">
        <f>(H1166*I1166)</f>
        <v>36100</v>
      </c>
      <c r="U1166" s="4">
        <f>(H1166*(I1166-1))</f>
        <v>0</v>
      </c>
      <c r="V1166" s="0" t="str">
        <f>INDEX('Account executives'!$B$2:$B$25,MATCH(C1166,'Account executives'!$A$2:$A$25,0))</f>
        <v>amer_east</v>
      </c>
      <c r="W1166" s="0" t="str">
        <f>INDEX('Account executives'!$C$2:$C$25,MATCH(C1166,'Account executives'!$A$2:$A$25,0))</f>
        <v>smb</v>
      </c>
      <c r="X1166" s="0" t="str">
        <f>SUBSTITUTE(LOWER(INDEX('Periods'!$G$2:$G$22,MATCH(N1166,'Periods'!$A$2:$A$22,0)))," ","_")</f>
        <v>q2_2026</v>
      </c>
    </row>
    <row r="1167">
      <c r="A1167" s="0" t="inlineStr">
        <is>
          <t xml:space="preserve">o1166</t>
        </is>
      </c>
      <c r="B1167" s="0" t="inlineStr">
        <is>
          <t xml:space="preserve">a0414</t>
        </is>
      </c>
      <c r="C1167" s="0" t="inlineStr">
        <is>
          <t xml:space="preserve">r21</t>
        </is>
      </c>
      <c r="D1167" s="0" t="inlineStr">
        <is>
          <t xml:space="preserve">s_apac_out</t>
        </is>
      </c>
      <c r="E1167" s="0" t="inlineStr">
        <is>
          <t xml:space="preserve">outbound</t>
        </is>
      </c>
      <c r="F1167" s="0" t="inlineStr">
        <is>
          <t xml:space="preserve">closed_won</t>
        </is>
      </c>
      <c r="G1167" s="4">
        <v>0</v>
      </c>
      <c r="H1167" s="4">
        <v>35300</v>
      </c>
      <c r="I1167" s="4">
        <v>1</v>
      </c>
      <c r="J1167" s="4">
        <v>0</v>
      </c>
      <c r="K1167" s="16">
        <v>45968</v>
      </c>
      <c r="L1167" s="16">
        <v>46038</v>
      </c>
      <c r="M1167" s="0" t="inlineStr">
        <is>
          <t xml:space="preserve">nov25</t>
        </is>
      </c>
      <c r="N1167" s="0" t="inlineStr">
        <is>
          <t xml:space="preserve">jan26</t>
        </is>
      </c>
      <c r="O1167" s="4">
        <v>70</v>
      </c>
      <c r="P1167" s="4">
        <v>1</v>
      </c>
      <c r="Q1167" s="4">
        <v>0</v>
      </c>
      <c r="R1167" s="4">
        <v>0</v>
      </c>
      <c r="S1167" s="4">
        <f>(H1167*INDEX('Stages'!$D$2:$D$7,MATCH(F1167,'Stages'!$A$2:$A$7,0)))</f>
        <v>35300</v>
      </c>
      <c r="T1167" s="4">
        <f>(H1167*I1167)</f>
        <v>35300</v>
      </c>
      <c r="U1167" s="4">
        <f>(H1167*(I1167-1))</f>
        <v>0</v>
      </c>
      <c r="V1167" s="0" t="str">
        <f>INDEX('Account executives'!$B$2:$B$25,MATCH(C1167,'Account executives'!$A$2:$A$25,0))</f>
        <v>apac</v>
      </c>
      <c r="W1167" s="0" t="str">
        <f>INDEX('Account executives'!$C$2:$C$25,MATCH(C1167,'Account executives'!$A$2:$A$25,0))</f>
        <v>mid_market</v>
      </c>
      <c r="X1167" s="0" t="str">
        <f>SUBSTITUTE(LOWER(INDEX('Periods'!$G$2:$G$22,MATCH(N1167,'Periods'!$A$2:$A$22,0)))," ","_")</f>
        <v>q1_2026</v>
      </c>
    </row>
    <row r="1168">
      <c r="A1168" s="0" t="inlineStr">
        <is>
          <t xml:space="preserve">o1167</t>
        </is>
      </c>
      <c r="B1168" s="0" t="inlineStr">
        <is>
          <t xml:space="preserve">a0335</t>
        </is>
      </c>
      <c r="C1168" s="0" t="inlineStr">
        <is>
          <t xml:space="preserve">r09</t>
        </is>
      </c>
      <c r="D1168" s="0" t="inlineStr">
        <is>
          <t xml:space="preserve">s_amer_west_out</t>
        </is>
      </c>
      <c r="E1168" s="0" t="inlineStr">
        <is>
          <t xml:space="preserve">outbound</t>
        </is>
      </c>
      <c r="F1168" s="0" t="inlineStr">
        <is>
          <t xml:space="preserve">closed_lost</t>
        </is>
      </c>
      <c r="G1168" s="4">
        <v>1</v>
      </c>
      <c r="H1168" s="4">
        <v>40200</v>
      </c>
      <c r="I1168" s="4">
        <v>2</v>
      </c>
      <c r="J1168" s="4">
        <v>0</v>
      </c>
      <c r="K1168" s="16">
        <v>45872</v>
      </c>
      <c r="L1168" s="16">
        <v>45928</v>
      </c>
      <c r="M1168" s="0" t="inlineStr">
        <is>
          <t xml:space="preserve">aug25</t>
        </is>
      </c>
      <c r="N1168" s="0" t="inlineStr">
        <is>
          <t xml:space="preserve">sep25</t>
        </is>
      </c>
      <c r="O1168" s="4">
        <v>56</v>
      </c>
      <c r="P1168" s="4">
        <v>0</v>
      </c>
      <c r="Q1168" s="4">
        <v>1</v>
      </c>
      <c r="R1168" s="4">
        <v>0</v>
      </c>
      <c r="S1168" s="4">
        <f>(H1168*INDEX('Stages'!$D$2:$D$7,MATCH(F1168,'Stages'!$A$2:$A$7,0)))</f>
        <v>0</v>
      </c>
      <c r="T1168" s="4">
        <f>(H1168*I1168)</f>
        <v>80400</v>
      </c>
      <c r="U1168" s="4">
        <f>(H1168*(I1168-1))</f>
        <v>40200</v>
      </c>
      <c r="V1168" s="0" t="str">
        <f>INDEX('Account executives'!$B$2:$B$25,MATCH(C1168,'Account executives'!$A$2:$A$25,0))</f>
        <v>amer_west</v>
      </c>
      <c r="W1168" s="0" t="str">
        <f>INDEX('Account executives'!$C$2:$C$25,MATCH(C1168,'Account executives'!$A$2:$A$25,0))</f>
        <v>mid_market</v>
      </c>
      <c r="X1168" s="0" t="str">
        <f>SUBSTITUTE(LOWER(INDEX('Periods'!$G$2:$G$22,MATCH(N1168,'Periods'!$A$2:$A$22,0)))," ","_")</f>
        <v>q3_2025</v>
      </c>
    </row>
    <row r="1169">
      <c r="A1169" s="0" t="inlineStr">
        <is>
          <t xml:space="preserve">o1168</t>
        </is>
      </c>
      <c r="B1169" s="0" t="inlineStr">
        <is>
          <t xml:space="preserve">a1232</t>
        </is>
      </c>
      <c r="C1169" s="0" t="inlineStr">
        <is>
          <t xml:space="preserve">r06</t>
        </is>
      </c>
      <c r="D1169" s="0" t="inlineStr">
        <is>
          <t xml:space="preserve">s_amer_east_out</t>
        </is>
      </c>
      <c r="E1169" s="0" t="inlineStr">
        <is>
          <t xml:space="preserve">outbound</t>
        </is>
      </c>
      <c r="F1169" s="0" t="inlineStr">
        <is>
          <t xml:space="preserve">discovery</t>
        </is>
      </c>
      <c r="G1169" s="4">
        <v>1</v>
      </c>
      <c r="H1169" s="4">
        <v>24100</v>
      </c>
      <c r="I1169" s="4">
        <v>1</v>
      </c>
      <c r="J1169" s="4">
        <v>0</v>
      </c>
      <c r="K1169" s="16">
        <v>46282</v>
      </c>
      <c r="L1169" s="16">
        <v>46306</v>
      </c>
      <c r="M1169" s="0" t="inlineStr">
        <is>
          <t xml:space="preserve">sep26</t>
        </is>
      </c>
      <c r="N1169" s="0" t="inlineStr">
        <is>
          <t xml:space="preserve">oct26</t>
        </is>
      </c>
      <c r="O1169" s="4">
        <v>32</v>
      </c>
      <c r="P1169" s="4">
        <v>0</v>
      </c>
      <c r="Q1169" s="4">
        <v>0</v>
      </c>
      <c r="R1169" s="4">
        <v>1</v>
      </c>
      <c r="S1169" s="4">
        <f>(H1169*INDEX('Stages'!$D$2:$D$7,MATCH(F1169,'Stages'!$A$2:$A$7,0)))</f>
        <v>2410</v>
      </c>
      <c r="T1169" s="4">
        <f>(H1169*I1169)</f>
        <v>24100</v>
      </c>
      <c r="U1169" s="4">
        <f>(H1169*(I1169-1))</f>
        <v>0</v>
      </c>
      <c r="V1169" s="0" t="str">
        <f>INDEX('Account executives'!$B$2:$B$25,MATCH(C1169,'Account executives'!$A$2:$A$25,0))</f>
        <v>amer_east</v>
      </c>
      <c r="W1169" s="0" t="str">
        <f>INDEX('Account executives'!$C$2:$C$25,MATCH(C1169,'Account executives'!$A$2:$A$25,0))</f>
        <v>smb</v>
      </c>
      <c r="X1169" s="0" t="str">
        <f>SUBSTITUTE(LOWER(INDEX('Periods'!$G$2:$G$22,MATCH(N1169,'Periods'!$A$2:$A$22,0)))," ","_")</f>
        <v>q4_2026</v>
      </c>
    </row>
    <row r="1170">
      <c r="A1170" s="0" t="inlineStr">
        <is>
          <t xml:space="preserve">o1169</t>
        </is>
      </c>
      <c r="B1170" s="0" t="inlineStr">
        <is>
          <t xml:space="preserve">a0176</t>
        </is>
      </c>
      <c r="C1170" s="0" t="inlineStr">
        <is>
          <t xml:space="preserve">r06</t>
        </is>
      </c>
      <c r="D1170" s="0"/>
      <c r="E1170" s="0" t="inlineStr">
        <is>
          <t xml:space="preserve">partner</t>
        </is>
      </c>
      <c r="F1170" s="0" t="inlineStr">
        <is>
          <t xml:space="preserve">closed_won</t>
        </is>
      </c>
      <c r="G1170" s="4">
        <v>0</v>
      </c>
      <c r="H1170" s="4">
        <v>13700</v>
      </c>
      <c r="I1170" s="4">
        <v>1</v>
      </c>
      <c r="J1170" s="4">
        <v>0</v>
      </c>
      <c r="K1170" s="16">
        <v>46195</v>
      </c>
      <c r="L1170" s="16">
        <v>46216</v>
      </c>
      <c r="M1170" s="0" t="inlineStr">
        <is>
          <t xml:space="preserve">jun26</t>
        </is>
      </c>
      <c r="N1170" s="0" t="inlineStr">
        <is>
          <t xml:space="preserve">jul26</t>
        </is>
      </c>
      <c r="O1170" s="4">
        <v>21</v>
      </c>
      <c r="P1170" s="4">
        <v>1</v>
      </c>
      <c r="Q1170" s="4">
        <v>0</v>
      </c>
      <c r="R1170" s="4">
        <v>0</v>
      </c>
      <c r="S1170" s="4">
        <f>(H1170*INDEX('Stages'!$D$2:$D$7,MATCH(F1170,'Stages'!$A$2:$A$7,0)))</f>
        <v>13700</v>
      </c>
      <c r="T1170" s="4">
        <f>(H1170*I1170)</f>
        <v>13700</v>
      </c>
      <c r="U1170" s="4">
        <f>(H1170*(I1170-1))</f>
        <v>0</v>
      </c>
      <c r="V1170" s="0" t="str">
        <f>INDEX('Account executives'!$B$2:$B$25,MATCH(C1170,'Account executives'!$A$2:$A$25,0))</f>
        <v>amer_east</v>
      </c>
      <c r="W1170" s="0" t="str">
        <f>INDEX('Account executives'!$C$2:$C$25,MATCH(C1170,'Account executives'!$A$2:$A$25,0))</f>
        <v>smb</v>
      </c>
      <c r="X1170" s="0" t="str">
        <f>SUBSTITUTE(LOWER(INDEX('Periods'!$G$2:$G$22,MATCH(N1170,'Periods'!$A$2:$A$22,0)))," ","_")</f>
        <v>q3_2026</v>
      </c>
    </row>
    <row r="1171">
      <c r="A1171" s="0" t="inlineStr">
        <is>
          <t xml:space="preserve">o1170</t>
        </is>
      </c>
      <c r="B1171" s="0" t="inlineStr">
        <is>
          <t xml:space="preserve">a0081</t>
        </is>
      </c>
      <c r="C1171" s="0" t="inlineStr">
        <is>
          <t xml:space="preserve">r06</t>
        </is>
      </c>
      <c r="D1171" s="0"/>
      <c r="E1171" s="0" t="inlineStr">
        <is>
          <t xml:space="preserve">referral</t>
        </is>
      </c>
      <c r="F1171" s="0" t="inlineStr">
        <is>
          <t xml:space="preserve">closed_won</t>
        </is>
      </c>
      <c r="G1171" s="4">
        <v>0</v>
      </c>
      <c r="H1171" s="4">
        <v>10300</v>
      </c>
      <c r="I1171" s="4">
        <v>1</v>
      </c>
      <c r="J1171" s="4">
        <v>1</v>
      </c>
      <c r="K1171" s="16">
        <v>45820</v>
      </c>
      <c r="L1171" s="16">
        <v>45859</v>
      </c>
      <c r="M1171" s="0" t="inlineStr">
        <is>
          <t xml:space="preserve">jun25</t>
        </is>
      </c>
      <c r="N1171" s="0" t="inlineStr">
        <is>
          <t xml:space="preserve">jul25</t>
        </is>
      </c>
      <c r="O1171" s="4">
        <v>39</v>
      </c>
      <c r="P1171" s="4">
        <v>1</v>
      </c>
      <c r="Q1171" s="4">
        <v>0</v>
      </c>
      <c r="R1171" s="4">
        <v>0</v>
      </c>
      <c r="S1171" s="4">
        <f>(H1171*INDEX('Stages'!$D$2:$D$7,MATCH(F1171,'Stages'!$A$2:$A$7,0)))</f>
        <v>10300</v>
      </c>
      <c r="T1171" s="4">
        <f>(H1171*I1171)</f>
        <v>10300</v>
      </c>
      <c r="U1171" s="4">
        <f>(H1171*(I1171-1))</f>
        <v>0</v>
      </c>
      <c r="V1171" s="0" t="str">
        <f>INDEX('Account executives'!$B$2:$B$25,MATCH(C1171,'Account executives'!$A$2:$A$25,0))</f>
        <v>amer_east</v>
      </c>
      <c r="W1171" s="0" t="str">
        <f>INDEX('Account executives'!$C$2:$C$25,MATCH(C1171,'Account executives'!$A$2:$A$25,0))</f>
        <v>smb</v>
      </c>
      <c r="X1171" s="0" t="str">
        <f>SUBSTITUTE(LOWER(INDEX('Periods'!$G$2:$G$22,MATCH(N1171,'Periods'!$A$2:$A$22,0)))," ","_")</f>
        <v>q3_2025</v>
      </c>
    </row>
    <row r="1172">
      <c r="A1172" s="0" t="inlineStr">
        <is>
          <t xml:space="preserve">o1171</t>
        </is>
      </c>
      <c r="B1172" s="0" t="inlineStr">
        <is>
          <t xml:space="preserve">a0684</t>
        </is>
      </c>
      <c r="C1172" s="0" t="inlineStr">
        <is>
          <t xml:space="preserve">r09</t>
        </is>
      </c>
      <c r="D1172" s="0"/>
      <c r="E1172" s="0" t="inlineStr">
        <is>
          <t xml:space="preserve">events</t>
        </is>
      </c>
      <c r="F1172" s="0" t="inlineStr">
        <is>
          <t xml:space="preserve">closed_won</t>
        </is>
      </c>
      <c r="G1172" s="4">
        <v>1</v>
      </c>
      <c r="H1172" s="4">
        <v>51900</v>
      </c>
      <c r="I1172" s="4">
        <v>1</v>
      </c>
      <c r="J1172" s="4">
        <v>0</v>
      </c>
      <c r="K1172" s="16">
        <v>46057</v>
      </c>
      <c r="L1172" s="16">
        <v>46201</v>
      </c>
      <c r="M1172" s="0" t="inlineStr">
        <is>
          <t xml:space="preserve">feb26</t>
        </is>
      </c>
      <c r="N1172" s="0" t="inlineStr">
        <is>
          <t xml:space="preserve">jun26</t>
        </is>
      </c>
      <c r="O1172" s="4">
        <v>144</v>
      </c>
      <c r="P1172" s="4">
        <v>1</v>
      </c>
      <c r="Q1172" s="4">
        <v>0</v>
      </c>
      <c r="R1172" s="4">
        <v>0</v>
      </c>
      <c r="S1172" s="4">
        <f>(H1172*INDEX('Stages'!$D$2:$D$7,MATCH(F1172,'Stages'!$A$2:$A$7,0)))</f>
        <v>51900</v>
      </c>
      <c r="T1172" s="4">
        <f>(H1172*I1172)</f>
        <v>51900</v>
      </c>
      <c r="U1172" s="4">
        <f>(H1172*(I1172-1))</f>
        <v>0</v>
      </c>
      <c r="V1172" s="0" t="str">
        <f>INDEX('Account executives'!$B$2:$B$25,MATCH(C1172,'Account executives'!$A$2:$A$25,0))</f>
        <v>amer_west</v>
      </c>
      <c r="W1172" s="0" t="str">
        <f>INDEX('Account executives'!$C$2:$C$25,MATCH(C1172,'Account executives'!$A$2:$A$25,0))</f>
        <v>mid_market</v>
      </c>
      <c r="X1172" s="0" t="str">
        <f>SUBSTITUTE(LOWER(INDEX('Periods'!$G$2:$G$22,MATCH(N1172,'Periods'!$A$2:$A$22,0)))," ","_")</f>
        <v>q2_2026</v>
      </c>
    </row>
    <row r="1173">
      <c r="A1173" s="0" t="inlineStr">
        <is>
          <t xml:space="preserve">o1172</t>
        </is>
      </c>
      <c r="B1173" s="0" t="inlineStr">
        <is>
          <t xml:space="preserve">a0500</t>
        </is>
      </c>
      <c r="C1173" s="0" t="inlineStr">
        <is>
          <t xml:space="preserve">r08</t>
        </is>
      </c>
      <c r="D1173" s="0" t="inlineStr">
        <is>
          <t xml:space="preserve">s_amer_west_in</t>
        </is>
      </c>
      <c r="E1173" s="0" t="inlineStr">
        <is>
          <t xml:space="preserve">inbound</t>
        </is>
      </c>
      <c r="F1173" s="0" t="inlineStr">
        <is>
          <t xml:space="preserve">closed_lost</t>
        </is>
      </c>
      <c r="G1173" s="4">
        <v>0</v>
      </c>
      <c r="H1173" s="4">
        <v>88100</v>
      </c>
      <c r="I1173" s="4">
        <v>3</v>
      </c>
      <c r="J1173" s="4">
        <v>0</v>
      </c>
      <c r="K1173" s="16">
        <v>46061</v>
      </c>
      <c r="L1173" s="16">
        <v>46144</v>
      </c>
      <c r="M1173" s="0" t="inlineStr">
        <is>
          <t xml:space="preserve">feb26</t>
        </is>
      </c>
      <c r="N1173" s="0" t="inlineStr">
        <is>
          <t xml:space="preserve">may26</t>
        </is>
      </c>
      <c r="O1173" s="4">
        <v>83</v>
      </c>
      <c r="P1173" s="4">
        <v>0</v>
      </c>
      <c r="Q1173" s="4">
        <v>1</v>
      </c>
      <c r="R1173" s="4">
        <v>0</v>
      </c>
      <c r="S1173" s="4">
        <f>(H1173*INDEX('Stages'!$D$2:$D$7,MATCH(F1173,'Stages'!$A$2:$A$7,0)))</f>
        <v>0</v>
      </c>
      <c r="T1173" s="4">
        <f>(H1173*I1173)</f>
        <v>264300</v>
      </c>
      <c r="U1173" s="4">
        <f>(H1173*(I1173-1))</f>
        <v>176200</v>
      </c>
      <c r="V1173" s="0" t="str">
        <f>INDEX('Account executives'!$B$2:$B$25,MATCH(C1173,'Account executives'!$A$2:$A$25,0))</f>
        <v>amer_west</v>
      </c>
      <c r="W1173" s="0" t="str">
        <f>INDEX('Account executives'!$C$2:$C$25,MATCH(C1173,'Account executives'!$A$2:$A$25,0))</f>
        <v>enterprise</v>
      </c>
      <c r="X1173" s="0" t="str">
        <f>SUBSTITUTE(LOWER(INDEX('Periods'!$G$2:$G$22,MATCH(N1173,'Periods'!$A$2:$A$22,0)))," ","_")</f>
        <v>q2_2026</v>
      </c>
    </row>
    <row r="1174">
      <c r="A1174" s="0" t="inlineStr">
        <is>
          <t xml:space="preserve">o1173</t>
        </is>
      </c>
      <c r="B1174" s="0" t="inlineStr">
        <is>
          <t xml:space="preserve">a0989</t>
        </is>
      </c>
      <c r="C1174" s="0" t="inlineStr">
        <is>
          <t xml:space="preserve">r12</t>
        </is>
      </c>
      <c r="D1174" s="0" t="inlineStr">
        <is>
          <t xml:space="preserve">s_amer_west_out</t>
        </is>
      </c>
      <c r="E1174" s="0" t="inlineStr">
        <is>
          <t xml:space="preserve">outbound</t>
        </is>
      </c>
      <c r="F1174" s="0" t="inlineStr">
        <is>
          <t xml:space="preserve">discovery</t>
        </is>
      </c>
      <c r="G1174" s="4">
        <v>0</v>
      </c>
      <c r="H1174" s="4">
        <v>3400</v>
      </c>
      <c r="I1174" s="4">
        <v>1</v>
      </c>
      <c r="J1174" s="4">
        <v>0</v>
      </c>
      <c r="K1174" s="16">
        <v>46278</v>
      </c>
      <c r="L1174" s="16">
        <v>46306</v>
      </c>
      <c r="M1174" s="0" t="inlineStr">
        <is>
          <t xml:space="preserve">sep26</t>
        </is>
      </c>
      <c r="N1174" s="0" t="inlineStr">
        <is>
          <t xml:space="preserve">oct26</t>
        </is>
      </c>
      <c r="O1174" s="4">
        <v>41</v>
      </c>
      <c r="P1174" s="4">
        <v>0</v>
      </c>
      <c r="Q1174" s="4">
        <v>0</v>
      </c>
      <c r="R1174" s="4">
        <v>1</v>
      </c>
      <c r="S1174" s="4">
        <f>(H1174*INDEX('Stages'!$D$2:$D$7,MATCH(F1174,'Stages'!$A$2:$A$7,0)))</f>
        <v>340</v>
      </c>
      <c r="T1174" s="4">
        <f>(H1174*I1174)</f>
        <v>3400</v>
      </c>
      <c r="U1174" s="4">
        <f>(H1174*(I1174-1))</f>
        <v>0</v>
      </c>
      <c r="V1174" s="0" t="str">
        <f>INDEX('Account executives'!$B$2:$B$25,MATCH(C1174,'Account executives'!$A$2:$A$25,0))</f>
        <v>amer_west</v>
      </c>
      <c r="W1174" s="0" t="str">
        <f>INDEX('Account executives'!$C$2:$C$25,MATCH(C1174,'Account executives'!$A$2:$A$25,0))</f>
        <v>smb</v>
      </c>
      <c r="X1174" s="0" t="str">
        <f>SUBSTITUTE(LOWER(INDEX('Periods'!$G$2:$G$22,MATCH(N1174,'Periods'!$A$2:$A$22,0)))," ","_")</f>
        <v>q4_2026</v>
      </c>
    </row>
    <row r="1175">
      <c r="A1175" s="0" t="inlineStr">
        <is>
          <t xml:space="preserve">o1174</t>
        </is>
      </c>
      <c r="B1175" s="0" t="inlineStr">
        <is>
          <t xml:space="preserve">a1054</t>
        </is>
      </c>
      <c r="C1175" s="0" t="inlineStr">
        <is>
          <t xml:space="preserve">r24</t>
        </is>
      </c>
      <c r="D1175" s="0"/>
      <c r="E1175" s="0" t="inlineStr">
        <is>
          <t xml:space="preserve">partner</t>
        </is>
      </c>
      <c r="F1175" s="0" t="inlineStr">
        <is>
          <t xml:space="preserve">closed_lost</t>
        </is>
      </c>
      <c r="G1175" s="4">
        <v>1</v>
      </c>
      <c r="H1175" s="4">
        <v>23600</v>
      </c>
      <c r="I1175" s="4">
        <v>1</v>
      </c>
      <c r="J1175" s="4">
        <v>0</v>
      </c>
      <c r="K1175" s="16">
        <v>46177</v>
      </c>
      <c r="L1175" s="16">
        <v>46199</v>
      </c>
      <c r="M1175" s="0" t="inlineStr">
        <is>
          <t xml:space="preserve">jun26</t>
        </is>
      </c>
      <c r="N1175" s="0" t="inlineStr">
        <is>
          <t xml:space="preserve">jun26</t>
        </is>
      </c>
      <c r="O1175" s="4">
        <v>22</v>
      </c>
      <c r="P1175" s="4">
        <v>0</v>
      </c>
      <c r="Q1175" s="4">
        <v>1</v>
      </c>
      <c r="R1175" s="4">
        <v>0</v>
      </c>
      <c r="S1175" s="4">
        <f>(H1175*INDEX('Stages'!$D$2:$D$7,MATCH(F1175,'Stages'!$A$2:$A$7,0)))</f>
        <v>0</v>
      </c>
      <c r="T1175" s="4">
        <f>(H1175*I1175)</f>
        <v>23600</v>
      </c>
      <c r="U1175" s="4">
        <f>(H1175*(I1175-1))</f>
        <v>0</v>
      </c>
      <c r="V1175" s="0" t="str">
        <f>INDEX('Account executives'!$B$2:$B$25,MATCH(C1175,'Account executives'!$A$2:$A$25,0))</f>
        <v>apac</v>
      </c>
      <c r="W1175" s="0" t="str">
        <f>INDEX('Account executives'!$C$2:$C$25,MATCH(C1175,'Account executives'!$A$2:$A$25,0))</f>
        <v>smb</v>
      </c>
      <c r="X1175" s="0" t="str">
        <f>SUBSTITUTE(LOWER(INDEX('Periods'!$G$2:$G$22,MATCH(N1175,'Periods'!$A$2:$A$22,0)))," ","_")</f>
        <v>q2_2026</v>
      </c>
    </row>
    <row r="1176">
      <c r="A1176" s="0" t="inlineStr">
        <is>
          <t xml:space="preserve">o1175</t>
        </is>
      </c>
      <c r="B1176" s="0" t="inlineStr">
        <is>
          <t xml:space="preserve">a1032</t>
        </is>
      </c>
      <c r="C1176" s="0" t="inlineStr">
        <is>
          <t xml:space="preserve">r14</t>
        </is>
      </c>
      <c r="D1176" s="0"/>
      <c r="E1176" s="0" t="inlineStr">
        <is>
          <t xml:space="preserve">partner</t>
        </is>
      </c>
      <c r="F1176" s="0" t="inlineStr">
        <is>
          <t xml:space="preserve">evaluation</t>
        </is>
      </c>
      <c r="G1176" s="4">
        <v>1</v>
      </c>
      <c r="H1176" s="4">
        <v>499300</v>
      </c>
      <c r="I1176" s="4">
        <v>2</v>
      </c>
      <c r="J1176" s="4">
        <v>1</v>
      </c>
      <c r="K1176" s="16">
        <v>46192</v>
      </c>
      <c r="L1176" s="16">
        <v>46305</v>
      </c>
      <c r="M1176" s="0" t="inlineStr">
        <is>
          <t xml:space="preserve">jun26</t>
        </is>
      </c>
      <c r="N1176" s="0" t="inlineStr">
        <is>
          <t xml:space="preserve">oct26</t>
        </is>
      </c>
      <c r="O1176" s="4">
        <v>155</v>
      </c>
      <c r="P1176" s="4">
        <v>0</v>
      </c>
      <c r="Q1176" s="4">
        <v>0</v>
      </c>
      <c r="R1176" s="4">
        <v>1</v>
      </c>
      <c r="S1176" s="4">
        <f>(H1176*INDEX('Stages'!$D$2:$D$7,MATCH(F1176,'Stages'!$A$2:$A$7,0)))</f>
        <v>124825</v>
      </c>
      <c r="T1176" s="4">
        <f>(H1176*I1176)</f>
        <v>998600</v>
      </c>
      <c r="U1176" s="4">
        <f>(H1176*(I1176-1))</f>
        <v>499300</v>
      </c>
      <c r="V1176" s="0" t="str">
        <f>INDEX('Account executives'!$B$2:$B$25,MATCH(C1176,'Account executives'!$A$2:$A$25,0))</f>
        <v>emea</v>
      </c>
      <c r="W1176" s="0" t="str">
        <f>INDEX('Account executives'!$C$2:$C$25,MATCH(C1176,'Account executives'!$A$2:$A$25,0))</f>
        <v>enterprise</v>
      </c>
      <c r="X1176" s="0" t="str">
        <f>SUBSTITUTE(LOWER(INDEX('Periods'!$G$2:$G$22,MATCH(N1176,'Periods'!$A$2:$A$22,0)))," ","_")</f>
        <v>q4_2026</v>
      </c>
    </row>
    <row r="1177">
      <c r="A1177" s="0" t="inlineStr">
        <is>
          <t xml:space="preserve">o1176</t>
        </is>
      </c>
      <c r="B1177" s="0" t="inlineStr">
        <is>
          <t xml:space="preserve">a1021</t>
        </is>
      </c>
      <c r="C1177" s="0" t="inlineStr">
        <is>
          <t xml:space="preserve">r16</t>
        </is>
      </c>
      <c r="D1177" s="0" t="inlineStr">
        <is>
          <t xml:space="preserve">s_emea_in</t>
        </is>
      </c>
      <c r="E1177" s="0" t="inlineStr">
        <is>
          <t xml:space="preserve">paid</t>
        </is>
      </c>
      <c r="F1177" s="0" t="inlineStr">
        <is>
          <t xml:space="preserve">closed_lost</t>
        </is>
      </c>
      <c r="G1177" s="4">
        <v>1</v>
      </c>
      <c r="H1177" s="4">
        <v>31300</v>
      </c>
      <c r="I1177" s="4">
        <v>2</v>
      </c>
      <c r="J1177" s="4">
        <v>0</v>
      </c>
      <c r="K1177" s="16">
        <v>46197</v>
      </c>
      <c r="L1177" s="16">
        <v>46232</v>
      </c>
      <c r="M1177" s="0" t="inlineStr">
        <is>
          <t xml:space="preserve">jun26</t>
        </is>
      </c>
      <c r="N1177" s="0" t="inlineStr">
        <is>
          <t xml:space="preserve">jul26</t>
        </is>
      </c>
      <c r="O1177" s="4">
        <v>35</v>
      </c>
      <c r="P1177" s="4">
        <v>0</v>
      </c>
      <c r="Q1177" s="4">
        <v>1</v>
      </c>
      <c r="R1177" s="4">
        <v>0</v>
      </c>
      <c r="S1177" s="4">
        <f>(H1177*INDEX('Stages'!$D$2:$D$7,MATCH(F1177,'Stages'!$A$2:$A$7,0)))</f>
        <v>0</v>
      </c>
      <c r="T1177" s="4">
        <f>(H1177*I1177)</f>
        <v>62600</v>
      </c>
      <c r="U1177" s="4">
        <f>(H1177*(I1177-1))</f>
        <v>31300</v>
      </c>
      <c r="V1177" s="0" t="str">
        <f>INDEX('Account executives'!$B$2:$B$25,MATCH(C1177,'Account executives'!$A$2:$A$25,0))</f>
        <v>emea</v>
      </c>
      <c r="W1177" s="0" t="str">
        <f>INDEX('Account executives'!$C$2:$C$25,MATCH(C1177,'Account executives'!$A$2:$A$25,0))</f>
        <v>mid_market</v>
      </c>
      <c r="X1177" s="0" t="str">
        <f>SUBSTITUTE(LOWER(INDEX('Periods'!$G$2:$G$22,MATCH(N1177,'Periods'!$A$2:$A$22,0)))," ","_")</f>
        <v>q3_2026</v>
      </c>
    </row>
    <row r="1178">
      <c r="A1178" s="0" t="inlineStr">
        <is>
          <t xml:space="preserve">o1177</t>
        </is>
      </c>
      <c r="B1178" s="0" t="inlineStr">
        <is>
          <t xml:space="preserve">a0746</t>
        </is>
      </c>
      <c r="C1178" s="0" t="inlineStr">
        <is>
          <t xml:space="preserve">r01</t>
        </is>
      </c>
      <c r="D1178" s="0"/>
      <c r="E1178" s="0" t="inlineStr">
        <is>
          <t xml:space="preserve">partner</t>
        </is>
      </c>
      <c r="F1178" s="0" t="inlineStr">
        <is>
          <t xml:space="preserve">closed_lost</t>
        </is>
      </c>
      <c r="G1178" s="4">
        <v>1</v>
      </c>
      <c r="H1178" s="4">
        <v>144000</v>
      </c>
      <c r="I1178" s="4">
        <v>3</v>
      </c>
      <c r="J1178" s="4">
        <v>0</v>
      </c>
      <c r="K1178" s="16">
        <v>46088</v>
      </c>
      <c r="L1178" s="16">
        <v>46147</v>
      </c>
      <c r="M1178" s="0" t="inlineStr">
        <is>
          <t xml:space="preserve">mar26</t>
        </is>
      </c>
      <c r="N1178" s="0" t="inlineStr">
        <is>
          <t xml:space="preserve">may26</t>
        </is>
      </c>
      <c r="O1178" s="4">
        <v>59</v>
      </c>
      <c r="P1178" s="4">
        <v>0</v>
      </c>
      <c r="Q1178" s="4">
        <v>1</v>
      </c>
      <c r="R1178" s="4">
        <v>0</v>
      </c>
      <c r="S1178" s="4">
        <f>(H1178*INDEX('Stages'!$D$2:$D$7,MATCH(F1178,'Stages'!$A$2:$A$7,0)))</f>
        <v>0</v>
      </c>
      <c r="T1178" s="4">
        <f>(H1178*I1178)</f>
        <v>432000</v>
      </c>
      <c r="U1178" s="4">
        <f>(H1178*(I1178-1))</f>
        <v>288000</v>
      </c>
      <c r="V1178" s="0" t="str">
        <f>INDEX('Account executives'!$B$2:$B$25,MATCH(C1178,'Account executives'!$A$2:$A$25,0))</f>
        <v>amer_east</v>
      </c>
      <c r="W1178" s="0" t="str">
        <f>INDEX('Account executives'!$C$2:$C$25,MATCH(C1178,'Account executives'!$A$2:$A$25,0))</f>
        <v>enterprise</v>
      </c>
      <c r="X1178" s="0" t="str">
        <f>SUBSTITUTE(LOWER(INDEX('Periods'!$G$2:$G$22,MATCH(N1178,'Periods'!$A$2:$A$22,0)))," ","_")</f>
        <v>q2_2026</v>
      </c>
    </row>
    <row r="1179">
      <c r="A1179" s="0" t="inlineStr">
        <is>
          <t xml:space="preserve">o1178</t>
        </is>
      </c>
      <c r="B1179" s="0" t="inlineStr">
        <is>
          <t xml:space="preserve">a1078</t>
        </is>
      </c>
      <c r="C1179" s="0" t="inlineStr">
        <is>
          <t xml:space="preserve">r06</t>
        </is>
      </c>
      <c r="D1179" s="0" t="inlineStr">
        <is>
          <t xml:space="preserve">s_amer_east_in</t>
        </is>
      </c>
      <c r="E1179" s="0" t="inlineStr">
        <is>
          <t xml:space="preserve">paid</t>
        </is>
      </c>
      <c r="F1179" s="0" t="inlineStr">
        <is>
          <t xml:space="preserve">closed_lost</t>
        </is>
      </c>
      <c r="G1179" s="4">
        <v>1</v>
      </c>
      <c r="H1179" s="4">
        <v>9900</v>
      </c>
      <c r="I1179" s="4">
        <v>1</v>
      </c>
      <c r="J1179" s="4">
        <v>0</v>
      </c>
      <c r="K1179" s="16">
        <v>46208</v>
      </c>
      <c r="L1179" s="16">
        <v>46235</v>
      </c>
      <c r="M1179" s="0" t="inlineStr">
        <is>
          <t xml:space="preserve">jul26</t>
        </is>
      </c>
      <c r="N1179" s="0" t="inlineStr">
        <is>
          <t xml:space="preserve">aug26</t>
        </is>
      </c>
      <c r="O1179" s="4">
        <v>27</v>
      </c>
      <c r="P1179" s="4">
        <v>0</v>
      </c>
      <c r="Q1179" s="4">
        <v>1</v>
      </c>
      <c r="R1179" s="4">
        <v>0</v>
      </c>
      <c r="S1179" s="4">
        <f>(H1179*INDEX('Stages'!$D$2:$D$7,MATCH(F1179,'Stages'!$A$2:$A$7,0)))</f>
        <v>0</v>
      </c>
      <c r="T1179" s="4">
        <f>(H1179*I1179)</f>
        <v>9900</v>
      </c>
      <c r="U1179" s="4">
        <f>(H1179*(I1179-1))</f>
        <v>0</v>
      </c>
      <c r="V1179" s="0" t="str">
        <f>INDEX('Account executives'!$B$2:$B$25,MATCH(C1179,'Account executives'!$A$2:$A$25,0))</f>
        <v>amer_east</v>
      </c>
      <c r="W1179" s="0" t="str">
        <f>INDEX('Account executives'!$C$2:$C$25,MATCH(C1179,'Account executives'!$A$2:$A$25,0))</f>
        <v>smb</v>
      </c>
      <c r="X1179" s="0" t="str">
        <f>SUBSTITUTE(LOWER(INDEX('Periods'!$G$2:$G$22,MATCH(N1179,'Periods'!$A$2:$A$22,0)))," ","_")</f>
        <v>q3_2026</v>
      </c>
    </row>
    <row r="1180">
      <c r="A1180" s="0" t="inlineStr">
        <is>
          <t xml:space="preserve">o1179</t>
        </is>
      </c>
      <c r="B1180" s="0" t="inlineStr">
        <is>
          <t xml:space="preserve">a0692</t>
        </is>
      </c>
      <c r="C1180" s="0" t="inlineStr">
        <is>
          <t xml:space="preserve">r18</t>
        </is>
      </c>
      <c r="D1180" s="0" t="inlineStr">
        <is>
          <t xml:space="preserve">s_emea_in</t>
        </is>
      </c>
      <c r="E1180" s="0" t="inlineStr">
        <is>
          <t xml:space="preserve">inbound</t>
        </is>
      </c>
      <c r="F1180" s="0" t="inlineStr">
        <is>
          <t xml:space="preserve">closed_lost</t>
        </is>
      </c>
      <c r="G1180" s="4">
        <v>1</v>
      </c>
      <c r="H1180" s="4">
        <v>32400</v>
      </c>
      <c r="I1180" s="4">
        <v>1</v>
      </c>
      <c r="J1180" s="4">
        <v>0</v>
      </c>
      <c r="K1180" s="16">
        <v>46057</v>
      </c>
      <c r="L1180" s="16">
        <v>46079</v>
      </c>
      <c r="M1180" s="0" t="inlineStr">
        <is>
          <t xml:space="preserve">feb26</t>
        </is>
      </c>
      <c r="N1180" s="0" t="inlineStr">
        <is>
          <t xml:space="preserve">feb26</t>
        </is>
      </c>
      <c r="O1180" s="4">
        <v>22</v>
      </c>
      <c r="P1180" s="4">
        <v>0</v>
      </c>
      <c r="Q1180" s="4">
        <v>1</v>
      </c>
      <c r="R1180" s="4">
        <v>0</v>
      </c>
      <c r="S1180" s="4">
        <f>(H1180*INDEX('Stages'!$D$2:$D$7,MATCH(F1180,'Stages'!$A$2:$A$7,0)))</f>
        <v>0</v>
      </c>
      <c r="T1180" s="4">
        <f>(H1180*I1180)</f>
        <v>32400</v>
      </c>
      <c r="U1180" s="4">
        <f>(H1180*(I1180-1))</f>
        <v>0</v>
      </c>
      <c r="V1180" s="0" t="str">
        <f>INDEX('Account executives'!$B$2:$B$25,MATCH(C1180,'Account executives'!$A$2:$A$25,0))</f>
        <v>emea</v>
      </c>
      <c r="W1180" s="0" t="str">
        <f>INDEX('Account executives'!$C$2:$C$25,MATCH(C1180,'Account executives'!$A$2:$A$25,0))</f>
        <v>smb</v>
      </c>
      <c r="X1180" s="0" t="str">
        <f>SUBSTITUTE(LOWER(INDEX('Periods'!$G$2:$G$22,MATCH(N1180,'Periods'!$A$2:$A$22,0)))," ","_")</f>
        <v>q1_2026</v>
      </c>
    </row>
    <row r="1181">
      <c r="A1181" s="0" t="inlineStr">
        <is>
          <t xml:space="preserve">o1180</t>
        </is>
      </c>
      <c r="B1181" s="0" t="inlineStr">
        <is>
          <t xml:space="preserve">a0113</t>
        </is>
      </c>
      <c r="C1181" s="0" t="inlineStr">
        <is>
          <t xml:space="preserve">r11</t>
        </is>
      </c>
      <c r="D1181" s="0"/>
      <c r="E1181" s="0" t="inlineStr">
        <is>
          <t xml:space="preserve">referral</t>
        </is>
      </c>
      <c r="F1181" s="0" t="inlineStr">
        <is>
          <t xml:space="preserve">closed_lost</t>
        </is>
      </c>
      <c r="G1181" s="4">
        <v>1</v>
      </c>
      <c r="H1181" s="4">
        <v>26500</v>
      </c>
      <c r="I1181" s="4">
        <v>2</v>
      </c>
      <c r="J1181" s="4">
        <v>0</v>
      </c>
      <c r="K1181" s="16">
        <v>45781</v>
      </c>
      <c r="L1181" s="16">
        <v>45807</v>
      </c>
      <c r="M1181" s="0" t="inlineStr">
        <is>
          <t xml:space="preserve">may25</t>
        </is>
      </c>
      <c r="N1181" s="0" t="inlineStr">
        <is>
          <t xml:space="preserve">may25</t>
        </is>
      </c>
      <c r="O1181" s="4">
        <v>26</v>
      </c>
      <c r="P1181" s="4">
        <v>0</v>
      </c>
      <c r="Q1181" s="4">
        <v>1</v>
      </c>
      <c r="R1181" s="4">
        <v>0</v>
      </c>
      <c r="S1181" s="4">
        <f>(H1181*INDEX('Stages'!$D$2:$D$7,MATCH(F1181,'Stages'!$A$2:$A$7,0)))</f>
        <v>0</v>
      </c>
      <c r="T1181" s="4">
        <f>(H1181*I1181)</f>
        <v>53000</v>
      </c>
      <c r="U1181" s="4">
        <f>(H1181*(I1181-1))</f>
        <v>26500</v>
      </c>
      <c r="V1181" s="0" t="str">
        <f>INDEX('Account executives'!$B$2:$B$25,MATCH(C1181,'Account executives'!$A$2:$A$25,0))</f>
        <v>amer_west</v>
      </c>
      <c r="W1181" s="0" t="str">
        <f>INDEX('Account executives'!$C$2:$C$25,MATCH(C1181,'Account executives'!$A$2:$A$25,0))</f>
        <v>smb</v>
      </c>
      <c r="X1181" s="0" t="str">
        <f>SUBSTITUTE(LOWER(INDEX('Periods'!$G$2:$G$22,MATCH(N1181,'Periods'!$A$2:$A$22,0)))," ","_")</f>
        <v>q2_2025</v>
      </c>
    </row>
    <row r="1182">
      <c r="A1182" s="0" t="inlineStr">
        <is>
          <t xml:space="preserve">o1181</t>
        </is>
      </c>
      <c r="B1182" s="0" t="inlineStr">
        <is>
          <t xml:space="preserve">a0449</t>
        </is>
      </c>
      <c r="C1182" s="0" t="inlineStr">
        <is>
          <t xml:space="preserve">r17</t>
        </is>
      </c>
      <c r="D1182" s="0" t="inlineStr">
        <is>
          <t xml:space="preserve">s_emea_in</t>
        </is>
      </c>
      <c r="E1182" s="0" t="inlineStr">
        <is>
          <t xml:space="preserve">inbound</t>
        </is>
      </c>
      <c r="F1182" s="0" t="inlineStr">
        <is>
          <t xml:space="preserve">closed_won</t>
        </is>
      </c>
      <c r="G1182" s="4">
        <v>1</v>
      </c>
      <c r="H1182" s="4">
        <v>9900</v>
      </c>
      <c r="I1182" s="4">
        <v>1</v>
      </c>
      <c r="J1182" s="4">
        <v>1</v>
      </c>
      <c r="K1182" s="16">
        <v>45958</v>
      </c>
      <c r="L1182" s="16">
        <v>46019</v>
      </c>
      <c r="M1182" s="0" t="inlineStr">
        <is>
          <t xml:space="preserve">oct25</t>
        </is>
      </c>
      <c r="N1182" s="0" t="inlineStr">
        <is>
          <t xml:space="preserve">dec25</t>
        </is>
      </c>
      <c r="O1182" s="4">
        <v>61</v>
      </c>
      <c r="P1182" s="4">
        <v>1</v>
      </c>
      <c r="Q1182" s="4">
        <v>0</v>
      </c>
      <c r="R1182" s="4">
        <v>0</v>
      </c>
      <c r="S1182" s="4">
        <f>(H1182*INDEX('Stages'!$D$2:$D$7,MATCH(F1182,'Stages'!$A$2:$A$7,0)))</f>
        <v>9900</v>
      </c>
      <c r="T1182" s="4">
        <f>(H1182*I1182)</f>
        <v>9900</v>
      </c>
      <c r="U1182" s="4">
        <f>(H1182*(I1182-1))</f>
        <v>0</v>
      </c>
      <c r="V1182" s="0" t="str">
        <f>INDEX('Account executives'!$B$2:$B$25,MATCH(C1182,'Account executives'!$A$2:$A$25,0))</f>
        <v>emea</v>
      </c>
      <c r="W1182" s="0" t="str">
        <f>INDEX('Account executives'!$C$2:$C$25,MATCH(C1182,'Account executives'!$A$2:$A$25,0))</f>
        <v>smb</v>
      </c>
      <c r="X1182" s="0" t="str">
        <f>SUBSTITUTE(LOWER(INDEX('Periods'!$G$2:$G$22,MATCH(N1182,'Periods'!$A$2:$A$22,0)))," ","_")</f>
        <v>q4_2025</v>
      </c>
    </row>
    <row r="1183">
      <c r="A1183" s="0" t="inlineStr">
        <is>
          <t xml:space="preserve">o1182</t>
        </is>
      </c>
      <c r="B1183" s="0" t="inlineStr">
        <is>
          <t xml:space="preserve">a0986</t>
        </is>
      </c>
      <c r="C1183" s="0" t="inlineStr">
        <is>
          <t xml:space="preserve">r09</t>
        </is>
      </c>
      <c r="D1183" s="0" t="inlineStr">
        <is>
          <t xml:space="preserve">s_amer_west_in</t>
        </is>
      </c>
      <c r="E1183" s="0" t="inlineStr">
        <is>
          <t xml:space="preserve">inbound</t>
        </is>
      </c>
      <c r="F1183" s="0" t="inlineStr">
        <is>
          <t xml:space="preserve">proposal</t>
        </is>
      </c>
      <c r="G1183" s="4">
        <v>1</v>
      </c>
      <c r="H1183" s="4">
        <v>44500</v>
      </c>
      <c r="I1183" s="4">
        <v>2</v>
      </c>
      <c r="J1183" s="4">
        <v>0</v>
      </c>
      <c r="K1183" s="16">
        <v>46183</v>
      </c>
      <c r="L1183" s="16">
        <v>46293</v>
      </c>
      <c r="M1183" s="0" t="inlineStr">
        <is>
          <t xml:space="preserve">jun26</t>
        </is>
      </c>
      <c r="N1183" s="0" t="inlineStr">
        <is>
          <t xml:space="preserve">sep26</t>
        </is>
      </c>
      <c r="O1183" s="4">
        <v>110</v>
      </c>
      <c r="P1183" s="4">
        <v>0</v>
      </c>
      <c r="Q1183" s="4">
        <v>0</v>
      </c>
      <c r="R1183" s="4">
        <v>1</v>
      </c>
      <c r="S1183" s="4">
        <f>(H1183*INDEX('Stages'!$D$2:$D$7,MATCH(F1183,'Stages'!$A$2:$A$7,0)))</f>
        <v>22250</v>
      </c>
      <c r="T1183" s="4">
        <f>(H1183*I1183)</f>
        <v>89000</v>
      </c>
      <c r="U1183" s="4">
        <f>(H1183*(I1183-1))</f>
        <v>44500</v>
      </c>
      <c r="V1183" s="0" t="str">
        <f>INDEX('Account executives'!$B$2:$B$25,MATCH(C1183,'Account executives'!$A$2:$A$25,0))</f>
        <v>amer_west</v>
      </c>
      <c r="W1183" s="0" t="str">
        <f>INDEX('Account executives'!$C$2:$C$25,MATCH(C1183,'Account executives'!$A$2:$A$25,0))</f>
        <v>mid_market</v>
      </c>
      <c r="X1183" s="0" t="str">
        <f>SUBSTITUTE(LOWER(INDEX('Periods'!$G$2:$G$22,MATCH(N1183,'Periods'!$A$2:$A$22,0)))," ","_")</f>
        <v>q3_2026</v>
      </c>
    </row>
    <row r="1184">
      <c r="A1184" s="0" t="inlineStr">
        <is>
          <t xml:space="preserve">o1183</t>
        </is>
      </c>
      <c r="B1184" s="0" t="inlineStr">
        <is>
          <t xml:space="preserve">a0914</t>
        </is>
      </c>
      <c r="C1184" s="0" t="inlineStr">
        <is>
          <t xml:space="preserve">r09</t>
        </is>
      </c>
      <c r="D1184" s="0" t="inlineStr">
        <is>
          <t xml:space="preserve">s_amer_west_in</t>
        </is>
      </c>
      <c r="E1184" s="0" t="inlineStr">
        <is>
          <t xml:space="preserve">inbound</t>
        </is>
      </c>
      <c r="F1184" s="0" t="inlineStr">
        <is>
          <t xml:space="preserve">proposal</t>
        </is>
      </c>
      <c r="G1184" s="4">
        <v>1</v>
      </c>
      <c r="H1184" s="4">
        <v>21000</v>
      </c>
      <c r="I1184" s="4">
        <v>1</v>
      </c>
      <c r="J1184" s="4">
        <v>1</v>
      </c>
      <c r="K1184" s="16">
        <v>46152</v>
      </c>
      <c r="L1184" s="16">
        <v>46371</v>
      </c>
      <c r="M1184" s="0" t="inlineStr">
        <is>
          <t xml:space="preserve">may26</t>
        </is>
      </c>
      <c r="N1184" s="0" t="inlineStr">
        <is>
          <t xml:space="preserve">dec26</t>
        </is>
      </c>
      <c r="O1184" s="4">
        <v>141</v>
      </c>
      <c r="P1184" s="4">
        <v>0</v>
      </c>
      <c r="Q1184" s="4">
        <v>0</v>
      </c>
      <c r="R1184" s="4">
        <v>1</v>
      </c>
      <c r="S1184" s="4">
        <f>(H1184*INDEX('Stages'!$D$2:$D$7,MATCH(F1184,'Stages'!$A$2:$A$7,0)))</f>
        <v>10500</v>
      </c>
      <c r="T1184" s="4">
        <f>(H1184*I1184)</f>
        <v>21000</v>
      </c>
      <c r="U1184" s="4">
        <f>(H1184*(I1184-1))</f>
        <v>0</v>
      </c>
      <c r="V1184" s="0" t="str">
        <f>INDEX('Account executives'!$B$2:$B$25,MATCH(C1184,'Account executives'!$A$2:$A$25,0))</f>
        <v>amer_west</v>
      </c>
      <c r="W1184" s="0" t="str">
        <f>INDEX('Account executives'!$C$2:$C$25,MATCH(C1184,'Account executives'!$A$2:$A$25,0))</f>
        <v>mid_market</v>
      </c>
      <c r="X1184" s="0" t="str">
        <f>SUBSTITUTE(LOWER(INDEX('Periods'!$G$2:$G$22,MATCH(N1184,'Periods'!$A$2:$A$22,0)))," ","_")</f>
        <v>q4_2026</v>
      </c>
    </row>
    <row r="1185">
      <c r="A1185" s="0" t="inlineStr">
        <is>
          <t xml:space="preserve">o1184</t>
        </is>
      </c>
      <c r="B1185" s="0" t="inlineStr">
        <is>
          <t xml:space="preserve">a0950</t>
        </is>
      </c>
      <c r="C1185" s="0" t="inlineStr">
        <is>
          <t xml:space="preserve">r22</t>
        </is>
      </c>
      <c r="D1185" s="0"/>
      <c r="E1185" s="0" t="inlineStr">
        <is>
          <t xml:space="preserve">partner</t>
        </is>
      </c>
      <c r="F1185" s="0" t="inlineStr">
        <is>
          <t xml:space="preserve">closed_won</t>
        </is>
      </c>
      <c r="G1185" s="4">
        <v>1</v>
      </c>
      <c r="H1185" s="4">
        <v>29400</v>
      </c>
      <c r="I1185" s="4">
        <v>1</v>
      </c>
      <c r="J1185" s="4">
        <v>0</v>
      </c>
      <c r="K1185" s="16">
        <v>46169</v>
      </c>
      <c r="L1185" s="16">
        <v>46234</v>
      </c>
      <c r="M1185" s="0" t="inlineStr">
        <is>
          <t xml:space="preserve">may26</t>
        </is>
      </c>
      <c r="N1185" s="0" t="inlineStr">
        <is>
          <t xml:space="preserve">jul26</t>
        </is>
      </c>
      <c r="O1185" s="4">
        <v>65</v>
      </c>
      <c r="P1185" s="4">
        <v>1</v>
      </c>
      <c r="Q1185" s="4">
        <v>0</v>
      </c>
      <c r="R1185" s="4">
        <v>0</v>
      </c>
      <c r="S1185" s="4">
        <f>(H1185*INDEX('Stages'!$D$2:$D$7,MATCH(F1185,'Stages'!$A$2:$A$7,0)))</f>
        <v>29400</v>
      </c>
      <c r="T1185" s="4">
        <f>(H1185*I1185)</f>
        <v>29400</v>
      </c>
      <c r="U1185" s="4">
        <f>(H1185*(I1185-1))</f>
        <v>0</v>
      </c>
      <c r="V1185" s="0" t="str">
        <f>INDEX('Account executives'!$B$2:$B$25,MATCH(C1185,'Account executives'!$A$2:$A$25,0))</f>
        <v>apac</v>
      </c>
      <c r="W1185" s="0" t="str">
        <f>INDEX('Account executives'!$C$2:$C$25,MATCH(C1185,'Account executives'!$A$2:$A$25,0))</f>
        <v>mid_market</v>
      </c>
      <c r="X1185" s="0" t="str">
        <f>SUBSTITUTE(LOWER(INDEX('Periods'!$G$2:$G$22,MATCH(N1185,'Periods'!$A$2:$A$22,0)))," ","_")</f>
        <v>q3_2026</v>
      </c>
    </row>
    <row r="1186">
      <c r="A1186" s="0" t="inlineStr">
        <is>
          <t xml:space="preserve">o1185</t>
        </is>
      </c>
      <c r="B1186" s="0" t="inlineStr">
        <is>
          <t xml:space="preserve">a0094</t>
        </is>
      </c>
      <c r="C1186" s="0" t="inlineStr">
        <is>
          <t xml:space="preserve">r12</t>
        </is>
      </c>
      <c r="D1186" s="0" t="inlineStr">
        <is>
          <t xml:space="preserve">s_amer_west_in</t>
        </is>
      </c>
      <c r="E1186" s="0" t="inlineStr">
        <is>
          <t xml:space="preserve">inbound</t>
        </is>
      </c>
      <c r="F1186" s="0" t="inlineStr">
        <is>
          <t xml:space="preserve">closed_won</t>
        </is>
      </c>
      <c r="G1186" s="4">
        <v>1</v>
      </c>
      <c r="H1186" s="4">
        <v>22900</v>
      </c>
      <c r="I1186" s="4">
        <v>1</v>
      </c>
      <c r="J1186" s="4">
        <v>0</v>
      </c>
      <c r="K1186" s="16">
        <v>45793</v>
      </c>
      <c r="L1186" s="16">
        <v>45800</v>
      </c>
      <c r="M1186" s="0" t="inlineStr">
        <is>
          <t xml:space="preserve">may25</t>
        </is>
      </c>
      <c r="N1186" s="0" t="inlineStr">
        <is>
          <t xml:space="preserve">may25</t>
        </is>
      </c>
      <c r="O1186" s="4">
        <v>7</v>
      </c>
      <c r="P1186" s="4">
        <v>1</v>
      </c>
      <c r="Q1186" s="4">
        <v>0</v>
      </c>
      <c r="R1186" s="4">
        <v>0</v>
      </c>
      <c r="S1186" s="4">
        <f>(H1186*INDEX('Stages'!$D$2:$D$7,MATCH(F1186,'Stages'!$A$2:$A$7,0)))</f>
        <v>22900</v>
      </c>
      <c r="T1186" s="4">
        <f>(H1186*I1186)</f>
        <v>22900</v>
      </c>
      <c r="U1186" s="4">
        <f>(H1186*(I1186-1))</f>
        <v>0</v>
      </c>
      <c r="V1186" s="0" t="str">
        <f>INDEX('Account executives'!$B$2:$B$25,MATCH(C1186,'Account executives'!$A$2:$A$25,0))</f>
        <v>amer_west</v>
      </c>
      <c r="W1186" s="0" t="str">
        <f>INDEX('Account executives'!$C$2:$C$25,MATCH(C1186,'Account executives'!$A$2:$A$25,0))</f>
        <v>smb</v>
      </c>
      <c r="X1186" s="0" t="str">
        <f>SUBSTITUTE(LOWER(INDEX('Periods'!$G$2:$G$22,MATCH(N1186,'Periods'!$A$2:$A$22,0)))," ","_")</f>
        <v>q2_2025</v>
      </c>
    </row>
    <row r="1187">
      <c r="A1187" s="0" t="inlineStr">
        <is>
          <t xml:space="preserve">o1186</t>
        </is>
      </c>
      <c r="B1187" s="0" t="inlineStr">
        <is>
          <t xml:space="preserve">a0663</t>
        </is>
      </c>
      <c r="C1187" s="0" t="inlineStr">
        <is>
          <t xml:space="preserve">r06</t>
        </is>
      </c>
      <c r="D1187" s="0" t="inlineStr">
        <is>
          <t xml:space="preserve">s_amer_east_in</t>
        </is>
      </c>
      <c r="E1187" s="0" t="inlineStr">
        <is>
          <t xml:space="preserve">paid</t>
        </is>
      </c>
      <c r="F1187" s="0" t="inlineStr">
        <is>
          <t xml:space="preserve">closed_won</t>
        </is>
      </c>
      <c r="G1187" s="4">
        <v>1</v>
      </c>
      <c r="H1187" s="4">
        <v>14400</v>
      </c>
      <c r="I1187" s="4">
        <v>1</v>
      </c>
      <c r="J1187" s="4">
        <v>0</v>
      </c>
      <c r="K1187" s="16">
        <v>46072</v>
      </c>
      <c r="L1187" s="16">
        <v>46103</v>
      </c>
      <c r="M1187" s="0" t="inlineStr">
        <is>
          <t xml:space="preserve">feb26</t>
        </is>
      </c>
      <c r="N1187" s="0" t="inlineStr">
        <is>
          <t xml:space="preserve">mar26</t>
        </is>
      </c>
      <c r="O1187" s="4">
        <v>31</v>
      </c>
      <c r="P1187" s="4">
        <v>1</v>
      </c>
      <c r="Q1187" s="4">
        <v>0</v>
      </c>
      <c r="R1187" s="4">
        <v>0</v>
      </c>
      <c r="S1187" s="4">
        <f>(H1187*INDEX('Stages'!$D$2:$D$7,MATCH(F1187,'Stages'!$A$2:$A$7,0)))</f>
        <v>14400</v>
      </c>
      <c r="T1187" s="4">
        <f>(H1187*I1187)</f>
        <v>14400</v>
      </c>
      <c r="U1187" s="4">
        <f>(H1187*(I1187-1))</f>
        <v>0</v>
      </c>
      <c r="V1187" s="0" t="str">
        <f>INDEX('Account executives'!$B$2:$B$25,MATCH(C1187,'Account executives'!$A$2:$A$25,0))</f>
        <v>amer_east</v>
      </c>
      <c r="W1187" s="0" t="str">
        <f>INDEX('Account executives'!$C$2:$C$25,MATCH(C1187,'Account executives'!$A$2:$A$25,0))</f>
        <v>smb</v>
      </c>
      <c r="X1187" s="0" t="str">
        <f>SUBSTITUTE(LOWER(INDEX('Periods'!$G$2:$G$22,MATCH(N1187,'Periods'!$A$2:$A$22,0)))," ","_")</f>
        <v>q1_2026</v>
      </c>
    </row>
    <row r="1188">
      <c r="A1188" s="0" t="inlineStr">
        <is>
          <t xml:space="preserve">o1187</t>
        </is>
      </c>
      <c r="B1188" s="0" t="inlineStr">
        <is>
          <t xml:space="preserve">a1053</t>
        </is>
      </c>
      <c r="C1188" s="0" t="inlineStr">
        <is>
          <t xml:space="preserve">r24</t>
        </is>
      </c>
      <c r="D1188" s="0" t="inlineStr">
        <is>
          <t xml:space="preserve">s_apac_out</t>
        </is>
      </c>
      <c r="E1188" s="0" t="inlineStr">
        <is>
          <t xml:space="preserve">outbound</t>
        </is>
      </c>
      <c r="F1188" s="0" t="inlineStr">
        <is>
          <t xml:space="preserve">discovery</t>
        </is>
      </c>
      <c r="G1188" s="4">
        <v>0</v>
      </c>
      <c r="H1188" s="4">
        <v>10200</v>
      </c>
      <c r="I1188" s="4">
        <v>1</v>
      </c>
      <c r="J1188" s="4">
        <v>0</v>
      </c>
      <c r="K1188" s="16">
        <v>46283</v>
      </c>
      <c r="L1188" s="16">
        <v>46306</v>
      </c>
      <c r="M1188" s="0" t="inlineStr">
        <is>
          <t xml:space="preserve">sep26</t>
        </is>
      </c>
      <c r="N1188" s="0" t="inlineStr">
        <is>
          <t xml:space="preserve">oct26</t>
        </is>
      </c>
      <c r="O1188" s="4">
        <v>38</v>
      </c>
      <c r="P1188" s="4">
        <v>0</v>
      </c>
      <c r="Q1188" s="4">
        <v>0</v>
      </c>
      <c r="R1188" s="4">
        <v>1</v>
      </c>
      <c r="S1188" s="4">
        <f>(H1188*INDEX('Stages'!$D$2:$D$7,MATCH(F1188,'Stages'!$A$2:$A$7,0)))</f>
        <v>1020</v>
      </c>
      <c r="T1188" s="4">
        <f>(H1188*I1188)</f>
        <v>10200</v>
      </c>
      <c r="U1188" s="4">
        <f>(H1188*(I1188-1))</f>
        <v>0</v>
      </c>
      <c r="V1188" s="0" t="str">
        <f>INDEX('Account executives'!$B$2:$B$25,MATCH(C1188,'Account executives'!$A$2:$A$25,0))</f>
        <v>apac</v>
      </c>
      <c r="W1188" s="0" t="str">
        <f>INDEX('Account executives'!$C$2:$C$25,MATCH(C1188,'Account executives'!$A$2:$A$25,0))</f>
        <v>smb</v>
      </c>
      <c r="X1188" s="0" t="str">
        <f>SUBSTITUTE(LOWER(INDEX('Periods'!$G$2:$G$22,MATCH(N1188,'Periods'!$A$2:$A$22,0)))," ","_")</f>
        <v>q4_2026</v>
      </c>
    </row>
    <row r="1189">
      <c r="A1189" s="0" t="inlineStr">
        <is>
          <t xml:space="preserve">o1188</t>
        </is>
      </c>
      <c r="B1189" s="0" t="inlineStr">
        <is>
          <t xml:space="preserve">a0400</t>
        </is>
      </c>
      <c r="C1189" s="0" t="inlineStr">
        <is>
          <t xml:space="preserve">r13</t>
        </is>
      </c>
      <c r="D1189" s="0" t="inlineStr">
        <is>
          <t xml:space="preserve">s_emea_out</t>
        </is>
      </c>
      <c r="E1189" s="0" t="inlineStr">
        <is>
          <t xml:space="preserve">outbound</t>
        </is>
      </c>
      <c r="F1189" s="0" t="inlineStr">
        <is>
          <t xml:space="preserve">closed_lost</t>
        </is>
      </c>
      <c r="G1189" s="4">
        <v>1</v>
      </c>
      <c r="H1189" s="4">
        <v>74400</v>
      </c>
      <c r="I1189" s="4">
        <v>1</v>
      </c>
      <c r="J1189" s="4">
        <v>0</v>
      </c>
      <c r="K1189" s="16">
        <v>45928</v>
      </c>
      <c r="L1189" s="16">
        <v>45958</v>
      </c>
      <c r="M1189" s="0" t="inlineStr">
        <is>
          <t xml:space="preserve">sep25</t>
        </is>
      </c>
      <c r="N1189" s="0" t="inlineStr">
        <is>
          <t xml:space="preserve">oct25</t>
        </is>
      </c>
      <c r="O1189" s="4">
        <v>30</v>
      </c>
      <c r="P1189" s="4">
        <v>0</v>
      </c>
      <c r="Q1189" s="4">
        <v>1</v>
      </c>
      <c r="R1189" s="4">
        <v>0</v>
      </c>
      <c r="S1189" s="4">
        <f>(H1189*INDEX('Stages'!$D$2:$D$7,MATCH(F1189,'Stages'!$A$2:$A$7,0)))</f>
        <v>0</v>
      </c>
      <c r="T1189" s="4">
        <f>(H1189*I1189)</f>
        <v>74400</v>
      </c>
      <c r="U1189" s="4">
        <f>(H1189*(I1189-1))</f>
        <v>0</v>
      </c>
      <c r="V1189" s="0" t="str">
        <f>INDEX('Account executives'!$B$2:$B$25,MATCH(C1189,'Account executives'!$A$2:$A$25,0))</f>
        <v>emea</v>
      </c>
      <c r="W1189" s="0" t="str">
        <f>INDEX('Account executives'!$C$2:$C$25,MATCH(C1189,'Account executives'!$A$2:$A$25,0))</f>
        <v>enterprise</v>
      </c>
      <c r="X1189" s="0" t="str">
        <f>SUBSTITUTE(LOWER(INDEX('Periods'!$G$2:$G$22,MATCH(N1189,'Periods'!$A$2:$A$22,0)))," ","_")</f>
        <v>q4_2025</v>
      </c>
    </row>
    <row r="1190">
      <c r="A1190" s="0" t="inlineStr">
        <is>
          <t xml:space="preserve">o1189</t>
        </is>
      </c>
      <c r="B1190" s="0" t="inlineStr">
        <is>
          <t xml:space="preserve">a1212</t>
        </is>
      </c>
      <c r="C1190" s="0" t="inlineStr">
        <is>
          <t xml:space="preserve">r01</t>
        </is>
      </c>
      <c r="D1190" s="0" t="inlineStr">
        <is>
          <t xml:space="preserve">s_amer_east_in</t>
        </is>
      </c>
      <c r="E1190" s="0" t="inlineStr">
        <is>
          <t xml:space="preserve">inbound</t>
        </is>
      </c>
      <c r="F1190" s="0" t="inlineStr">
        <is>
          <t xml:space="preserve">discovery</t>
        </is>
      </c>
      <c r="G1190" s="4">
        <v>1</v>
      </c>
      <c r="H1190" s="4">
        <v>404100</v>
      </c>
      <c r="I1190" s="4">
        <v>1</v>
      </c>
      <c r="J1190" s="4">
        <v>0</v>
      </c>
      <c r="K1190" s="16">
        <v>46283</v>
      </c>
      <c r="L1190" s="16">
        <v>46371</v>
      </c>
      <c r="M1190" s="0" t="inlineStr">
        <is>
          <t xml:space="preserve">sep26</t>
        </is>
      </c>
      <c r="N1190" s="0" t="inlineStr">
        <is>
          <t xml:space="preserve">dec26</t>
        </is>
      </c>
      <c r="O1190" s="4">
        <v>88</v>
      </c>
      <c r="P1190" s="4">
        <v>0</v>
      </c>
      <c r="Q1190" s="4">
        <v>0</v>
      </c>
      <c r="R1190" s="4">
        <v>1</v>
      </c>
      <c r="S1190" s="4">
        <f>(H1190*INDEX('Stages'!$D$2:$D$7,MATCH(F1190,'Stages'!$A$2:$A$7,0)))</f>
        <v>40410</v>
      </c>
      <c r="T1190" s="4">
        <f>(H1190*I1190)</f>
        <v>404100</v>
      </c>
      <c r="U1190" s="4">
        <f>(H1190*(I1190-1))</f>
        <v>0</v>
      </c>
      <c r="V1190" s="0" t="str">
        <f>INDEX('Account executives'!$B$2:$B$25,MATCH(C1190,'Account executives'!$A$2:$A$25,0))</f>
        <v>amer_east</v>
      </c>
      <c r="W1190" s="0" t="str">
        <f>INDEX('Account executives'!$C$2:$C$25,MATCH(C1190,'Account executives'!$A$2:$A$25,0))</f>
        <v>enterprise</v>
      </c>
      <c r="X1190" s="0" t="str">
        <f>SUBSTITUTE(LOWER(INDEX('Periods'!$G$2:$G$22,MATCH(N1190,'Periods'!$A$2:$A$22,0)))," ","_")</f>
        <v>q4_2026</v>
      </c>
    </row>
    <row r="1191">
      <c r="A1191" s="0" t="inlineStr">
        <is>
          <t xml:space="preserve">o1190</t>
        </is>
      </c>
      <c r="B1191" s="0" t="inlineStr">
        <is>
          <t xml:space="preserve">a0228</t>
        </is>
      </c>
      <c r="C1191" s="0" t="inlineStr">
        <is>
          <t xml:space="preserve">r21</t>
        </is>
      </c>
      <c r="D1191" s="0"/>
      <c r="E1191" s="0" t="inlineStr">
        <is>
          <t xml:space="preserve">events</t>
        </is>
      </c>
      <c r="F1191" s="0" t="inlineStr">
        <is>
          <t xml:space="preserve">closed_lost</t>
        </is>
      </c>
      <c r="G1191" s="4">
        <v>0</v>
      </c>
      <c r="H1191" s="4">
        <v>37900</v>
      </c>
      <c r="I1191" s="4">
        <v>1</v>
      </c>
      <c r="J1191" s="4">
        <v>0</v>
      </c>
      <c r="K1191" s="16">
        <v>45955</v>
      </c>
      <c r="L1191" s="16">
        <v>46027</v>
      </c>
      <c r="M1191" s="0" t="inlineStr">
        <is>
          <t xml:space="preserve">oct25</t>
        </is>
      </c>
      <c r="N1191" s="0" t="inlineStr">
        <is>
          <t xml:space="preserve">jan26</t>
        </is>
      </c>
      <c r="O1191" s="4">
        <v>72</v>
      </c>
      <c r="P1191" s="4">
        <v>0</v>
      </c>
      <c r="Q1191" s="4">
        <v>1</v>
      </c>
      <c r="R1191" s="4">
        <v>0</v>
      </c>
      <c r="S1191" s="4">
        <f>(H1191*INDEX('Stages'!$D$2:$D$7,MATCH(F1191,'Stages'!$A$2:$A$7,0)))</f>
        <v>0</v>
      </c>
      <c r="T1191" s="4">
        <f>(H1191*I1191)</f>
        <v>37900</v>
      </c>
      <c r="U1191" s="4">
        <f>(H1191*(I1191-1))</f>
        <v>0</v>
      </c>
      <c r="V1191" s="0" t="str">
        <f>INDEX('Account executives'!$B$2:$B$25,MATCH(C1191,'Account executives'!$A$2:$A$25,0))</f>
        <v>apac</v>
      </c>
      <c r="W1191" s="0" t="str">
        <f>INDEX('Account executives'!$C$2:$C$25,MATCH(C1191,'Account executives'!$A$2:$A$25,0))</f>
        <v>mid_market</v>
      </c>
      <c r="X1191" s="0" t="str">
        <f>SUBSTITUTE(LOWER(INDEX('Periods'!$G$2:$G$22,MATCH(N1191,'Periods'!$A$2:$A$22,0)))," ","_")</f>
        <v>q1_2026</v>
      </c>
    </row>
    <row r="1192">
      <c r="A1192" s="0" t="inlineStr">
        <is>
          <t xml:space="preserve">o1191</t>
        </is>
      </c>
      <c r="B1192" s="0" t="inlineStr">
        <is>
          <t xml:space="preserve">a0512</t>
        </is>
      </c>
      <c r="C1192" s="0" t="inlineStr">
        <is>
          <t xml:space="preserve">r18</t>
        </is>
      </c>
      <c r="D1192" s="0" t="inlineStr">
        <is>
          <t xml:space="preserve">s_emea_in</t>
        </is>
      </c>
      <c r="E1192" s="0" t="inlineStr">
        <is>
          <t xml:space="preserve">inbound</t>
        </is>
      </c>
      <c r="F1192" s="0" t="inlineStr">
        <is>
          <t xml:space="preserve">closed_lost</t>
        </is>
      </c>
      <c r="G1192" s="4">
        <v>1</v>
      </c>
      <c r="H1192" s="4">
        <v>20500</v>
      </c>
      <c r="I1192" s="4">
        <v>1</v>
      </c>
      <c r="J1192" s="4">
        <v>0</v>
      </c>
      <c r="K1192" s="16">
        <v>45989</v>
      </c>
      <c r="L1192" s="16">
        <v>46003</v>
      </c>
      <c r="M1192" s="0" t="inlineStr">
        <is>
          <t xml:space="preserve">nov25</t>
        </is>
      </c>
      <c r="N1192" s="0" t="inlineStr">
        <is>
          <t xml:space="preserve">dec25</t>
        </is>
      </c>
      <c r="O1192" s="4">
        <v>14</v>
      </c>
      <c r="P1192" s="4">
        <v>0</v>
      </c>
      <c r="Q1192" s="4">
        <v>1</v>
      </c>
      <c r="R1192" s="4">
        <v>0</v>
      </c>
      <c r="S1192" s="4">
        <f>(H1192*INDEX('Stages'!$D$2:$D$7,MATCH(F1192,'Stages'!$A$2:$A$7,0)))</f>
        <v>0</v>
      </c>
      <c r="T1192" s="4">
        <f>(H1192*I1192)</f>
        <v>20500</v>
      </c>
      <c r="U1192" s="4">
        <f>(H1192*(I1192-1))</f>
        <v>0</v>
      </c>
      <c r="V1192" s="0" t="str">
        <f>INDEX('Account executives'!$B$2:$B$25,MATCH(C1192,'Account executives'!$A$2:$A$25,0))</f>
        <v>emea</v>
      </c>
      <c r="W1192" s="0" t="str">
        <f>INDEX('Account executives'!$C$2:$C$25,MATCH(C1192,'Account executives'!$A$2:$A$25,0))</f>
        <v>smb</v>
      </c>
      <c r="X1192" s="0" t="str">
        <f>SUBSTITUTE(LOWER(INDEX('Periods'!$G$2:$G$22,MATCH(N1192,'Periods'!$A$2:$A$22,0)))," ","_")</f>
        <v>q4_2025</v>
      </c>
    </row>
    <row r="1193">
      <c r="A1193" s="0" t="inlineStr">
        <is>
          <t xml:space="preserve">o1192</t>
        </is>
      </c>
      <c r="B1193" s="0" t="inlineStr">
        <is>
          <t xml:space="preserve">a0036</t>
        </is>
      </c>
      <c r="C1193" s="0" t="inlineStr">
        <is>
          <t xml:space="preserve">r07</t>
        </is>
      </c>
      <c r="D1193" s="0" t="inlineStr">
        <is>
          <t xml:space="preserve">s_amer_west_out</t>
        </is>
      </c>
      <c r="E1193" s="0" t="inlineStr">
        <is>
          <t xml:space="preserve">outbound</t>
        </is>
      </c>
      <c r="F1193" s="0" t="inlineStr">
        <is>
          <t xml:space="preserve">closed_lost</t>
        </is>
      </c>
      <c r="G1193" s="4">
        <v>1</v>
      </c>
      <c r="H1193" s="4">
        <v>300400</v>
      </c>
      <c r="I1193" s="4">
        <v>3</v>
      </c>
      <c r="J1193" s="4">
        <v>1</v>
      </c>
      <c r="K1193" s="16">
        <v>45769</v>
      </c>
      <c r="L1193" s="16">
        <v>45941</v>
      </c>
      <c r="M1193" s="0" t="inlineStr">
        <is>
          <t xml:space="preserve">apr25</t>
        </is>
      </c>
      <c r="N1193" s="0" t="inlineStr">
        <is>
          <t xml:space="preserve">oct25</t>
        </is>
      </c>
      <c r="O1193" s="4">
        <v>172</v>
      </c>
      <c r="P1193" s="4">
        <v>0</v>
      </c>
      <c r="Q1193" s="4">
        <v>1</v>
      </c>
      <c r="R1193" s="4">
        <v>0</v>
      </c>
      <c r="S1193" s="4">
        <f>(H1193*INDEX('Stages'!$D$2:$D$7,MATCH(F1193,'Stages'!$A$2:$A$7,0)))</f>
        <v>0</v>
      </c>
      <c r="T1193" s="4">
        <f>(H1193*I1193)</f>
        <v>901200</v>
      </c>
      <c r="U1193" s="4">
        <f>(H1193*(I1193-1))</f>
        <v>600800</v>
      </c>
      <c r="V1193" s="0" t="str">
        <f>INDEX('Account executives'!$B$2:$B$25,MATCH(C1193,'Account executives'!$A$2:$A$25,0))</f>
        <v>amer_west</v>
      </c>
      <c r="W1193" s="0" t="str">
        <f>INDEX('Account executives'!$C$2:$C$25,MATCH(C1193,'Account executives'!$A$2:$A$25,0))</f>
        <v>enterprise</v>
      </c>
      <c r="X1193" s="0" t="str">
        <f>SUBSTITUTE(LOWER(INDEX('Periods'!$G$2:$G$22,MATCH(N1193,'Periods'!$A$2:$A$22,0)))," ","_")</f>
        <v>q4_2025</v>
      </c>
    </row>
    <row r="1194">
      <c r="A1194" s="0" t="inlineStr">
        <is>
          <t xml:space="preserve">o1193</t>
        </is>
      </c>
      <c r="B1194" s="0" t="inlineStr">
        <is>
          <t xml:space="preserve">a1045</t>
        </is>
      </c>
      <c r="C1194" s="0" t="inlineStr">
        <is>
          <t xml:space="preserve">r24</t>
        </is>
      </c>
      <c r="D1194" s="0"/>
      <c r="E1194" s="0" t="inlineStr">
        <is>
          <t xml:space="preserve">events</t>
        </is>
      </c>
      <c r="F1194" s="0" t="inlineStr">
        <is>
          <t xml:space="preserve">closed_won</t>
        </is>
      </c>
      <c r="G1194" s="4">
        <v>1</v>
      </c>
      <c r="H1194" s="4">
        <v>5800</v>
      </c>
      <c r="I1194" s="4">
        <v>1</v>
      </c>
      <c r="J1194" s="4">
        <v>0</v>
      </c>
      <c r="K1194" s="16">
        <v>46189</v>
      </c>
      <c r="L1194" s="16">
        <v>46211</v>
      </c>
      <c r="M1194" s="0" t="inlineStr">
        <is>
          <t xml:space="preserve">jun26</t>
        </is>
      </c>
      <c r="N1194" s="0" t="inlineStr">
        <is>
          <t xml:space="preserve">jul26</t>
        </is>
      </c>
      <c r="O1194" s="4">
        <v>22</v>
      </c>
      <c r="P1194" s="4">
        <v>1</v>
      </c>
      <c r="Q1194" s="4">
        <v>0</v>
      </c>
      <c r="R1194" s="4">
        <v>0</v>
      </c>
      <c r="S1194" s="4">
        <f>(H1194*INDEX('Stages'!$D$2:$D$7,MATCH(F1194,'Stages'!$A$2:$A$7,0)))</f>
        <v>5800</v>
      </c>
      <c r="T1194" s="4">
        <f>(H1194*I1194)</f>
        <v>5800</v>
      </c>
      <c r="U1194" s="4">
        <f>(H1194*(I1194-1))</f>
        <v>0</v>
      </c>
      <c r="V1194" s="0" t="str">
        <f>INDEX('Account executives'!$B$2:$B$25,MATCH(C1194,'Account executives'!$A$2:$A$25,0))</f>
        <v>apac</v>
      </c>
      <c r="W1194" s="0" t="str">
        <f>INDEX('Account executives'!$C$2:$C$25,MATCH(C1194,'Account executives'!$A$2:$A$25,0))</f>
        <v>smb</v>
      </c>
      <c r="X1194" s="0" t="str">
        <f>SUBSTITUTE(LOWER(INDEX('Periods'!$G$2:$G$22,MATCH(N1194,'Periods'!$A$2:$A$22,0)))," ","_")</f>
        <v>q3_2026</v>
      </c>
    </row>
    <row r="1195">
      <c r="A1195" s="0" t="inlineStr">
        <is>
          <t xml:space="preserve">o1194</t>
        </is>
      </c>
      <c r="B1195" s="0" t="inlineStr">
        <is>
          <t xml:space="preserve">a0146</t>
        </is>
      </c>
      <c r="C1195" s="0" t="inlineStr">
        <is>
          <t xml:space="preserve">r20</t>
        </is>
      </c>
      <c r="D1195" s="0"/>
      <c r="E1195" s="0" t="inlineStr">
        <is>
          <t xml:space="preserve">partner</t>
        </is>
      </c>
      <c r="F1195" s="0" t="inlineStr">
        <is>
          <t xml:space="preserve">discovery</t>
        </is>
      </c>
      <c r="G1195" s="4">
        <v>0</v>
      </c>
      <c r="H1195" s="4">
        <v>32900</v>
      </c>
      <c r="I1195" s="4">
        <v>2</v>
      </c>
      <c r="J1195" s="4">
        <v>1</v>
      </c>
      <c r="K1195" s="16">
        <v>46245</v>
      </c>
      <c r="L1195" s="16">
        <v>46371</v>
      </c>
      <c r="M1195" s="0" t="inlineStr">
        <is>
          <t xml:space="preserve">aug26</t>
        </is>
      </c>
      <c r="N1195" s="0" t="inlineStr">
        <is>
          <t xml:space="preserve">dec26</t>
        </is>
      </c>
      <c r="O1195" s="4">
        <v>140</v>
      </c>
      <c r="P1195" s="4">
        <v>0</v>
      </c>
      <c r="Q1195" s="4">
        <v>0</v>
      </c>
      <c r="R1195" s="4">
        <v>1</v>
      </c>
      <c r="S1195" s="4">
        <f>(H1195*INDEX('Stages'!$D$2:$D$7,MATCH(F1195,'Stages'!$A$2:$A$7,0)))</f>
        <v>3290</v>
      </c>
      <c r="T1195" s="4">
        <f>(H1195*I1195)</f>
        <v>65800</v>
      </c>
      <c r="U1195" s="4">
        <f>(H1195*(I1195-1))</f>
        <v>32900</v>
      </c>
      <c r="V1195" s="0" t="str">
        <f>INDEX('Account executives'!$B$2:$B$25,MATCH(C1195,'Account executives'!$A$2:$A$25,0))</f>
        <v>apac</v>
      </c>
      <c r="W1195" s="0" t="str">
        <f>INDEX('Account executives'!$C$2:$C$25,MATCH(C1195,'Account executives'!$A$2:$A$25,0))</f>
        <v>enterprise</v>
      </c>
      <c r="X1195" s="0" t="str">
        <f>SUBSTITUTE(LOWER(INDEX('Periods'!$G$2:$G$22,MATCH(N1195,'Periods'!$A$2:$A$22,0)))," ","_")</f>
        <v>q4_2026</v>
      </c>
    </row>
    <row r="1196">
      <c r="A1196" s="0" t="inlineStr">
        <is>
          <t xml:space="preserve">o1195</t>
        </is>
      </c>
      <c r="B1196" s="0" t="inlineStr">
        <is>
          <t xml:space="preserve">a1153</t>
        </is>
      </c>
      <c r="C1196" s="0" t="inlineStr">
        <is>
          <t xml:space="preserve">r06</t>
        </is>
      </c>
      <c r="D1196" s="0" t="inlineStr">
        <is>
          <t xml:space="preserve">s_amer_east_in</t>
        </is>
      </c>
      <c r="E1196" s="0" t="inlineStr">
        <is>
          <t xml:space="preserve">paid</t>
        </is>
      </c>
      <c r="F1196" s="0" t="inlineStr">
        <is>
          <t xml:space="preserve">closed_lost</t>
        </is>
      </c>
      <c r="G1196" s="4">
        <v>1</v>
      </c>
      <c r="H1196" s="4">
        <v>13700</v>
      </c>
      <c r="I1196" s="4">
        <v>1</v>
      </c>
      <c r="J1196" s="4">
        <v>0</v>
      </c>
      <c r="K1196" s="16">
        <v>46238</v>
      </c>
      <c r="L1196" s="16">
        <v>46261</v>
      </c>
      <c r="M1196" s="0" t="inlineStr">
        <is>
          <t xml:space="preserve">aug26</t>
        </is>
      </c>
      <c r="N1196" s="0" t="inlineStr">
        <is>
          <t xml:space="preserve">aug26</t>
        </is>
      </c>
      <c r="O1196" s="4">
        <v>23</v>
      </c>
      <c r="P1196" s="4">
        <v>0</v>
      </c>
      <c r="Q1196" s="4">
        <v>1</v>
      </c>
      <c r="R1196" s="4">
        <v>0</v>
      </c>
      <c r="S1196" s="4">
        <f>(H1196*INDEX('Stages'!$D$2:$D$7,MATCH(F1196,'Stages'!$A$2:$A$7,0)))</f>
        <v>0</v>
      </c>
      <c r="T1196" s="4">
        <f>(H1196*I1196)</f>
        <v>13700</v>
      </c>
      <c r="U1196" s="4">
        <f>(H1196*(I1196-1))</f>
        <v>0</v>
      </c>
      <c r="V1196" s="0" t="str">
        <f>INDEX('Account executives'!$B$2:$B$25,MATCH(C1196,'Account executives'!$A$2:$A$25,0))</f>
        <v>amer_east</v>
      </c>
      <c r="W1196" s="0" t="str">
        <f>INDEX('Account executives'!$C$2:$C$25,MATCH(C1196,'Account executives'!$A$2:$A$25,0))</f>
        <v>smb</v>
      </c>
      <c r="X1196" s="0" t="str">
        <f>SUBSTITUTE(LOWER(INDEX('Periods'!$G$2:$G$22,MATCH(N1196,'Periods'!$A$2:$A$22,0)))," ","_")</f>
        <v>q3_2026</v>
      </c>
    </row>
    <row r="1197">
      <c r="A1197" s="0" t="inlineStr">
        <is>
          <t xml:space="preserve">o1196</t>
        </is>
      </c>
      <c r="B1197" s="0" t="inlineStr">
        <is>
          <t xml:space="preserve">a0310</t>
        </is>
      </c>
      <c r="C1197" s="0" t="inlineStr">
        <is>
          <t xml:space="preserve">r06</t>
        </is>
      </c>
      <c r="D1197" s="0" t="inlineStr">
        <is>
          <t xml:space="preserve">s_amer_east_in</t>
        </is>
      </c>
      <c r="E1197" s="0" t="inlineStr">
        <is>
          <t xml:space="preserve">inbound</t>
        </is>
      </c>
      <c r="F1197" s="0" t="inlineStr">
        <is>
          <t xml:space="preserve">closed_lost</t>
        </is>
      </c>
      <c r="G1197" s="4">
        <v>1</v>
      </c>
      <c r="H1197" s="4">
        <v>9700</v>
      </c>
      <c r="I1197" s="4">
        <v>1</v>
      </c>
      <c r="J1197" s="4">
        <v>0</v>
      </c>
      <c r="K1197" s="16">
        <v>45890</v>
      </c>
      <c r="L1197" s="16">
        <v>45920</v>
      </c>
      <c r="M1197" s="0" t="inlineStr">
        <is>
          <t xml:space="preserve">aug25</t>
        </is>
      </c>
      <c r="N1197" s="0" t="inlineStr">
        <is>
          <t xml:space="preserve">sep25</t>
        </is>
      </c>
      <c r="O1197" s="4">
        <v>30</v>
      </c>
      <c r="P1197" s="4">
        <v>0</v>
      </c>
      <c r="Q1197" s="4">
        <v>1</v>
      </c>
      <c r="R1197" s="4">
        <v>0</v>
      </c>
      <c r="S1197" s="4">
        <f>(H1197*INDEX('Stages'!$D$2:$D$7,MATCH(F1197,'Stages'!$A$2:$A$7,0)))</f>
        <v>0</v>
      </c>
      <c r="T1197" s="4">
        <f>(H1197*I1197)</f>
        <v>9700</v>
      </c>
      <c r="U1197" s="4">
        <f>(H1197*(I1197-1))</f>
        <v>0</v>
      </c>
      <c r="V1197" s="0" t="str">
        <f>INDEX('Account executives'!$B$2:$B$25,MATCH(C1197,'Account executives'!$A$2:$A$25,0))</f>
        <v>amer_east</v>
      </c>
      <c r="W1197" s="0" t="str">
        <f>INDEX('Account executives'!$C$2:$C$25,MATCH(C1197,'Account executives'!$A$2:$A$25,0))</f>
        <v>smb</v>
      </c>
      <c r="X1197" s="0" t="str">
        <f>SUBSTITUTE(LOWER(INDEX('Periods'!$G$2:$G$22,MATCH(N1197,'Periods'!$A$2:$A$22,0)))," ","_")</f>
        <v>q3_2025</v>
      </c>
    </row>
    <row r="1198">
      <c r="A1198" s="0" t="inlineStr">
        <is>
          <t xml:space="preserve">o1197</t>
        </is>
      </c>
      <c r="B1198" s="0" t="inlineStr">
        <is>
          <t xml:space="preserve">a0026</t>
        </is>
      </c>
      <c r="C1198" s="0" t="inlineStr">
        <is>
          <t xml:space="preserve">r12</t>
        </is>
      </c>
      <c r="D1198" s="0" t="inlineStr">
        <is>
          <t xml:space="preserve">s_amer_west_in</t>
        </is>
      </c>
      <c r="E1198" s="0" t="inlineStr">
        <is>
          <t xml:space="preserve">inbound</t>
        </is>
      </c>
      <c r="F1198" s="0" t="inlineStr">
        <is>
          <t xml:space="preserve">closed_lost</t>
        </is>
      </c>
      <c r="G1198" s="4">
        <v>1</v>
      </c>
      <c r="H1198" s="4">
        <v>16600</v>
      </c>
      <c r="I1198" s="4">
        <v>1</v>
      </c>
      <c r="J1198" s="4">
        <v>1</v>
      </c>
      <c r="K1198" s="16">
        <v>45763</v>
      </c>
      <c r="L1198" s="16">
        <v>45790</v>
      </c>
      <c r="M1198" s="0" t="inlineStr">
        <is>
          <t xml:space="preserve">apr25</t>
        </is>
      </c>
      <c r="N1198" s="0" t="inlineStr">
        <is>
          <t xml:space="preserve">may25</t>
        </is>
      </c>
      <c r="O1198" s="4">
        <v>27</v>
      </c>
      <c r="P1198" s="4">
        <v>0</v>
      </c>
      <c r="Q1198" s="4">
        <v>1</v>
      </c>
      <c r="R1198" s="4">
        <v>0</v>
      </c>
      <c r="S1198" s="4">
        <f>(H1198*INDEX('Stages'!$D$2:$D$7,MATCH(F1198,'Stages'!$A$2:$A$7,0)))</f>
        <v>0</v>
      </c>
      <c r="T1198" s="4">
        <f>(H1198*I1198)</f>
        <v>16600</v>
      </c>
      <c r="U1198" s="4">
        <f>(H1198*(I1198-1))</f>
        <v>0</v>
      </c>
      <c r="V1198" s="0" t="str">
        <f>INDEX('Account executives'!$B$2:$B$25,MATCH(C1198,'Account executives'!$A$2:$A$25,0))</f>
        <v>amer_west</v>
      </c>
      <c r="W1198" s="0" t="str">
        <f>INDEX('Account executives'!$C$2:$C$25,MATCH(C1198,'Account executives'!$A$2:$A$25,0))</f>
        <v>smb</v>
      </c>
      <c r="X1198" s="0" t="str">
        <f>SUBSTITUTE(LOWER(INDEX('Periods'!$G$2:$G$22,MATCH(N1198,'Periods'!$A$2:$A$22,0)))," ","_")</f>
        <v>q2_2025</v>
      </c>
    </row>
    <row r="1199">
      <c r="A1199" s="0" t="inlineStr">
        <is>
          <t xml:space="preserve">o1198</t>
        </is>
      </c>
      <c r="B1199" s="0" t="inlineStr">
        <is>
          <t xml:space="preserve">a0887</t>
        </is>
      </c>
      <c r="C1199" s="0" t="inlineStr">
        <is>
          <t xml:space="preserve">r04</t>
        </is>
      </c>
      <c r="D1199" s="0"/>
      <c r="E1199" s="0" t="inlineStr">
        <is>
          <t xml:space="preserve">events</t>
        </is>
      </c>
      <c r="F1199" s="0" t="inlineStr">
        <is>
          <t xml:space="preserve">closed_lost</t>
        </is>
      </c>
      <c r="G1199" s="4">
        <v>0</v>
      </c>
      <c r="H1199" s="4">
        <v>12600</v>
      </c>
      <c r="I1199" s="4">
        <v>1</v>
      </c>
      <c r="J1199" s="4">
        <v>0</v>
      </c>
      <c r="K1199" s="16">
        <v>46149</v>
      </c>
      <c r="L1199" s="16">
        <v>46221</v>
      </c>
      <c r="M1199" s="0" t="inlineStr">
        <is>
          <t xml:space="preserve">may26</t>
        </is>
      </c>
      <c r="N1199" s="0" t="inlineStr">
        <is>
          <t xml:space="preserve">jul26</t>
        </is>
      </c>
      <c r="O1199" s="4">
        <v>72</v>
      </c>
      <c r="P1199" s="4">
        <v>0</v>
      </c>
      <c r="Q1199" s="4">
        <v>1</v>
      </c>
      <c r="R1199" s="4">
        <v>0</v>
      </c>
      <c r="S1199" s="4">
        <f>(H1199*INDEX('Stages'!$D$2:$D$7,MATCH(F1199,'Stages'!$A$2:$A$7,0)))</f>
        <v>0</v>
      </c>
      <c r="T1199" s="4">
        <f>(H1199*I1199)</f>
        <v>12600</v>
      </c>
      <c r="U1199" s="4">
        <f>(H1199*(I1199-1))</f>
        <v>0</v>
      </c>
      <c r="V1199" s="0" t="str">
        <f>INDEX('Account executives'!$B$2:$B$25,MATCH(C1199,'Account executives'!$A$2:$A$25,0))</f>
        <v>amer_east</v>
      </c>
      <c r="W1199" s="0" t="str">
        <f>INDEX('Account executives'!$C$2:$C$25,MATCH(C1199,'Account executives'!$A$2:$A$25,0))</f>
        <v>mid_market</v>
      </c>
      <c r="X1199" s="0" t="str">
        <f>SUBSTITUTE(LOWER(INDEX('Periods'!$G$2:$G$22,MATCH(N1199,'Periods'!$A$2:$A$22,0)))," ","_")</f>
        <v>q3_2026</v>
      </c>
    </row>
    <row r="1200">
      <c r="A1200" s="0" t="inlineStr">
        <is>
          <t xml:space="preserve">o1199</t>
        </is>
      </c>
      <c r="B1200" s="0" t="inlineStr">
        <is>
          <t xml:space="preserve">a0793</t>
        </is>
      </c>
      <c r="C1200" s="0" t="inlineStr">
        <is>
          <t xml:space="preserve">r20</t>
        </is>
      </c>
      <c r="D1200" s="0" t="inlineStr">
        <is>
          <t xml:space="preserve">s_apac_in</t>
        </is>
      </c>
      <c r="E1200" s="0" t="inlineStr">
        <is>
          <t xml:space="preserve">inbound</t>
        </is>
      </c>
      <c r="F1200" s="0" t="inlineStr">
        <is>
          <t xml:space="preserve">discovery</t>
        </is>
      </c>
      <c r="G1200" s="4">
        <v>0</v>
      </c>
      <c r="H1200" s="4">
        <v>63400</v>
      </c>
      <c r="I1200" s="4">
        <v>2</v>
      </c>
      <c r="J1200" s="4">
        <v>0</v>
      </c>
      <c r="K1200" s="16">
        <v>46238</v>
      </c>
      <c r="L1200" s="16">
        <v>46371</v>
      </c>
      <c r="M1200" s="0" t="inlineStr">
        <is>
          <t xml:space="preserve">aug26</t>
        </is>
      </c>
      <c r="N1200" s="0" t="inlineStr">
        <is>
          <t xml:space="preserve">dec26</t>
        </is>
      </c>
      <c r="O1200" s="4">
        <v>146</v>
      </c>
      <c r="P1200" s="4">
        <v>0</v>
      </c>
      <c r="Q1200" s="4">
        <v>0</v>
      </c>
      <c r="R1200" s="4">
        <v>1</v>
      </c>
      <c r="S1200" s="4">
        <f>(H1200*INDEX('Stages'!$D$2:$D$7,MATCH(F1200,'Stages'!$A$2:$A$7,0)))</f>
        <v>6340</v>
      </c>
      <c r="T1200" s="4">
        <f>(H1200*I1200)</f>
        <v>126800</v>
      </c>
      <c r="U1200" s="4">
        <f>(H1200*(I1200-1))</f>
        <v>63400</v>
      </c>
      <c r="V1200" s="0" t="str">
        <f>INDEX('Account executives'!$B$2:$B$25,MATCH(C1200,'Account executives'!$A$2:$A$25,0))</f>
        <v>apac</v>
      </c>
      <c r="W1200" s="0" t="str">
        <f>INDEX('Account executives'!$C$2:$C$25,MATCH(C1200,'Account executives'!$A$2:$A$25,0))</f>
        <v>enterprise</v>
      </c>
      <c r="X1200" s="0" t="str">
        <f>SUBSTITUTE(LOWER(INDEX('Periods'!$G$2:$G$22,MATCH(N1200,'Periods'!$A$2:$A$22,0)))," ","_")</f>
        <v>q4_2026</v>
      </c>
    </row>
    <row r="1201">
      <c r="A1201" s="0" t="inlineStr">
        <is>
          <t xml:space="preserve">o1200</t>
        </is>
      </c>
      <c r="B1201" s="0" t="inlineStr">
        <is>
          <t xml:space="preserve">a0027</t>
        </is>
      </c>
      <c r="C1201" s="0" t="inlineStr">
        <is>
          <t xml:space="preserve">r09</t>
        </is>
      </c>
      <c r="D1201" s="0" t="inlineStr">
        <is>
          <t xml:space="preserve">s_amer_west_out</t>
        </is>
      </c>
      <c r="E1201" s="0" t="inlineStr">
        <is>
          <t xml:space="preserve">outbound</t>
        </is>
      </c>
      <c r="F1201" s="0" t="inlineStr">
        <is>
          <t xml:space="preserve">closed_won</t>
        </is>
      </c>
      <c r="G1201" s="4">
        <v>0</v>
      </c>
      <c r="H1201" s="4">
        <v>13700</v>
      </c>
      <c r="I1201" s="4">
        <v>2</v>
      </c>
      <c r="J1201" s="4">
        <v>1</v>
      </c>
      <c r="K1201" s="16">
        <v>45790</v>
      </c>
      <c r="L1201" s="16">
        <v>45853</v>
      </c>
      <c r="M1201" s="0" t="inlineStr">
        <is>
          <t xml:space="preserve">may25</t>
        </is>
      </c>
      <c r="N1201" s="0" t="inlineStr">
        <is>
          <t xml:space="preserve">jul25</t>
        </is>
      </c>
      <c r="O1201" s="4">
        <v>63</v>
      </c>
      <c r="P1201" s="4">
        <v>1</v>
      </c>
      <c r="Q1201" s="4">
        <v>0</v>
      </c>
      <c r="R1201" s="4">
        <v>0</v>
      </c>
      <c r="S1201" s="4">
        <f>(H1201*INDEX('Stages'!$D$2:$D$7,MATCH(F1201,'Stages'!$A$2:$A$7,0)))</f>
        <v>13700</v>
      </c>
      <c r="T1201" s="4">
        <f>(H1201*I1201)</f>
        <v>27400</v>
      </c>
      <c r="U1201" s="4">
        <f>(H1201*(I1201-1))</f>
        <v>13700</v>
      </c>
      <c r="V1201" s="0" t="str">
        <f>INDEX('Account executives'!$B$2:$B$25,MATCH(C1201,'Account executives'!$A$2:$A$25,0))</f>
        <v>amer_west</v>
      </c>
      <c r="W1201" s="0" t="str">
        <f>INDEX('Account executives'!$C$2:$C$25,MATCH(C1201,'Account executives'!$A$2:$A$25,0))</f>
        <v>mid_market</v>
      </c>
      <c r="X1201" s="0" t="str">
        <f>SUBSTITUTE(LOWER(INDEX('Periods'!$G$2:$G$22,MATCH(N1201,'Periods'!$A$2:$A$22,0)))," ","_")</f>
        <v>q3_2025</v>
      </c>
    </row>
    <row r="1202">
      <c r="A1202" s="0" t="inlineStr">
        <is>
          <t xml:space="preserve">o1201</t>
        </is>
      </c>
      <c r="B1202" s="0" t="inlineStr">
        <is>
          <t xml:space="preserve">a0156</t>
        </is>
      </c>
      <c r="C1202" s="0" t="inlineStr">
        <is>
          <t xml:space="preserve">r01</t>
        </is>
      </c>
      <c r="D1202" s="0" t="inlineStr">
        <is>
          <t xml:space="preserve">s_amer_east_in</t>
        </is>
      </c>
      <c r="E1202" s="0" t="inlineStr">
        <is>
          <t xml:space="preserve">inbound</t>
        </is>
      </c>
      <c r="F1202" s="0" t="inlineStr">
        <is>
          <t xml:space="preserve">closed_lost</t>
        </is>
      </c>
      <c r="G1202" s="4">
        <v>1</v>
      </c>
      <c r="H1202" s="4">
        <v>261000</v>
      </c>
      <c r="I1202" s="4">
        <v>3</v>
      </c>
      <c r="J1202" s="4">
        <v>0</v>
      </c>
      <c r="K1202" s="16">
        <v>45828</v>
      </c>
      <c r="L1202" s="16">
        <v>45914</v>
      </c>
      <c r="M1202" s="0" t="inlineStr">
        <is>
          <t xml:space="preserve">jun25</t>
        </is>
      </c>
      <c r="N1202" s="0" t="inlineStr">
        <is>
          <t xml:space="preserve">sep25</t>
        </is>
      </c>
      <c r="O1202" s="4">
        <v>86</v>
      </c>
      <c r="P1202" s="4">
        <v>0</v>
      </c>
      <c r="Q1202" s="4">
        <v>1</v>
      </c>
      <c r="R1202" s="4">
        <v>0</v>
      </c>
      <c r="S1202" s="4">
        <f>(H1202*INDEX('Stages'!$D$2:$D$7,MATCH(F1202,'Stages'!$A$2:$A$7,0)))</f>
        <v>0</v>
      </c>
      <c r="T1202" s="4">
        <f>(H1202*I1202)</f>
        <v>783000</v>
      </c>
      <c r="U1202" s="4">
        <f>(H1202*(I1202-1))</f>
        <v>522000</v>
      </c>
      <c r="V1202" s="0" t="str">
        <f>INDEX('Account executives'!$B$2:$B$25,MATCH(C1202,'Account executives'!$A$2:$A$25,0))</f>
        <v>amer_east</v>
      </c>
      <c r="W1202" s="0" t="str">
        <f>INDEX('Account executives'!$C$2:$C$25,MATCH(C1202,'Account executives'!$A$2:$A$25,0))</f>
        <v>enterprise</v>
      </c>
      <c r="X1202" s="0" t="str">
        <f>SUBSTITUTE(LOWER(INDEX('Periods'!$G$2:$G$22,MATCH(N1202,'Periods'!$A$2:$A$22,0)))," ","_")</f>
        <v>q3_2025</v>
      </c>
    </row>
    <row r="1203">
      <c r="A1203" s="0" t="inlineStr">
        <is>
          <t xml:space="preserve">o1202</t>
        </is>
      </c>
      <c r="B1203" s="0" t="inlineStr">
        <is>
          <t xml:space="preserve">a0973</t>
        </is>
      </c>
      <c r="C1203" s="0" t="inlineStr">
        <is>
          <t xml:space="preserve">r06</t>
        </is>
      </c>
      <c r="D1203" s="0"/>
      <c r="E1203" s="0" t="inlineStr">
        <is>
          <t xml:space="preserve">events</t>
        </is>
      </c>
      <c r="F1203" s="0" t="inlineStr">
        <is>
          <t xml:space="preserve">closed_lost</t>
        </is>
      </c>
      <c r="G1203" s="4">
        <v>1</v>
      </c>
      <c r="H1203" s="4">
        <v>18500</v>
      </c>
      <c r="I1203" s="4">
        <v>1</v>
      </c>
      <c r="J1203" s="4">
        <v>1</v>
      </c>
      <c r="K1203" s="16">
        <v>46190</v>
      </c>
      <c r="L1203" s="16">
        <v>46228</v>
      </c>
      <c r="M1203" s="0" t="inlineStr">
        <is>
          <t xml:space="preserve">jun26</t>
        </is>
      </c>
      <c r="N1203" s="0" t="inlineStr">
        <is>
          <t xml:space="preserve">jul26</t>
        </is>
      </c>
      <c r="O1203" s="4">
        <v>38</v>
      </c>
      <c r="P1203" s="4">
        <v>0</v>
      </c>
      <c r="Q1203" s="4">
        <v>1</v>
      </c>
      <c r="R1203" s="4">
        <v>0</v>
      </c>
      <c r="S1203" s="4">
        <f>(H1203*INDEX('Stages'!$D$2:$D$7,MATCH(F1203,'Stages'!$A$2:$A$7,0)))</f>
        <v>0</v>
      </c>
      <c r="T1203" s="4">
        <f>(H1203*I1203)</f>
        <v>18500</v>
      </c>
      <c r="U1203" s="4">
        <f>(H1203*(I1203-1))</f>
        <v>0</v>
      </c>
      <c r="V1203" s="0" t="str">
        <f>INDEX('Account executives'!$B$2:$B$25,MATCH(C1203,'Account executives'!$A$2:$A$25,0))</f>
        <v>amer_east</v>
      </c>
      <c r="W1203" s="0" t="str">
        <f>INDEX('Account executives'!$C$2:$C$25,MATCH(C1203,'Account executives'!$A$2:$A$25,0))</f>
        <v>smb</v>
      </c>
      <c r="X1203" s="0" t="str">
        <f>SUBSTITUTE(LOWER(INDEX('Periods'!$G$2:$G$22,MATCH(N1203,'Periods'!$A$2:$A$22,0)))," ","_")</f>
        <v>q3_2026</v>
      </c>
    </row>
    <row r="1204">
      <c r="A1204" s="0" t="inlineStr">
        <is>
          <t xml:space="preserve">o1203</t>
        </is>
      </c>
      <c r="B1204" s="0" t="inlineStr">
        <is>
          <t xml:space="preserve">a0479</t>
        </is>
      </c>
      <c r="C1204" s="0" t="inlineStr">
        <is>
          <t xml:space="preserve">r05</t>
        </is>
      </c>
      <c r="D1204" s="0"/>
      <c r="E1204" s="0" t="inlineStr">
        <is>
          <t xml:space="preserve">referral</t>
        </is>
      </c>
      <c r="F1204" s="0" t="inlineStr">
        <is>
          <t xml:space="preserve">closed_won</t>
        </is>
      </c>
      <c r="G1204" s="4">
        <v>0</v>
      </c>
      <c r="H1204" s="4">
        <v>11900</v>
      </c>
      <c r="I1204" s="4">
        <v>1</v>
      </c>
      <c r="J1204" s="4">
        <v>1</v>
      </c>
      <c r="K1204" s="16">
        <v>46125</v>
      </c>
      <c r="L1204" s="16">
        <v>46152</v>
      </c>
      <c r="M1204" s="0" t="inlineStr">
        <is>
          <t xml:space="preserve">apr26</t>
        </is>
      </c>
      <c r="N1204" s="0" t="inlineStr">
        <is>
          <t xml:space="preserve">may26</t>
        </is>
      </c>
      <c r="O1204" s="4">
        <v>27</v>
      </c>
      <c r="P1204" s="4">
        <v>1</v>
      </c>
      <c r="Q1204" s="4">
        <v>0</v>
      </c>
      <c r="R1204" s="4">
        <v>0</v>
      </c>
      <c r="S1204" s="4">
        <f>(H1204*INDEX('Stages'!$D$2:$D$7,MATCH(F1204,'Stages'!$A$2:$A$7,0)))</f>
        <v>11900</v>
      </c>
      <c r="T1204" s="4">
        <f>(H1204*I1204)</f>
        <v>11900</v>
      </c>
      <c r="U1204" s="4">
        <f>(H1204*(I1204-1))</f>
        <v>0</v>
      </c>
      <c r="V1204" s="0" t="str">
        <f>INDEX('Account executives'!$B$2:$B$25,MATCH(C1204,'Account executives'!$A$2:$A$25,0))</f>
        <v>amer_east</v>
      </c>
      <c r="W1204" s="0" t="str">
        <f>INDEX('Account executives'!$C$2:$C$25,MATCH(C1204,'Account executives'!$A$2:$A$25,0))</f>
        <v>smb</v>
      </c>
      <c r="X1204" s="0" t="str">
        <f>SUBSTITUTE(LOWER(INDEX('Periods'!$G$2:$G$22,MATCH(N1204,'Periods'!$A$2:$A$22,0)))," ","_")</f>
        <v>q2_2026</v>
      </c>
    </row>
    <row r="1205">
      <c r="A1205" s="0" t="inlineStr">
        <is>
          <t xml:space="preserve">o1204</t>
        </is>
      </c>
      <c r="B1205" s="0" t="inlineStr">
        <is>
          <t xml:space="preserve">a1221</t>
        </is>
      </c>
      <c r="C1205" s="0" t="inlineStr">
        <is>
          <t xml:space="preserve">r04</t>
        </is>
      </c>
      <c r="D1205" s="0" t="inlineStr">
        <is>
          <t xml:space="preserve">s_amer_east_in</t>
        </is>
      </c>
      <c r="E1205" s="0" t="inlineStr">
        <is>
          <t xml:space="preserve">paid</t>
        </is>
      </c>
      <c r="F1205" s="0" t="inlineStr">
        <is>
          <t xml:space="preserve">discovery</t>
        </is>
      </c>
      <c r="G1205" s="4">
        <v>1</v>
      </c>
      <c r="H1205" s="4">
        <v>124800</v>
      </c>
      <c r="I1205" s="4">
        <v>2</v>
      </c>
      <c r="J1205" s="4">
        <v>0</v>
      </c>
      <c r="K1205" s="16">
        <v>46282</v>
      </c>
      <c r="L1205" s="16">
        <v>46327</v>
      </c>
      <c r="M1205" s="0" t="inlineStr">
        <is>
          <t xml:space="preserve">sep26</t>
        </is>
      </c>
      <c r="N1205" s="0" t="inlineStr">
        <is>
          <t xml:space="preserve">nov26</t>
        </is>
      </c>
      <c r="O1205" s="4">
        <v>55</v>
      </c>
      <c r="P1205" s="4">
        <v>0</v>
      </c>
      <c r="Q1205" s="4">
        <v>0</v>
      </c>
      <c r="R1205" s="4">
        <v>1</v>
      </c>
      <c r="S1205" s="4">
        <f>(H1205*INDEX('Stages'!$D$2:$D$7,MATCH(F1205,'Stages'!$A$2:$A$7,0)))</f>
        <v>12480</v>
      </c>
      <c r="T1205" s="4">
        <f>(H1205*I1205)</f>
        <v>249600</v>
      </c>
      <c r="U1205" s="4">
        <f>(H1205*(I1205-1))</f>
        <v>124800</v>
      </c>
      <c r="V1205" s="0" t="str">
        <f>INDEX('Account executives'!$B$2:$B$25,MATCH(C1205,'Account executives'!$A$2:$A$25,0))</f>
        <v>amer_east</v>
      </c>
      <c r="W1205" s="0" t="str">
        <f>INDEX('Account executives'!$C$2:$C$25,MATCH(C1205,'Account executives'!$A$2:$A$25,0))</f>
        <v>mid_market</v>
      </c>
      <c r="X1205" s="0" t="str">
        <f>SUBSTITUTE(LOWER(INDEX('Periods'!$G$2:$G$22,MATCH(N1205,'Periods'!$A$2:$A$22,0)))," ","_")</f>
        <v>q4_2026</v>
      </c>
    </row>
    <row r="1206">
      <c r="A1206" s="0" t="inlineStr">
        <is>
          <t xml:space="preserve">o1205</t>
        </is>
      </c>
      <c r="B1206" s="0" t="inlineStr">
        <is>
          <t xml:space="preserve">a0034</t>
        </is>
      </c>
      <c r="C1206" s="0" t="inlineStr">
        <is>
          <t xml:space="preserve">r11</t>
        </is>
      </c>
      <c r="D1206" s="0"/>
      <c r="E1206" s="0" t="inlineStr">
        <is>
          <t xml:space="preserve">referral</t>
        </is>
      </c>
      <c r="F1206" s="0" t="inlineStr">
        <is>
          <t xml:space="preserve">closed_lost</t>
        </is>
      </c>
      <c r="G1206" s="4">
        <v>0</v>
      </c>
      <c r="H1206" s="4">
        <v>5900</v>
      </c>
      <c r="I1206" s="4">
        <v>1</v>
      </c>
      <c r="J1206" s="4">
        <v>0</v>
      </c>
      <c r="K1206" s="16">
        <v>45856</v>
      </c>
      <c r="L1206" s="16">
        <v>45892</v>
      </c>
      <c r="M1206" s="0" t="inlineStr">
        <is>
          <t xml:space="preserve">jul25</t>
        </is>
      </c>
      <c r="N1206" s="0" t="inlineStr">
        <is>
          <t xml:space="preserve">aug25</t>
        </is>
      </c>
      <c r="O1206" s="4">
        <v>36</v>
      </c>
      <c r="P1206" s="4">
        <v>0</v>
      </c>
      <c r="Q1206" s="4">
        <v>1</v>
      </c>
      <c r="R1206" s="4">
        <v>0</v>
      </c>
      <c r="S1206" s="4">
        <f>(H1206*INDEX('Stages'!$D$2:$D$7,MATCH(F1206,'Stages'!$A$2:$A$7,0)))</f>
        <v>0</v>
      </c>
      <c r="T1206" s="4">
        <f>(H1206*I1206)</f>
        <v>5900</v>
      </c>
      <c r="U1206" s="4">
        <f>(H1206*(I1206-1))</f>
        <v>0</v>
      </c>
      <c r="V1206" s="0" t="str">
        <f>INDEX('Account executives'!$B$2:$B$25,MATCH(C1206,'Account executives'!$A$2:$A$25,0))</f>
        <v>amer_west</v>
      </c>
      <c r="W1206" s="0" t="str">
        <f>INDEX('Account executives'!$C$2:$C$25,MATCH(C1206,'Account executives'!$A$2:$A$25,0))</f>
        <v>smb</v>
      </c>
      <c r="X1206" s="0" t="str">
        <f>SUBSTITUTE(LOWER(INDEX('Periods'!$G$2:$G$22,MATCH(N1206,'Periods'!$A$2:$A$22,0)))," ","_")</f>
        <v>q3_2025</v>
      </c>
    </row>
    <row r="1207">
      <c r="A1207" s="0" t="inlineStr">
        <is>
          <t xml:space="preserve">o1206</t>
        </is>
      </c>
      <c r="B1207" s="0" t="inlineStr">
        <is>
          <t xml:space="preserve">a0302</t>
        </is>
      </c>
      <c r="C1207" s="0" t="inlineStr">
        <is>
          <t xml:space="preserve">r24</t>
        </is>
      </c>
      <c r="D1207" s="0" t="inlineStr">
        <is>
          <t xml:space="preserve">s_apac_in</t>
        </is>
      </c>
      <c r="E1207" s="0" t="inlineStr">
        <is>
          <t xml:space="preserve">inbound</t>
        </is>
      </c>
      <c r="F1207" s="0" t="inlineStr">
        <is>
          <t xml:space="preserve">closed_lost</t>
        </is>
      </c>
      <c r="G1207" s="4">
        <v>1</v>
      </c>
      <c r="H1207" s="4">
        <v>13700</v>
      </c>
      <c r="I1207" s="4">
        <v>1</v>
      </c>
      <c r="J1207" s="4">
        <v>1</v>
      </c>
      <c r="K1207" s="16">
        <v>45856</v>
      </c>
      <c r="L1207" s="16">
        <v>45879</v>
      </c>
      <c r="M1207" s="0" t="inlineStr">
        <is>
          <t xml:space="preserve">jul25</t>
        </is>
      </c>
      <c r="N1207" s="0" t="inlineStr">
        <is>
          <t xml:space="preserve">aug25</t>
        </is>
      </c>
      <c r="O1207" s="4">
        <v>23</v>
      </c>
      <c r="P1207" s="4">
        <v>0</v>
      </c>
      <c r="Q1207" s="4">
        <v>1</v>
      </c>
      <c r="R1207" s="4">
        <v>0</v>
      </c>
      <c r="S1207" s="4">
        <f>(H1207*INDEX('Stages'!$D$2:$D$7,MATCH(F1207,'Stages'!$A$2:$A$7,0)))</f>
        <v>0</v>
      </c>
      <c r="T1207" s="4">
        <f>(H1207*I1207)</f>
        <v>13700</v>
      </c>
      <c r="U1207" s="4">
        <f>(H1207*(I1207-1))</f>
        <v>0</v>
      </c>
      <c r="V1207" s="0" t="str">
        <f>INDEX('Account executives'!$B$2:$B$25,MATCH(C1207,'Account executives'!$A$2:$A$25,0))</f>
        <v>apac</v>
      </c>
      <c r="W1207" s="0" t="str">
        <f>INDEX('Account executives'!$C$2:$C$25,MATCH(C1207,'Account executives'!$A$2:$A$25,0))</f>
        <v>smb</v>
      </c>
      <c r="X1207" s="0" t="str">
        <f>SUBSTITUTE(LOWER(INDEX('Periods'!$G$2:$G$22,MATCH(N1207,'Periods'!$A$2:$A$22,0)))," ","_")</f>
        <v>q3_2025</v>
      </c>
    </row>
    <row r="1208">
      <c r="A1208" s="0" t="inlineStr">
        <is>
          <t xml:space="preserve">o1207</t>
        </is>
      </c>
      <c r="B1208" s="0" t="inlineStr">
        <is>
          <t xml:space="preserve">a0137</t>
        </is>
      </c>
      <c r="C1208" s="0" t="inlineStr">
        <is>
          <t xml:space="preserve">r16</t>
        </is>
      </c>
      <c r="D1208" s="0" t="inlineStr">
        <is>
          <t xml:space="preserve">s_emea_out</t>
        </is>
      </c>
      <c r="E1208" s="0" t="inlineStr">
        <is>
          <t xml:space="preserve">outbound</t>
        </is>
      </c>
      <c r="F1208" s="0" t="inlineStr">
        <is>
          <t xml:space="preserve">closed_lost</t>
        </is>
      </c>
      <c r="G1208" s="4">
        <v>1</v>
      </c>
      <c r="H1208" s="4">
        <v>37700</v>
      </c>
      <c r="I1208" s="4">
        <v>2</v>
      </c>
      <c r="J1208" s="4">
        <v>1</v>
      </c>
      <c r="K1208" s="16">
        <v>45797</v>
      </c>
      <c r="L1208" s="16">
        <v>45872</v>
      </c>
      <c r="M1208" s="0" t="inlineStr">
        <is>
          <t xml:space="preserve">may25</t>
        </is>
      </c>
      <c r="N1208" s="0" t="inlineStr">
        <is>
          <t xml:space="preserve">aug25</t>
        </is>
      </c>
      <c r="O1208" s="4">
        <v>75</v>
      </c>
      <c r="P1208" s="4">
        <v>0</v>
      </c>
      <c r="Q1208" s="4">
        <v>1</v>
      </c>
      <c r="R1208" s="4">
        <v>0</v>
      </c>
      <c r="S1208" s="4">
        <f>(H1208*INDEX('Stages'!$D$2:$D$7,MATCH(F1208,'Stages'!$A$2:$A$7,0)))</f>
        <v>0</v>
      </c>
      <c r="T1208" s="4">
        <f>(H1208*I1208)</f>
        <v>75400</v>
      </c>
      <c r="U1208" s="4">
        <f>(H1208*(I1208-1))</f>
        <v>37700</v>
      </c>
      <c r="V1208" s="0" t="str">
        <f>INDEX('Account executives'!$B$2:$B$25,MATCH(C1208,'Account executives'!$A$2:$A$25,0))</f>
        <v>emea</v>
      </c>
      <c r="W1208" s="0" t="str">
        <f>INDEX('Account executives'!$C$2:$C$25,MATCH(C1208,'Account executives'!$A$2:$A$25,0))</f>
        <v>mid_market</v>
      </c>
      <c r="X1208" s="0" t="str">
        <f>SUBSTITUTE(LOWER(INDEX('Periods'!$G$2:$G$22,MATCH(N1208,'Periods'!$A$2:$A$22,0)))," ","_")</f>
        <v>q3_2025</v>
      </c>
    </row>
    <row r="1209">
      <c r="A1209" s="0" t="inlineStr">
        <is>
          <t xml:space="preserve">o1208</t>
        </is>
      </c>
      <c r="B1209" s="0" t="inlineStr">
        <is>
          <t xml:space="preserve">a0805</t>
        </is>
      </c>
      <c r="C1209" s="0" t="inlineStr">
        <is>
          <t xml:space="preserve">r24</t>
        </is>
      </c>
      <c r="D1209" s="0" t="inlineStr">
        <is>
          <t xml:space="preserve">s_apac_out</t>
        </is>
      </c>
      <c r="E1209" s="0" t="inlineStr">
        <is>
          <t xml:space="preserve">outbound</t>
        </is>
      </c>
      <c r="F1209" s="0" t="inlineStr">
        <is>
          <t xml:space="preserve">closed_lost</t>
        </is>
      </c>
      <c r="G1209" s="4">
        <v>1</v>
      </c>
      <c r="H1209" s="4">
        <v>9000</v>
      </c>
      <c r="I1209" s="4">
        <v>1</v>
      </c>
      <c r="J1209" s="4">
        <v>0</v>
      </c>
      <c r="K1209" s="16">
        <v>46102</v>
      </c>
      <c r="L1209" s="16">
        <v>46118</v>
      </c>
      <c r="M1209" s="0" t="inlineStr">
        <is>
          <t xml:space="preserve">mar26</t>
        </is>
      </c>
      <c r="N1209" s="0" t="inlineStr">
        <is>
          <t xml:space="preserve">apr26</t>
        </is>
      </c>
      <c r="O1209" s="4">
        <v>16</v>
      </c>
      <c r="P1209" s="4">
        <v>0</v>
      </c>
      <c r="Q1209" s="4">
        <v>1</v>
      </c>
      <c r="R1209" s="4">
        <v>0</v>
      </c>
      <c r="S1209" s="4">
        <f>(H1209*INDEX('Stages'!$D$2:$D$7,MATCH(F1209,'Stages'!$A$2:$A$7,0)))</f>
        <v>0</v>
      </c>
      <c r="T1209" s="4">
        <f>(H1209*I1209)</f>
        <v>9000</v>
      </c>
      <c r="U1209" s="4">
        <f>(H1209*(I1209-1))</f>
        <v>0</v>
      </c>
      <c r="V1209" s="0" t="str">
        <f>INDEX('Account executives'!$B$2:$B$25,MATCH(C1209,'Account executives'!$A$2:$A$25,0))</f>
        <v>apac</v>
      </c>
      <c r="W1209" s="0" t="str">
        <f>INDEX('Account executives'!$C$2:$C$25,MATCH(C1209,'Account executives'!$A$2:$A$25,0))</f>
        <v>smb</v>
      </c>
      <c r="X1209" s="0" t="str">
        <f>SUBSTITUTE(LOWER(INDEX('Periods'!$G$2:$G$22,MATCH(N1209,'Periods'!$A$2:$A$22,0)))," ","_")</f>
        <v>q2_2026</v>
      </c>
    </row>
    <row r="1210">
      <c r="A1210" s="0" t="inlineStr">
        <is>
          <t xml:space="preserve">o1209</t>
        </is>
      </c>
      <c r="B1210" s="0" t="inlineStr">
        <is>
          <t xml:space="preserve">a1204</t>
        </is>
      </c>
      <c r="C1210" s="0" t="inlineStr">
        <is>
          <t xml:space="preserve">r24</t>
        </is>
      </c>
      <c r="D1210" s="0" t="inlineStr">
        <is>
          <t xml:space="preserve">s_apac_out</t>
        </is>
      </c>
      <c r="E1210" s="0" t="inlineStr">
        <is>
          <t xml:space="preserve">outbound</t>
        </is>
      </c>
      <c r="F1210" s="0" t="inlineStr">
        <is>
          <t xml:space="preserve">evaluation</t>
        </is>
      </c>
      <c r="G1210" s="4">
        <v>1</v>
      </c>
      <c r="H1210" s="4">
        <v>7300</v>
      </c>
      <c r="I1210" s="4">
        <v>1</v>
      </c>
      <c r="J1210" s="4">
        <v>0</v>
      </c>
      <c r="K1210" s="16">
        <v>46260</v>
      </c>
      <c r="L1210" s="16">
        <v>46293</v>
      </c>
      <c r="M1210" s="0" t="inlineStr">
        <is>
          <t xml:space="preserve">aug26</t>
        </is>
      </c>
      <c r="N1210" s="0" t="inlineStr">
        <is>
          <t xml:space="preserve">sep26</t>
        </is>
      </c>
      <c r="O1210" s="4">
        <v>42</v>
      </c>
      <c r="P1210" s="4">
        <v>0</v>
      </c>
      <c r="Q1210" s="4">
        <v>0</v>
      </c>
      <c r="R1210" s="4">
        <v>1</v>
      </c>
      <c r="S1210" s="4">
        <f>(H1210*INDEX('Stages'!$D$2:$D$7,MATCH(F1210,'Stages'!$A$2:$A$7,0)))</f>
        <v>1825</v>
      </c>
      <c r="T1210" s="4">
        <f>(H1210*I1210)</f>
        <v>7300</v>
      </c>
      <c r="U1210" s="4">
        <f>(H1210*(I1210-1))</f>
        <v>0</v>
      </c>
      <c r="V1210" s="0" t="str">
        <f>INDEX('Account executives'!$B$2:$B$25,MATCH(C1210,'Account executives'!$A$2:$A$25,0))</f>
        <v>apac</v>
      </c>
      <c r="W1210" s="0" t="str">
        <f>INDEX('Account executives'!$C$2:$C$25,MATCH(C1210,'Account executives'!$A$2:$A$25,0))</f>
        <v>smb</v>
      </c>
      <c r="X1210" s="0" t="str">
        <f>SUBSTITUTE(LOWER(INDEX('Periods'!$G$2:$G$22,MATCH(N1210,'Periods'!$A$2:$A$22,0)))," ","_")</f>
        <v>q3_2026</v>
      </c>
    </row>
    <row r="1211">
      <c r="A1211" s="0" t="inlineStr">
        <is>
          <t xml:space="preserve">o1210</t>
        </is>
      </c>
      <c r="B1211" s="0" t="inlineStr">
        <is>
          <t xml:space="preserve">a0344</t>
        </is>
      </c>
      <c r="C1211" s="0" t="inlineStr">
        <is>
          <t xml:space="preserve">r18</t>
        </is>
      </c>
      <c r="D1211" s="0" t="inlineStr">
        <is>
          <t xml:space="preserve">s_emea_in</t>
        </is>
      </c>
      <c r="E1211" s="0" t="inlineStr">
        <is>
          <t xml:space="preserve">inbound</t>
        </is>
      </c>
      <c r="F1211" s="0" t="inlineStr">
        <is>
          <t xml:space="preserve">closed_lost</t>
        </is>
      </c>
      <c r="G1211" s="4">
        <v>0</v>
      </c>
      <c r="H1211" s="4">
        <v>9600</v>
      </c>
      <c r="I1211" s="4">
        <v>1</v>
      </c>
      <c r="J1211" s="4">
        <v>1</v>
      </c>
      <c r="K1211" s="16">
        <v>46154</v>
      </c>
      <c r="L1211" s="16">
        <v>46190</v>
      </c>
      <c r="M1211" s="0" t="inlineStr">
        <is>
          <t xml:space="preserve">may26</t>
        </is>
      </c>
      <c r="N1211" s="0" t="inlineStr">
        <is>
          <t xml:space="preserve">jun26</t>
        </is>
      </c>
      <c r="O1211" s="4">
        <v>36</v>
      </c>
      <c r="P1211" s="4">
        <v>0</v>
      </c>
      <c r="Q1211" s="4">
        <v>1</v>
      </c>
      <c r="R1211" s="4">
        <v>0</v>
      </c>
      <c r="S1211" s="4">
        <f>(H1211*INDEX('Stages'!$D$2:$D$7,MATCH(F1211,'Stages'!$A$2:$A$7,0)))</f>
        <v>0</v>
      </c>
      <c r="T1211" s="4">
        <f>(H1211*I1211)</f>
        <v>9600</v>
      </c>
      <c r="U1211" s="4">
        <f>(H1211*(I1211-1))</f>
        <v>0</v>
      </c>
      <c r="V1211" s="0" t="str">
        <f>INDEX('Account executives'!$B$2:$B$25,MATCH(C1211,'Account executives'!$A$2:$A$25,0))</f>
        <v>emea</v>
      </c>
      <c r="W1211" s="0" t="str">
        <f>INDEX('Account executives'!$C$2:$C$25,MATCH(C1211,'Account executives'!$A$2:$A$25,0))</f>
        <v>smb</v>
      </c>
      <c r="X1211" s="0" t="str">
        <f>SUBSTITUTE(LOWER(INDEX('Periods'!$G$2:$G$22,MATCH(N1211,'Periods'!$A$2:$A$22,0)))," ","_")</f>
        <v>q2_2026</v>
      </c>
    </row>
    <row r="1212">
      <c r="A1212" s="0" t="inlineStr">
        <is>
          <t xml:space="preserve">o1211</t>
        </is>
      </c>
      <c r="B1212" s="0" t="inlineStr">
        <is>
          <t xml:space="preserve">a1227</t>
        </is>
      </c>
      <c r="C1212" s="0" t="inlineStr">
        <is>
          <t xml:space="preserve">r06</t>
        </is>
      </c>
      <c r="D1212" s="0"/>
      <c r="E1212" s="0" t="inlineStr">
        <is>
          <t xml:space="preserve">partner</t>
        </is>
      </c>
      <c r="F1212" s="0" t="inlineStr">
        <is>
          <t xml:space="preserve">discovery</t>
        </is>
      </c>
      <c r="G1212" s="4">
        <v>1</v>
      </c>
      <c r="H1212" s="4">
        <v>5300</v>
      </c>
      <c r="I1212" s="4">
        <v>1</v>
      </c>
      <c r="J1212" s="4">
        <v>1</v>
      </c>
      <c r="K1212" s="16">
        <v>46278</v>
      </c>
      <c r="L1212" s="16">
        <v>46308</v>
      </c>
      <c r="M1212" s="0" t="inlineStr">
        <is>
          <t xml:space="preserve">sep26</t>
        </is>
      </c>
      <c r="N1212" s="0" t="inlineStr">
        <is>
          <t xml:space="preserve">oct26</t>
        </is>
      </c>
      <c r="O1212" s="4">
        <v>45</v>
      </c>
      <c r="P1212" s="4">
        <v>0</v>
      </c>
      <c r="Q1212" s="4">
        <v>0</v>
      </c>
      <c r="R1212" s="4">
        <v>1</v>
      </c>
      <c r="S1212" s="4">
        <f>(H1212*INDEX('Stages'!$D$2:$D$7,MATCH(F1212,'Stages'!$A$2:$A$7,0)))</f>
        <v>530</v>
      </c>
      <c r="T1212" s="4">
        <f>(H1212*I1212)</f>
        <v>5300</v>
      </c>
      <c r="U1212" s="4">
        <f>(H1212*(I1212-1))</f>
        <v>0</v>
      </c>
      <c r="V1212" s="0" t="str">
        <f>INDEX('Account executives'!$B$2:$B$25,MATCH(C1212,'Account executives'!$A$2:$A$25,0))</f>
        <v>amer_east</v>
      </c>
      <c r="W1212" s="0" t="str">
        <f>INDEX('Account executives'!$C$2:$C$25,MATCH(C1212,'Account executives'!$A$2:$A$25,0))</f>
        <v>smb</v>
      </c>
      <c r="X1212" s="0" t="str">
        <f>SUBSTITUTE(LOWER(INDEX('Periods'!$G$2:$G$22,MATCH(N1212,'Periods'!$A$2:$A$22,0)))," ","_")</f>
        <v>q4_2026</v>
      </c>
    </row>
    <row r="1213">
      <c r="A1213" s="0" t="inlineStr">
        <is>
          <t xml:space="preserve">o1212</t>
        </is>
      </c>
      <c r="B1213" s="0" t="inlineStr">
        <is>
          <t xml:space="preserve">a0991</t>
        </is>
      </c>
      <c r="C1213" s="0" t="inlineStr">
        <is>
          <t xml:space="preserve">r07</t>
        </is>
      </c>
      <c r="D1213" s="0" t="inlineStr">
        <is>
          <t xml:space="preserve">s_amer_west_in</t>
        </is>
      </c>
      <c r="E1213" s="0" t="inlineStr">
        <is>
          <t xml:space="preserve">paid</t>
        </is>
      </c>
      <c r="F1213" s="0" t="inlineStr">
        <is>
          <t xml:space="preserve">closed_won</t>
        </is>
      </c>
      <c r="G1213" s="4">
        <v>1</v>
      </c>
      <c r="H1213" s="4">
        <v>287300</v>
      </c>
      <c r="I1213" s="4">
        <v>3</v>
      </c>
      <c r="J1213" s="4">
        <v>0</v>
      </c>
      <c r="K1213" s="16">
        <v>46190</v>
      </c>
      <c r="L1213" s="16">
        <v>46266</v>
      </c>
      <c r="M1213" s="0" t="inlineStr">
        <is>
          <t xml:space="preserve">jun26</t>
        </is>
      </c>
      <c r="N1213" s="0" t="inlineStr">
        <is>
          <t xml:space="preserve">sep26</t>
        </is>
      </c>
      <c r="O1213" s="4">
        <v>76</v>
      </c>
      <c r="P1213" s="4">
        <v>1</v>
      </c>
      <c r="Q1213" s="4">
        <v>0</v>
      </c>
      <c r="R1213" s="4">
        <v>0</v>
      </c>
      <c r="S1213" s="4">
        <f>(H1213*INDEX('Stages'!$D$2:$D$7,MATCH(F1213,'Stages'!$A$2:$A$7,0)))</f>
        <v>287300</v>
      </c>
      <c r="T1213" s="4">
        <f>(H1213*I1213)</f>
        <v>861900</v>
      </c>
      <c r="U1213" s="4">
        <f>(H1213*(I1213-1))</f>
        <v>574600</v>
      </c>
      <c r="V1213" s="0" t="str">
        <f>INDEX('Account executives'!$B$2:$B$25,MATCH(C1213,'Account executives'!$A$2:$A$25,0))</f>
        <v>amer_west</v>
      </c>
      <c r="W1213" s="0" t="str">
        <f>INDEX('Account executives'!$C$2:$C$25,MATCH(C1213,'Account executives'!$A$2:$A$25,0))</f>
        <v>enterprise</v>
      </c>
      <c r="X1213" s="0" t="str">
        <f>SUBSTITUTE(LOWER(INDEX('Periods'!$G$2:$G$22,MATCH(N1213,'Periods'!$A$2:$A$22,0)))," ","_")</f>
        <v>q3_2026</v>
      </c>
    </row>
    <row r="1214">
      <c r="A1214" s="0" t="inlineStr">
        <is>
          <t xml:space="preserve">o1213</t>
        </is>
      </c>
      <c r="B1214" s="0" t="inlineStr">
        <is>
          <t xml:space="preserve">a0373</t>
        </is>
      </c>
      <c r="C1214" s="0" t="inlineStr">
        <is>
          <t xml:space="preserve">r11</t>
        </is>
      </c>
      <c r="D1214" s="0"/>
      <c r="E1214" s="0" t="inlineStr">
        <is>
          <t xml:space="preserve">referral</t>
        </is>
      </c>
      <c r="F1214" s="0" t="inlineStr">
        <is>
          <t xml:space="preserve">closed_won</t>
        </is>
      </c>
      <c r="G1214" s="4">
        <v>0</v>
      </c>
      <c r="H1214" s="4">
        <v>8500</v>
      </c>
      <c r="I1214" s="4">
        <v>1</v>
      </c>
      <c r="J1214" s="4">
        <v>0</v>
      </c>
      <c r="K1214" s="16">
        <v>46064</v>
      </c>
      <c r="L1214" s="16">
        <v>46095</v>
      </c>
      <c r="M1214" s="0" t="inlineStr">
        <is>
          <t xml:space="preserve">feb26</t>
        </is>
      </c>
      <c r="N1214" s="0" t="inlineStr">
        <is>
          <t xml:space="preserve">mar26</t>
        </is>
      </c>
      <c r="O1214" s="4">
        <v>31</v>
      </c>
      <c r="P1214" s="4">
        <v>1</v>
      </c>
      <c r="Q1214" s="4">
        <v>0</v>
      </c>
      <c r="R1214" s="4">
        <v>0</v>
      </c>
      <c r="S1214" s="4">
        <f>(H1214*INDEX('Stages'!$D$2:$D$7,MATCH(F1214,'Stages'!$A$2:$A$7,0)))</f>
        <v>8500</v>
      </c>
      <c r="T1214" s="4">
        <f>(H1214*I1214)</f>
        <v>8500</v>
      </c>
      <c r="U1214" s="4">
        <f>(H1214*(I1214-1))</f>
        <v>0</v>
      </c>
      <c r="V1214" s="0" t="str">
        <f>INDEX('Account executives'!$B$2:$B$25,MATCH(C1214,'Account executives'!$A$2:$A$25,0))</f>
        <v>amer_west</v>
      </c>
      <c r="W1214" s="0" t="str">
        <f>INDEX('Account executives'!$C$2:$C$25,MATCH(C1214,'Account executives'!$A$2:$A$25,0))</f>
        <v>smb</v>
      </c>
      <c r="X1214" s="0" t="str">
        <f>SUBSTITUTE(LOWER(INDEX('Periods'!$G$2:$G$22,MATCH(N1214,'Periods'!$A$2:$A$22,0)))," ","_")</f>
        <v>q1_2026</v>
      </c>
    </row>
    <row r="1215">
      <c r="A1215" s="0" t="inlineStr">
        <is>
          <t xml:space="preserve">o1214</t>
        </is>
      </c>
      <c r="B1215" s="0" t="inlineStr">
        <is>
          <t xml:space="preserve">a0602</t>
        </is>
      </c>
      <c r="C1215" s="0" t="inlineStr">
        <is>
          <t xml:space="preserve">r21</t>
        </is>
      </c>
      <c r="D1215" s="0" t="inlineStr">
        <is>
          <t xml:space="preserve">s_apac_in</t>
        </is>
      </c>
      <c r="E1215" s="0" t="inlineStr">
        <is>
          <t xml:space="preserve">inbound</t>
        </is>
      </c>
      <c r="F1215" s="0" t="inlineStr">
        <is>
          <t xml:space="preserve">closed_lost</t>
        </is>
      </c>
      <c r="G1215" s="4">
        <v>0</v>
      </c>
      <c r="H1215" s="4">
        <v>11100</v>
      </c>
      <c r="I1215" s="4">
        <v>1</v>
      </c>
      <c r="J1215" s="4">
        <v>0</v>
      </c>
      <c r="K1215" s="16">
        <v>46077</v>
      </c>
      <c r="L1215" s="16">
        <v>46116</v>
      </c>
      <c r="M1215" s="0" t="inlineStr">
        <is>
          <t xml:space="preserve">feb26</t>
        </is>
      </c>
      <c r="N1215" s="0" t="inlineStr">
        <is>
          <t xml:space="preserve">apr26</t>
        </is>
      </c>
      <c r="O1215" s="4">
        <v>39</v>
      </c>
      <c r="P1215" s="4">
        <v>0</v>
      </c>
      <c r="Q1215" s="4">
        <v>1</v>
      </c>
      <c r="R1215" s="4">
        <v>0</v>
      </c>
      <c r="S1215" s="4">
        <f>(H1215*INDEX('Stages'!$D$2:$D$7,MATCH(F1215,'Stages'!$A$2:$A$7,0)))</f>
        <v>0</v>
      </c>
      <c r="T1215" s="4">
        <f>(H1215*I1215)</f>
        <v>11100</v>
      </c>
      <c r="U1215" s="4">
        <f>(H1215*(I1215-1))</f>
        <v>0</v>
      </c>
      <c r="V1215" s="0" t="str">
        <f>INDEX('Account executives'!$B$2:$B$25,MATCH(C1215,'Account executives'!$A$2:$A$25,0))</f>
        <v>apac</v>
      </c>
      <c r="W1215" s="0" t="str">
        <f>INDEX('Account executives'!$C$2:$C$25,MATCH(C1215,'Account executives'!$A$2:$A$25,0))</f>
        <v>mid_market</v>
      </c>
      <c r="X1215" s="0" t="str">
        <f>SUBSTITUTE(LOWER(INDEX('Periods'!$G$2:$G$22,MATCH(N1215,'Periods'!$A$2:$A$22,0)))," ","_")</f>
        <v>q2_2026</v>
      </c>
    </row>
    <row r="1216">
      <c r="A1216" s="0" t="inlineStr">
        <is>
          <t xml:space="preserve">o1215</t>
        </is>
      </c>
      <c r="B1216" s="0" t="inlineStr">
        <is>
          <t xml:space="preserve">a0678</t>
        </is>
      </c>
      <c r="C1216" s="0" t="inlineStr">
        <is>
          <t xml:space="preserve">r09</t>
        </is>
      </c>
      <c r="D1216" s="0" t="inlineStr">
        <is>
          <t xml:space="preserve">s_amer_west_in</t>
        </is>
      </c>
      <c r="E1216" s="0" t="inlineStr">
        <is>
          <t xml:space="preserve">inbound</t>
        </is>
      </c>
      <c r="F1216" s="0" t="inlineStr">
        <is>
          <t xml:space="preserve">closed_won</t>
        </is>
      </c>
      <c r="G1216" s="4">
        <v>1</v>
      </c>
      <c r="H1216" s="4">
        <v>32100</v>
      </c>
      <c r="I1216" s="4">
        <v>1</v>
      </c>
      <c r="J1216" s="4">
        <v>0</v>
      </c>
      <c r="K1216" s="16">
        <v>46076</v>
      </c>
      <c r="L1216" s="16">
        <v>46137</v>
      </c>
      <c r="M1216" s="0" t="inlineStr">
        <is>
          <t xml:space="preserve">feb26</t>
        </is>
      </c>
      <c r="N1216" s="0" t="inlineStr">
        <is>
          <t xml:space="preserve">apr26</t>
        </is>
      </c>
      <c r="O1216" s="4">
        <v>61</v>
      </c>
      <c r="P1216" s="4">
        <v>1</v>
      </c>
      <c r="Q1216" s="4">
        <v>0</v>
      </c>
      <c r="R1216" s="4">
        <v>0</v>
      </c>
      <c r="S1216" s="4">
        <f>(H1216*INDEX('Stages'!$D$2:$D$7,MATCH(F1216,'Stages'!$A$2:$A$7,0)))</f>
        <v>32100</v>
      </c>
      <c r="T1216" s="4">
        <f>(H1216*I1216)</f>
        <v>32100</v>
      </c>
      <c r="U1216" s="4">
        <f>(H1216*(I1216-1))</f>
        <v>0</v>
      </c>
      <c r="V1216" s="0" t="str">
        <f>INDEX('Account executives'!$B$2:$B$25,MATCH(C1216,'Account executives'!$A$2:$A$25,0))</f>
        <v>amer_west</v>
      </c>
      <c r="W1216" s="0" t="str">
        <f>INDEX('Account executives'!$C$2:$C$25,MATCH(C1216,'Account executives'!$A$2:$A$25,0))</f>
        <v>mid_market</v>
      </c>
      <c r="X1216" s="0" t="str">
        <f>SUBSTITUTE(LOWER(INDEX('Periods'!$G$2:$G$22,MATCH(N1216,'Periods'!$A$2:$A$22,0)))," ","_")</f>
        <v>q2_2026</v>
      </c>
    </row>
    <row r="1217">
      <c r="A1217" s="0" t="inlineStr">
        <is>
          <t xml:space="preserve">o1216</t>
        </is>
      </c>
      <c r="B1217" s="0" t="inlineStr">
        <is>
          <t xml:space="preserve">a0623</t>
        </is>
      </c>
      <c r="C1217" s="0" t="inlineStr">
        <is>
          <t xml:space="preserve">r12</t>
        </is>
      </c>
      <c r="D1217" s="0" t="inlineStr">
        <is>
          <t xml:space="preserve">s_amer_west_in</t>
        </is>
      </c>
      <c r="E1217" s="0" t="inlineStr">
        <is>
          <t xml:space="preserve">inbound</t>
        </is>
      </c>
      <c r="F1217" s="0" t="inlineStr">
        <is>
          <t xml:space="preserve">closed_won</t>
        </is>
      </c>
      <c r="G1217" s="4">
        <v>1</v>
      </c>
      <c r="H1217" s="4">
        <v>14900</v>
      </c>
      <c r="I1217" s="4">
        <v>1</v>
      </c>
      <c r="J1217" s="4">
        <v>0</v>
      </c>
      <c r="K1217" s="16">
        <v>46048</v>
      </c>
      <c r="L1217" s="16">
        <v>46086</v>
      </c>
      <c r="M1217" s="0" t="inlineStr">
        <is>
          <t xml:space="preserve">jan26</t>
        </is>
      </c>
      <c r="N1217" s="0" t="inlineStr">
        <is>
          <t xml:space="preserve">mar26</t>
        </is>
      </c>
      <c r="O1217" s="4">
        <v>38</v>
      </c>
      <c r="P1217" s="4">
        <v>1</v>
      </c>
      <c r="Q1217" s="4">
        <v>0</v>
      </c>
      <c r="R1217" s="4">
        <v>0</v>
      </c>
      <c r="S1217" s="4">
        <f>(H1217*INDEX('Stages'!$D$2:$D$7,MATCH(F1217,'Stages'!$A$2:$A$7,0)))</f>
        <v>14900</v>
      </c>
      <c r="T1217" s="4">
        <f>(H1217*I1217)</f>
        <v>14900</v>
      </c>
      <c r="U1217" s="4">
        <f>(H1217*(I1217-1))</f>
        <v>0</v>
      </c>
      <c r="V1217" s="0" t="str">
        <f>INDEX('Account executives'!$B$2:$B$25,MATCH(C1217,'Account executives'!$A$2:$A$25,0))</f>
        <v>amer_west</v>
      </c>
      <c r="W1217" s="0" t="str">
        <f>INDEX('Account executives'!$C$2:$C$25,MATCH(C1217,'Account executives'!$A$2:$A$25,0))</f>
        <v>smb</v>
      </c>
      <c r="X1217" s="0" t="str">
        <f>SUBSTITUTE(LOWER(INDEX('Periods'!$G$2:$G$22,MATCH(N1217,'Periods'!$A$2:$A$22,0)))," ","_")</f>
        <v>q1_2026</v>
      </c>
    </row>
    <row r="1218">
      <c r="A1218" s="0" t="inlineStr">
        <is>
          <t xml:space="preserve">o1217</t>
        </is>
      </c>
      <c r="B1218" s="0" t="inlineStr">
        <is>
          <t xml:space="preserve">a0422</t>
        </is>
      </c>
      <c r="C1218" s="0" t="inlineStr">
        <is>
          <t xml:space="preserve">r03</t>
        </is>
      </c>
      <c r="D1218" s="0" t="inlineStr">
        <is>
          <t xml:space="preserve">s_amer_east_in</t>
        </is>
      </c>
      <c r="E1218" s="0" t="inlineStr">
        <is>
          <t xml:space="preserve">inbound</t>
        </is>
      </c>
      <c r="F1218" s="0" t="inlineStr">
        <is>
          <t xml:space="preserve">proposal</t>
        </is>
      </c>
      <c r="G1218" s="4">
        <v>0</v>
      </c>
      <c r="H1218" s="4">
        <v>20200</v>
      </c>
      <c r="I1218" s="4">
        <v>2</v>
      </c>
      <c r="J1218" s="4">
        <v>0</v>
      </c>
      <c r="K1218" s="16">
        <v>46224</v>
      </c>
      <c r="L1218" s="16">
        <v>46371</v>
      </c>
      <c r="M1218" s="0" t="inlineStr">
        <is>
          <t xml:space="preserve">jul26</t>
        </is>
      </c>
      <c r="N1218" s="0" t="inlineStr">
        <is>
          <t xml:space="preserve">dec26</t>
        </is>
      </c>
      <c r="O1218" s="4">
        <v>66</v>
      </c>
      <c r="P1218" s="4">
        <v>0</v>
      </c>
      <c r="Q1218" s="4">
        <v>0</v>
      </c>
      <c r="R1218" s="4">
        <v>1</v>
      </c>
      <c r="S1218" s="4">
        <f>(H1218*INDEX('Stages'!$D$2:$D$7,MATCH(F1218,'Stages'!$A$2:$A$7,0)))</f>
        <v>10100</v>
      </c>
      <c r="T1218" s="4">
        <f>(H1218*I1218)</f>
        <v>40400</v>
      </c>
      <c r="U1218" s="4">
        <f>(H1218*(I1218-1))</f>
        <v>20200</v>
      </c>
      <c r="V1218" s="0" t="str">
        <f>INDEX('Account executives'!$B$2:$B$25,MATCH(C1218,'Account executives'!$A$2:$A$25,0))</f>
        <v>amer_east</v>
      </c>
      <c r="W1218" s="0" t="str">
        <f>INDEX('Account executives'!$C$2:$C$25,MATCH(C1218,'Account executives'!$A$2:$A$25,0))</f>
        <v>mid_market</v>
      </c>
      <c r="X1218" s="0" t="str">
        <f>SUBSTITUTE(LOWER(INDEX('Periods'!$G$2:$G$22,MATCH(N1218,'Periods'!$A$2:$A$22,0)))," ","_")</f>
        <v>q4_2026</v>
      </c>
    </row>
    <row r="1219">
      <c r="A1219" s="0" t="inlineStr">
        <is>
          <t xml:space="preserve">o1218</t>
        </is>
      </c>
      <c r="B1219" s="0" t="inlineStr">
        <is>
          <t xml:space="preserve">a1260</t>
        </is>
      </c>
      <c r="C1219" s="0" t="inlineStr">
        <is>
          <t xml:space="preserve">r19</t>
        </is>
      </c>
      <c r="D1219" s="0" t="inlineStr">
        <is>
          <t xml:space="preserve">s_apac_in</t>
        </is>
      </c>
      <c r="E1219" s="0" t="inlineStr">
        <is>
          <t xml:space="preserve">paid</t>
        </is>
      </c>
      <c r="F1219" s="0" t="inlineStr">
        <is>
          <t xml:space="preserve">discovery</t>
        </is>
      </c>
      <c r="G1219" s="4">
        <v>1</v>
      </c>
      <c r="H1219" s="4">
        <v>105800</v>
      </c>
      <c r="I1219" s="4">
        <v>2</v>
      </c>
      <c r="J1219" s="4">
        <v>0</v>
      </c>
      <c r="K1219" s="16">
        <v>46280</v>
      </c>
      <c r="L1219" s="16">
        <v>46356</v>
      </c>
      <c r="M1219" s="0" t="inlineStr">
        <is>
          <t xml:space="preserve">sep26</t>
        </is>
      </c>
      <c r="N1219" s="0" t="inlineStr">
        <is>
          <t xml:space="preserve">nov26</t>
        </is>
      </c>
      <c r="O1219" s="4">
        <v>100</v>
      </c>
      <c r="P1219" s="4">
        <v>0</v>
      </c>
      <c r="Q1219" s="4">
        <v>0</v>
      </c>
      <c r="R1219" s="4">
        <v>1</v>
      </c>
      <c r="S1219" s="4">
        <f>(H1219*INDEX('Stages'!$D$2:$D$7,MATCH(F1219,'Stages'!$A$2:$A$7,0)))</f>
        <v>10580</v>
      </c>
      <c r="T1219" s="4">
        <f>(H1219*I1219)</f>
        <v>211600</v>
      </c>
      <c r="U1219" s="4">
        <f>(H1219*(I1219-1))</f>
        <v>105800</v>
      </c>
      <c r="V1219" s="0" t="str">
        <f>INDEX('Account executives'!$B$2:$B$25,MATCH(C1219,'Account executives'!$A$2:$A$25,0))</f>
        <v>apac</v>
      </c>
      <c r="W1219" s="0" t="str">
        <f>INDEX('Account executives'!$C$2:$C$25,MATCH(C1219,'Account executives'!$A$2:$A$25,0))</f>
        <v>enterprise</v>
      </c>
      <c r="X1219" s="0" t="str">
        <f>SUBSTITUTE(LOWER(INDEX('Periods'!$G$2:$G$22,MATCH(N1219,'Periods'!$A$2:$A$22,0)))," ","_")</f>
        <v>q4_2026</v>
      </c>
    </row>
    <row r="1220">
      <c r="A1220" s="0" t="inlineStr">
        <is>
          <t xml:space="preserve">o1219</t>
        </is>
      </c>
      <c r="B1220" s="0" t="inlineStr">
        <is>
          <t xml:space="preserve">a0511</t>
        </is>
      </c>
      <c r="C1220" s="0" t="inlineStr">
        <is>
          <t xml:space="preserve">r17</t>
        </is>
      </c>
      <c r="D1220" s="0" t="inlineStr">
        <is>
          <t xml:space="preserve">s_emea_in</t>
        </is>
      </c>
      <c r="E1220" s="0" t="inlineStr">
        <is>
          <t xml:space="preserve">inbound</t>
        </is>
      </c>
      <c r="F1220" s="0" t="inlineStr">
        <is>
          <t xml:space="preserve">closed_won</t>
        </is>
      </c>
      <c r="G1220" s="4">
        <v>0</v>
      </c>
      <c r="H1220" s="4">
        <v>6000</v>
      </c>
      <c r="I1220" s="4">
        <v>1</v>
      </c>
      <c r="J1220" s="4">
        <v>1</v>
      </c>
      <c r="K1220" s="16">
        <v>46002</v>
      </c>
      <c r="L1220" s="16">
        <v>46034</v>
      </c>
      <c r="M1220" s="0" t="inlineStr">
        <is>
          <t xml:space="preserve">dec25</t>
        </is>
      </c>
      <c r="N1220" s="0" t="inlineStr">
        <is>
          <t xml:space="preserve">jan26</t>
        </is>
      </c>
      <c r="O1220" s="4">
        <v>32</v>
      </c>
      <c r="P1220" s="4">
        <v>1</v>
      </c>
      <c r="Q1220" s="4">
        <v>0</v>
      </c>
      <c r="R1220" s="4">
        <v>0</v>
      </c>
      <c r="S1220" s="4">
        <f>(H1220*INDEX('Stages'!$D$2:$D$7,MATCH(F1220,'Stages'!$A$2:$A$7,0)))</f>
        <v>6000</v>
      </c>
      <c r="T1220" s="4">
        <f>(H1220*I1220)</f>
        <v>6000</v>
      </c>
      <c r="U1220" s="4">
        <f>(H1220*(I1220-1))</f>
        <v>0</v>
      </c>
      <c r="V1220" s="0" t="str">
        <f>INDEX('Account executives'!$B$2:$B$25,MATCH(C1220,'Account executives'!$A$2:$A$25,0))</f>
        <v>emea</v>
      </c>
      <c r="W1220" s="0" t="str">
        <f>INDEX('Account executives'!$C$2:$C$25,MATCH(C1220,'Account executives'!$A$2:$A$25,0))</f>
        <v>smb</v>
      </c>
      <c r="X1220" s="0" t="str">
        <f>SUBSTITUTE(LOWER(INDEX('Periods'!$G$2:$G$22,MATCH(N1220,'Periods'!$A$2:$A$22,0)))," ","_")</f>
        <v>q1_2026</v>
      </c>
    </row>
    <row r="1221">
      <c r="A1221" s="0" t="inlineStr">
        <is>
          <t xml:space="preserve">o1220</t>
        </is>
      </c>
      <c r="B1221" s="0" t="inlineStr">
        <is>
          <t xml:space="preserve">a0420</t>
        </is>
      </c>
      <c r="C1221" s="0" t="inlineStr">
        <is>
          <t xml:space="preserve">r06</t>
        </is>
      </c>
      <c r="D1221" s="0"/>
      <c r="E1221" s="0" t="inlineStr">
        <is>
          <t xml:space="preserve">partner</t>
        </is>
      </c>
      <c r="F1221" s="0" t="inlineStr">
        <is>
          <t xml:space="preserve">closed_won</t>
        </is>
      </c>
      <c r="G1221" s="4">
        <v>0</v>
      </c>
      <c r="H1221" s="4">
        <v>5200</v>
      </c>
      <c r="I1221" s="4">
        <v>1</v>
      </c>
      <c r="J1221" s="4">
        <v>1</v>
      </c>
      <c r="K1221" s="16">
        <v>46043</v>
      </c>
      <c r="L1221" s="16">
        <v>46085</v>
      </c>
      <c r="M1221" s="0" t="inlineStr">
        <is>
          <t xml:space="preserve">jan26</t>
        </is>
      </c>
      <c r="N1221" s="0" t="inlineStr">
        <is>
          <t xml:space="preserve">mar26</t>
        </is>
      </c>
      <c r="O1221" s="4">
        <v>42</v>
      </c>
      <c r="P1221" s="4">
        <v>1</v>
      </c>
      <c r="Q1221" s="4">
        <v>0</v>
      </c>
      <c r="R1221" s="4">
        <v>0</v>
      </c>
      <c r="S1221" s="4">
        <f>(H1221*INDEX('Stages'!$D$2:$D$7,MATCH(F1221,'Stages'!$A$2:$A$7,0)))</f>
        <v>5200</v>
      </c>
      <c r="T1221" s="4">
        <f>(H1221*I1221)</f>
        <v>5200</v>
      </c>
      <c r="U1221" s="4">
        <f>(H1221*(I1221-1))</f>
        <v>0</v>
      </c>
      <c r="V1221" s="0" t="str">
        <f>INDEX('Account executives'!$B$2:$B$25,MATCH(C1221,'Account executives'!$A$2:$A$25,0))</f>
        <v>amer_east</v>
      </c>
      <c r="W1221" s="0" t="str">
        <f>INDEX('Account executives'!$C$2:$C$25,MATCH(C1221,'Account executives'!$A$2:$A$25,0))</f>
        <v>smb</v>
      </c>
      <c r="X1221" s="0" t="str">
        <f>SUBSTITUTE(LOWER(INDEX('Periods'!$G$2:$G$22,MATCH(N1221,'Periods'!$A$2:$A$22,0)))," ","_")</f>
        <v>q1_2026</v>
      </c>
    </row>
    <row r="1222">
      <c r="A1222" s="0" t="inlineStr">
        <is>
          <t xml:space="preserve">o1221</t>
        </is>
      </c>
      <c r="B1222" s="0" t="inlineStr">
        <is>
          <t xml:space="preserve">a0502</t>
        </is>
      </c>
      <c r="C1222" s="0" t="inlineStr">
        <is>
          <t xml:space="preserve">r09</t>
        </is>
      </c>
      <c r="D1222" s="0"/>
      <c r="E1222" s="0" t="inlineStr">
        <is>
          <t xml:space="preserve">events</t>
        </is>
      </c>
      <c r="F1222" s="0" t="inlineStr">
        <is>
          <t xml:space="preserve">closed_won</t>
        </is>
      </c>
      <c r="G1222" s="4">
        <v>1</v>
      </c>
      <c r="H1222" s="4">
        <v>72000</v>
      </c>
      <c r="I1222" s="4">
        <v>1</v>
      </c>
      <c r="J1222" s="4">
        <v>1</v>
      </c>
      <c r="K1222" s="16">
        <v>45981</v>
      </c>
      <c r="L1222" s="16">
        <v>46071</v>
      </c>
      <c r="M1222" s="0" t="inlineStr">
        <is>
          <t xml:space="preserve">nov25</t>
        </is>
      </c>
      <c r="N1222" s="0" t="inlineStr">
        <is>
          <t xml:space="preserve">feb26</t>
        </is>
      </c>
      <c r="O1222" s="4">
        <v>90</v>
      </c>
      <c r="P1222" s="4">
        <v>1</v>
      </c>
      <c r="Q1222" s="4">
        <v>0</v>
      </c>
      <c r="R1222" s="4">
        <v>0</v>
      </c>
      <c r="S1222" s="4">
        <f>(H1222*INDEX('Stages'!$D$2:$D$7,MATCH(F1222,'Stages'!$A$2:$A$7,0)))</f>
        <v>72000</v>
      </c>
      <c r="T1222" s="4">
        <f>(H1222*I1222)</f>
        <v>72000</v>
      </c>
      <c r="U1222" s="4">
        <f>(H1222*(I1222-1))</f>
        <v>0</v>
      </c>
      <c r="V1222" s="0" t="str">
        <f>INDEX('Account executives'!$B$2:$B$25,MATCH(C1222,'Account executives'!$A$2:$A$25,0))</f>
        <v>amer_west</v>
      </c>
      <c r="W1222" s="0" t="str">
        <f>INDEX('Account executives'!$C$2:$C$25,MATCH(C1222,'Account executives'!$A$2:$A$25,0))</f>
        <v>mid_market</v>
      </c>
      <c r="X1222" s="0" t="str">
        <f>SUBSTITUTE(LOWER(INDEX('Periods'!$G$2:$G$22,MATCH(N1222,'Periods'!$A$2:$A$22,0)))," ","_")</f>
        <v>q1_2026</v>
      </c>
    </row>
    <row r="1223">
      <c r="A1223" s="0" t="inlineStr">
        <is>
          <t xml:space="preserve">o1222</t>
        </is>
      </c>
      <c r="B1223" s="0" t="inlineStr">
        <is>
          <t xml:space="preserve">a0274</t>
        </is>
      </c>
      <c r="C1223" s="0" t="inlineStr">
        <is>
          <t xml:space="preserve">r13</t>
        </is>
      </c>
      <c r="D1223" s="0" t="inlineStr">
        <is>
          <t xml:space="preserve">s_emea_in</t>
        </is>
      </c>
      <c r="E1223" s="0" t="inlineStr">
        <is>
          <t xml:space="preserve">inbound</t>
        </is>
      </c>
      <c r="F1223" s="0" t="inlineStr">
        <is>
          <t xml:space="preserve">closed_won</t>
        </is>
      </c>
      <c r="G1223" s="4">
        <v>1</v>
      </c>
      <c r="H1223" s="4">
        <v>86600</v>
      </c>
      <c r="I1223" s="4">
        <v>3</v>
      </c>
      <c r="J1223" s="4">
        <v>0</v>
      </c>
      <c r="K1223" s="16">
        <v>45844</v>
      </c>
      <c r="L1223" s="16">
        <v>45989</v>
      </c>
      <c r="M1223" s="0" t="inlineStr">
        <is>
          <t xml:space="preserve">jul25</t>
        </is>
      </c>
      <c r="N1223" s="0" t="inlineStr">
        <is>
          <t xml:space="preserve">nov25</t>
        </is>
      </c>
      <c r="O1223" s="4">
        <v>145</v>
      </c>
      <c r="P1223" s="4">
        <v>1</v>
      </c>
      <c r="Q1223" s="4">
        <v>0</v>
      </c>
      <c r="R1223" s="4">
        <v>0</v>
      </c>
      <c r="S1223" s="4">
        <f>(H1223*INDEX('Stages'!$D$2:$D$7,MATCH(F1223,'Stages'!$A$2:$A$7,0)))</f>
        <v>86600</v>
      </c>
      <c r="T1223" s="4">
        <f>(H1223*I1223)</f>
        <v>259800</v>
      </c>
      <c r="U1223" s="4">
        <f>(H1223*(I1223-1))</f>
        <v>173200</v>
      </c>
      <c r="V1223" s="0" t="str">
        <f>INDEX('Account executives'!$B$2:$B$25,MATCH(C1223,'Account executives'!$A$2:$A$25,0))</f>
        <v>emea</v>
      </c>
      <c r="W1223" s="0" t="str">
        <f>INDEX('Account executives'!$C$2:$C$25,MATCH(C1223,'Account executives'!$A$2:$A$25,0))</f>
        <v>enterprise</v>
      </c>
      <c r="X1223" s="0" t="str">
        <f>SUBSTITUTE(LOWER(INDEX('Periods'!$G$2:$G$22,MATCH(N1223,'Periods'!$A$2:$A$22,0)))," ","_")</f>
        <v>q4_2025</v>
      </c>
    </row>
    <row r="1224">
      <c r="A1224" s="0" t="inlineStr">
        <is>
          <t xml:space="preserve">o1223</t>
        </is>
      </c>
      <c r="B1224" s="0" t="inlineStr">
        <is>
          <t xml:space="preserve">a0785</t>
        </is>
      </c>
      <c r="C1224" s="0" t="inlineStr">
        <is>
          <t xml:space="preserve">r17</t>
        </is>
      </c>
      <c r="D1224" s="0"/>
      <c r="E1224" s="0" t="inlineStr">
        <is>
          <t xml:space="preserve">partner</t>
        </is>
      </c>
      <c r="F1224" s="0" t="inlineStr">
        <is>
          <t xml:space="preserve">closed_lost</t>
        </is>
      </c>
      <c r="G1224" s="4">
        <v>1</v>
      </c>
      <c r="H1224" s="4">
        <v>24300</v>
      </c>
      <c r="I1224" s="4">
        <v>1</v>
      </c>
      <c r="J1224" s="4">
        <v>1</v>
      </c>
      <c r="K1224" s="16">
        <v>46101</v>
      </c>
      <c r="L1224" s="16">
        <v>46201</v>
      </c>
      <c r="M1224" s="0" t="inlineStr">
        <is>
          <t xml:space="preserve">mar26</t>
        </is>
      </c>
      <c r="N1224" s="0" t="inlineStr">
        <is>
          <t xml:space="preserve">jun26</t>
        </is>
      </c>
      <c r="O1224" s="4">
        <v>100</v>
      </c>
      <c r="P1224" s="4">
        <v>0</v>
      </c>
      <c r="Q1224" s="4">
        <v>1</v>
      </c>
      <c r="R1224" s="4">
        <v>0</v>
      </c>
      <c r="S1224" s="4">
        <f>(H1224*INDEX('Stages'!$D$2:$D$7,MATCH(F1224,'Stages'!$A$2:$A$7,0)))</f>
        <v>0</v>
      </c>
      <c r="T1224" s="4">
        <f>(H1224*I1224)</f>
        <v>24300</v>
      </c>
      <c r="U1224" s="4">
        <f>(H1224*(I1224-1))</f>
        <v>0</v>
      </c>
      <c r="V1224" s="0" t="str">
        <f>INDEX('Account executives'!$B$2:$B$25,MATCH(C1224,'Account executives'!$A$2:$A$25,0))</f>
        <v>emea</v>
      </c>
      <c r="W1224" s="0" t="str">
        <f>INDEX('Account executives'!$C$2:$C$25,MATCH(C1224,'Account executives'!$A$2:$A$25,0))</f>
        <v>smb</v>
      </c>
      <c r="X1224" s="0" t="str">
        <f>SUBSTITUTE(LOWER(INDEX('Periods'!$G$2:$G$22,MATCH(N1224,'Periods'!$A$2:$A$22,0)))," ","_")</f>
        <v>q2_2026</v>
      </c>
    </row>
    <row r="1225">
      <c r="A1225" s="0" t="inlineStr">
        <is>
          <t xml:space="preserve">o1224</t>
        </is>
      </c>
      <c r="B1225" s="0" t="inlineStr">
        <is>
          <t xml:space="preserve">a0751</t>
        </is>
      </c>
      <c r="C1225" s="0" t="inlineStr">
        <is>
          <t xml:space="preserve">r05</t>
        </is>
      </c>
      <c r="D1225" s="0"/>
      <c r="E1225" s="0" t="inlineStr">
        <is>
          <t xml:space="preserve">referral</t>
        </is>
      </c>
      <c r="F1225" s="0" t="inlineStr">
        <is>
          <t xml:space="preserve">closed_lost</t>
        </is>
      </c>
      <c r="G1225" s="4">
        <v>1</v>
      </c>
      <c r="H1225" s="4">
        <v>14000</v>
      </c>
      <c r="I1225" s="4">
        <v>1</v>
      </c>
      <c r="J1225" s="4">
        <v>0</v>
      </c>
      <c r="K1225" s="16">
        <v>46106</v>
      </c>
      <c r="L1225" s="16">
        <v>46136</v>
      </c>
      <c r="M1225" s="0" t="inlineStr">
        <is>
          <t xml:space="preserve">mar26</t>
        </is>
      </c>
      <c r="N1225" s="0" t="inlineStr">
        <is>
          <t xml:space="preserve">apr26</t>
        </is>
      </c>
      <c r="O1225" s="4">
        <v>30</v>
      </c>
      <c r="P1225" s="4">
        <v>0</v>
      </c>
      <c r="Q1225" s="4">
        <v>1</v>
      </c>
      <c r="R1225" s="4">
        <v>0</v>
      </c>
      <c r="S1225" s="4">
        <f>(H1225*INDEX('Stages'!$D$2:$D$7,MATCH(F1225,'Stages'!$A$2:$A$7,0)))</f>
        <v>0</v>
      </c>
      <c r="T1225" s="4">
        <f>(H1225*I1225)</f>
        <v>14000</v>
      </c>
      <c r="U1225" s="4">
        <f>(H1225*(I1225-1))</f>
        <v>0</v>
      </c>
      <c r="V1225" s="0" t="str">
        <f>INDEX('Account executives'!$B$2:$B$25,MATCH(C1225,'Account executives'!$A$2:$A$25,0))</f>
        <v>amer_east</v>
      </c>
      <c r="W1225" s="0" t="str">
        <f>INDEX('Account executives'!$C$2:$C$25,MATCH(C1225,'Account executives'!$A$2:$A$25,0))</f>
        <v>smb</v>
      </c>
      <c r="X1225" s="0" t="str">
        <f>SUBSTITUTE(LOWER(INDEX('Periods'!$G$2:$G$22,MATCH(N1225,'Periods'!$A$2:$A$22,0)))," ","_")</f>
        <v>q2_2026</v>
      </c>
    </row>
    <row r="1226">
      <c r="A1226" s="0" t="inlineStr">
        <is>
          <t xml:space="preserve">o1225</t>
        </is>
      </c>
      <c r="B1226" s="0" t="inlineStr">
        <is>
          <t xml:space="preserve">a0127</t>
        </is>
      </c>
      <c r="C1226" s="0" t="inlineStr">
        <is>
          <t xml:space="preserve">r17</t>
        </is>
      </c>
      <c r="D1226" s="0"/>
      <c r="E1226" s="0" t="inlineStr">
        <is>
          <t xml:space="preserve">partner</t>
        </is>
      </c>
      <c r="F1226" s="0" t="inlineStr">
        <is>
          <t xml:space="preserve">closed_won</t>
        </is>
      </c>
      <c r="G1226" s="4">
        <v>0</v>
      </c>
      <c r="H1226" s="4">
        <v>6000</v>
      </c>
      <c r="I1226" s="4">
        <v>1</v>
      </c>
      <c r="J1226" s="4">
        <v>0</v>
      </c>
      <c r="K1226" s="16">
        <v>45932</v>
      </c>
      <c r="L1226" s="16">
        <v>46019</v>
      </c>
      <c r="M1226" s="0" t="inlineStr">
        <is>
          <t xml:space="preserve">oct25</t>
        </is>
      </c>
      <c r="N1226" s="0" t="inlineStr">
        <is>
          <t xml:space="preserve">dec25</t>
        </is>
      </c>
      <c r="O1226" s="4">
        <v>87</v>
      </c>
      <c r="P1226" s="4">
        <v>1</v>
      </c>
      <c r="Q1226" s="4">
        <v>0</v>
      </c>
      <c r="R1226" s="4">
        <v>0</v>
      </c>
      <c r="S1226" s="4">
        <f>(H1226*INDEX('Stages'!$D$2:$D$7,MATCH(F1226,'Stages'!$A$2:$A$7,0)))</f>
        <v>6000</v>
      </c>
      <c r="T1226" s="4">
        <f>(H1226*I1226)</f>
        <v>6000</v>
      </c>
      <c r="U1226" s="4">
        <f>(H1226*(I1226-1))</f>
        <v>0</v>
      </c>
      <c r="V1226" s="0" t="str">
        <f>INDEX('Account executives'!$B$2:$B$25,MATCH(C1226,'Account executives'!$A$2:$A$25,0))</f>
        <v>emea</v>
      </c>
      <c r="W1226" s="0" t="str">
        <f>INDEX('Account executives'!$C$2:$C$25,MATCH(C1226,'Account executives'!$A$2:$A$25,0))</f>
        <v>smb</v>
      </c>
      <c r="X1226" s="0" t="str">
        <f>SUBSTITUTE(LOWER(INDEX('Periods'!$G$2:$G$22,MATCH(N1226,'Periods'!$A$2:$A$22,0)))," ","_")</f>
        <v>q4_2025</v>
      </c>
    </row>
    <row r="1227">
      <c r="A1227" s="0" t="inlineStr">
        <is>
          <t xml:space="preserve">o1226</t>
        </is>
      </c>
      <c r="B1227" s="0" t="inlineStr">
        <is>
          <t xml:space="preserve">a0344</t>
        </is>
      </c>
      <c r="C1227" s="0" t="inlineStr">
        <is>
          <t xml:space="preserve">r18</t>
        </is>
      </c>
      <c r="D1227" s="0" t="inlineStr">
        <is>
          <t xml:space="preserve">s_emea_out</t>
        </is>
      </c>
      <c r="E1227" s="0" t="inlineStr">
        <is>
          <t xml:space="preserve">outbound</t>
        </is>
      </c>
      <c r="F1227" s="0" t="inlineStr">
        <is>
          <t xml:space="preserve">closed_won</t>
        </is>
      </c>
      <c r="G1227" s="4">
        <v>0</v>
      </c>
      <c r="H1227" s="4">
        <v>10300</v>
      </c>
      <c r="I1227" s="4">
        <v>1</v>
      </c>
      <c r="J1227" s="4">
        <v>1</v>
      </c>
      <c r="K1227" s="16">
        <v>46028</v>
      </c>
      <c r="L1227" s="16">
        <v>46051</v>
      </c>
      <c r="M1227" s="0" t="inlineStr">
        <is>
          <t xml:space="preserve">jan26</t>
        </is>
      </c>
      <c r="N1227" s="0" t="inlineStr">
        <is>
          <t xml:space="preserve">jan26</t>
        </is>
      </c>
      <c r="O1227" s="4">
        <v>23</v>
      </c>
      <c r="P1227" s="4">
        <v>1</v>
      </c>
      <c r="Q1227" s="4">
        <v>0</v>
      </c>
      <c r="R1227" s="4">
        <v>0</v>
      </c>
      <c r="S1227" s="4">
        <f>(H1227*INDEX('Stages'!$D$2:$D$7,MATCH(F1227,'Stages'!$A$2:$A$7,0)))</f>
        <v>10300</v>
      </c>
      <c r="T1227" s="4">
        <f>(H1227*I1227)</f>
        <v>10300</v>
      </c>
      <c r="U1227" s="4">
        <f>(H1227*(I1227-1))</f>
        <v>0</v>
      </c>
      <c r="V1227" s="0" t="str">
        <f>INDEX('Account executives'!$B$2:$B$25,MATCH(C1227,'Account executives'!$A$2:$A$25,0))</f>
        <v>emea</v>
      </c>
      <c r="W1227" s="0" t="str">
        <f>INDEX('Account executives'!$C$2:$C$25,MATCH(C1227,'Account executives'!$A$2:$A$25,0))</f>
        <v>smb</v>
      </c>
      <c r="X1227" s="0" t="str">
        <f>SUBSTITUTE(LOWER(INDEX('Periods'!$G$2:$G$22,MATCH(N1227,'Periods'!$A$2:$A$22,0)))," ","_")</f>
        <v>q1_2026</v>
      </c>
    </row>
    <row r="1228">
      <c r="A1228" s="0" t="inlineStr">
        <is>
          <t xml:space="preserve">o1227</t>
        </is>
      </c>
      <c r="B1228" s="0" t="inlineStr">
        <is>
          <t xml:space="preserve">a0790</t>
        </is>
      </c>
      <c r="C1228" s="0" t="inlineStr">
        <is>
          <t xml:space="preserve">r24</t>
        </is>
      </c>
      <c r="D1228" s="0" t="inlineStr">
        <is>
          <t xml:space="preserve">s_apac_in</t>
        </is>
      </c>
      <c r="E1228" s="0" t="inlineStr">
        <is>
          <t xml:space="preserve">inbound</t>
        </is>
      </c>
      <c r="F1228" s="0" t="inlineStr">
        <is>
          <t xml:space="preserve">closed_lost</t>
        </is>
      </c>
      <c r="G1228" s="4">
        <v>1</v>
      </c>
      <c r="H1228" s="4">
        <v>4800</v>
      </c>
      <c r="I1228" s="4">
        <v>1</v>
      </c>
      <c r="J1228" s="4">
        <v>0</v>
      </c>
      <c r="K1228" s="16">
        <v>46084</v>
      </c>
      <c r="L1228" s="16">
        <v>46110</v>
      </c>
      <c r="M1228" s="0" t="inlineStr">
        <is>
          <t xml:space="preserve">mar26</t>
        </is>
      </c>
      <c r="N1228" s="0" t="inlineStr">
        <is>
          <t xml:space="preserve">mar26</t>
        </is>
      </c>
      <c r="O1228" s="4">
        <v>26</v>
      </c>
      <c r="P1228" s="4">
        <v>0</v>
      </c>
      <c r="Q1228" s="4">
        <v>1</v>
      </c>
      <c r="R1228" s="4">
        <v>0</v>
      </c>
      <c r="S1228" s="4">
        <f>(H1228*INDEX('Stages'!$D$2:$D$7,MATCH(F1228,'Stages'!$A$2:$A$7,0)))</f>
        <v>0</v>
      </c>
      <c r="T1228" s="4">
        <f>(H1228*I1228)</f>
        <v>4800</v>
      </c>
      <c r="U1228" s="4">
        <f>(H1228*(I1228-1))</f>
        <v>0</v>
      </c>
      <c r="V1228" s="0" t="str">
        <f>INDEX('Account executives'!$B$2:$B$25,MATCH(C1228,'Account executives'!$A$2:$A$25,0))</f>
        <v>apac</v>
      </c>
      <c r="W1228" s="0" t="str">
        <f>INDEX('Account executives'!$C$2:$C$25,MATCH(C1228,'Account executives'!$A$2:$A$25,0))</f>
        <v>smb</v>
      </c>
      <c r="X1228" s="0" t="str">
        <f>SUBSTITUTE(LOWER(INDEX('Periods'!$G$2:$G$22,MATCH(N1228,'Periods'!$A$2:$A$22,0)))," ","_")</f>
        <v>q1_2026</v>
      </c>
    </row>
    <row r="1229">
      <c r="A1229" s="0" t="inlineStr">
        <is>
          <t xml:space="preserve">o1228</t>
        </is>
      </c>
      <c r="B1229" s="0" t="inlineStr">
        <is>
          <t xml:space="preserve">a0494</t>
        </is>
      </c>
      <c r="C1229" s="0" t="inlineStr">
        <is>
          <t xml:space="preserve">r10</t>
        </is>
      </c>
      <c r="D1229" s="0" t="inlineStr">
        <is>
          <t xml:space="preserve">s_amer_west_out</t>
        </is>
      </c>
      <c r="E1229" s="0" t="inlineStr">
        <is>
          <t xml:space="preserve">outbound</t>
        </is>
      </c>
      <c r="F1229" s="0" t="inlineStr">
        <is>
          <t xml:space="preserve">discovery</t>
        </is>
      </c>
      <c r="G1229" s="4">
        <v>0</v>
      </c>
      <c r="H1229" s="4">
        <v>6500</v>
      </c>
      <c r="I1229" s="4">
        <v>1</v>
      </c>
      <c r="J1229" s="4">
        <v>0</v>
      </c>
      <c r="K1229" s="16">
        <v>46250</v>
      </c>
      <c r="L1229" s="16">
        <v>46371</v>
      </c>
      <c r="M1229" s="0" t="inlineStr">
        <is>
          <t xml:space="preserve">aug26</t>
        </is>
      </c>
      <c r="N1229" s="0" t="inlineStr">
        <is>
          <t xml:space="preserve">dec26</t>
        </is>
      </c>
      <c r="O1229" s="4">
        <v>134</v>
      </c>
      <c r="P1229" s="4">
        <v>0</v>
      </c>
      <c r="Q1229" s="4">
        <v>0</v>
      </c>
      <c r="R1229" s="4">
        <v>1</v>
      </c>
      <c r="S1229" s="4">
        <f>(H1229*INDEX('Stages'!$D$2:$D$7,MATCH(F1229,'Stages'!$A$2:$A$7,0)))</f>
        <v>650</v>
      </c>
      <c r="T1229" s="4">
        <f>(H1229*I1229)</f>
        <v>6500</v>
      </c>
      <c r="U1229" s="4">
        <f>(H1229*(I1229-1))</f>
        <v>0</v>
      </c>
      <c r="V1229" s="0" t="str">
        <f>INDEX('Account executives'!$B$2:$B$25,MATCH(C1229,'Account executives'!$A$2:$A$25,0))</f>
        <v>amer_west</v>
      </c>
      <c r="W1229" s="0" t="str">
        <f>INDEX('Account executives'!$C$2:$C$25,MATCH(C1229,'Account executives'!$A$2:$A$25,0))</f>
        <v>mid_market</v>
      </c>
      <c r="X1229" s="0" t="str">
        <f>SUBSTITUTE(LOWER(INDEX('Periods'!$G$2:$G$22,MATCH(N1229,'Periods'!$A$2:$A$22,0)))," ","_")</f>
        <v>q4_2026</v>
      </c>
    </row>
    <row r="1230">
      <c r="A1230" s="0" t="inlineStr">
        <is>
          <t xml:space="preserve">o1229</t>
        </is>
      </c>
      <c r="B1230" s="0" t="inlineStr">
        <is>
          <t xml:space="preserve">a0420</t>
        </is>
      </c>
      <c r="C1230" s="0" t="inlineStr">
        <is>
          <t xml:space="preserve">r05</t>
        </is>
      </c>
      <c r="D1230" s="0" t="inlineStr">
        <is>
          <t xml:space="preserve">s_amer_east_out</t>
        </is>
      </c>
      <c r="E1230" s="0" t="inlineStr">
        <is>
          <t xml:space="preserve">outbound</t>
        </is>
      </c>
      <c r="F1230" s="0" t="inlineStr">
        <is>
          <t xml:space="preserve">closed_lost</t>
        </is>
      </c>
      <c r="G1230" s="4">
        <v>0</v>
      </c>
      <c r="H1230" s="4">
        <v>11200</v>
      </c>
      <c r="I1230" s="4">
        <v>1</v>
      </c>
      <c r="J1230" s="4">
        <v>0</v>
      </c>
      <c r="K1230" s="16">
        <v>46190</v>
      </c>
      <c r="L1230" s="16">
        <v>46229</v>
      </c>
      <c r="M1230" s="0" t="inlineStr">
        <is>
          <t xml:space="preserve">jun26</t>
        </is>
      </c>
      <c r="N1230" s="0" t="inlineStr">
        <is>
          <t xml:space="preserve">jul26</t>
        </is>
      </c>
      <c r="O1230" s="4">
        <v>39</v>
      </c>
      <c r="P1230" s="4">
        <v>0</v>
      </c>
      <c r="Q1230" s="4">
        <v>1</v>
      </c>
      <c r="R1230" s="4">
        <v>0</v>
      </c>
      <c r="S1230" s="4">
        <f>(H1230*INDEX('Stages'!$D$2:$D$7,MATCH(F1230,'Stages'!$A$2:$A$7,0)))</f>
        <v>0</v>
      </c>
      <c r="T1230" s="4">
        <f>(H1230*I1230)</f>
        <v>11200</v>
      </c>
      <c r="U1230" s="4">
        <f>(H1230*(I1230-1))</f>
        <v>0</v>
      </c>
      <c r="V1230" s="0" t="str">
        <f>INDEX('Account executives'!$B$2:$B$25,MATCH(C1230,'Account executives'!$A$2:$A$25,0))</f>
        <v>amer_east</v>
      </c>
      <c r="W1230" s="0" t="str">
        <f>INDEX('Account executives'!$C$2:$C$25,MATCH(C1230,'Account executives'!$A$2:$A$25,0))</f>
        <v>smb</v>
      </c>
      <c r="X1230" s="0" t="str">
        <f>SUBSTITUTE(LOWER(INDEX('Periods'!$G$2:$G$22,MATCH(N1230,'Periods'!$A$2:$A$22,0)))," ","_")</f>
        <v>q3_2026</v>
      </c>
    </row>
    <row r="1231">
      <c r="A1231" s="0" t="inlineStr">
        <is>
          <t xml:space="preserve">o1230</t>
        </is>
      </c>
      <c r="B1231" s="0" t="inlineStr">
        <is>
          <t xml:space="preserve">a0277</t>
        </is>
      </c>
      <c r="C1231" s="0" t="inlineStr">
        <is>
          <t xml:space="preserve">r17</t>
        </is>
      </c>
      <c r="D1231" s="0" t="inlineStr">
        <is>
          <t xml:space="preserve">s_emea_in</t>
        </is>
      </c>
      <c r="E1231" s="0" t="inlineStr">
        <is>
          <t xml:space="preserve">inbound</t>
        </is>
      </c>
      <c r="F1231" s="0" t="inlineStr">
        <is>
          <t xml:space="preserve">closed_won</t>
        </is>
      </c>
      <c r="G1231" s="4">
        <v>1</v>
      </c>
      <c r="H1231" s="4">
        <v>15600</v>
      </c>
      <c r="I1231" s="4">
        <v>1</v>
      </c>
      <c r="J1231" s="4">
        <v>0</v>
      </c>
      <c r="K1231" s="16">
        <v>45842</v>
      </c>
      <c r="L1231" s="16">
        <v>45849</v>
      </c>
      <c r="M1231" s="0" t="inlineStr">
        <is>
          <t xml:space="preserve">jul25</t>
        </is>
      </c>
      <c r="N1231" s="0" t="inlineStr">
        <is>
          <t xml:space="preserve">jul25</t>
        </is>
      </c>
      <c r="O1231" s="4">
        <v>7</v>
      </c>
      <c r="P1231" s="4">
        <v>1</v>
      </c>
      <c r="Q1231" s="4">
        <v>0</v>
      </c>
      <c r="R1231" s="4">
        <v>0</v>
      </c>
      <c r="S1231" s="4">
        <f>(H1231*INDEX('Stages'!$D$2:$D$7,MATCH(F1231,'Stages'!$A$2:$A$7,0)))</f>
        <v>15600</v>
      </c>
      <c r="T1231" s="4">
        <f>(H1231*I1231)</f>
        <v>15600</v>
      </c>
      <c r="U1231" s="4">
        <f>(H1231*(I1231-1))</f>
        <v>0</v>
      </c>
      <c r="V1231" s="0" t="str">
        <f>INDEX('Account executives'!$B$2:$B$25,MATCH(C1231,'Account executives'!$A$2:$A$25,0))</f>
        <v>emea</v>
      </c>
      <c r="W1231" s="0" t="str">
        <f>INDEX('Account executives'!$C$2:$C$25,MATCH(C1231,'Account executives'!$A$2:$A$25,0))</f>
        <v>smb</v>
      </c>
      <c r="X1231" s="0" t="str">
        <f>SUBSTITUTE(LOWER(INDEX('Periods'!$G$2:$G$22,MATCH(N1231,'Periods'!$A$2:$A$22,0)))," ","_")</f>
        <v>q3_2025</v>
      </c>
    </row>
    <row r="1232">
      <c r="A1232" s="0" t="inlineStr">
        <is>
          <t xml:space="preserve">o1231</t>
        </is>
      </c>
      <c r="B1232" s="0" t="inlineStr">
        <is>
          <t xml:space="preserve">a0140</t>
        </is>
      </c>
      <c r="C1232" s="0" t="inlineStr">
        <is>
          <t xml:space="preserve">r16</t>
        </is>
      </c>
      <c r="D1232" s="0"/>
      <c r="E1232" s="0" t="inlineStr">
        <is>
          <t xml:space="preserve">referral</t>
        </is>
      </c>
      <c r="F1232" s="0" t="inlineStr">
        <is>
          <t xml:space="preserve">closed_won</t>
        </is>
      </c>
      <c r="G1232" s="4">
        <v>1</v>
      </c>
      <c r="H1232" s="4">
        <v>77700</v>
      </c>
      <c r="I1232" s="4">
        <v>1</v>
      </c>
      <c r="J1232" s="4">
        <v>1</v>
      </c>
      <c r="K1232" s="16">
        <v>45786</v>
      </c>
      <c r="L1232" s="16">
        <v>45833</v>
      </c>
      <c r="M1232" s="0" t="inlineStr">
        <is>
          <t xml:space="preserve">may25</t>
        </is>
      </c>
      <c r="N1232" s="0" t="inlineStr">
        <is>
          <t xml:space="preserve">jun25</t>
        </is>
      </c>
      <c r="O1232" s="4">
        <v>47</v>
      </c>
      <c r="P1232" s="4">
        <v>1</v>
      </c>
      <c r="Q1232" s="4">
        <v>0</v>
      </c>
      <c r="R1232" s="4">
        <v>0</v>
      </c>
      <c r="S1232" s="4">
        <f>(H1232*INDEX('Stages'!$D$2:$D$7,MATCH(F1232,'Stages'!$A$2:$A$7,0)))</f>
        <v>77700</v>
      </c>
      <c r="T1232" s="4">
        <f>(H1232*I1232)</f>
        <v>77700</v>
      </c>
      <c r="U1232" s="4">
        <f>(H1232*(I1232-1))</f>
        <v>0</v>
      </c>
      <c r="V1232" s="0" t="str">
        <f>INDEX('Account executives'!$B$2:$B$25,MATCH(C1232,'Account executives'!$A$2:$A$25,0))</f>
        <v>emea</v>
      </c>
      <c r="W1232" s="0" t="str">
        <f>INDEX('Account executives'!$C$2:$C$25,MATCH(C1232,'Account executives'!$A$2:$A$25,0))</f>
        <v>mid_market</v>
      </c>
      <c r="X1232" s="0" t="str">
        <f>SUBSTITUTE(LOWER(INDEX('Periods'!$G$2:$G$22,MATCH(N1232,'Periods'!$A$2:$A$22,0)))," ","_")</f>
        <v>q2_2025</v>
      </c>
    </row>
    <row r="1233">
      <c r="A1233" s="0" t="inlineStr">
        <is>
          <t xml:space="preserve">o1232</t>
        </is>
      </c>
      <c r="B1233" s="0" t="inlineStr">
        <is>
          <t xml:space="preserve">a0340</t>
        </is>
      </c>
      <c r="C1233" s="0" t="inlineStr">
        <is>
          <t xml:space="preserve">r18</t>
        </is>
      </c>
      <c r="D1233" s="0"/>
      <c r="E1233" s="0" t="inlineStr">
        <is>
          <t xml:space="preserve">partner</t>
        </is>
      </c>
      <c r="F1233" s="0" t="inlineStr">
        <is>
          <t xml:space="preserve">closed_lost</t>
        </is>
      </c>
      <c r="G1233" s="4">
        <v>1</v>
      </c>
      <c r="H1233" s="4">
        <v>14600</v>
      </c>
      <c r="I1233" s="4">
        <v>1</v>
      </c>
      <c r="J1233" s="4">
        <v>0</v>
      </c>
      <c r="K1233" s="16">
        <v>45885</v>
      </c>
      <c r="L1233" s="16">
        <v>45906</v>
      </c>
      <c r="M1233" s="0" t="inlineStr">
        <is>
          <t xml:space="preserve">aug25</t>
        </is>
      </c>
      <c r="N1233" s="0" t="inlineStr">
        <is>
          <t xml:space="preserve">sep25</t>
        </is>
      </c>
      <c r="O1233" s="4">
        <v>21</v>
      </c>
      <c r="P1233" s="4">
        <v>0</v>
      </c>
      <c r="Q1233" s="4">
        <v>1</v>
      </c>
      <c r="R1233" s="4">
        <v>0</v>
      </c>
      <c r="S1233" s="4">
        <f>(H1233*INDEX('Stages'!$D$2:$D$7,MATCH(F1233,'Stages'!$A$2:$A$7,0)))</f>
        <v>0</v>
      </c>
      <c r="T1233" s="4">
        <f>(H1233*I1233)</f>
        <v>14600</v>
      </c>
      <c r="U1233" s="4">
        <f>(H1233*(I1233-1))</f>
        <v>0</v>
      </c>
      <c r="V1233" s="0" t="str">
        <f>INDEX('Account executives'!$B$2:$B$25,MATCH(C1233,'Account executives'!$A$2:$A$25,0))</f>
        <v>emea</v>
      </c>
      <c r="W1233" s="0" t="str">
        <f>INDEX('Account executives'!$C$2:$C$25,MATCH(C1233,'Account executives'!$A$2:$A$25,0))</f>
        <v>smb</v>
      </c>
      <c r="X1233" s="0" t="str">
        <f>SUBSTITUTE(LOWER(INDEX('Periods'!$G$2:$G$22,MATCH(N1233,'Periods'!$A$2:$A$22,0)))," ","_")</f>
        <v>q3_2025</v>
      </c>
    </row>
    <row r="1234">
      <c r="A1234" s="0" t="inlineStr">
        <is>
          <t xml:space="preserve">o1233</t>
        </is>
      </c>
      <c r="B1234" s="0" t="inlineStr">
        <is>
          <t xml:space="preserve">a0024</t>
        </is>
      </c>
      <c r="C1234" s="0" t="inlineStr">
        <is>
          <t xml:space="preserve">r11</t>
        </is>
      </c>
      <c r="D1234" s="0" t="inlineStr">
        <is>
          <t xml:space="preserve">s_amer_west_in</t>
        </is>
      </c>
      <c r="E1234" s="0" t="inlineStr">
        <is>
          <t xml:space="preserve">inbound</t>
        </is>
      </c>
      <c r="F1234" s="0" t="inlineStr">
        <is>
          <t xml:space="preserve">proposal</t>
        </is>
      </c>
      <c r="G1234" s="4">
        <v>0</v>
      </c>
      <c r="H1234" s="4">
        <v>10300</v>
      </c>
      <c r="I1234" s="4">
        <v>1</v>
      </c>
      <c r="J1234" s="4">
        <v>0</v>
      </c>
      <c r="K1234" s="16">
        <v>46211</v>
      </c>
      <c r="L1234" s="16">
        <v>46371</v>
      </c>
      <c r="M1234" s="0" t="inlineStr">
        <is>
          <t xml:space="preserve">jul26</t>
        </is>
      </c>
      <c r="N1234" s="0" t="inlineStr">
        <is>
          <t xml:space="preserve">dec26</t>
        </is>
      </c>
      <c r="O1234" s="4">
        <v>82</v>
      </c>
      <c r="P1234" s="4">
        <v>0</v>
      </c>
      <c r="Q1234" s="4">
        <v>0</v>
      </c>
      <c r="R1234" s="4">
        <v>1</v>
      </c>
      <c r="S1234" s="4">
        <f>(H1234*INDEX('Stages'!$D$2:$D$7,MATCH(F1234,'Stages'!$A$2:$A$7,0)))</f>
        <v>5150</v>
      </c>
      <c r="T1234" s="4">
        <f>(H1234*I1234)</f>
        <v>10300</v>
      </c>
      <c r="U1234" s="4">
        <f>(H1234*(I1234-1))</f>
        <v>0</v>
      </c>
      <c r="V1234" s="0" t="str">
        <f>INDEX('Account executives'!$B$2:$B$25,MATCH(C1234,'Account executives'!$A$2:$A$25,0))</f>
        <v>amer_west</v>
      </c>
      <c r="W1234" s="0" t="str">
        <f>INDEX('Account executives'!$C$2:$C$25,MATCH(C1234,'Account executives'!$A$2:$A$25,0))</f>
        <v>smb</v>
      </c>
      <c r="X1234" s="0" t="str">
        <f>SUBSTITUTE(LOWER(INDEX('Periods'!$G$2:$G$22,MATCH(N1234,'Periods'!$A$2:$A$22,0)))," ","_")</f>
        <v>q4_2026</v>
      </c>
    </row>
    <row r="1235">
      <c r="A1235" s="0" t="inlineStr">
        <is>
          <t xml:space="preserve">o1234</t>
        </is>
      </c>
      <c r="B1235" s="0" t="inlineStr">
        <is>
          <t xml:space="preserve">a0891</t>
        </is>
      </c>
      <c r="C1235" s="0" t="inlineStr">
        <is>
          <t xml:space="preserve">r01</t>
        </is>
      </c>
      <c r="D1235" s="0" t="inlineStr">
        <is>
          <t xml:space="preserve">s_amer_east_in</t>
        </is>
      </c>
      <c r="E1235" s="0" t="inlineStr">
        <is>
          <t xml:space="preserve">inbound</t>
        </is>
      </c>
      <c r="F1235" s="0" t="inlineStr">
        <is>
          <t xml:space="preserve">proposal</t>
        </is>
      </c>
      <c r="G1235" s="4">
        <v>1</v>
      </c>
      <c r="H1235" s="4">
        <v>197600</v>
      </c>
      <c r="I1235" s="4">
        <v>2</v>
      </c>
      <c r="J1235" s="4">
        <v>0</v>
      </c>
      <c r="K1235" s="16">
        <v>46157</v>
      </c>
      <c r="L1235" s="16">
        <v>46325</v>
      </c>
      <c r="M1235" s="0" t="inlineStr">
        <is>
          <t xml:space="preserve">may26</t>
        </is>
      </c>
      <c r="N1235" s="0" t="inlineStr">
        <is>
          <t xml:space="preserve">oct26</t>
        </is>
      </c>
      <c r="O1235" s="4">
        <v>179</v>
      </c>
      <c r="P1235" s="4">
        <v>0</v>
      </c>
      <c r="Q1235" s="4">
        <v>0</v>
      </c>
      <c r="R1235" s="4">
        <v>1</v>
      </c>
      <c r="S1235" s="4">
        <f>(H1235*INDEX('Stages'!$D$2:$D$7,MATCH(F1235,'Stages'!$A$2:$A$7,0)))</f>
        <v>98800</v>
      </c>
      <c r="T1235" s="4">
        <f>(H1235*I1235)</f>
        <v>395200</v>
      </c>
      <c r="U1235" s="4">
        <f>(H1235*(I1235-1))</f>
        <v>197600</v>
      </c>
      <c r="V1235" s="0" t="str">
        <f>INDEX('Account executives'!$B$2:$B$25,MATCH(C1235,'Account executives'!$A$2:$A$25,0))</f>
        <v>amer_east</v>
      </c>
      <c r="W1235" s="0" t="str">
        <f>INDEX('Account executives'!$C$2:$C$25,MATCH(C1235,'Account executives'!$A$2:$A$25,0))</f>
        <v>enterprise</v>
      </c>
      <c r="X1235" s="0" t="str">
        <f>SUBSTITUTE(LOWER(INDEX('Periods'!$G$2:$G$22,MATCH(N1235,'Periods'!$A$2:$A$22,0)))," ","_")</f>
        <v>q4_2026</v>
      </c>
    </row>
    <row r="1236">
      <c r="A1236" s="0" t="inlineStr">
        <is>
          <t xml:space="preserve">o1235</t>
        </is>
      </c>
      <c r="B1236" s="0" t="inlineStr">
        <is>
          <t xml:space="preserve">a0710</t>
        </is>
      </c>
      <c r="C1236" s="0" t="inlineStr">
        <is>
          <t xml:space="preserve">r17</t>
        </is>
      </c>
      <c r="D1236" s="0"/>
      <c r="E1236" s="0" t="inlineStr">
        <is>
          <t xml:space="preserve">referral</t>
        </is>
      </c>
      <c r="F1236" s="0" t="inlineStr">
        <is>
          <t xml:space="preserve">closed_won</t>
        </is>
      </c>
      <c r="G1236" s="4">
        <v>1</v>
      </c>
      <c r="H1236" s="4">
        <v>4400</v>
      </c>
      <c r="I1236" s="4">
        <v>2</v>
      </c>
      <c r="J1236" s="4">
        <v>0</v>
      </c>
      <c r="K1236" s="16">
        <v>46058</v>
      </c>
      <c r="L1236" s="16">
        <v>46091</v>
      </c>
      <c r="M1236" s="0" t="inlineStr">
        <is>
          <t xml:space="preserve">feb26</t>
        </is>
      </c>
      <c r="N1236" s="0" t="inlineStr">
        <is>
          <t xml:space="preserve">mar26</t>
        </is>
      </c>
      <c r="O1236" s="4">
        <v>33</v>
      </c>
      <c r="P1236" s="4">
        <v>1</v>
      </c>
      <c r="Q1236" s="4">
        <v>0</v>
      </c>
      <c r="R1236" s="4">
        <v>0</v>
      </c>
      <c r="S1236" s="4">
        <f>(H1236*INDEX('Stages'!$D$2:$D$7,MATCH(F1236,'Stages'!$A$2:$A$7,0)))</f>
        <v>4400</v>
      </c>
      <c r="T1236" s="4">
        <f>(H1236*I1236)</f>
        <v>8800</v>
      </c>
      <c r="U1236" s="4">
        <f>(H1236*(I1236-1))</f>
        <v>4400</v>
      </c>
      <c r="V1236" s="0" t="str">
        <f>INDEX('Account executives'!$B$2:$B$25,MATCH(C1236,'Account executives'!$A$2:$A$25,0))</f>
        <v>emea</v>
      </c>
      <c r="W1236" s="0" t="str">
        <f>INDEX('Account executives'!$C$2:$C$25,MATCH(C1236,'Account executives'!$A$2:$A$25,0))</f>
        <v>smb</v>
      </c>
      <c r="X1236" s="0" t="str">
        <f>SUBSTITUTE(LOWER(INDEX('Periods'!$G$2:$G$22,MATCH(N1236,'Periods'!$A$2:$A$22,0)))," ","_")</f>
        <v>q1_2026</v>
      </c>
    </row>
    <row r="1237">
      <c r="A1237" s="0" t="inlineStr">
        <is>
          <t xml:space="preserve">o1236</t>
        </is>
      </c>
      <c r="B1237" s="0" t="inlineStr">
        <is>
          <t xml:space="preserve">a0992</t>
        </is>
      </c>
      <c r="C1237" s="0" t="inlineStr">
        <is>
          <t xml:space="preserve">r12</t>
        </is>
      </c>
      <c r="D1237" s="0"/>
      <c r="E1237" s="0" t="inlineStr">
        <is>
          <t xml:space="preserve">events</t>
        </is>
      </c>
      <c r="F1237" s="0" t="inlineStr">
        <is>
          <t xml:space="preserve">closed_lost</t>
        </is>
      </c>
      <c r="G1237" s="4">
        <v>1</v>
      </c>
      <c r="H1237" s="4">
        <v>13100</v>
      </c>
      <c r="I1237" s="4">
        <v>2</v>
      </c>
      <c r="J1237" s="4">
        <v>1</v>
      </c>
      <c r="K1237" s="16">
        <v>46181</v>
      </c>
      <c r="L1237" s="16">
        <v>46221</v>
      </c>
      <c r="M1237" s="0" t="inlineStr">
        <is>
          <t xml:space="preserve">jun26</t>
        </is>
      </c>
      <c r="N1237" s="0" t="inlineStr">
        <is>
          <t xml:space="preserve">jul26</t>
        </is>
      </c>
      <c r="O1237" s="4">
        <v>40</v>
      </c>
      <c r="P1237" s="4">
        <v>0</v>
      </c>
      <c r="Q1237" s="4">
        <v>1</v>
      </c>
      <c r="R1237" s="4">
        <v>0</v>
      </c>
      <c r="S1237" s="4">
        <f>(H1237*INDEX('Stages'!$D$2:$D$7,MATCH(F1237,'Stages'!$A$2:$A$7,0)))</f>
        <v>0</v>
      </c>
      <c r="T1237" s="4">
        <f>(H1237*I1237)</f>
        <v>26200</v>
      </c>
      <c r="U1237" s="4">
        <f>(H1237*(I1237-1))</f>
        <v>13100</v>
      </c>
      <c r="V1237" s="0" t="str">
        <f>INDEX('Account executives'!$B$2:$B$25,MATCH(C1237,'Account executives'!$A$2:$A$25,0))</f>
        <v>amer_west</v>
      </c>
      <c r="W1237" s="0" t="str">
        <f>INDEX('Account executives'!$C$2:$C$25,MATCH(C1237,'Account executives'!$A$2:$A$25,0))</f>
        <v>smb</v>
      </c>
      <c r="X1237" s="0" t="str">
        <f>SUBSTITUTE(LOWER(INDEX('Periods'!$G$2:$G$22,MATCH(N1237,'Periods'!$A$2:$A$22,0)))," ","_")</f>
        <v>q3_2026</v>
      </c>
    </row>
    <row r="1238">
      <c r="A1238" s="0" t="inlineStr">
        <is>
          <t xml:space="preserve">o1237</t>
        </is>
      </c>
      <c r="B1238" s="0" t="inlineStr">
        <is>
          <t xml:space="preserve">a0386</t>
        </is>
      </c>
      <c r="C1238" s="0" t="inlineStr">
        <is>
          <t xml:space="preserve">r08</t>
        </is>
      </c>
      <c r="D1238" s="0" t="inlineStr">
        <is>
          <t xml:space="preserve">s_amer_west_out</t>
        </is>
      </c>
      <c r="E1238" s="0" t="inlineStr">
        <is>
          <t xml:space="preserve">outbound</t>
        </is>
      </c>
      <c r="F1238" s="0" t="inlineStr">
        <is>
          <t xml:space="preserve">closed_lost</t>
        </is>
      </c>
      <c r="G1238" s="4">
        <v>1</v>
      </c>
      <c r="H1238" s="4">
        <v>189800</v>
      </c>
      <c r="I1238" s="4">
        <v>2</v>
      </c>
      <c r="J1238" s="4">
        <v>1</v>
      </c>
      <c r="K1238" s="16">
        <v>45918</v>
      </c>
      <c r="L1238" s="16">
        <v>46109</v>
      </c>
      <c r="M1238" s="0" t="inlineStr">
        <is>
          <t xml:space="preserve">sep25</t>
        </is>
      </c>
      <c r="N1238" s="0" t="inlineStr">
        <is>
          <t xml:space="preserve">mar26</t>
        </is>
      </c>
      <c r="O1238" s="4">
        <v>191</v>
      </c>
      <c r="P1238" s="4">
        <v>0</v>
      </c>
      <c r="Q1238" s="4">
        <v>1</v>
      </c>
      <c r="R1238" s="4">
        <v>0</v>
      </c>
      <c r="S1238" s="4">
        <f>(H1238*INDEX('Stages'!$D$2:$D$7,MATCH(F1238,'Stages'!$A$2:$A$7,0)))</f>
        <v>0</v>
      </c>
      <c r="T1238" s="4">
        <f>(H1238*I1238)</f>
        <v>379600</v>
      </c>
      <c r="U1238" s="4">
        <f>(H1238*(I1238-1))</f>
        <v>189800</v>
      </c>
      <c r="V1238" s="0" t="str">
        <f>INDEX('Account executives'!$B$2:$B$25,MATCH(C1238,'Account executives'!$A$2:$A$25,0))</f>
        <v>amer_west</v>
      </c>
      <c r="W1238" s="0" t="str">
        <f>INDEX('Account executives'!$C$2:$C$25,MATCH(C1238,'Account executives'!$A$2:$A$25,0))</f>
        <v>enterprise</v>
      </c>
      <c r="X1238" s="0" t="str">
        <f>SUBSTITUTE(LOWER(INDEX('Periods'!$G$2:$G$22,MATCH(N1238,'Periods'!$A$2:$A$22,0)))," ","_")</f>
        <v>q1_2026</v>
      </c>
    </row>
    <row r="1239">
      <c r="A1239" s="0" t="inlineStr">
        <is>
          <t xml:space="preserve">o1238</t>
        </is>
      </c>
      <c r="B1239" s="0" t="inlineStr">
        <is>
          <t xml:space="preserve">a0226</t>
        </is>
      </c>
      <c r="C1239" s="0" t="inlineStr">
        <is>
          <t xml:space="preserve">r24</t>
        </is>
      </c>
      <c r="D1239" s="0" t="inlineStr">
        <is>
          <t xml:space="preserve">s_apac_in</t>
        </is>
      </c>
      <c r="E1239" s="0" t="inlineStr">
        <is>
          <t xml:space="preserve">paid</t>
        </is>
      </c>
      <c r="F1239" s="0" t="inlineStr">
        <is>
          <t xml:space="preserve">closed_won</t>
        </is>
      </c>
      <c r="G1239" s="4">
        <v>1</v>
      </c>
      <c r="H1239" s="4">
        <v>15100</v>
      </c>
      <c r="I1239" s="4">
        <v>1</v>
      </c>
      <c r="J1239" s="4">
        <v>0</v>
      </c>
      <c r="K1239" s="16">
        <v>45823</v>
      </c>
      <c r="L1239" s="16">
        <v>45868</v>
      </c>
      <c r="M1239" s="0" t="inlineStr">
        <is>
          <t xml:space="preserve">jun25</t>
        </is>
      </c>
      <c r="N1239" s="0" t="inlineStr">
        <is>
          <t xml:space="preserve">jul25</t>
        </is>
      </c>
      <c r="O1239" s="4">
        <v>45</v>
      </c>
      <c r="P1239" s="4">
        <v>1</v>
      </c>
      <c r="Q1239" s="4">
        <v>0</v>
      </c>
      <c r="R1239" s="4">
        <v>0</v>
      </c>
      <c r="S1239" s="4">
        <f>(H1239*INDEX('Stages'!$D$2:$D$7,MATCH(F1239,'Stages'!$A$2:$A$7,0)))</f>
        <v>15100</v>
      </c>
      <c r="T1239" s="4">
        <f>(H1239*I1239)</f>
        <v>15100</v>
      </c>
      <c r="U1239" s="4">
        <f>(H1239*(I1239-1))</f>
        <v>0</v>
      </c>
      <c r="V1239" s="0" t="str">
        <f>INDEX('Account executives'!$B$2:$B$25,MATCH(C1239,'Account executives'!$A$2:$A$25,0))</f>
        <v>apac</v>
      </c>
      <c r="W1239" s="0" t="str">
        <f>INDEX('Account executives'!$C$2:$C$25,MATCH(C1239,'Account executives'!$A$2:$A$25,0))</f>
        <v>smb</v>
      </c>
      <c r="X1239" s="0" t="str">
        <f>SUBSTITUTE(LOWER(INDEX('Periods'!$G$2:$G$22,MATCH(N1239,'Periods'!$A$2:$A$22,0)))," ","_")</f>
        <v>q3_2025</v>
      </c>
    </row>
    <row r="1240">
      <c r="A1240" s="0" t="inlineStr">
        <is>
          <t xml:space="preserve">o1239</t>
        </is>
      </c>
      <c r="B1240" s="0" t="inlineStr">
        <is>
          <t xml:space="preserve">a0142</t>
        </is>
      </c>
      <c r="C1240" s="0" t="inlineStr">
        <is>
          <t xml:space="preserve">r24</t>
        </is>
      </c>
      <c r="D1240" s="0"/>
      <c r="E1240" s="0" t="inlineStr">
        <is>
          <t xml:space="preserve">referral</t>
        </is>
      </c>
      <c r="F1240" s="0" t="inlineStr">
        <is>
          <t xml:space="preserve">closed_won</t>
        </is>
      </c>
      <c r="G1240" s="4">
        <v>0</v>
      </c>
      <c r="H1240" s="4">
        <v>3800</v>
      </c>
      <c r="I1240" s="4">
        <v>1</v>
      </c>
      <c r="J1240" s="4">
        <v>0</v>
      </c>
      <c r="K1240" s="16">
        <v>45989</v>
      </c>
      <c r="L1240" s="16">
        <v>46017</v>
      </c>
      <c r="M1240" s="0" t="inlineStr">
        <is>
          <t xml:space="preserve">nov25</t>
        </is>
      </c>
      <c r="N1240" s="0" t="inlineStr">
        <is>
          <t xml:space="preserve">dec25</t>
        </is>
      </c>
      <c r="O1240" s="4">
        <v>28</v>
      </c>
      <c r="P1240" s="4">
        <v>1</v>
      </c>
      <c r="Q1240" s="4">
        <v>0</v>
      </c>
      <c r="R1240" s="4">
        <v>0</v>
      </c>
      <c r="S1240" s="4">
        <f>(H1240*INDEX('Stages'!$D$2:$D$7,MATCH(F1240,'Stages'!$A$2:$A$7,0)))</f>
        <v>3800</v>
      </c>
      <c r="T1240" s="4">
        <f>(H1240*I1240)</f>
        <v>3800</v>
      </c>
      <c r="U1240" s="4">
        <f>(H1240*(I1240-1))</f>
        <v>0</v>
      </c>
      <c r="V1240" s="0" t="str">
        <f>INDEX('Account executives'!$B$2:$B$25,MATCH(C1240,'Account executives'!$A$2:$A$25,0))</f>
        <v>apac</v>
      </c>
      <c r="W1240" s="0" t="str">
        <f>INDEX('Account executives'!$C$2:$C$25,MATCH(C1240,'Account executives'!$A$2:$A$25,0))</f>
        <v>smb</v>
      </c>
      <c r="X1240" s="0" t="str">
        <f>SUBSTITUTE(LOWER(INDEX('Periods'!$G$2:$G$22,MATCH(N1240,'Periods'!$A$2:$A$22,0)))," ","_")</f>
        <v>q4_2025</v>
      </c>
    </row>
    <row r="1241">
      <c r="A1241" s="0" t="inlineStr">
        <is>
          <t xml:space="preserve">o1240</t>
        </is>
      </c>
      <c r="B1241" s="0" t="inlineStr">
        <is>
          <t xml:space="preserve">a0133</t>
        </is>
      </c>
      <c r="C1241" s="0" t="inlineStr">
        <is>
          <t xml:space="preserve">r15</t>
        </is>
      </c>
      <c r="D1241" s="0"/>
      <c r="E1241" s="0" t="inlineStr">
        <is>
          <t xml:space="preserve">partner</t>
        </is>
      </c>
      <c r="F1241" s="0" t="inlineStr">
        <is>
          <t xml:space="preserve">closed_won</t>
        </is>
      </c>
      <c r="G1241" s="4">
        <v>1</v>
      </c>
      <c r="H1241" s="4">
        <v>156100</v>
      </c>
      <c r="I1241" s="4">
        <v>1</v>
      </c>
      <c r="J1241" s="4">
        <v>0</v>
      </c>
      <c r="K1241" s="16">
        <v>45787</v>
      </c>
      <c r="L1241" s="16">
        <v>45834</v>
      </c>
      <c r="M1241" s="0" t="inlineStr">
        <is>
          <t xml:space="preserve">may25</t>
        </is>
      </c>
      <c r="N1241" s="0" t="inlineStr">
        <is>
          <t xml:space="preserve">jun25</t>
        </is>
      </c>
      <c r="O1241" s="4">
        <v>47</v>
      </c>
      <c r="P1241" s="4">
        <v>1</v>
      </c>
      <c r="Q1241" s="4">
        <v>0</v>
      </c>
      <c r="R1241" s="4">
        <v>0</v>
      </c>
      <c r="S1241" s="4">
        <f>(H1241*INDEX('Stages'!$D$2:$D$7,MATCH(F1241,'Stages'!$A$2:$A$7,0)))</f>
        <v>156100</v>
      </c>
      <c r="T1241" s="4">
        <f>(H1241*I1241)</f>
        <v>156100</v>
      </c>
      <c r="U1241" s="4">
        <f>(H1241*(I1241-1))</f>
        <v>0</v>
      </c>
      <c r="V1241" s="0" t="str">
        <f>INDEX('Account executives'!$B$2:$B$25,MATCH(C1241,'Account executives'!$A$2:$A$25,0))</f>
        <v>emea</v>
      </c>
      <c r="W1241" s="0" t="str">
        <f>INDEX('Account executives'!$C$2:$C$25,MATCH(C1241,'Account executives'!$A$2:$A$25,0))</f>
        <v>mid_market</v>
      </c>
      <c r="X1241" s="0" t="str">
        <f>SUBSTITUTE(LOWER(INDEX('Periods'!$G$2:$G$22,MATCH(N1241,'Periods'!$A$2:$A$22,0)))," ","_")</f>
        <v>q2_2025</v>
      </c>
    </row>
    <row r="1242">
      <c r="A1242" s="0" t="inlineStr">
        <is>
          <t xml:space="preserve">o1241</t>
        </is>
      </c>
      <c r="B1242" s="0" t="inlineStr">
        <is>
          <t xml:space="preserve">a1169</t>
        </is>
      </c>
      <c r="C1242" s="0" t="inlineStr">
        <is>
          <t xml:space="preserve">r12</t>
        </is>
      </c>
      <c r="D1242" s="0" t="inlineStr">
        <is>
          <t xml:space="preserve">s_amer_west_in</t>
        </is>
      </c>
      <c r="E1242" s="0" t="inlineStr">
        <is>
          <t xml:space="preserve">inbound</t>
        </is>
      </c>
      <c r="F1242" s="0" t="inlineStr">
        <is>
          <t xml:space="preserve">proposal</t>
        </is>
      </c>
      <c r="G1242" s="4">
        <v>1</v>
      </c>
      <c r="H1242" s="4">
        <v>26700</v>
      </c>
      <c r="I1242" s="4">
        <v>1</v>
      </c>
      <c r="J1242" s="4">
        <v>0</v>
      </c>
      <c r="K1242" s="16">
        <v>46240</v>
      </c>
      <c r="L1242" s="16">
        <v>46302</v>
      </c>
      <c r="M1242" s="0" t="inlineStr">
        <is>
          <t xml:space="preserve">aug26</t>
        </is>
      </c>
      <c r="N1242" s="0" t="inlineStr">
        <is>
          <t xml:space="preserve">oct26</t>
        </is>
      </c>
      <c r="O1242" s="4">
        <v>53</v>
      </c>
      <c r="P1242" s="4">
        <v>0</v>
      </c>
      <c r="Q1242" s="4">
        <v>0</v>
      </c>
      <c r="R1242" s="4">
        <v>1</v>
      </c>
      <c r="S1242" s="4">
        <f>(H1242*INDEX('Stages'!$D$2:$D$7,MATCH(F1242,'Stages'!$A$2:$A$7,0)))</f>
        <v>13350</v>
      </c>
      <c r="T1242" s="4">
        <f>(H1242*I1242)</f>
        <v>26700</v>
      </c>
      <c r="U1242" s="4">
        <f>(H1242*(I1242-1))</f>
        <v>0</v>
      </c>
      <c r="V1242" s="0" t="str">
        <f>INDEX('Account executives'!$B$2:$B$25,MATCH(C1242,'Account executives'!$A$2:$A$25,0))</f>
        <v>amer_west</v>
      </c>
      <c r="W1242" s="0" t="str">
        <f>INDEX('Account executives'!$C$2:$C$25,MATCH(C1242,'Account executives'!$A$2:$A$25,0))</f>
        <v>smb</v>
      </c>
      <c r="X1242" s="0" t="str">
        <f>SUBSTITUTE(LOWER(INDEX('Periods'!$G$2:$G$22,MATCH(N1242,'Periods'!$A$2:$A$22,0)))," ","_")</f>
        <v>q4_2026</v>
      </c>
    </row>
    <row r="1243">
      <c r="A1243" s="0" t="inlineStr">
        <is>
          <t xml:space="preserve">o1242</t>
        </is>
      </c>
      <c r="B1243" s="0" t="inlineStr">
        <is>
          <t xml:space="preserve">a0511</t>
        </is>
      </c>
      <c r="C1243" s="0" t="inlineStr">
        <is>
          <t xml:space="preserve">r18</t>
        </is>
      </c>
      <c r="D1243" s="0" t="inlineStr">
        <is>
          <t xml:space="preserve">s_emea_in</t>
        </is>
      </c>
      <c r="E1243" s="0" t="inlineStr">
        <is>
          <t xml:space="preserve">inbound</t>
        </is>
      </c>
      <c r="F1243" s="0" t="inlineStr">
        <is>
          <t xml:space="preserve">closed_won</t>
        </is>
      </c>
      <c r="G1243" s="4">
        <v>1</v>
      </c>
      <c r="H1243" s="4">
        <v>20800</v>
      </c>
      <c r="I1243" s="4">
        <v>1</v>
      </c>
      <c r="J1243" s="4">
        <v>0</v>
      </c>
      <c r="K1243" s="16">
        <v>45964</v>
      </c>
      <c r="L1243" s="16">
        <v>45996</v>
      </c>
      <c r="M1243" s="0" t="inlineStr">
        <is>
          <t xml:space="preserve">nov25</t>
        </is>
      </c>
      <c r="N1243" s="0" t="inlineStr">
        <is>
          <t xml:space="preserve">dec25</t>
        </is>
      </c>
      <c r="O1243" s="4">
        <v>32</v>
      </c>
      <c r="P1243" s="4">
        <v>1</v>
      </c>
      <c r="Q1243" s="4">
        <v>0</v>
      </c>
      <c r="R1243" s="4">
        <v>0</v>
      </c>
      <c r="S1243" s="4">
        <f>(H1243*INDEX('Stages'!$D$2:$D$7,MATCH(F1243,'Stages'!$A$2:$A$7,0)))</f>
        <v>20800</v>
      </c>
      <c r="T1243" s="4">
        <f>(H1243*I1243)</f>
        <v>20800</v>
      </c>
      <c r="U1243" s="4">
        <f>(H1243*(I1243-1))</f>
        <v>0</v>
      </c>
      <c r="V1243" s="0" t="str">
        <f>INDEX('Account executives'!$B$2:$B$25,MATCH(C1243,'Account executives'!$A$2:$A$25,0))</f>
        <v>emea</v>
      </c>
      <c r="W1243" s="0" t="str">
        <f>INDEX('Account executives'!$C$2:$C$25,MATCH(C1243,'Account executives'!$A$2:$A$25,0))</f>
        <v>smb</v>
      </c>
      <c r="X1243" s="0" t="str">
        <f>SUBSTITUTE(LOWER(INDEX('Periods'!$G$2:$G$22,MATCH(N1243,'Periods'!$A$2:$A$22,0)))," ","_")</f>
        <v>q4_2025</v>
      </c>
    </row>
    <row r="1244">
      <c r="A1244" s="0" t="inlineStr">
        <is>
          <t xml:space="preserve">o1243</t>
        </is>
      </c>
      <c r="B1244" s="0" t="inlineStr">
        <is>
          <t xml:space="preserve">a0823</t>
        </is>
      </c>
      <c r="C1244" s="0" t="inlineStr">
        <is>
          <t xml:space="preserve">r06</t>
        </is>
      </c>
      <c r="D1244" s="0" t="inlineStr">
        <is>
          <t xml:space="preserve">s_amer_east_in</t>
        </is>
      </c>
      <c r="E1244" s="0" t="inlineStr">
        <is>
          <t xml:space="preserve">paid</t>
        </is>
      </c>
      <c r="F1244" s="0" t="inlineStr">
        <is>
          <t xml:space="preserve">closed_lost</t>
        </is>
      </c>
      <c r="G1244" s="4">
        <v>1</v>
      </c>
      <c r="H1244" s="4">
        <v>11600</v>
      </c>
      <c r="I1244" s="4">
        <v>1</v>
      </c>
      <c r="J1244" s="4">
        <v>0</v>
      </c>
      <c r="K1244" s="16">
        <v>46123</v>
      </c>
      <c r="L1244" s="16">
        <v>46159</v>
      </c>
      <c r="M1244" s="0" t="inlineStr">
        <is>
          <t xml:space="preserve">apr26</t>
        </is>
      </c>
      <c r="N1244" s="0" t="inlineStr">
        <is>
          <t xml:space="preserve">may26</t>
        </is>
      </c>
      <c r="O1244" s="4">
        <v>36</v>
      </c>
      <c r="P1244" s="4">
        <v>0</v>
      </c>
      <c r="Q1244" s="4">
        <v>1</v>
      </c>
      <c r="R1244" s="4">
        <v>0</v>
      </c>
      <c r="S1244" s="4">
        <f>(H1244*INDEX('Stages'!$D$2:$D$7,MATCH(F1244,'Stages'!$A$2:$A$7,0)))</f>
        <v>0</v>
      </c>
      <c r="T1244" s="4">
        <f>(H1244*I1244)</f>
        <v>11600</v>
      </c>
      <c r="U1244" s="4">
        <f>(H1244*(I1244-1))</f>
        <v>0</v>
      </c>
      <c r="V1244" s="0" t="str">
        <f>INDEX('Account executives'!$B$2:$B$25,MATCH(C1244,'Account executives'!$A$2:$A$25,0))</f>
        <v>amer_east</v>
      </c>
      <c r="W1244" s="0" t="str">
        <f>INDEX('Account executives'!$C$2:$C$25,MATCH(C1244,'Account executives'!$A$2:$A$25,0))</f>
        <v>smb</v>
      </c>
      <c r="X1244" s="0" t="str">
        <f>SUBSTITUTE(LOWER(INDEX('Periods'!$G$2:$G$22,MATCH(N1244,'Periods'!$A$2:$A$22,0)))," ","_")</f>
        <v>q2_2026</v>
      </c>
    </row>
    <row r="1245">
      <c r="A1245" s="0" t="inlineStr">
        <is>
          <t xml:space="preserve">o1244</t>
        </is>
      </c>
      <c r="B1245" s="0" t="inlineStr">
        <is>
          <t xml:space="preserve">a0300</t>
        </is>
      </c>
      <c r="C1245" s="0" t="inlineStr">
        <is>
          <t xml:space="preserve">r22</t>
        </is>
      </c>
      <c r="D1245" s="0" t="inlineStr">
        <is>
          <t xml:space="preserve">s_apac_in</t>
        </is>
      </c>
      <c r="E1245" s="0" t="inlineStr">
        <is>
          <t xml:space="preserve">inbound</t>
        </is>
      </c>
      <c r="F1245" s="0" t="inlineStr">
        <is>
          <t xml:space="preserve">closed_lost</t>
        </is>
      </c>
      <c r="G1245" s="4">
        <v>0</v>
      </c>
      <c r="H1245" s="4">
        <v>8900</v>
      </c>
      <c r="I1245" s="4">
        <v>1</v>
      </c>
      <c r="J1245" s="4">
        <v>0</v>
      </c>
      <c r="K1245" s="16">
        <v>45895</v>
      </c>
      <c r="L1245" s="16">
        <v>45951</v>
      </c>
      <c r="M1245" s="0" t="inlineStr">
        <is>
          <t xml:space="preserve">aug25</t>
        </is>
      </c>
      <c r="N1245" s="0" t="inlineStr">
        <is>
          <t xml:space="preserve">oct25</t>
        </is>
      </c>
      <c r="O1245" s="4">
        <v>56</v>
      </c>
      <c r="P1245" s="4">
        <v>0</v>
      </c>
      <c r="Q1245" s="4">
        <v>1</v>
      </c>
      <c r="R1245" s="4">
        <v>0</v>
      </c>
      <c r="S1245" s="4">
        <f>(H1245*INDEX('Stages'!$D$2:$D$7,MATCH(F1245,'Stages'!$A$2:$A$7,0)))</f>
        <v>0</v>
      </c>
      <c r="T1245" s="4">
        <f>(H1245*I1245)</f>
        <v>8900</v>
      </c>
      <c r="U1245" s="4">
        <f>(H1245*(I1245-1))</f>
        <v>0</v>
      </c>
      <c r="V1245" s="0" t="str">
        <f>INDEX('Account executives'!$B$2:$B$25,MATCH(C1245,'Account executives'!$A$2:$A$25,0))</f>
        <v>apac</v>
      </c>
      <c r="W1245" s="0" t="str">
        <f>INDEX('Account executives'!$C$2:$C$25,MATCH(C1245,'Account executives'!$A$2:$A$25,0))</f>
        <v>mid_market</v>
      </c>
      <c r="X1245" s="0" t="str">
        <f>SUBSTITUTE(LOWER(INDEX('Periods'!$G$2:$G$22,MATCH(N1245,'Periods'!$A$2:$A$22,0)))," ","_")</f>
        <v>q4_2025</v>
      </c>
    </row>
    <row r="1246">
      <c r="A1246" s="0" t="inlineStr">
        <is>
          <t xml:space="preserve">o1245</t>
        </is>
      </c>
      <c r="B1246" s="0" t="inlineStr">
        <is>
          <t xml:space="preserve">a0086</t>
        </is>
      </c>
      <c r="C1246" s="0" t="inlineStr">
        <is>
          <t xml:space="preserve">r05</t>
        </is>
      </c>
      <c r="D1246" s="0"/>
      <c r="E1246" s="0" t="inlineStr">
        <is>
          <t xml:space="preserve">partner</t>
        </is>
      </c>
      <c r="F1246" s="0" t="inlineStr">
        <is>
          <t xml:space="preserve">closed_lost</t>
        </is>
      </c>
      <c r="G1246" s="4">
        <v>1</v>
      </c>
      <c r="H1246" s="4">
        <v>19700</v>
      </c>
      <c r="I1246" s="4">
        <v>1</v>
      </c>
      <c r="J1246" s="4">
        <v>0</v>
      </c>
      <c r="K1246" s="16">
        <v>45804</v>
      </c>
      <c r="L1246" s="16">
        <v>45835</v>
      </c>
      <c r="M1246" s="0" t="inlineStr">
        <is>
          <t xml:space="preserve">may25</t>
        </is>
      </c>
      <c r="N1246" s="0" t="inlineStr">
        <is>
          <t xml:space="preserve">jun25</t>
        </is>
      </c>
      <c r="O1246" s="4">
        <v>31</v>
      </c>
      <c r="P1246" s="4">
        <v>0</v>
      </c>
      <c r="Q1246" s="4">
        <v>1</v>
      </c>
      <c r="R1246" s="4">
        <v>0</v>
      </c>
      <c r="S1246" s="4">
        <f>(H1246*INDEX('Stages'!$D$2:$D$7,MATCH(F1246,'Stages'!$A$2:$A$7,0)))</f>
        <v>0</v>
      </c>
      <c r="T1246" s="4">
        <f>(H1246*I1246)</f>
        <v>19700</v>
      </c>
      <c r="U1246" s="4">
        <f>(H1246*(I1246-1))</f>
        <v>0</v>
      </c>
      <c r="V1246" s="0" t="str">
        <f>INDEX('Account executives'!$B$2:$B$25,MATCH(C1246,'Account executives'!$A$2:$A$25,0))</f>
        <v>amer_east</v>
      </c>
      <c r="W1246" s="0" t="str">
        <f>INDEX('Account executives'!$C$2:$C$25,MATCH(C1246,'Account executives'!$A$2:$A$25,0))</f>
        <v>smb</v>
      </c>
      <c r="X1246" s="0" t="str">
        <f>SUBSTITUTE(LOWER(INDEX('Periods'!$G$2:$G$22,MATCH(N1246,'Periods'!$A$2:$A$22,0)))," ","_")</f>
        <v>q2_2025</v>
      </c>
    </row>
    <row r="1247">
      <c r="A1247" s="0" t="inlineStr">
        <is>
          <t xml:space="preserve">o1246</t>
        </is>
      </c>
      <c r="B1247" s="0" t="inlineStr">
        <is>
          <t xml:space="preserve">a0382</t>
        </is>
      </c>
      <c r="C1247" s="0" t="inlineStr">
        <is>
          <t xml:space="preserve">r12</t>
        </is>
      </c>
      <c r="D1247" s="0"/>
      <c r="E1247" s="0" t="inlineStr">
        <is>
          <t xml:space="preserve">partner</t>
        </is>
      </c>
      <c r="F1247" s="0" t="inlineStr">
        <is>
          <t xml:space="preserve">closed_lost</t>
        </is>
      </c>
      <c r="G1247" s="4">
        <v>1</v>
      </c>
      <c r="H1247" s="4">
        <v>12000</v>
      </c>
      <c r="I1247" s="4">
        <v>1</v>
      </c>
      <c r="J1247" s="4">
        <v>0</v>
      </c>
      <c r="K1247" s="16">
        <v>45920</v>
      </c>
      <c r="L1247" s="16">
        <v>45948</v>
      </c>
      <c r="M1247" s="0" t="inlineStr">
        <is>
          <t xml:space="preserve">sep25</t>
        </is>
      </c>
      <c r="N1247" s="0" t="inlineStr">
        <is>
          <t xml:space="preserve">oct25</t>
        </is>
      </c>
      <c r="O1247" s="4">
        <v>28</v>
      </c>
      <c r="P1247" s="4">
        <v>0</v>
      </c>
      <c r="Q1247" s="4">
        <v>1</v>
      </c>
      <c r="R1247" s="4">
        <v>0</v>
      </c>
      <c r="S1247" s="4">
        <f>(H1247*INDEX('Stages'!$D$2:$D$7,MATCH(F1247,'Stages'!$A$2:$A$7,0)))</f>
        <v>0</v>
      </c>
      <c r="T1247" s="4">
        <f>(H1247*I1247)</f>
        <v>12000</v>
      </c>
      <c r="U1247" s="4">
        <f>(H1247*(I1247-1))</f>
        <v>0</v>
      </c>
      <c r="V1247" s="0" t="str">
        <f>INDEX('Account executives'!$B$2:$B$25,MATCH(C1247,'Account executives'!$A$2:$A$25,0))</f>
        <v>amer_west</v>
      </c>
      <c r="W1247" s="0" t="str">
        <f>INDEX('Account executives'!$C$2:$C$25,MATCH(C1247,'Account executives'!$A$2:$A$25,0))</f>
        <v>smb</v>
      </c>
      <c r="X1247" s="0" t="str">
        <f>SUBSTITUTE(LOWER(INDEX('Periods'!$G$2:$G$22,MATCH(N1247,'Periods'!$A$2:$A$22,0)))," ","_")</f>
        <v>q4_2025</v>
      </c>
    </row>
    <row r="1248">
      <c r="A1248" s="0" t="inlineStr">
        <is>
          <t xml:space="preserve">o1247</t>
        </is>
      </c>
      <c r="B1248" s="0" t="inlineStr">
        <is>
          <t xml:space="preserve">a0233</t>
        </is>
      </c>
      <c r="C1248" s="0" t="inlineStr">
        <is>
          <t xml:space="preserve">r06</t>
        </is>
      </c>
      <c r="D1248" s="0"/>
      <c r="E1248" s="0" t="inlineStr">
        <is>
          <t xml:space="preserve">events</t>
        </is>
      </c>
      <c r="F1248" s="0" t="inlineStr">
        <is>
          <t xml:space="preserve">closed_lost</t>
        </is>
      </c>
      <c r="G1248" s="4">
        <v>0</v>
      </c>
      <c r="H1248" s="4">
        <v>8800</v>
      </c>
      <c r="I1248" s="4">
        <v>1</v>
      </c>
      <c r="J1248" s="4">
        <v>0</v>
      </c>
      <c r="K1248" s="16">
        <v>46107</v>
      </c>
      <c r="L1248" s="16">
        <v>46126</v>
      </c>
      <c r="M1248" s="0" t="inlineStr">
        <is>
          <t xml:space="preserve">mar26</t>
        </is>
      </c>
      <c r="N1248" s="0" t="inlineStr">
        <is>
          <t xml:space="preserve">apr26</t>
        </is>
      </c>
      <c r="O1248" s="4">
        <v>19</v>
      </c>
      <c r="P1248" s="4">
        <v>0</v>
      </c>
      <c r="Q1248" s="4">
        <v>1</v>
      </c>
      <c r="R1248" s="4">
        <v>0</v>
      </c>
      <c r="S1248" s="4">
        <f>(H1248*INDEX('Stages'!$D$2:$D$7,MATCH(F1248,'Stages'!$A$2:$A$7,0)))</f>
        <v>0</v>
      </c>
      <c r="T1248" s="4">
        <f>(H1248*I1248)</f>
        <v>8800</v>
      </c>
      <c r="U1248" s="4">
        <f>(H1248*(I1248-1))</f>
        <v>0</v>
      </c>
      <c r="V1248" s="0" t="str">
        <f>INDEX('Account executives'!$B$2:$B$25,MATCH(C1248,'Account executives'!$A$2:$A$25,0))</f>
        <v>amer_east</v>
      </c>
      <c r="W1248" s="0" t="str">
        <f>INDEX('Account executives'!$C$2:$C$25,MATCH(C1248,'Account executives'!$A$2:$A$25,0))</f>
        <v>smb</v>
      </c>
      <c r="X1248" s="0" t="str">
        <f>SUBSTITUTE(LOWER(INDEX('Periods'!$G$2:$G$22,MATCH(N1248,'Periods'!$A$2:$A$22,0)))," ","_")</f>
        <v>q2_2026</v>
      </c>
    </row>
    <row r="1249">
      <c r="A1249" s="0" t="inlineStr">
        <is>
          <t xml:space="preserve">o1248</t>
        </is>
      </c>
      <c r="B1249" s="0" t="inlineStr">
        <is>
          <t xml:space="preserve">a1118</t>
        </is>
      </c>
      <c r="C1249" s="0" t="inlineStr">
        <is>
          <t xml:space="preserve">r17</t>
        </is>
      </c>
      <c r="D1249" s="0" t="inlineStr">
        <is>
          <t xml:space="preserve">s_emea_in</t>
        </is>
      </c>
      <c r="E1249" s="0" t="inlineStr">
        <is>
          <t xml:space="preserve">inbound</t>
        </is>
      </c>
      <c r="F1249" s="0" t="inlineStr">
        <is>
          <t xml:space="preserve">closed_lost</t>
        </is>
      </c>
      <c r="G1249" s="4">
        <v>1</v>
      </c>
      <c r="H1249" s="4">
        <v>60000</v>
      </c>
      <c r="I1249" s="4">
        <v>1</v>
      </c>
      <c r="J1249" s="4">
        <v>0</v>
      </c>
      <c r="K1249" s="16">
        <v>46210</v>
      </c>
      <c r="L1249" s="16">
        <v>46239</v>
      </c>
      <c r="M1249" s="0" t="inlineStr">
        <is>
          <t xml:space="preserve">jul26</t>
        </is>
      </c>
      <c r="N1249" s="0" t="inlineStr">
        <is>
          <t xml:space="preserve">aug26</t>
        </is>
      </c>
      <c r="O1249" s="4">
        <v>29</v>
      </c>
      <c r="P1249" s="4">
        <v>0</v>
      </c>
      <c r="Q1249" s="4">
        <v>1</v>
      </c>
      <c r="R1249" s="4">
        <v>0</v>
      </c>
      <c r="S1249" s="4">
        <f>(H1249*INDEX('Stages'!$D$2:$D$7,MATCH(F1249,'Stages'!$A$2:$A$7,0)))</f>
        <v>0</v>
      </c>
      <c r="T1249" s="4">
        <f>(H1249*I1249)</f>
        <v>60000</v>
      </c>
      <c r="U1249" s="4">
        <f>(H1249*(I1249-1))</f>
        <v>0</v>
      </c>
      <c r="V1249" s="0" t="str">
        <f>INDEX('Account executives'!$B$2:$B$25,MATCH(C1249,'Account executives'!$A$2:$A$25,0))</f>
        <v>emea</v>
      </c>
      <c r="W1249" s="0" t="str">
        <f>INDEX('Account executives'!$C$2:$C$25,MATCH(C1249,'Account executives'!$A$2:$A$25,0))</f>
        <v>smb</v>
      </c>
      <c r="X1249" s="0" t="str">
        <f>SUBSTITUTE(LOWER(INDEX('Periods'!$G$2:$G$22,MATCH(N1249,'Periods'!$A$2:$A$22,0)))," ","_")</f>
        <v>q3_2026</v>
      </c>
    </row>
    <row r="1250">
      <c r="A1250" s="0" t="inlineStr">
        <is>
          <t xml:space="preserve">o1249</t>
        </is>
      </c>
      <c r="B1250" s="0" t="inlineStr">
        <is>
          <t xml:space="preserve">a0691</t>
        </is>
      </c>
      <c r="C1250" s="0" t="inlineStr">
        <is>
          <t xml:space="preserve">r11</t>
        </is>
      </c>
      <c r="D1250" s="0"/>
      <c r="E1250" s="0" t="inlineStr">
        <is>
          <t xml:space="preserve">referral</t>
        </is>
      </c>
      <c r="F1250" s="0" t="inlineStr">
        <is>
          <t xml:space="preserve">closed_won</t>
        </is>
      </c>
      <c r="G1250" s="4">
        <v>1</v>
      </c>
      <c r="H1250" s="4">
        <v>10900</v>
      </c>
      <c r="I1250" s="4">
        <v>2</v>
      </c>
      <c r="J1250" s="4">
        <v>0</v>
      </c>
      <c r="K1250" s="16">
        <v>46069</v>
      </c>
      <c r="L1250" s="16">
        <v>46076</v>
      </c>
      <c r="M1250" s="0" t="inlineStr">
        <is>
          <t xml:space="preserve">feb26</t>
        </is>
      </c>
      <c r="N1250" s="0" t="inlineStr">
        <is>
          <t xml:space="preserve">feb26</t>
        </is>
      </c>
      <c r="O1250" s="4">
        <v>7</v>
      </c>
      <c r="P1250" s="4">
        <v>1</v>
      </c>
      <c r="Q1250" s="4">
        <v>0</v>
      </c>
      <c r="R1250" s="4">
        <v>0</v>
      </c>
      <c r="S1250" s="4">
        <f>(H1250*INDEX('Stages'!$D$2:$D$7,MATCH(F1250,'Stages'!$A$2:$A$7,0)))</f>
        <v>10900</v>
      </c>
      <c r="T1250" s="4">
        <f>(H1250*I1250)</f>
        <v>21800</v>
      </c>
      <c r="U1250" s="4">
        <f>(H1250*(I1250-1))</f>
        <v>10900</v>
      </c>
      <c r="V1250" s="0" t="str">
        <f>INDEX('Account executives'!$B$2:$B$25,MATCH(C1250,'Account executives'!$A$2:$A$25,0))</f>
        <v>amer_west</v>
      </c>
      <c r="W1250" s="0" t="str">
        <f>INDEX('Account executives'!$C$2:$C$25,MATCH(C1250,'Account executives'!$A$2:$A$25,0))</f>
        <v>smb</v>
      </c>
      <c r="X1250" s="0" t="str">
        <f>SUBSTITUTE(LOWER(INDEX('Periods'!$G$2:$G$22,MATCH(N1250,'Periods'!$A$2:$A$22,0)))," ","_")</f>
        <v>q1_2026</v>
      </c>
    </row>
    <row r="1251">
      <c r="A1251" s="0" t="inlineStr">
        <is>
          <t xml:space="preserve">o1250</t>
        </is>
      </c>
      <c r="B1251" s="0" t="inlineStr">
        <is>
          <t xml:space="preserve">a0606</t>
        </is>
      </c>
      <c r="C1251" s="0" t="inlineStr">
        <is>
          <t xml:space="preserve">r03</t>
        </is>
      </c>
      <c r="D1251" s="0" t="inlineStr">
        <is>
          <t xml:space="preserve">s_amer_east_in</t>
        </is>
      </c>
      <c r="E1251" s="0" t="inlineStr">
        <is>
          <t xml:space="preserve">inbound</t>
        </is>
      </c>
      <c r="F1251" s="0" t="inlineStr">
        <is>
          <t xml:space="preserve">closed_won</t>
        </is>
      </c>
      <c r="G1251" s="4">
        <v>1</v>
      </c>
      <c r="H1251" s="4">
        <v>41100</v>
      </c>
      <c r="I1251" s="4">
        <v>1</v>
      </c>
      <c r="J1251" s="4">
        <v>0</v>
      </c>
      <c r="K1251" s="16">
        <v>46043</v>
      </c>
      <c r="L1251" s="16">
        <v>46100</v>
      </c>
      <c r="M1251" s="0" t="inlineStr">
        <is>
          <t xml:space="preserve">jan26</t>
        </is>
      </c>
      <c r="N1251" s="0" t="inlineStr">
        <is>
          <t xml:space="preserve">mar26</t>
        </is>
      </c>
      <c r="O1251" s="4">
        <v>57</v>
      </c>
      <c r="P1251" s="4">
        <v>1</v>
      </c>
      <c r="Q1251" s="4">
        <v>0</v>
      </c>
      <c r="R1251" s="4">
        <v>0</v>
      </c>
      <c r="S1251" s="4">
        <f>(H1251*INDEX('Stages'!$D$2:$D$7,MATCH(F1251,'Stages'!$A$2:$A$7,0)))</f>
        <v>41100</v>
      </c>
      <c r="T1251" s="4">
        <f>(H1251*I1251)</f>
        <v>41100</v>
      </c>
      <c r="U1251" s="4">
        <f>(H1251*(I1251-1))</f>
        <v>0</v>
      </c>
      <c r="V1251" s="0" t="str">
        <f>INDEX('Account executives'!$B$2:$B$25,MATCH(C1251,'Account executives'!$A$2:$A$25,0))</f>
        <v>amer_east</v>
      </c>
      <c r="W1251" s="0" t="str">
        <f>INDEX('Account executives'!$C$2:$C$25,MATCH(C1251,'Account executives'!$A$2:$A$25,0))</f>
        <v>mid_market</v>
      </c>
      <c r="X1251" s="0" t="str">
        <f>SUBSTITUTE(LOWER(INDEX('Periods'!$G$2:$G$22,MATCH(N1251,'Periods'!$A$2:$A$22,0)))," ","_")</f>
        <v>q1_2026</v>
      </c>
    </row>
    <row r="1252">
      <c r="A1252" s="0" t="inlineStr">
        <is>
          <t xml:space="preserve">o1251</t>
        </is>
      </c>
      <c r="B1252" s="0" t="inlineStr">
        <is>
          <t xml:space="preserve">a0169</t>
        </is>
      </c>
      <c r="C1252" s="0" t="inlineStr">
        <is>
          <t xml:space="preserve">r01</t>
        </is>
      </c>
      <c r="D1252" s="0" t="inlineStr">
        <is>
          <t xml:space="preserve">s_amer_east_in</t>
        </is>
      </c>
      <c r="E1252" s="0" t="inlineStr">
        <is>
          <t xml:space="preserve">paid</t>
        </is>
      </c>
      <c r="F1252" s="0" t="inlineStr">
        <is>
          <t xml:space="preserve">closed_lost</t>
        </is>
      </c>
      <c r="G1252" s="4">
        <v>1</v>
      </c>
      <c r="H1252" s="4">
        <v>179100</v>
      </c>
      <c r="I1252" s="4">
        <v>3</v>
      </c>
      <c r="J1252" s="4">
        <v>0</v>
      </c>
      <c r="K1252" s="16">
        <v>45814</v>
      </c>
      <c r="L1252" s="16">
        <v>45912</v>
      </c>
      <c r="M1252" s="0" t="inlineStr">
        <is>
          <t xml:space="preserve">jun25</t>
        </is>
      </c>
      <c r="N1252" s="0" t="inlineStr">
        <is>
          <t xml:space="preserve">sep25</t>
        </is>
      </c>
      <c r="O1252" s="4">
        <v>98</v>
      </c>
      <c r="P1252" s="4">
        <v>0</v>
      </c>
      <c r="Q1252" s="4">
        <v>1</v>
      </c>
      <c r="R1252" s="4">
        <v>0</v>
      </c>
      <c r="S1252" s="4">
        <f>(H1252*INDEX('Stages'!$D$2:$D$7,MATCH(F1252,'Stages'!$A$2:$A$7,0)))</f>
        <v>0</v>
      </c>
      <c r="T1252" s="4">
        <f>(H1252*I1252)</f>
        <v>537300</v>
      </c>
      <c r="U1252" s="4">
        <f>(H1252*(I1252-1))</f>
        <v>358200</v>
      </c>
      <c r="V1252" s="0" t="str">
        <f>INDEX('Account executives'!$B$2:$B$25,MATCH(C1252,'Account executives'!$A$2:$A$25,0))</f>
        <v>amer_east</v>
      </c>
      <c r="W1252" s="0" t="str">
        <f>INDEX('Account executives'!$C$2:$C$25,MATCH(C1252,'Account executives'!$A$2:$A$25,0))</f>
        <v>enterprise</v>
      </c>
      <c r="X1252" s="0" t="str">
        <f>SUBSTITUTE(LOWER(INDEX('Periods'!$G$2:$G$22,MATCH(N1252,'Periods'!$A$2:$A$22,0)))," ","_")</f>
        <v>q3_2025</v>
      </c>
    </row>
    <row r="1253">
      <c r="A1253" s="0" t="inlineStr">
        <is>
          <t xml:space="preserve">o1252</t>
        </is>
      </c>
      <c r="B1253" s="0" t="inlineStr">
        <is>
          <t xml:space="preserve">a0195</t>
        </is>
      </c>
      <c r="C1253" s="0" t="inlineStr">
        <is>
          <t xml:space="preserve">r09</t>
        </is>
      </c>
      <c r="D1253" s="0"/>
      <c r="E1253" s="0" t="inlineStr">
        <is>
          <t xml:space="preserve">events</t>
        </is>
      </c>
      <c r="F1253" s="0" t="inlineStr">
        <is>
          <t xml:space="preserve">closed_lost</t>
        </is>
      </c>
      <c r="G1253" s="4">
        <v>1</v>
      </c>
      <c r="H1253" s="4">
        <v>102900</v>
      </c>
      <c r="I1253" s="4">
        <v>2</v>
      </c>
      <c r="J1253" s="4">
        <v>0</v>
      </c>
      <c r="K1253" s="16">
        <v>45828</v>
      </c>
      <c r="L1253" s="16">
        <v>45899</v>
      </c>
      <c r="M1253" s="0" t="inlineStr">
        <is>
          <t xml:space="preserve">jun25</t>
        </is>
      </c>
      <c r="N1253" s="0" t="inlineStr">
        <is>
          <t xml:space="preserve">aug25</t>
        </is>
      </c>
      <c r="O1253" s="4">
        <v>71</v>
      </c>
      <c r="P1253" s="4">
        <v>0</v>
      </c>
      <c r="Q1253" s="4">
        <v>1</v>
      </c>
      <c r="R1253" s="4">
        <v>0</v>
      </c>
      <c r="S1253" s="4">
        <f>(H1253*INDEX('Stages'!$D$2:$D$7,MATCH(F1253,'Stages'!$A$2:$A$7,0)))</f>
        <v>0</v>
      </c>
      <c r="T1253" s="4">
        <f>(H1253*I1253)</f>
        <v>205800</v>
      </c>
      <c r="U1253" s="4">
        <f>(H1253*(I1253-1))</f>
        <v>102900</v>
      </c>
      <c r="V1253" s="0" t="str">
        <f>INDEX('Account executives'!$B$2:$B$25,MATCH(C1253,'Account executives'!$A$2:$A$25,0))</f>
        <v>amer_west</v>
      </c>
      <c r="W1253" s="0" t="str">
        <f>INDEX('Account executives'!$C$2:$C$25,MATCH(C1253,'Account executives'!$A$2:$A$25,0))</f>
        <v>mid_market</v>
      </c>
      <c r="X1253" s="0" t="str">
        <f>SUBSTITUTE(LOWER(INDEX('Periods'!$G$2:$G$22,MATCH(N1253,'Periods'!$A$2:$A$22,0)))," ","_")</f>
        <v>q3_2025</v>
      </c>
    </row>
    <row r="1254">
      <c r="A1254" s="0" t="inlineStr">
        <is>
          <t xml:space="preserve">o1253</t>
        </is>
      </c>
      <c r="B1254" s="0" t="inlineStr">
        <is>
          <t xml:space="preserve">a1171</t>
        </is>
      </c>
      <c r="C1254" s="0" t="inlineStr">
        <is>
          <t xml:space="preserve">r10</t>
        </is>
      </c>
      <c r="D1254" s="0" t="inlineStr">
        <is>
          <t xml:space="preserve">s_amer_west_in</t>
        </is>
      </c>
      <c r="E1254" s="0" t="inlineStr">
        <is>
          <t xml:space="preserve">paid</t>
        </is>
      </c>
      <c r="F1254" s="0" t="inlineStr">
        <is>
          <t xml:space="preserve">discovery</t>
        </is>
      </c>
      <c r="G1254" s="4">
        <v>1</v>
      </c>
      <c r="H1254" s="4">
        <v>33000</v>
      </c>
      <c r="I1254" s="4">
        <v>1</v>
      </c>
      <c r="J1254" s="4">
        <v>0</v>
      </c>
      <c r="K1254" s="16">
        <v>46244</v>
      </c>
      <c r="L1254" s="16">
        <v>46371</v>
      </c>
      <c r="M1254" s="0" t="inlineStr">
        <is>
          <t xml:space="preserve">aug26</t>
        </is>
      </c>
      <c r="N1254" s="0" t="inlineStr">
        <is>
          <t xml:space="preserve">dec26</t>
        </is>
      </c>
      <c r="O1254" s="4">
        <v>73</v>
      </c>
      <c r="P1254" s="4">
        <v>0</v>
      </c>
      <c r="Q1254" s="4">
        <v>0</v>
      </c>
      <c r="R1254" s="4">
        <v>1</v>
      </c>
      <c r="S1254" s="4">
        <f>(H1254*INDEX('Stages'!$D$2:$D$7,MATCH(F1254,'Stages'!$A$2:$A$7,0)))</f>
        <v>3300</v>
      </c>
      <c r="T1254" s="4">
        <f>(H1254*I1254)</f>
        <v>33000</v>
      </c>
      <c r="U1254" s="4">
        <f>(H1254*(I1254-1))</f>
        <v>0</v>
      </c>
      <c r="V1254" s="0" t="str">
        <f>INDEX('Account executives'!$B$2:$B$25,MATCH(C1254,'Account executives'!$A$2:$A$25,0))</f>
        <v>amer_west</v>
      </c>
      <c r="W1254" s="0" t="str">
        <f>INDEX('Account executives'!$C$2:$C$25,MATCH(C1254,'Account executives'!$A$2:$A$25,0))</f>
        <v>mid_market</v>
      </c>
      <c r="X1254" s="0" t="str">
        <f>SUBSTITUTE(LOWER(INDEX('Periods'!$G$2:$G$22,MATCH(N1254,'Periods'!$A$2:$A$22,0)))," ","_")</f>
        <v>q4_2026</v>
      </c>
    </row>
    <row r="1255">
      <c r="A1255" s="0" t="inlineStr">
        <is>
          <t xml:space="preserve">o1254</t>
        </is>
      </c>
      <c r="B1255" s="0" t="inlineStr">
        <is>
          <t xml:space="preserve">a0005</t>
        </is>
      </c>
      <c r="C1255" s="0" t="inlineStr">
        <is>
          <t xml:space="preserve">r05</t>
        </is>
      </c>
      <c r="D1255" s="0" t="inlineStr">
        <is>
          <t xml:space="preserve">s_amer_east_in</t>
        </is>
      </c>
      <c r="E1255" s="0" t="inlineStr">
        <is>
          <t xml:space="preserve">inbound</t>
        </is>
      </c>
      <c r="F1255" s="0" t="inlineStr">
        <is>
          <t xml:space="preserve">closed_lost</t>
        </is>
      </c>
      <c r="G1255" s="4">
        <v>0</v>
      </c>
      <c r="H1255" s="4">
        <v>4100</v>
      </c>
      <c r="I1255" s="4">
        <v>1</v>
      </c>
      <c r="J1255" s="4">
        <v>0</v>
      </c>
      <c r="K1255" s="16">
        <v>45787</v>
      </c>
      <c r="L1255" s="16">
        <v>45796</v>
      </c>
      <c r="M1255" s="0" t="inlineStr">
        <is>
          <t xml:space="preserve">may25</t>
        </is>
      </c>
      <c r="N1255" s="0" t="inlineStr">
        <is>
          <t xml:space="preserve">may25</t>
        </is>
      </c>
      <c r="O1255" s="4">
        <v>9</v>
      </c>
      <c r="P1255" s="4">
        <v>0</v>
      </c>
      <c r="Q1255" s="4">
        <v>1</v>
      </c>
      <c r="R1255" s="4">
        <v>0</v>
      </c>
      <c r="S1255" s="4">
        <f>(H1255*INDEX('Stages'!$D$2:$D$7,MATCH(F1255,'Stages'!$A$2:$A$7,0)))</f>
        <v>0</v>
      </c>
      <c r="T1255" s="4">
        <f>(H1255*I1255)</f>
        <v>4100</v>
      </c>
      <c r="U1255" s="4">
        <f>(H1255*(I1255-1))</f>
        <v>0</v>
      </c>
      <c r="V1255" s="0" t="str">
        <f>INDEX('Account executives'!$B$2:$B$25,MATCH(C1255,'Account executives'!$A$2:$A$25,0))</f>
        <v>amer_east</v>
      </c>
      <c r="W1255" s="0" t="str">
        <f>INDEX('Account executives'!$C$2:$C$25,MATCH(C1255,'Account executives'!$A$2:$A$25,0))</f>
        <v>smb</v>
      </c>
      <c r="X1255" s="0" t="str">
        <f>SUBSTITUTE(LOWER(INDEX('Periods'!$G$2:$G$22,MATCH(N1255,'Periods'!$A$2:$A$22,0)))," ","_")</f>
        <v>q2_2025</v>
      </c>
    </row>
    <row r="1256">
      <c r="A1256" s="0" t="inlineStr">
        <is>
          <t xml:space="preserve">o1255</t>
        </is>
      </c>
      <c r="B1256" s="0" t="inlineStr">
        <is>
          <t xml:space="preserve">a0372</t>
        </is>
      </c>
      <c r="C1256" s="0" t="inlineStr">
        <is>
          <t xml:space="preserve">r01</t>
        </is>
      </c>
      <c r="D1256" s="0" t="inlineStr">
        <is>
          <t xml:space="preserve">s_amer_east_out</t>
        </is>
      </c>
      <c r="E1256" s="0" t="inlineStr">
        <is>
          <t xml:space="preserve">outbound</t>
        </is>
      </c>
      <c r="F1256" s="0" t="inlineStr">
        <is>
          <t xml:space="preserve">closed_lost</t>
        </is>
      </c>
      <c r="G1256" s="4">
        <v>0</v>
      </c>
      <c r="H1256" s="4">
        <v>45000</v>
      </c>
      <c r="I1256" s="4">
        <v>1</v>
      </c>
      <c r="J1256" s="4">
        <v>1</v>
      </c>
      <c r="K1256" s="16">
        <v>46077</v>
      </c>
      <c r="L1256" s="16">
        <v>46184</v>
      </c>
      <c r="M1256" s="0" t="inlineStr">
        <is>
          <t xml:space="preserve">feb26</t>
        </is>
      </c>
      <c r="N1256" s="0" t="inlineStr">
        <is>
          <t xml:space="preserve">jun26</t>
        </is>
      </c>
      <c r="O1256" s="4">
        <v>107</v>
      </c>
      <c r="P1256" s="4">
        <v>0</v>
      </c>
      <c r="Q1256" s="4">
        <v>1</v>
      </c>
      <c r="R1256" s="4">
        <v>0</v>
      </c>
      <c r="S1256" s="4">
        <f>(H1256*INDEX('Stages'!$D$2:$D$7,MATCH(F1256,'Stages'!$A$2:$A$7,0)))</f>
        <v>0</v>
      </c>
      <c r="T1256" s="4">
        <f>(H1256*I1256)</f>
        <v>45000</v>
      </c>
      <c r="U1256" s="4">
        <f>(H1256*(I1256-1))</f>
        <v>0</v>
      </c>
      <c r="V1256" s="0" t="str">
        <f>INDEX('Account executives'!$B$2:$B$25,MATCH(C1256,'Account executives'!$A$2:$A$25,0))</f>
        <v>amer_east</v>
      </c>
      <c r="W1256" s="0" t="str">
        <f>INDEX('Account executives'!$C$2:$C$25,MATCH(C1256,'Account executives'!$A$2:$A$25,0))</f>
        <v>enterprise</v>
      </c>
      <c r="X1256" s="0" t="str">
        <f>SUBSTITUTE(LOWER(INDEX('Periods'!$G$2:$G$22,MATCH(N1256,'Periods'!$A$2:$A$22,0)))," ","_")</f>
        <v>q2_2026</v>
      </c>
    </row>
    <row r="1257">
      <c r="A1257" s="0" t="inlineStr">
        <is>
          <t xml:space="preserve">o1256</t>
        </is>
      </c>
      <c r="B1257" s="0" t="inlineStr">
        <is>
          <t xml:space="preserve">a0206</t>
        </is>
      </c>
      <c r="C1257" s="0" t="inlineStr">
        <is>
          <t xml:space="preserve">r15</t>
        </is>
      </c>
      <c r="D1257" s="0" t="inlineStr">
        <is>
          <t xml:space="preserve">s_emea_in</t>
        </is>
      </c>
      <c r="E1257" s="0" t="inlineStr">
        <is>
          <t xml:space="preserve">paid</t>
        </is>
      </c>
      <c r="F1257" s="0" t="inlineStr">
        <is>
          <t xml:space="preserve">closed_won</t>
        </is>
      </c>
      <c r="G1257" s="4">
        <v>0</v>
      </c>
      <c r="H1257" s="4">
        <v>28700</v>
      </c>
      <c r="I1257" s="4">
        <v>1</v>
      </c>
      <c r="J1257" s="4">
        <v>0</v>
      </c>
      <c r="K1257" s="16">
        <v>45917</v>
      </c>
      <c r="L1257" s="16">
        <v>45980</v>
      </c>
      <c r="M1257" s="0" t="inlineStr">
        <is>
          <t xml:space="preserve">sep25</t>
        </is>
      </c>
      <c r="N1257" s="0" t="inlineStr">
        <is>
          <t xml:space="preserve">nov25</t>
        </is>
      </c>
      <c r="O1257" s="4">
        <v>63</v>
      </c>
      <c r="P1257" s="4">
        <v>1</v>
      </c>
      <c r="Q1257" s="4">
        <v>0</v>
      </c>
      <c r="R1257" s="4">
        <v>0</v>
      </c>
      <c r="S1257" s="4">
        <f>(H1257*INDEX('Stages'!$D$2:$D$7,MATCH(F1257,'Stages'!$A$2:$A$7,0)))</f>
        <v>28700</v>
      </c>
      <c r="T1257" s="4">
        <f>(H1257*I1257)</f>
        <v>28700</v>
      </c>
      <c r="U1257" s="4">
        <f>(H1257*(I1257-1))</f>
        <v>0</v>
      </c>
      <c r="V1257" s="0" t="str">
        <f>INDEX('Account executives'!$B$2:$B$25,MATCH(C1257,'Account executives'!$A$2:$A$25,0))</f>
        <v>emea</v>
      </c>
      <c r="W1257" s="0" t="str">
        <f>INDEX('Account executives'!$C$2:$C$25,MATCH(C1257,'Account executives'!$A$2:$A$25,0))</f>
        <v>mid_market</v>
      </c>
      <c r="X1257" s="0" t="str">
        <f>SUBSTITUTE(LOWER(INDEX('Periods'!$G$2:$G$22,MATCH(N1257,'Periods'!$A$2:$A$22,0)))," ","_")</f>
        <v>q4_2025</v>
      </c>
    </row>
    <row r="1258">
      <c r="A1258" s="0" t="inlineStr">
        <is>
          <t xml:space="preserve">o1257</t>
        </is>
      </c>
      <c r="B1258" s="0" t="inlineStr">
        <is>
          <t xml:space="preserve">a0740</t>
        </is>
      </c>
      <c r="C1258" s="0" t="inlineStr">
        <is>
          <t xml:space="preserve">r05</t>
        </is>
      </c>
      <c r="D1258" s="0" t="inlineStr">
        <is>
          <t xml:space="preserve">s_amer_east_in</t>
        </is>
      </c>
      <c r="E1258" s="0" t="inlineStr">
        <is>
          <t xml:space="preserve">inbound</t>
        </is>
      </c>
      <c r="F1258" s="0" t="inlineStr">
        <is>
          <t xml:space="preserve">closed_lost</t>
        </is>
      </c>
      <c r="G1258" s="4">
        <v>0</v>
      </c>
      <c r="H1258" s="4">
        <v>7500</v>
      </c>
      <c r="I1258" s="4">
        <v>1</v>
      </c>
      <c r="J1258" s="4">
        <v>0</v>
      </c>
      <c r="K1258" s="16">
        <v>46139</v>
      </c>
      <c r="L1258" s="16">
        <v>46181</v>
      </c>
      <c r="M1258" s="0" t="inlineStr">
        <is>
          <t xml:space="preserve">apr26</t>
        </is>
      </c>
      <c r="N1258" s="0" t="inlineStr">
        <is>
          <t xml:space="preserve">jun26</t>
        </is>
      </c>
      <c r="O1258" s="4">
        <v>42</v>
      </c>
      <c r="P1258" s="4">
        <v>0</v>
      </c>
      <c r="Q1258" s="4">
        <v>1</v>
      </c>
      <c r="R1258" s="4">
        <v>0</v>
      </c>
      <c r="S1258" s="4">
        <f>(H1258*INDEX('Stages'!$D$2:$D$7,MATCH(F1258,'Stages'!$A$2:$A$7,0)))</f>
        <v>0</v>
      </c>
      <c r="T1258" s="4">
        <f>(H1258*I1258)</f>
        <v>7500</v>
      </c>
      <c r="U1258" s="4">
        <f>(H1258*(I1258-1))</f>
        <v>0</v>
      </c>
      <c r="V1258" s="0" t="str">
        <f>INDEX('Account executives'!$B$2:$B$25,MATCH(C1258,'Account executives'!$A$2:$A$25,0))</f>
        <v>amer_east</v>
      </c>
      <c r="W1258" s="0" t="str">
        <f>INDEX('Account executives'!$C$2:$C$25,MATCH(C1258,'Account executives'!$A$2:$A$25,0))</f>
        <v>smb</v>
      </c>
      <c r="X1258" s="0" t="str">
        <f>SUBSTITUTE(LOWER(INDEX('Periods'!$G$2:$G$22,MATCH(N1258,'Periods'!$A$2:$A$22,0)))," ","_")</f>
        <v>q2_2026</v>
      </c>
    </row>
    <row r="1259">
      <c r="A1259" s="0" t="inlineStr">
        <is>
          <t xml:space="preserve">o1258</t>
        </is>
      </c>
      <c r="B1259" s="0" t="inlineStr">
        <is>
          <t xml:space="preserve">a1052</t>
        </is>
      </c>
      <c r="C1259" s="0" t="inlineStr">
        <is>
          <t xml:space="preserve">r22</t>
        </is>
      </c>
      <c r="D1259" s="0"/>
      <c r="E1259" s="0" t="inlineStr">
        <is>
          <t xml:space="preserve">partner</t>
        </is>
      </c>
      <c r="F1259" s="0" t="inlineStr">
        <is>
          <t xml:space="preserve">closed_lost</t>
        </is>
      </c>
      <c r="G1259" s="4">
        <v>1</v>
      </c>
      <c r="H1259" s="4">
        <v>55500</v>
      </c>
      <c r="I1259" s="4">
        <v>2</v>
      </c>
      <c r="J1259" s="4">
        <v>0</v>
      </c>
      <c r="K1259" s="16">
        <v>46175</v>
      </c>
      <c r="L1259" s="16">
        <v>46251</v>
      </c>
      <c r="M1259" s="0" t="inlineStr">
        <is>
          <t xml:space="preserve">jun26</t>
        </is>
      </c>
      <c r="N1259" s="0" t="inlineStr">
        <is>
          <t xml:space="preserve">aug26</t>
        </is>
      </c>
      <c r="O1259" s="4">
        <v>76</v>
      </c>
      <c r="P1259" s="4">
        <v>0</v>
      </c>
      <c r="Q1259" s="4">
        <v>1</v>
      </c>
      <c r="R1259" s="4">
        <v>0</v>
      </c>
      <c r="S1259" s="4">
        <f>(H1259*INDEX('Stages'!$D$2:$D$7,MATCH(F1259,'Stages'!$A$2:$A$7,0)))</f>
        <v>0</v>
      </c>
      <c r="T1259" s="4">
        <f>(H1259*I1259)</f>
        <v>111000</v>
      </c>
      <c r="U1259" s="4">
        <f>(H1259*(I1259-1))</f>
        <v>55500</v>
      </c>
      <c r="V1259" s="0" t="str">
        <f>INDEX('Account executives'!$B$2:$B$25,MATCH(C1259,'Account executives'!$A$2:$A$25,0))</f>
        <v>apac</v>
      </c>
      <c r="W1259" s="0" t="str">
        <f>INDEX('Account executives'!$C$2:$C$25,MATCH(C1259,'Account executives'!$A$2:$A$25,0))</f>
        <v>mid_market</v>
      </c>
      <c r="X1259" s="0" t="str">
        <f>SUBSTITUTE(LOWER(INDEX('Periods'!$G$2:$G$22,MATCH(N1259,'Periods'!$A$2:$A$22,0)))," ","_")</f>
        <v>q3_2026</v>
      </c>
    </row>
    <row r="1260">
      <c r="A1260" s="0" t="inlineStr">
        <is>
          <t xml:space="preserve">o1259</t>
        </is>
      </c>
      <c r="B1260" s="0" t="inlineStr">
        <is>
          <t xml:space="preserve">a0012</t>
        </is>
      </c>
      <c r="C1260" s="0" t="inlineStr">
        <is>
          <t xml:space="preserve">r04</t>
        </is>
      </c>
      <c r="D1260" s="0"/>
      <c r="E1260" s="0" t="inlineStr">
        <is>
          <t xml:space="preserve">partner</t>
        </is>
      </c>
      <c r="F1260" s="0" t="inlineStr">
        <is>
          <t xml:space="preserve">closed_lost</t>
        </is>
      </c>
      <c r="G1260" s="4">
        <v>1</v>
      </c>
      <c r="H1260" s="4">
        <v>96300</v>
      </c>
      <c r="I1260" s="4">
        <v>1</v>
      </c>
      <c r="J1260" s="4">
        <v>0</v>
      </c>
      <c r="K1260" s="16">
        <v>45752</v>
      </c>
      <c r="L1260" s="16">
        <v>45776</v>
      </c>
      <c r="M1260" s="0" t="inlineStr">
        <is>
          <t xml:space="preserve">apr25</t>
        </is>
      </c>
      <c r="N1260" s="0" t="inlineStr">
        <is>
          <t xml:space="preserve">apr25</t>
        </is>
      </c>
      <c r="O1260" s="4">
        <v>24</v>
      </c>
      <c r="P1260" s="4">
        <v>0</v>
      </c>
      <c r="Q1260" s="4">
        <v>1</v>
      </c>
      <c r="R1260" s="4">
        <v>0</v>
      </c>
      <c r="S1260" s="4">
        <f>(H1260*INDEX('Stages'!$D$2:$D$7,MATCH(F1260,'Stages'!$A$2:$A$7,0)))</f>
        <v>0</v>
      </c>
      <c r="T1260" s="4">
        <f>(H1260*I1260)</f>
        <v>96300</v>
      </c>
      <c r="U1260" s="4">
        <f>(H1260*(I1260-1))</f>
        <v>0</v>
      </c>
      <c r="V1260" s="0" t="str">
        <f>INDEX('Account executives'!$B$2:$B$25,MATCH(C1260,'Account executives'!$A$2:$A$25,0))</f>
        <v>amer_east</v>
      </c>
      <c r="W1260" s="0" t="str">
        <f>INDEX('Account executives'!$C$2:$C$25,MATCH(C1260,'Account executives'!$A$2:$A$25,0))</f>
        <v>mid_market</v>
      </c>
      <c r="X1260" s="0" t="str">
        <f>SUBSTITUTE(LOWER(INDEX('Periods'!$G$2:$G$22,MATCH(N1260,'Periods'!$A$2:$A$22,0)))," ","_")</f>
        <v>q2_2025</v>
      </c>
    </row>
    <row r="1261">
      <c r="A1261" s="0" t="inlineStr">
        <is>
          <t xml:space="preserve">o1260</t>
        </is>
      </c>
      <c r="B1261" s="0" t="inlineStr">
        <is>
          <t xml:space="preserve">a0423</t>
        </is>
      </c>
      <c r="C1261" s="0" t="inlineStr">
        <is>
          <t xml:space="preserve">r06</t>
        </is>
      </c>
      <c r="D1261" s="0" t="inlineStr">
        <is>
          <t xml:space="preserve">s_amer_east_out</t>
        </is>
      </c>
      <c r="E1261" s="0" t="inlineStr">
        <is>
          <t xml:space="preserve">outbound</t>
        </is>
      </c>
      <c r="F1261" s="0" t="inlineStr">
        <is>
          <t xml:space="preserve">closed_lost</t>
        </is>
      </c>
      <c r="G1261" s="4">
        <v>0</v>
      </c>
      <c r="H1261" s="4">
        <v>5500</v>
      </c>
      <c r="I1261" s="4">
        <v>1</v>
      </c>
      <c r="J1261" s="4">
        <v>1</v>
      </c>
      <c r="K1261" s="16">
        <v>46209</v>
      </c>
      <c r="L1261" s="16">
        <v>46231</v>
      </c>
      <c r="M1261" s="0" t="inlineStr">
        <is>
          <t xml:space="preserve">jul26</t>
        </is>
      </c>
      <c r="N1261" s="0" t="inlineStr">
        <is>
          <t xml:space="preserve">jul26</t>
        </is>
      </c>
      <c r="O1261" s="4">
        <v>22</v>
      </c>
      <c r="P1261" s="4">
        <v>0</v>
      </c>
      <c r="Q1261" s="4">
        <v>1</v>
      </c>
      <c r="R1261" s="4">
        <v>0</v>
      </c>
      <c r="S1261" s="4">
        <f>(H1261*INDEX('Stages'!$D$2:$D$7,MATCH(F1261,'Stages'!$A$2:$A$7,0)))</f>
        <v>0</v>
      </c>
      <c r="T1261" s="4">
        <f>(H1261*I1261)</f>
        <v>5500</v>
      </c>
      <c r="U1261" s="4">
        <f>(H1261*(I1261-1))</f>
        <v>0</v>
      </c>
      <c r="V1261" s="0" t="str">
        <f>INDEX('Account executives'!$B$2:$B$25,MATCH(C1261,'Account executives'!$A$2:$A$25,0))</f>
        <v>amer_east</v>
      </c>
      <c r="W1261" s="0" t="str">
        <f>INDEX('Account executives'!$C$2:$C$25,MATCH(C1261,'Account executives'!$A$2:$A$25,0))</f>
        <v>smb</v>
      </c>
      <c r="X1261" s="0" t="str">
        <f>SUBSTITUTE(LOWER(INDEX('Periods'!$G$2:$G$22,MATCH(N1261,'Periods'!$A$2:$A$22,0)))," ","_")</f>
        <v>q3_2026</v>
      </c>
    </row>
    <row r="1262">
      <c r="A1262" s="0" t="inlineStr">
        <is>
          <t xml:space="preserve">o1261</t>
        </is>
      </c>
      <c r="B1262" s="0" t="inlineStr">
        <is>
          <t xml:space="preserve">a0909</t>
        </is>
      </c>
      <c r="C1262" s="0" t="inlineStr">
        <is>
          <t xml:space="preserve">r09</t>
        </is>
      </c>
      <c r="D1262" s="0" t="inlineStr">
        <is>
          <t xml:space="preserve">s_amer_west_in</t>
        </is>
      </c>
      <c r="E1262" s="0" t="inlineStr">
        <is>
          <t xml:space="preserve">inbound</t>
        </is>
      </c>
      <c r="F1262" s="0" t="inlineStr">
        <is>
          <t xml:space="preserve">negotiation</t>
        </is>
      </c>
      <c r="G1262" s="4">
        <v>1</v>
      </c>
      <c r="H1262" s="4">
        <v>45900</v>
      </c>
      <c r="I1262" s="4">
        <v>1</v>
      </c>
      <c r="J1262" s="4">
        <v>0</v>
      </c>
      <c r="K1262" s="16">
        <v>46158</v>
      </c>
      <c r="L1262" s="16">
        <v>46293</v>
      </c>
      <c r="M1262" s="0" t="inlineStr">
        <is>
          <t xml:space="preserve">may26</t>
        </is>
      </c>
      <c r="N1262" s="0" t="inlineStr">
        <is>
          <t xml:space="preserve">sep26</t>
        </is>
      </c>
      <c r="O1262" s="4">
        <v>135</v>
      </c>
      <c r="P1262" s="4">
        <v>0</v>
      </c>
      <c r="Q1262" s="4">
        <v>0</v>
      </c>
      <c r="R1262" s="4">
        <v>1</v>
      </c>
      <c r="S1262" s="4">
        <f>(H1262*INDEX('Stages'!$D$2:$D$7,MATCH(F1262,'Stages'!$A$2:$A$7,0)))</f>
        <v>34425</v>
      </c>
      <c r="T1262" s="4">
        <f>(H1262*I1262)</f>
        <v>45900</v>
      </c>
      <c r="U1262" s="4">
        <f>(H1262*(I1262-1))</f>
        <v>0</v>
      </c>
      <c r="V1262" s="0" t="str">
        <f>INDEX('Account executives'!$B$2:$B$25,MATCH(C1262,'Account executives'!$A$2:$A$25,0))</f>
        <v>amer_west</v>
      </c>
      <c r="W1262" s="0" t="str">
        <f>INDEX('Account executives'!$C$2:$C$25,MATCH(C1262,'Account executives'!$A$2:$A$25,0))</f>
        <v>mid_market</v>
      </c>
      <c r="X1262" s="0" t="str">
        <f>SUBSTITUTE(LOWER(INDEX('Periods'!$G$2:$G$22,MATCH(N1262,'Periods'!$A$2:$A$22,0)))," ","_")</f>
        <v>q3_2026</v>
      </c>
    </row>
    <row r="1263">
      <c r="A1263" s="0" t="inlineStr">
        <is>
          <t xml:space="preserve">o1262</t>
        </is>
      </c>
      <c r="B1263" s="0" t="inlineStr">
        <is>
          <t xml:space="preserve">a0084</t>
        </is>
      </c>
      <c r="C1263" s="0" t="inlineStr">
        <is>
          <t xml:space="preserve">r04</t>
        </is>
      </c>
      <c r="D1263" s="0"/>
      <c r="E1263" s="0" t="inlineStr">
        <is>
          <t xml:space="preserve">events</t>
        </is>
      </c>
      <c r="F1263" s="0" t="inlineStr">
        <is>
          <t xml:space="preserve">closed_lost</t>
        </is>
      </c>
      <c r="G1263" s="4">
        <v>1</v>
      </c>
      <c r="H1263" s="4">
        <v>29000</v>
      </c>
      <c r="I1263" s="4">
        <v>1</v>
      </c>
      <c r="J1263" s="4">
        <v>0</v>
      </c>
      <c r="K1263" s="16">
        <v>45786</v>
      </c>
      <c r="L1263" s="16">
        <v>45820</v>
      </c>
      <c r="M1263" s="0" t="inlineStr">
        <is>
          <t xml:space="preserve">may25</t>
        </is>
      </c>
      <c r="N1263" s="0" t="inlineStr">
        <is>
          <t xml:space="preserve">jun25</t>
        </is>
      </c>
      <c r="O1263" s="4">
        <v>34</v>
      </c>
      <c r="P1263" s="4">
        <v>0</v>
      </c>
      <c r="Q1263" s="4">
        <v>1</v>
      </c>
      <c r="R1263" s="4">
        <v>0</v>
      </c>
      <c r="S1263" s="4">
        <f>(H1263*INDEX('Stages'!$D$2:$D$7,MATCH(F1263,'Stages'!$A$2:$A$7,0)))</f>
        <v>0</v>
      </c>
      <c r="T1263" s="4">
        <f>(H1263*I1263)</f>
        <v>29000</v>
      </c>
      <c r="U1263" s="4">
        <f>(H1263*(I1263-1))</f>
        <v>0</v>
      </c>
      <c r="V1263" s="0" t="str">
        <f>INDEX('Account executives'!$B$2:$B$25,MATCH(C1263,'Account executives'!$A$2:$A$25,0))</f>
        <v>amer_east</v>
      </c>
      <c r="W1263" s="0" t="str">
        <f>INDEX('Account executives'!$C$2:$C$25,MATCH(C1263,'Account executives'!$A$2:$A$25,0))</f>
        <v>mid_market</v>
      </c>
      <c r="X1263" s="0" t="str">
        <f>SUBSTITUTE(LOWER(INDEX('Periods'!$G$2:$G$22,MATCH(N1263,'Periods'!$A$2:$A$22,0)))," ","_")</f>
        <v>q2_2025</v>
      </c>
    </row>
    <row r="1264">
      <c r="A1264" s="0" t="inlineStr">
        <is>
          <t xml:space="preserve">o1263</t>
        </is>
      </c>
      <c r="B1264" s="0" t="inlineStr">
        <is>
          <t xml:space="preserve">a0809</t>
        </is>
      </c>
      <c r="C1264" s="0" t="inlineStr">
        <is>
          <t xml:space="preserve">r05</t>
        </is>
      </c>
      <c r="D1264" s="0" t="inlineStr">
        <is>
          <t xml:space="preserve">s_amer_east_in</t>
        </is>
      </c>
      <c r="E1264" s="0" t="inlineStr">
        <is>
          <t xml:space="preserve">inbound</t>
        </is>
      </c>
      <c r="F1264" s="0" t="inlineStr">
        <is>
          <t xml:space="preserve">closed_lost</t>
        </is>
      </c>
      <c r="G1264" s="4">
        <v>1</v>
      </c>
      <c r="H1264" s="4">
        <v>11700</v>
      </c>
      <c r="I1264" s="4">
        <v>1</v>
      </c>
      <c r="J1264" s="4">
        <v>1</v>
      </c>
      <c r="K1264" s="16">
        <v>46123</v>
      </c>
      <c r="L1264" s="16">
        <v>46156</v>
      </c>
      <c r="M1264" s="0" t="inlineStr">
        <is>
          <t xml:space="preserve">apr26</t>
        </is>
      </c>
      <c r="N1264" s="0" t="inlineStr">
        <is>
          <t xml:space="preserve">may26</t>
        </is>
      </c>
      <c r="O1264" s="4">
        <v>33</v>
      </c>
      <c r="P1264" s="4">
        <v>0</v>
      </c>
      <c r="Q1264" s="4">
        <v>1</v>
      </c>
      <c r="R1264" s="4">
        <v>0</v>
      </c>
      <c r="S1264" s="4">
        <f>(H1264*INDEX('Stages'!$D$2:$D$7,MATCH(F1264,'Stages'!$A$2:$A$7,0)))</f>
        <v>0</v>
      </c>
      <c r="T1264" s="4">
        <f>(H1264*I1264)</f>
        <v>11700</v>
      </c>
      <c r="U1264" s="4">
        <f>(H1264*(I1264-1))</f>
        <v>0</v>
      </c>
      <c r="V1264" s="0" t="str">
        <f>INDEX('Account executives'!$B$2:$B$25,MATCH(C1264,'Account executives'!$A$2:$A$25,0))</f>
        <v>amer_east</v>
      </c>
      <c r="W1264" s="0" t="str">
        <f>INDEX('Account executives'!$C$2:$C$25,MATCH(C1264,'Account executives'!$A$2:$A$25,0))</f>
        <v>smb</v>
      </c>
      <c r="X1264" s="0" t="str">
        <f>SUBSTITUTE(LOWER(INDEX('Periods'!$G$2:$G$22,MATCH(N1264,'Periods'!$A$2:$A$22,0)))," ","_")</f>
        <v>q2_2026</v>
      </c>
    </row>
    <row r="1265">
      <c r="A1265" s="0" t="inlineStr">
        <is>
          <t xml:space="preserve">o1264</t>
        </is>
      </c>
      <c r="B1265" s="0" t="inlineStr">
        <is>
          <t xml:space="preserve">a1120</t>
        </is>
      </c>
      <c r="C1265" s="0" t="inlineStr">
        <is>
          <t xml:space="preserve">r18</t>
        </is>
      </c>
      <c r="D1265" s="0" t="inlineStr">
        <is>
          <t xml:space="preserve">s_emea_in</t>
        </is>
      </c>
      <c r="E1265" s="0" t="inlineStr">
        <is>
          <t xml:space="preserve">inbound</t>
        </is>
      </c>
      <c r="F1265" s="0" t="inlineStr">
        <is>
          <t xml:space="preserve">closed_lost</t>
        </is>
      </c>
      <c r="G1265" s="4">
        <v>1</v>
      </c>
      <c r="H1265" s="4">
        <v>13500</v>
      </c>
      <c r="I1265" s="4">
        <v>1</v>
      </c>
      <c r="J1265" s="4">
        <v>0</v>
      </c>
      <c r="K1265" s="16">
        <v>46216</v>
      </c>
      <c r="L1265" s="16">
        <v>46223</v>
      </c>
      <c r="M1265" s="0" t="inlineStr">
        <is>
          <t xml:space="preserve">jul26</t>
        </is>
      </c>
      <c r="N1265" s="0" t="inlineStr">
        <is>
          <t xml:space="preserve">jul26</t>
        </is>
      </c>
      <c r="O1265" s="4">
        <v>7</v>
      </c>
      <c r="P1265" s="4">
        <v>0</v>
      </c>
      <c r="Q1265" s="4">
        <v>1</v>
      </c>
      <c r="R1265" s="4">
        <v>0</v>
      </c>
      <c r="S1265" s="4">
        <f>(H1265*INDEX('Stages'!$D$2:$D$7,MATCH(F1265,'Stages'!$A$2:$A$7,0)))</f>
        <v>0</v>
      </c>
      <c r="T1265" s="4">
        <f>(H1265*I1265)</f>
        <v>13500</v>
      </c>
      <c r="U1265" s="4">
        <f>(H1265*(I1265-1))</f>
        <v>0</v>
      </c>
      <c r="V1265" s="0" t="str">
        <f>INDEX('Account executives'!$B$2:$B$25,MATCH(C1265,'Account executives'!$A$2:$A$25,0))</f>
        <v>emea</v>
      </c>
      <c r="W1265" s="0" t="str">
        <f>INDEX('Account executives'!$C$2:$C$25,MATCH(C1265,'Account executives'!$A$2:$A$25,0))</f>
        <v>smb</v>
      </c>
      <c r="X1265" s="0" t="str">
        <f>SUBSTITUTE(LOWER(INDEX('Periods'!$G$2:$G$22,MATCH(N1265,'Periods'!$A$2:$A$22,0)))," ","_")</f>
        <v>q3_2026</v>
      </c>
    </row>
    <row r="1266">
      <c r="A1266" s="0" t="inlineStr">
        <is>
          <t xml:space="preserve">o1265</t>
        </is>
      </c>
      <c r="B1266" s="0" t="inlineStr">
        <is>
          <t xml:space="preserve">a0592</t>
        </is>
      </c>
      <c r="C1266" s="0" t="inlineStr">
        <is>
          <t xml:space="preserve">r18</t>
        </is>
      </c>
      <c r="D1266" s="0"/>
      <c r="E1266" s="0" t="inlineStr">
        <is>
          <t xml:space="preserve">partner</t>
        </is>
      </c>
      <c r="F1266" s="0" t="inlineStr">
        <is>
          <t xml:space="preserve">closed_lost</t>
        </is>
      </c>
      <c r="G1266" s="4">
        <v>1</v>
      </c>
      <c r="H1266" s="4">
        <v>22500</v>
      </c>
      <c r="I1266" s="4">
        <v>1</v>
      </c>
      <c r="J1266" s="4">
        <v>1</v>
      </c>
      <c r="K1266" s="16">
        <v>45994</v>
      </c>
      <c r="L1266" s="16">
        <v>46034</v>
      </c>
      <c r="M1266" s="0" t="inlineStr">
        <is>
          <t xml:space="preserve">dec25</t>
        </is>
      </c>
      <c r="N1266" s="0" t="inlineStr">
        <is>
          <t xml:space="preserve">jan26</t>
        </is>
      </c>
      <c r="O1266" s="4">
        <v>40</v>
      </c>
      <c r="P1266" s="4">
        <v>0</v>
      </c>
      <c r="Q1266" s="4">
        <v>1</v>
      </c>
      <c r="R1266" s="4">
        <v>0</v>
      </c>
      <c r="S1266" s="4">
        <f>(H1266*INDEX('Stages'!$D$2:$D$7,MATCH(F1266,'Stages'!$A$2:$A$7,0)))</f>
        <v>0</v>
      </c>
      <c r="T1266" s="4">
        <f>(H1266*I1266)</f>
        <v>22500</v>
      </c>
      <c r="U1266" s="4">
        <f>(H1266*(I1266-1))</f>
        <v>0</v>
      </c>
      <c r="V1266" s="0" t="str">
        <f>INDEX('Account executives'!$B$2:$B$25,MATCH(C1266,'Account executives'!$A$2:$A$25,0))</f>
        <v>emea</v>
      </c>
      <c r="W1266" s="0" t="str">
        <f>INDEX('Account executives'!$C$2:$C$25,MATCH(C1266,'Account executives'!$A$2:$A$25,0))</f>
        <v>smb</v>
      </c>
      <c r="X1266" s="0" t="str">
        <f>SUBSTITUTE(LOWER(INDEX('Periods'!$G$2:$G$22,MATCH(N1266,'Periods'!$A$2:$A$22,0)))," ","_")</f>
        <v>q1_2026</v>
      </c>
    </row>
    <row r="1267">
      <c r="A1267" s="0" t="inlineStr">
        <is>
          <t xml:space="preserve">o1266</t>
        </is>
      </c>
      <c r="B1267" s="0" t="inlineStr">
        <is>
          <t xml:space="preserve">a0134</t>
        </is>
      </c>
      <c r="C1267" s="0" t="inlineStr">
        <is>
          <t xml:space="preserve">r16</t>
        </is>
      </c>
      <c r="D1267" s="0" t="inlineStr">
        <is>
          <t xml:space="preserve">s_emea_out</t>
        </is>
      </c>
      <c r="E1267" s="0" t="inlineStr">
        <is>
          <t xml:space="preserve">outbound</t>
        </is>
      </c>
      <c r="F1267" s="0" t="inlineStr">
        <is>
          <t xml:space="preserve">closed_won</t>
        </is>
      </c>
      <c r="G1267" s="4">
        <v>0</v>
      </c>
      <c r="H1267" s="4">
        <v>23700</v>
      </c>
      <c r="I1267" s="4">
        <v>1</v>
      </c>
      <c r="J1267" s="4">
        <v>0</v>
      </c>
      <c r="K1267" s="16">
        <v>45779</v>
      </c>
      <c r="L1267" s="16">
        <v>45837</v>
      </c>
      <c r="M1267" s="0" t="inlineStr">
        <is>
          <t xml:space="preserve">may25</t>
        </is>
      </c>
      <c r="N1267" s="0" t="inlineStr">
        <is>
          <t xml:space="preserve">jun25</t>
        </is>
      </c>
      <c r="O1267" s="4">
        <v>58</v>
      </c>
      <c r="P1267" s="4">
        <v>1</v>
      </c>
      <c r="Q1267" s="4">
        <v>0</v>
      </c>
      <c r="R1267" s="4">
        <v>0</v>
      </c>
      <c r="S1267" s="4">
        <f>(H1267*INDEX('Stages'!$D$2:$D$7,MATCH(F1267,'Stages'!$A$2:$A$7,0)))</f>
        <v>23700</v>
      </c>
      <c r="T1267" s="4">
        <f>(H1267*I1267)</f>
        <v>23700</v>
      </c>
      <c r="U1267" s="4">
        <f>(H1267*(I1267-1))</f>
        <v>0</v>
      </c>
      <c r="V1267" s="0" t="str">
        <f>INDEX('Account executives'!$B$2:$B$25,MATCH(C1267,'Account executives'!$A$2:$A$25,0))</f>
        <v>emea</v>
      </c>
      <c r="W1267" s="0" t="str">
        <f>INDEX('Account executives'!$C$2:$C$25,MATCH(C1267,'Account executives'!$A$2:$A$25,0))</f>
        <v>mid_market</v>
      </c>
      <c r="X1267" s="0" t="str">
        <f>SUBSTITUTE(LOWER(INDEX('Periods'!$G$2:$G$22,MATCH(N1267,'Periods'!$A$2:$A$22,0)))," ","_")</f>
        <v>q2_2025</v>
      </c>
    </row>
    <row r="1268">
      <c r="A1268" s="0" t="inlineStr">
        <is>
          <t xml:space="preserve">o1267</t>
        </is>
      </c>
      <c r="B1268" s="0" t="inlineStr">
        <is>
          <t xml:space="preserve">a0923</t>
        </is>
      </c>
      <c r="C1268" s="0" t="inlineStr">
        <is>
          <t xml:space="preserve">r12</t>
        </is>
      </c>
      <c r="D1268" s="0"/>
      <c r="E1268" s="0" t="inlineStr">
        <is>
          <t xml:space="preserve">partner</t>
        </is>
      </c>
      <c r="F1268" s="0" t="inlineStr">
        <is>
          <t xml:space="preserve">negotiation</t>
        </is>
      </c>
      <c r="G1268" s="4">
        <v>1</v>
      </c>
      <c r="H1268" s="4">
        <v>9300</v>
      </c>
      <c r="I1268" s="4">
        <v>1</v>
      </c>
      <c r="J1268" s="4">
        <v>0</v>
      </c>
      <c r="K1268" s="16">
        <v>46165</v>
      </c>
      <c r="L1268" s="16">
        <v>46293</v>
      </c>
      <c r="M1268" s="0" t="inlineStr">
        <is>
          <t xml:space="preserve">may26</t>
        </is>
      </c>
      <c r="N1268" s="0" t="inlineStr">
        <is>
          <t xml:space="preserve">sep26</t>
        </is>
      </c>
      <c r="O1268" s="4">
        <v>128</v>
      </c>
      <c r="P1268" s="4">
        <v>0</v>
      </c>
      <c r="Q1268" s="4">
        <v>0</v>
      </c>
      <c r="R1268" s="4">
        <v>1</v>
      </c>
      <c r="S1268" s="4">
        <f>(H1268*INDEX('Stages'!$D$2:$D$7,MATCH(F1268,'Stages'!$A$2:$A$7,0)))</f>
        <v>6975</v>
      </c>
      <c r="T1268" s="4">
        <f>(H1268*I1268)</f>
        <v>9300</v>
      </c>
      <c r="U1268" s="4">
        <f>(H1268*(I1268-1))</f>
        <v>0</v>
      </c>
      <c r="V1268" s="0" t="str">
        <f>INDEX('Account executives'!$B$2:$B$25,MATCH(C1268,'Account executives'!$A$2:$A$25,0))</f>
        <v>amer_west</v>
      </c>
      <c r="W1268" s="0" t="str">
        <f>INDEX('Account executives'!$C$2:$C$25,MATCH(C1268,'Account executives'!$A$2:$A$25,0))</f>
        <v>smb</v>
      </c>
      <c r="X1268" s="0" t="str">
        <f>SUBSTITUTE(LOWER(INDEX('Periods'!$G$2:$G$22,MATCH(N1268,'Periods'!$A$2:$A$22,0)))," ","_")</f>
        <v>q3_2026</v>
      </c>
    </row>
    <row r="1269">
      <c r="A1269" s="0" t="inlineStr">
        <is>
          <t xml:space="preserve">o1268</t>
        </is>
      </c>
      <c r="B1269" s="0" t="inlineStr">
        <is>
          <t xml:space="preserve">a1222</t>
        </is>
      </c>
      <c r="C1269" s="0" t="inlineStr">
        <is>
          <t xml:space="preserve">r06</t>
        </is>
      </c>
      <c r="D1269" s="0" t="inlineStr">
        <is>
          <t xml:space="preserve">s_amer_east_in</t>
        </is>
      </c>
      <c r="E1269" s="0" t="inlineStr">
        <is>
          <t xml:space="preserve">paid</t>
        </is>
      </c>
      <c r="F1269" s="0" t="inlineStr">
        <is>
          <t xml:space="preserve">discovery</t>
        </is>
      </c>
      <c r="G1269" s="4">
        <v>1</v>
      </c>
      <c r="H1269" s="4">
        <v>9700</v>
      </c>
      <c r="I1269" s="4">
        <v>1</v>
      </c>
      <c r="J1269" s="4">
        <v>0</v>
      </c>
      <c r="K1269" s="16">
        <v>46269</v>
      </c>
      <c r="L1269" s="16">
        <v>46293</v>
      </c>
      <c r="M1269" s="0" t="inlineStr">
        <is>
          <t xml:space="preserve">sep26</t>
        </is>
      </c>
      <c r="N1269" s="0" t="inlineStr">
        <is>
          <t xml:space="preserve">sep26</t>
        </is>
      </c>
      <c r="O1269" s="4">
        <v>26</v>
      </c>
      <c r="P1269" s="4">
        <v>0</v>
      </c>
      <c r="Q1269" s="4">
        <v>0</v>
      </c>
      <c r="R1269" s="4">
        <v>1</v>
      </c>
      <c r="S1269" s="4">
        <f>(H1269*INDEX('Stages'!$D$2:$D$7,MATCH(F1269,'Stages'!$A$2:$A$7,0)))</f>
        <v>970</v>
      </c>
      <c r="T1269" s="4">
        <f>(H1269*I1269)</f>
        <v>9700</v>
      </c>
      <c r="U1269" s="4">
        <f>(H1269*(I1269-1))</f>
        <v>0</v>
      </c>
      <c r="V1269" s="0" t="str">
        <f>INDEX('Account executives'!$B$2:$B$25,MATCH(C1269,'Account executives'!$A$2:$A$25,0))</f>
        <v>amer_east</v>
      </c>
      <c r="W1269" s="0" t="str">
        <f>INDEX('Account executives'!$C$2:$C$25,MATCH(C1269,'Account executives'!$A$2:$A$25,0))</f>
        <v>smb</v>
      </c>
      <c r="X1269" s="0" t="str">
        <f>SUBSTITUTE(LOWER(INDEX('Periods'!$G$2:$G$22,MATCH(N1269,'Periods'!$A$2:$A$22,0)))," ","_")</f>
        <v>q3_2026</v>
      </c>
    </row>
    <row r="1270">
      <c r="A1270" s="0" t="inlineStr">
        <is>
          <t xml:space="preserve">o1269</t>
        </is>
      </c>
      <c r="B1270" s="0" t="inlineStr">
        <is>
          <t xml:space="preserve">a0910</t>
        </is>
      </c>
      <c r="C1270" s="0" t="inlineStr">
        <is>
          <t xml:space="preserve">r09</t>
        </is>
      </c>
      <c r="D1270" s="0"/>
      <c r="E1270" s="0" t="inlineStr">
        <is>
          <t xml:space="preserve">partner</t>
        </is>
      </c>
      <c r="F1270" s="0" t="inlineStr">
        <is>
          <t xml:space="preserve">closed_lost</t>
        </is>
      </c>
      <c r="G1270" s="4">
        <v>0</v>
      </c>
      <c r="H1270" s="4">
        <v>12500</v>
      </c>
      <c r="I1270" s="4">
        <v>2</v>
      </c>
      <c r="J1270" s="4">
        <v>0</v>
      </c>
      <c r="K1270" s="16">
        <v>46170</v>
      </c>
      <c r="L1270" s="16">
        <v>46246</v>
      </c>
      <c r="M1270" s="0" t="inlineStr">
        <is>
          <t xml:space="preserve">may26</t>
        </is>
      </c>
      <c r="N1270" s="0" t="inlineStr">
        <is>
          <t xml:space="preserve">aug26</t>
        </is>
      </c>
      <c r="O1270" s="4">
        <v>76</v>
      </c>
      <c r="P1270" s="4">
        <v>0</v>
      </c>
      <c r="Q1270" s="4">
        <v>1</v>
      </c>
      <c r="R1270" s="4">
        <v>0</v>
      </c>
      <c r="S1270" s="4">
        <f>(H1270*INDEX('Stages'!$D$2:$D$7,MATCH(F1270,'Stages'!$A$2:$A$7,0)))</f>
        <v>0</v>
      </c>
      <c r="T1270" s="4">
        <f>(H1270*I1270)</f>
        <v>25000</v>
      </c>
      <c r="U1270" s="4">
        <f>(H1270*(I1270-1))</f>
        <v>12500</v>
      </c>
      <c r="V1270" s="0" t="str">
        <f>INDEX('Account executives'!$B$2:$B$25,MATCH(C1270,'Account executives'!$A$2:$A$25,0))</f>
        <v>amer_west</v>
      </c>
      <c r="W1270" s="0" t="str">
        <f>INDEX('Account executives'!$C$2:$C$25,MATCH(C1270,'Account executives'!$A$2:$A$25,0))</f>
        <v>mid_market</v>
      </c>
      <c r="X1270" s="0" t="str">
        <f>SUBSTITUTE(LOWER(INDEX('Periods'!$G$2:$G$22,MATCH(N1270,'Periods'!$A$2:$A$22,0)))," ","_")</f>
        <v>q3_2026</v>
      </c>
    </row>
    <row r="1271">
      <c r="A1271" s="0" t="inlineStr">
        <is>
          <t xml:space="preserve">o1270</t>
        </is>
      </c>
      <c r="B1271" s="0" t="inlineStr">
        <is>
          <t xml:space="preserve">a1081</t>
        </is>
      </c>
      <c r="C1271" s="0" t="inlineStr">
        <is>
          <t xml:space="preserve">r04</t>
        </is>
      </c>
      <c r="D1271" s="0"/>
      <c r="E1271" s="0" t="inlineStr">
        <is>
          <t xml:space="preserve">partner</t>
        </is>
      </c>
      <c r="F1271" s="0" t="inlineStr">
        <is>
          <t xml:space="preserve">closed_lost</t>
        </is>
      </c>
      <c r="G1271" s="4">
        <v>1</v>
      </c>
      <c r="H1271" s="4">
        <v>62700</v>
      </c>
      <c r="I1271" s="4">
        <v>1</v>
      </c>
      <c r="J1271" s="4">
        <v>0</v>
      </c>
      <c r="K1271" s="16">
        <v>46219</v>
      </c>
      <c r="L1271" s="16">
        <v>46267</v>
      </c>
      <c r="M1271" s="0" t="inlineStr">
        <is>
          <t xml:space="preserve">jul26</t>
        </is>
      </c>
      <c r="N1271" s="0" t="inlineStr">
        <is>
          <t xml:space="preserve">sep26</t>
        </is>
      </c>
      <c r="O1271" s="4">
        <v>48</v>
      </c>
      <c r="P1271" s="4">
        <v>0</v>
      </c>
      <c r="Q1271" s="4">
        <v>1</v>
      </c>
      <c r="R1271" s="4">
        <v>0</v>
      </c>
      <c r="S1271" s="4">
        <f>(H1271*INDEX('Stages'!$D$2:$D$7,MATCH(F1271,'Stages'!$A$2:$A$7,0)))</f>
        <v>0</v>
      </c>
      <c r="T1271" s="4">
        <f>(H1271*I1271)</f>
        <v>62700</v>
      </c>
      <c r="U1271" s="4">
        <f>(H1271*(I1271-1))</f>
        <v>0</v>
      </c>
      <c r="V1271" s="0" t="str">
        <f>INDEX('Account executives'!$B$2:$B$25,MATCH(C1271,'Account executives'!$A$2:$A$25,0))</f>
        <v>amer_east</v>
      </c>
      <c r="W1271" s="0" t="str">
        <f>INDEX('Account executives'!$C$2:$C$25,MATCH(C1271,'Account executives'!$A$2:$A$25,0))</f>
        <v>mid_market</v>
      </c>
      <c r="X1271" s="0" t="str">
        <f>SUBSTITUTE(LOWER(INDEX('Periods'!$G$2:$G$22,MATCH(N1271,'Periods'!$A$2:$A$22,0)))," ","_")</f>
        <v>q3_2026</v>
      </c>
    </row>
    <row r="1272">
      <c r="A1272" s="0" t="inlineStr">
        <is>
          <t xml:space="preserve">o1271</t>
        </is>
      </c>
      <c r="B1272" s="0" t="inlineStr">
        <is>
          <t xml:space="preserve">a0085</t>
        </is>
      </c>
      <c r="C1272" s="0" t="inlineStr">
        <is>
          <t xml:space="preserve">r05</t>
        </is>
      </c>
      <c r="D1272" s="0"/>
      <c r="E1272" s="0" t="inlineStr">
        <is>
          <t xml:space="preserve">events</t>
        </is>
      </c>
      <c r="F1272" s="0" t="inlineStr">
        <is>
          <t xml:space="preserve">closed_lost</t>
        </is>
      </c>
      <c r="G1272" s="4">
        <v>1</v>
      </c>
      <c r="H1272" s="4">
        <v>16700</v>
      </c>
      <c r="I1272" s="4">
        <v>1</v>
      </c>
      <c r="J1272" s="4">
        <v>0</v>
      </c>
      <c r="K1272" s="16">
        <v>45794</v>
      </c>
      <c r="L1272" s="16">
        <v>45811</v>
      </c>
      <c r="M1272" s="0" t="inlineStr">
        <is>
          <t xml:space="preserve">may25</t>
        </is>
      </c>
      <c r="N1272" s="0" t="inlineStr">
        <is>
          <t xml:space="preserve">jun25</t>
        </is>
      </c>
      <c r="O1272" s="4">
        <v>17</v>
      </c>
      <c r="P1272" s="4">
        <v>0</v>
      </c>
      <c r="Q1272" s="4">
        <v>1</v>
      </c>
      <c r="R1272" s="4">
        <v>0</v>
      </c>
      <c r="S1272" s="4">
        <f>(H1272*INDEX('Stages'!$D$2:$D$7,MATCH(F1272,'Stages'!$A$2:$A$7,0)))</f>
        <v>0</v>
      </c>
      <c r="T1272" s="4">
        <f>(H1272*I1272)</f>
        <v>16700</v>
      </c>
      <c r="U1272" s="4">
        <f>(H1272*(I1272-1))</f>
        <v>0</v>
      </c>
      <c r="V1272" s="0" t="str">
        <f>INDEX('Account executives'!$B$2:$B$25,MATCH(C1272,'Account executives'!$A$2:$A$25,0))</f>
        <v>amer_east</v>
      </c>
      <c r="W1272" s="0" t="str">
        <f>INDEX('Account executives'!$C$2:$C$25,MATCH(C1272,'Account executives'!$A$2:$A$25,0))</f>
        <v>smb</v>
      </c>
      <c r="X1272" s="0" t="str">
        <f>SUBSTITUTE(LOWER(INDEX('Periods'!$G$2:$G$22,MATCH(N1272,'Periods'!$A$2:$A$22,0)))," ","_")</f>
        <v>q2_2025</v>
      </c>
    </row>
    <row r="1273">
      <c r="A1273" s="0" t="inlineStr">
        <is>
          <t xml:space="preserve">o1272</t>
        </is>
      </c>
      <c r="B1273" s="0" t="inlineStr">
        <is>
          <t xml:space="preserve">a0532</t>
        </is>
      </c>
      <c r="C1273" s="0" t="inlineStr">
        <is>
          <t xml:space="preserve">r24</t>
        </is>
      </c>
      <c r="D1273" s="0"/>
      <c r="E1273" s="0" t="inlineStr">
        <is>
          <t xml:space="preserve">referral</t>
        </is>
      </c>
      <c r="F1273" s="0" t="inlineStr">
        <is>
          <t xml:space="preserve">closed_lost</t>
        </is>
      </c>
      <c r="G1273" s="4">
        <v>0</v>
      </c>
      <c r="H1273" s="4">
        <v>5600</v>
      </c>
      <c r="I1273" s="4">
        <v>1</v>
      </c>
      <c r="J1273" s="4">
        <v>0</v>
      </c>
      <c r="K1273" s="16">
        <v>46038</v>
      </c>
      <c r="L1273" s="16">
        <v>46065</v>
      </c>
      <c r="M1273" s="0" t="inlineStr">
        <is>
          <t xml:space="preserve">jan26</t>
        </is>
      </c>
      <c r="N1273" s="0" t="inlineStr">
        <is>
          <t xml:space="preserve">feb26</t>
        </is>
      </c>
      <c r="O1273" s="4">
        <v>27</v>
      </c>
      <c r="P1273" s="4">
        <v>0</v>
      </c>
      <c r="Q1273" s="4">
        <v>1</v>
      </c>
      <c r="R1273" s="4">
        <v>0</v>
      </c>
      <c r="S1273" s="4">
        <f>(H1273*INDEX('Stages'!$D$2:$D$7,MATCH(F1273,'Stages'!$A$2:$A$7,0)))</f>
        <v>0</v>
      </c>
      <c r="T1273" s="4">
        <f>(H1273*I1273)</f>
        <v>5600</v>
      </c>
      <c r="U1273" s="4">
        <f>(H1273*(I1273-1))</f>
        <v>0</v>
      </c>
      <c r="V1273" s="0" t="str">
        <f>INDEX('Account executives'!$B$2:$B$25,MATCH(C1273,'Account executives'!$A$2:$A$25,0))</f>
        <v>apac</v>
      </c>
      <c r="W1273" s="0" t="str">
        <f>INDEX('Account executives'!$C$2:$C$25,MATCH(C1273,'Account executives'!$A$2:$A$25,0))</f>
        <v>smb</v>
      </c>
      <c r="X1273" s="0" t="str">
        <f>SUBSTITUTE(LOWER(INDEX('Periods'!$G$2:$G$22,MATCH(N1273,'Periods'!$A$2:$A$22,0)))," ","_")</f>
        <v>q1_2026</v>
      </c>
    </row>
    <row r="1274">
      <c r="A1274" s="0" t="inlineStr">
        <is>
          <t xml:space="preserve">o1273</t>
        </is>
      </c>
      <c r="B1274" s="0" t="inlineStr">
        <is>
          <t xml:space="preserve">a0030</t>
        </is>
      </c>
      <c r="C1274" s="0" t="inlineStr">
        <is>
          <t xml:space="preserve">r12</t>
        </is>
      </c>
      <c r="D1274" s="0" t="inlineStr">
        <is>
          <t xml:space="preserve">s_amer_west_in</t>
        </is>
      </c>
      <c r="E1274" s="0" t="inlineStr">
        <is>
          <t xml:space="preserve">inbound</t>
        </is>
      </c>
      <c r="F1274" s="0" t="inlineStr">
        <is>
          <t xml:space="preserve">closed_lost</t>
        </is>
      </c>
      <c r="G1274" s="4">
        <v>0</v>
      </c>
      <c r="H1274" s="4">
        <v>3100</v>
      </c>
      <c r="I1274" s="4">
        <v>3</v>
      </c>
      <c r="J1274" s="4">
        <v>0</v>
      </c>
      <c r="K1274" s="16">
        <v>45783</v>
      </c>
      <c r="L1274" s="16">
        <v>45804</v>
      </c>
      <c r="M1274" s="0" t="inlineStr">
        <is>
          <t xml:space="preserve">may25</t>
        </is>
      </c>
      <c r="N1274" s="0" t="inlineStr">
        <is>
          <t xml:space="preserve">may25</t>
        </is>
      </c>
      <c r="O1274" s="4">
        <v>21</v>
      </c>
      <c r="P1274" s="4">
        <v>0</v>
      </c>
      <c r="Q1274" s="4">
        <v>1</v>
      </c>
      <c r="R1274" s="4">
        <v>0</v>
      </c>
      <c r="S1274" s="4">
        <f>(H1274*INDEX('Stages'!$D$2:$D$7,MATCH(F1274,'Stages'!$A$2:$A$7,0)))</f>
        <v>0</v>
      </c>
      <c r="T1274" s="4">
        <f>(H1274*I1274)</f>
        <v>9300</v>
      </c>
      <c r="U1274" s="4">
        <f>(H1274*(I1274-1))</f>
        <v>6200</v>
      </c>
      <c r="V1274" s="0" t="str">
        <f>INDEX('Account executives'!$B$2:$B$25,MATCH(C1274,'Account executives'!$A$2:$A$25,0))</f>
        <v>amer_west</v>
      </c>
      <c r="W1274" s="0" t="str">
        <f>INDEX('Account executives'!$C$2:$C$25,MATCH(C1274,'Account executives'!$A$2:$A$25,0))</f>
        <v>smb</v>
      </c>
      <c r="X1274" s="0" t="str">
        <f>SUBSTITUTE(LOWER(INDEX('Periods'!$G$2:$G$22,MATCH(N1274,'Periods'!$A$2:$A$22,0)))," ","_")</f>
        <v>q2_2025</v>
      </c>
    </row>
    <row r="1275">
      <c r="A1275" s="0" t="inlineStr">
        <is>
          <t xml:space="preserve">o1274</t>
        </is>
      </c>
      <c r="B1275" s="0" t="inlineStr">
        <is>
          <t xml:space="preserve">a0034</t>
        </is>
      </c>
      <c r="C1275" s="0" t="inlineStr">
        <is>
          <t xml:space="preserve">r12</t>
        </is>
      </c>
      <c r="D1275" s="0" t="inlineStr">
        <is>
          <t xml:space="preserve">s_amer_west_in</t>
        </is>
      </c>
      <c r="E1275" s="0" t="inlineStr">
        <is>
          <t xml:space="preserve">inbound</t>
        </is>
      </c>
      <c r="F1275" s="0" t="inlineStr">
        <is>
          <t xml:space="preserve">closed_lost</t>
        </is>
      </c>
      <c r="G1275" s="4">
        <v>0</v>
      </c>
      <c r="H1275" s="4">
        <v>7800</v>
      </c>
      <c r="I1275" s="4">
        <v>1</v>
      </c>
      <c r="J1275" s="4">
        <v>0</v>
      </c>
      <c r="K1275" s="16">
        <v>45880</v>
      </c>
      <c r="L1275" s="16">
        <v>45913</v>
      </c>
      <c r="M1275" s="0" t="inlineStr">
        <is>
          <t xml:space="preserve">aug25</t>
        </is>
      </c>
      <c r="N1275" s="0" t="inlineStr">
        <is>
          <t xml:space="preserve">sep25</t>
        </is>
      </c>
      <c r="O1275" s="4">
        <v>33</v>
      </c>
      <c r="P1275" s="4">
        <v>0</v>
      </c>
      <c r="Q1275" s="4">
        <v>1</v>
      </c>
      <c r="R1275" s="4">
        <v>0</v>
      </c>
      <c r="S1275" s="4">
        <f>(H1275*INDEX('Stages'!$D$2:$D$7,MATCH(F1275,'Stages'!$A$2:$A$7,0)))</f>
        <v>0</v>
      </c>
      <c r="T1275" s="4">
        <f>(H1275*I1275)</f>
        <v>7800</v>
      </c>
      <c r="U1275" s="4">
        <f>(H1275*(I1275-1))</f>
        <v>0</v>
      </c>
      <c r="V1275" s="0" t="str">
        <f>INDEX('Account executives'!$B$2:$B$25,MATCH(C1275,'Account executives'!$A$2:$A$25,0))</f>
        <v>amer_west</v>
      </c>
      <c r="W1275" s="0" t="str">
        <f>INDEX('Account executives'!$C$2:$C$25,MATCH(C1275,'Account executives'!$A$2:$A$25,0))</f>
        <v>smb</v>
      </c>
      <c r="X1275" s="0" t="str">
        <f>SUBSTITUTE(LOWER(INDEX('Periods'!$G$2:$G$22,MATCH(N1275,'Periods'!$A$2:$A$22,0)))," ","_")</f>
        <v>q3_2025</v>
      </c>
    </row>
    <row r="1276">
      <c r="A1276" s="0" t="inlineStr">
        <is>
          <t xml:space="preserve">o1275</t>
        </is>
      </c>
      <c r="B1276" s="0" t="inlineStr">
        <is>
          <t xml:space="preserve">a0621</t>
        </is>
      </c>
      <c r="C1276" s="0" t="inlineStr">
        <is>
          <t xml:space="preserve">r08</t>
        </is>
      </c>
      <c r="D1276" s="0" t="inlineStr">
        <is>
          <t xml:space="preserve">s_amer_west_in</t>
        </is>
      </c>
      <c r="E1276" s="0" t="inlineStr">
        <is>
          <t xml:space="preserve">inbound</t>
        </is>
      </c>
      <c r="F1276" s="0" t="inlineStr">
        <is>
          <t xml:space="preserve">closed_lost</t>
        </is>
      </c>
      <c r="G1276" s="4">
        <v>1</v>
      </c>
      <c r="H1276" s="4">
        <v>165200</v>
      </c>
      <c r="I1276" s="4">
        <v>2</v>
      </c>
      <c r="J1276" s="4">
        <v>0</v>
      </c>
      <c r="K1276" s="16">
        <v>46048</v>
      </c>
      <c r="L1276" s="16">
        <v>46201</v>
      </c>
      <c r="M1276" s="0" t="inlineStr">
        <is>
          <t xml:space="preserve">jan26</t>
        </is>
      </c>
      <c r="N1276" s="0" t="inlineStr">
        <is>
          <t xml:space="preserve">jun26</t>
        </is>
      </c>
      <c r="O1276" s="4">
        <v>153</v>
      </c>
      <c r="P1276" s="4">
        <v>0</v>
      </c>
      <c r="Q1276" s="4">
        <v>1</v>
      </c>
      <c r="R1276" s="4">
        <v>0</v>
      </c>
      <c r="S1276" s="4">
        <f>(H1276*INDEX('Stages'!$D$2:$D$7,MATCH(F1276,'Stages'!$A$2:$A$7,0)))</f>
        <v>0</v>
      </c>
      <c r="T1276" s="4">
        <f>(H1276*I1276)</f>
        <v>330400</v>
      </c>
      <c r="U1276" s="4">
        <f>(H1276*(I1276-1))</f>
        <v>165200</v>
      </c>
      <c r="V1276" s="0" t="str">
        <f>INDEX('Account executives'!$B$2:$B$25,MATCH(C1276,'Account executives'!$A$2:$A$25,0))</f>
        <v>amer_west</v>
      </c>
      <c r="W1276" s="0" t="str">
        <f>INDEX('Account executives'!$C$2:$C$25,MATCH(C1276,'Account executives'!$A$2:$A$25,0))</f>
        <v>enterprise</v>
      </c>
      <c r="X1276" s="0" t="str">
        <f>SUBSTITUTE(LOWER(INDEX('Periods'!$G$2:$G$22,MATCH(N1276,'Periods'!$A$2:$A$22,0)))," ","_")</f>
        <v>q2_2026</v>
      </c>
    </row>
    <row r="1277">
      <c r="A1277" s="0" t="inlineStr">
        <is>
          <t xml:space="preserve">o1276</t>
        </is>
      </c>
      <c r="B1277" s="0" t="inlineStr">
        <is>
          <t xml:space="preserve">a0387</t>
        </is>
      </c>
      <c r="C1277" s="0" t="inlineStr">
        <is>
          <t xml:space="preserve">r10</t>
        </is>
      </c>
      <c r="D1277" s="0" t="inlineStr">
        <is>
          <t xml:space="preserve">s_amer_west_in</t>
        </is>
      </c>
      <c r="E1277" s="0" t="inlineStr">
        <is>
          <t xml:space="preserve">paid</t>
        </is>
      </c>
      <c r="F1277" s="0" t="inlineStr">
        <is>
          <t xml:space="preserve">negotiation</t>
        </is>
      </c>
      <c r="G1277" s="4">
        <v>0</v>
      </c>
      <c r="H1277" s="4">
        <v>29700</v>
      </c>
      <c r="I1277" s="4">
        <v>1</v>
      </c>
      <c r="J1277" s="4">
        <v>0</v>
      </c>
      <c r="K1277" s="16">
        <v>46200</v>
      </c>
      <c r="L1277" s="16">
        <v>46293</v>
      </c>
      <c r="M1277" s="0" t="inlineStr">
        <is>
          <t xml:space="preserve">jun26</t>
        </is>
      </c>
      <c r="N1277" s="0" t="inlineStr">
        <is>
          <t xml:space="preserve">sep26</t>
        </is>
      </c>
      <c r="O1277" s="4">
        <v>93</v>
      </c>
      <c r="P1277" s="4">
        <v>0</v>
      </c>
      <c r="Q1277" s="4">
        <v>0</v>
      </c>
      <c r="R1277" s="4">
        <v>1</v>
      </c>
      <c r="S1277" s="4">
        <f>(H1277*INDEX('Stages'!$D$2:$D$7,MATCH(F1277,'Stages'!$A$2:$A$7,0)))</f>
        <v>22275</v>
      </c>
      <c r="T1277" s="4">
        <f>(H1277*I1277)</f>
        <v>29700</v>
      </c>
      <c r="U1277" s="4">
        <f>(H1277*(I1277-1))</f>
        <v>0</v>
      </c>
      <c r="V1277" s="0" t="str">
        <f>INDEX('Account executives'!$B$2:$B$25,MATCH(C1277,'Account executives'!$A$2:$A$25,0))</f>
        <v>amer_west</v>
      </c>
      <c r="W1277" s="0" t="str">
        <f>INDEX('Account executives'!$C$2:$C$25,MATCH(C1277,'Account executives'!$A$2:$A$25,0))</f>
        <v>mid_market</v>
      </c>
      <c r="X1277" s="0" t="str">
        <f>SUBSTITUTE(LOWER(INDEX('Periods'!$G$2:$G$22,MATCH(N1277,'Periods'!$A$2:$A$22,0)))," ","_")</f>
        <v>q3_2026</v>
      </c>
    </row>
    <row r="1278">
      <c r="A1278" s="0" t="inlineStr">
        <is>
          <t xml:space="preserve">o1277</t>
        </is>
      </c>
      <c r="B1278" s="0" t="inlineStr">
        <is>
          <t xml:space="preserve">a0469</t>
        </is>
      </c>
      <c r="C1278" s="0" t="inlineStr">
        <is>
          <t xml:space="preserve">r19</t>
        </is>
      </c>
      <c r="D1278" s="0"/>
      <c r="E1278" s="0" t="inlineStr">
        <is>
          <t xml:space="preserve">events</t>
        </is>
      </c>
      <c r="F1278" s="0" t="inlineStr">
        <is>
          <t xml:space="preserve">closed_lost</t>
        </is>
      </c>
      <c r="G1278" s="4">
        <v>1</v>
      </c>
      <c r="H1278" s="4">
        <v>79100</v>
      </c>
      <c r="I1278" s="4">
        <v>2</v>
      </c>
      <c r="J1278" s="4">
        <v>0</v>
      </c>
      <c r="K1278" s="16">
        <v>45943</v>
      </c>
      <c r="L1278" s="16">
        <v>46059</v>
      </c>
      <c r="M1278" s="0" t="inlineStr">
        <is>
          <t xml:space="preserve">oct25</t>
        </is>
      </c>
      <c r="N1278" s="0" t="inlineStr">
        <is>
          <t xml:space="preserve">feb26</t>
        </is>
      </c>
      <c r="O1278" s="4">
        <v>116</v>
      </c>
      <c r="P1278" s="4">
        <v>0</v>
      </c>
      <c r="Q1278" s="4">
        <v>1</v>
      </c>
      <c r="R1278" s="4">
        <v>0</v>
      </c>
      <c r="S1278" s="4">
        <f>(H1278*INDEX('Stages'!$D$2:$D$7,MATCH(F1278,'Stages'!$A$2:$A$7,0)))</f>
        <v>0</v>
      </c>
      <c r="T1278" s="4">
        <f>(H1278*I1278)</f>
        <v>158200</v>
      </c>
      <c r="U1278" s="4">
        <f>(H1278*(I1278-1))</f>
        <v>79100</v>
      </c>
      <c r="V1278" s="0" t="str">
        <f>INDEX('Account executives'!$B$2:$B$25,MATCH(C1278,'Account executives'!$A$2:$A$25,0))</f>
        <v>apac</v>
      </c>
      <c r="W1278" s="0" t="str">
        <f>INDEX('Account executives'!$C$2:$C$25,MATCH(C1278,'Account executives'!$A$2:$A$25,0))</f>
        <v>enterprise</v>
      </c>
      <c r="X1278" s="0" t="str">
        <f>SUBSTITUTE(LOWER(INDEX('Periods'!$G$2:$G$22,MATCH(N1278,'Periods'!$A$2:$A$22,0)))," ","_")</f>
        <v>q1_2026</v>
      </c>
    </row>
    <row r="1279">
      <c r="A1279" s="0" t="inlineStr">
        <is>
          <t xml:space="preserve">o1278</t>
        </is>
      </c>
      <c r="B1279" s="0" t="inlineStr">
        <is>
          <t xml:space="preserve">a0527</t>
        </is>
      </c>
      <c r="C1279" s="0" t="inlineStr">
        <is>
          <t xml:space="preserve">r24</t>
        </is>
      </c>
      <c r="D1279" s="0"/>
      <c r="E1279" s="0" t="inlineStr">
        <is>
          <t xml:space="preserve">partner</t>
        </is>
      </c>
      <c r="F1279" s="0" t="inlineStr">
        <is>
          <t xml:space="preserve">closed_lost</t>
        </is>
      </c>
      <c r="G1279" s="4">
        <v>1</v>
      </c>
      <c r="H1279" s="4">
        <v>14100</v>
      </c>
      <c r="I1279" s="4">
        <v>1</v>
      </c>
      <c r="J1279" s="4">
        <v>0</v>
      </c>
      <c r="K1279" s="16">
        <v>45978</v>
      </c>
      <c r="L1279" s="16">
        <v>46002</v>
      </c>
      <c r="M1279" s="0" t="inlineStr">
        <is>
          <t xml:space="preserve">nov25</t>
        </is>
      </c>
      <c r="N1279" s="0" t="inlineStr">
        <is>
          <t xml:space="preserve">dec25</t>
        </is>
      </c>
      <c r="O1279" s="4">
        <v>24</v>
      </c>
      <c r="P1279" s="4">
        <v>0</v>
      </c>
      <c r="Q1279" s="4">
        <v>1</v>
      </c>
      <c r="R1279" s="4">
        <v>0</v>
      </c>
      <c r="S1279" s="4">
        <f>(H1279*INDEX('Stages'!$D$2:$D$7,MATCH(F1279,'Stages'!$A$2:$A$7,0)))</f>
        <v>0</v>
      </c>
      <c r="T1279" s="4">
        <f>(H1279*I1279)</f>
        <v>14100</v>
      </c>
      <c r="U1279" s="4">
        <f>(H1279*(I1279-1))</f>
        <v>0</v>
      </c>
      <c r="V1279" s="0" t="str">
        <f>INDEX('Account executives'!$B$2:$B$25,MATCH(C1279,'Account executives'!$A$2:$A$25,0))</f>
        <v>apac</v>
      </c>
      <c r="W1279" s="0" t="str">
        <f>INDEX('Account executives'!$C$2:$C$25,MATCH(C1279,'Account executives'!$A$2:$A$25,0))</f>
        <v>smb</v>
      </c>
      <c r="X1279" s="0" t="str">
        <f>SUBSTITUTE(LOWER(INDEX('Periods'!$G$2:$G$22,MATCH(N1279,'Periods'!$A$2:$A$22,0)))," ","_")</f>
        <v>q4_2025</v>
      </c>
    </row>
    <row r="1280">
      <c r="A1280" s="0" t="inlineStr">
        <is>
          <t xml:space="preserve">o1279</t>
        </is>
      </c>
      <c r="B1280" s="0" t="inlineStr">
        <is>
          <t xml:space="preserve">a1180</t>
        </is>
      </c>
      <c r="C1280" s="0" t="inlineStr">
        <is>
          <t xml:space="preserve">r17</t>
        </is>
      </c>
      <c r="D1280" s="0"/>
      <c r="E1280" s="0" t="inlineStr">
        <is>
          <t xml:space="preserve">referral</t>
        </is>
      </c>
      <c r="F1280" s="0" t="inlineStr">
        <is>
          <t xml:space="preserve">proposal</t>
        </is>
      </c>
      <c r="G1280" s="4">
        <v>0</v>
      </c>
      <c r="H1280" s="4">
        <v>9400</v>
      </c>
      <c r="I1280" s="4">
        <v>1</v>
      </c>
      <c r="J1280" s="4">
        <v>0</v>
      </c>
      <c r="K1280" s="16">
        <v>46266</v>
      </c>
      <c r="L1280" s="16">
        <v>46293</v>
      </c>
      <c r="M1280" s="0" t="inlineStr">
        <is>
          <t xml:space="preserve">sep26</t>
        </is>
      </c>
      <c r="N1280" s="0" t="inlineStr">
        <is>
          <t xml:space="preserve">sep26</t>
        </is>
      </c>
      <c r="O1280" s="4">
        <v>30</v>
      </c>
      <c r="P1280" s="4">
        <v>0</v>
      </c>
      <c r="Q1280" s="4">
        <v>0</v>
      </c>
      <c r="R1280" s="4">
        <v>1</v>
      </c>
      <c r="S1280" s="4">
        <f>(H1280*INDEX('Stages'!$D$2:$D$7,MATCH(F1280,'Stages'!$A$2:$A$7,0)))</f>
        <v>4700</v>
      </c>
      <c r="T1280" s="4">
        <f>(H1280*I1280)</f>
        <v>9400</v>
      </c>
      <c r="U1280" s="4">
        <f>(H1280*(I1280-1))</f>
        <v>0</v>
      </c>
      <c r="V1280" s="0" t="str">
        <f>INDEX('Account executives'!$B$2:$B$25,MATCH(C1280,'Account executives'!$A$2:$A$25,0))</f>
        <v>emea</v>
      </c>
      <c r="W1280" s="0" t="str">
        <f>INDEX('Account executives'!$C$2:$C$25,MATCH(C1280,'Account executives'!$A$2:$A$25,0))</f>
        <v>smb</v>
      </c>
      <c r="X1280" s="0" t="str">
        <f>SUBSTITUTE(LOWER(INDEX('Periods'!$G$2:$G$22,MATCH(N1280,'Periods'!$A$2:$A$22,0)))," ","_")</f>
        <v>q3_2026</v>
      </c>
    </row>
    <row r="1281">
      <c r="A1281" s="0" t="inlineStr">
        <is>
          <t xml:space="preserve">o1280</t>
        </is>
      </c>
      <c r="B1281" s="0" t="inlineStr">
        <is>
          <t xml:space="preserve">a0125</t>
        </is>
      </c>
      <c r="C1281" s="0" t="inlineStr">
        <is>
          <t xml:space="preserve">r18</t>
        </is>
      </c>
      <c r="D1281" s="0"/>
      <c r="E1281" s="0" t="inlineStr">
        <is>
          <t xml:space="preserve">events</t>
        </is>
      </c>
      <c r="F1281" s="0" t="inlineStr">
        <is>
          <t xml:space="preserve">closed_lost</t>
        </is>
      </c>
      <c r="G1281" s="4">
        <v>1</v>
      </c>
      <c r="H1281" s="4">
        <v>12500</v>
      </c>
      <c r="I1281" s="4">
        <v>1</v>
      </c>
      <c r="J1281" s="4">
        <v>0</v>
      </c>
      <c r="K1281" s="16">
        <v>45801</v>
      </c>
      <c r="L1281" s="16">
        <v>45825</v>
      </c>
      <c r="M1281" s="0" t="inlineStr">
        <is>
          <t xml:space="preserve">may25</t>
        </is>
      </c>
      <c r="N1281" s="0" t="inlineStr">
        <is>
          <t xml:space="preserve">jun25</t>
        </is>
      </c>
      <c r="O1281" s="4">
        <v>24</v>
      </c>
      <c r="P1281" s="4">
        <v>0</v>
      </c>
      <c r="Q1281" s="4">
        <v>1</v>
      </c>
      <c r="R1281" s="4">
        <v>0</v>
      </c>
      <c r="S1281" s="4">
        <f>(H1281*INDEX('Stages'!$D$2:$D$7,MATCH(F1281,'Stages'!$A$2:$A$7,0)))</f>
        <v>0</v>
      </c>
      <c r="T1281" s="4">
        <f>(H1281*I1281)</f>
        <v>12500</v>
      </c>
      <c r="U1281" s="4">
        <f>(H1281*(I1281-1))</f>
        <v>0</v>
      </c>
      <c r="V1281" s="0" t="str">
        <f>INDEX('Account executives'!$B$2:$B$25,MATCH(C1281,'Account executives'!$A$2:$A$25,0))</f>
        <v>emea</v>
      </c>
      <c r="W1281" s="0" t="str">
        <f>INDEX('Account executives'!$C$2:$C$25,MATCH(C1281,'Account executives'!$A$2:$A$25,0))</f>
        <v>smb</v>
      </c>
      <c r="X1281" s="0" t="str">
        <f>SUBSTITUTE(LOWER(INDEX('Periods'!$G$2:$G$22,MATCH(N1281,'Periods'!$A$2:$A$22,0)))," ","_")</f>
        <v>q2_2025</v>
      </c>
    </row>
    <row r="1282">
      <c r="A1282" s="0" t="inlineStr">
        <is>
          <t xml:space="preserve">o1281</t>
        </is>
      </c>
      <c r="B1282" s="0" t="inlineStr">
        <is>
          <t xml:space="preserve">a1156</t>
        </is>
      </c>
      <c r="C1282" s="0" t="inlineStr">
        <is>
          <t xml:space="preserve">r04</t>
        </is>
      </c>
      <c r="D1282" s="0" t="inlineStr">
        <is>
          <t xml:space="preserve">s_amer_east_in</t>
        </is>
      </c>
      <c r="E1282" s="0" t="inlineStr">
        <is>
          <t xml:space="preserve">paid</t>
        </is>
      </c>
      <c r="F1282" s="0" t="inlineStr">
        <is>
          <t xml:space="preserve">evaluation</t>
        </is>
      </c>
      <c r="G1282" s="4">
        <v>1</v>
      </c>
      <c r="H1282" s="4">
        <v>100900</v>
      </c>
      <c r="I1282" s="4">
        <v>1</v>
      </c>
      <c r="J1282" s="4">
        <v>0</v>
      </c>
      <c r="K1282" s="16">
        <v>46259</v>
      </c>
      <c r="L1282" s="16">
        <v>46297</v>
      </c>
      <c r="M1282" s="0" t="inlineStr">
        <is>
          <t xml:space="preserve">aug26</t>
        </is>
      </c>
      <c r="N1282" s="0" t="inlineStr">
        <is>
          <t xml:space="preserve">oct26</t>
        </is>
      </c>
      <c r="O1282" s="4">
        <v>68</v>
      </c>
      <c r="P1282" s="4">
        <v>0</v>
      </c>
      <c r="Q1282" s="4">
        <v>0</v>
      </c>
      <c r="R1282" s="4">
        <v>1</v>
      </c>
      <c r="S1282" s="4">
        <f>(H1282*INDEX('Stages'!$D$2:$D$7,MATCH(F1282,'Stages'!$A$2:$A$7,0)))</f>
        <v>25225</v>
      </c>
      <c r="T1282" s="4">
        <f>(H1282*I1282)</f>
        <v>100900</v>
      </c>
      <c r="U1282" s="4">
        <f>(H1282*(I1282-1))</f>
        <v>0</v>
      </c>
      <c r="V1282" s="0" t="str">
        <f>INDEX('Account executives'!$B$2:$B$25,MATCH(C1282,'Account executives'!$A$2:$A$25,0))</f>
        <v>amer_east</v>
      </c>
      <c r="W1282" s="0" t="str">
        <f>INDEX('Account executives'!$C$2:$C$25,MATCH(C1282,'Account executives'!$A$2:$A$25,0))</f>
        <v>mid_market</v>
      </c>
      <c r="X1282" s="0" t="str">
        <f>SUBSTITUTE(LOWER(INDEX('Periods'!$G$2:$G$22,MATCH(N1282,'Periods'!$A$2:$A$22,0)))," ","_")</f>
        <v>q4_2026</v>
      </c>
    </row>
    <row r="1283">
      <c r="A1283" s="0" t="inlineStr">
        <is>
          <t xml:space="preserve">o1282</t>
        </is>
      </c>
      <c r="B1283" s="0" t="inlineStr">
        <is>
          <t xml:space="preserve">a1142</t>
        </is>
      </c>
      <c r="C1283" s="0" t="inlineStr">
        <is>
          <t xml:space="preserve">r04</t>
        </is>
      </c>
      <c r="D1283" s="0" t="inlineStr">
        <is>
          <t xml:space="preserve">s_amer_east_in</t>
        </is>
      </c>
      <c r="E1283" s="0" t="inlineStr">
        <is>
          <t xml:space="preserve">inbound</t>
        </is>
      </c>
      <c r="F1283" s="0" t="inlineStr">
        <is>
          <t xml:space="preserve">proposal</t>
        </is>
      </c>
      <c r="G1283" s="4">
        <v>1</v>
      </c>
      <c r="H1283" s="4">
        <v>27500</v>
      </c>
      <c r="I1283" s="4">
        <v>2</v>
      </c>
      <c r="J1283" s="4">
        <v>0</v>
      </c>
      <c r="K1283" s="16">
        <v>46242</v>
      </c>
      <c r="L1283" s="16">
        <v>46313</v>
      </c>
      <c r="M1283" s="0" t="inlineStr">
        <is>
          <t xml:space="preserve">aug26</t>
        </is>
      </c>
      <c r="N1283" s="0" t="inlineStr">
        <is>
          <t xml:space="preserve">oct26</t>
        </is>
      </c>
      <c r="O1283" s="4">
        <v>58</v>
      </c>
      <c r="P1283" s="4">
        <v>0</v>
      </c>
      <c r="Q1283" s="4">
        <v>0</v>
      </c>
      <c r="R1283" s="4">
        <v>1</v>
      </c>
      <c r="S1283" s="4">
        <f>(H1283*INDEX('Stages'!$D$2:$D$7,MATCH(F1283,'Stages'!$A$2:$A$7,0)))</f>
        <v>13750</v>
      </c>
      <c r="T1283" s="4">
        <f>(H1283*I1283)</f>
        <v>55000</v>
      </c>
      <c r="U1283" s="4">
        <f>(H1283*(I1283-1))</f>
        <v>27500</v>
      </c>
      <c r="V1283" s="0" t="str">
        <f>INDEX('Account executives'!$B$2:$B$25,MATCH(C1283,'Account executives'!$A$2:$A$25,0))</f>
        <v>amer_east</v>
      </c>
      <c r="W1283" s="0" t="str">
        <f>INDEX('Account executives'!$C$2:$C$25,MATCH(C1283,'Account executives'!$A$2:$A$25,0))</f>
        <v>mid_market</v>
      </c>
      <c r="X1283" s="0" t="str">
        <f>SUBSTITUTE(LOWER(INDEX('Periods'!$G$2:$G$22,MATCH(N1283,'Periods'!$A$2:$A$22,0)))," ","_")</f>
        <v>q4_2026</v>
      </c>
    </row>
    <row r="1284">
      <c r="A1284" s="0" t="inlineStr">
        <is>
          <t xml:space="preserve">o1283</t>
        </is>
      </c>
      <c r="B1284" s="0" t="inlineStr">
        <is>
          <t xml:space="preserve">a1029</t>
        </is>
      </c>
      <c r="C1284" s="0" t="inlineStr">
        <is>
          <t xml:space="preserve">r13</t>
        </is>
      </c>
      <c r="D1284" s="0"/>
      <c r="E1284" s="0" t="inlineStr">
        <is>
          <t xml:space="preserve">events</t>
        </is>
      </c>
      <c r="F1284" s="0" t="inlineStr">
        <is>
          <t xml:space="preserve">closed_lost</t>
        </is>
      </c>
      <c r="G1284" s="4">
        <v>1</v>
      </c>
      <c r="H1284" s="4">
        <v>81700</v>
      </c>
      <c r="I1284" s="4">
        <v>2</v>
      </c>
      <c r="J1284" s="4">
        <v>0</v>
      </c>
      <c r="K1284" s="16">
        <v>46201</v>
      </c>
      <c r="L1284" s="16">
        <v>46272</v>
      </c>
      <c r="M1284" s="0" t="inlineStr">
        <is>
          <t xml:space="preserve">jun26</t>
        </is>
      </c>
      <c r="N1284" s="0" t="inlineStr">
        <is>
          <t xml:space="preserve">sep26</t>
        </is>
      </c>
      <c r="O1284" s="4">
        <v>71</v>
      </c>
      <c r="P1284" s="4">
        <v>0</v>
      </c>
      <c r="Q1284" s="4">
        <v>1</v>
      </c>
      <c r="R1284" s="4">
        <v>0</v>
      </c>
      <c r="S1284" s="4">
        <f>(H1284*INDEX('Stages'!$D$2:$D$7,MATCH(F1284,'Stages'!$A$2:$A$7,0)))</f>
        <v>0</v>
      </c>
      <c r="T1284" s="4">
        <f>(H1284*I1284)</f>
        <v>163400</v>
      </c>
      <c r="U1284" s="4">
        <f>(H1284*(I1284-1))</f>
        <v>81700</v>
      </c>
      <c r="V1284" s="0" t="str">
        <f>INDEX('Account executives'!$B$2:$B$25,MATCH(C1284,'Account executives'!$A$2:$A$25,0))</f>
        <v>emea</v>
      </c>
      <c r="W1284" s="0" t="str">
        <f>INDEX('Account executives'!$C$2:$C$25,MATCH(C1284,'Account executives'!$A$2:$A$25,0))</f>
        <v>enterprise</v>
      </c>
      <c r="X1284" s="0" t="str">
        <f>SUBSTITUTE(LOWER(INDEX('Periods'!$G$2:$G$22,MATCH(N1284,'Periods'!$A$2:$A$22,0)))," ","_")</f>
        <v>q3_2026</v>
      </c>
    </row>
    <row r="1285">
      <c r="A1285" s="0" t="inlineStr">
        <is>
          <t xml:space="preserve">o1284</t>
        </is>
      </c>
      <c r="B1285" s="0" t="inlineStr">
        <is>
          <t xml:space="preserve">a0881</t>
        </is>
      </c>
      <c r="C1285" s="0" t="inlineStr">
        <is>
          <t xml:space="preserve">r24</t>
        </is>
      </c>
      <c r="D1285" s="0" t="inlineStr">
        <is>
          <t xml:space="preserve">s_apac_out</t>
        </is>
      </c>
      <c r="E1285" s="0" t="inlineStr">
        <is>
          <t xml:space="preserve">outbound</t>
        </is>
      </c>
      <c r="F1285" s="0" t="inlineStr">
        <is>
          <t xml:space="preserve">closed_lost</t>
        </is>
      </c>
      <c r="G1285" s="4">
        <v>1</v>
      </c>
      <c r="H1285" s="4">
        <v>3800</v>
      </c>
      <c r="I1285" s="4">
        <v>1</v>
      </c>
      <c r="J1285" s="4">
        <v>0</v>
      </c>
      <c r="K1285" s="16">
        <v>46123</v>
      </c>
      <c r="L1285" s="16">
        <v>46201</v>
      </c>
      <c r="M1285" s="0" t="inlineStr">
        <is>
          <t xml:space="preserve">apr26</t>
        </is>
      </c>
      <c r="N1285" s="0" t="inlineStr">
        <is>
          <t xml:space="preserve">jun26</t>
        </is>
      </c>
      <c r="O1285" s="4">
        <v>78</v>
      </c>
      <c r="P1285" s="4">
        <v>0</v>
      </c>
      <c r="Q1285" s="4">
        <v>1</v>
      </c>
      <c r="R1285" s="4">
        <v>0</v>
      </c>
      <c r="S1285" s="4">
        <f>(H1285*INDEX('Stages'!$D$2:$D$7,MATCH(F1285,'Stages'!$A$2:$A$7,0)))</f>
        <v>0</v>
      </c>
      <c r="T1285" s="4">
        <f>(H1285*I1285)</f>
        <v>3800</v>
      </c>
      <c r="U1285" s="4">
        <f>(H1285*(I1285-1))</f>
        <v>0</v>
      </c>
      <c r="V1285" s="0" t="str">
        <f>INDEX('Account executives'!$B$2:$B$25,MATCH(C1285,'Account executives'!$A$2:$A$25,0))</f>
        <v>apac</v>
      </c>
      <c r="W1285" s="0" t="str">
        <f>INDEX('Account executives'!$C$2:$C$25,MATCH(C1285,'Account executives'!$A$2:$A$25,0))</f>
        <v>smb</v>
      </c>
      <c r="X1285" s="0" t="str">
        <f>SUBSTITUTE(LOWER(INDEX('Periods'!$G$2:$G$22,MATCH(N1285,'Periods'!$A$2:$A$22,0)))," ","_")</f>
        <v>q2_2026</v>
      </c>
    </row>
    <row r="1286">
      <c r="A1286" s="0" t="inlineStr">
        <is>
          <t xml:space="preserve">o1285</t>
        </is>
      </c>
      <c r="B1286" s="0" t="inlineStr">
        <is>
          <t xml:space="preserve">a0030</t>
        </is>
      </c>
      <c r="C1286" s="0" t="inlineStr">
        <is>
          <t xml:space="preserve">r12</t>
        </is>
      </c>
      <c r="D1286" s="0"/>
      <c r="E1286" s="0" t="inlineStr">
        <is>
          <t xml:space="preserve">referral</t>
        </is>
      </c>
      <c r="F1286" s="0" t="inlineStr">
        <is>
          <t xml:space="preserve">closed_won</t>
        </is>
      </c>
      <c r="G1286" s="4">
        <v>0</v>
      </c>
      <c r="H1286" s="4">
        <v>3800</v>
      </c>
      <c r="I1286" s="4">
        <v>1</v>
      </c>
      <c r="J1286" s="4">
        <v>0</v>
      </c>
      <c r="K1286" s="16">
        <v>45791</v>
      </c>
      <c r="L1286" s="16">
        <v>45811</v>
      </c>
      <c r="M1286" s="0" t="inlineStr">
        <is>
          <t xml:space="preserve">may25</t>
        </is>
      </c>
      <c r="N1286" s="0" t="inlineStr">
        <is>
          <t xml:space="preserve">jun25</t>
        </is>
      </c>
      <c r="O1286" s="4">
        <v>20</v>
      </c>
      <c r="P1286" s="4">
        <v>1</v>
      </c>
      <c r="Q1286" s="4">
        <v>0</v>
      </c>
      <c r="R1286" s="4">
        <v>0</v>
      </c>
      <c r="S1286" s="4">
        <f>(H1286*INDEX('Stages'!$D$2:$D$7,MATCH(F1286,'Stages'!$A$2:$A$7,0)))</f>
        <v>3800</v>
      </c>
      <c r="T1286" s="4">
        <f>(H1286*I1286)</f>
        <v>3800</v>
      </c>
      <c r="U1286" s="4">
        <f>(H1286*(I1286-1))</f>
        <v>0</v>
      </c>
      <c r="V1286" s="0" t="str">
        <f>INDEX('Account executives'!$B$2:$B$25,MATCH(C1286,'Account executives'!$A$2:$A$25,0))</f>
        <v>amer_west</v>
      </c>
      <c r="W1286" s="0" t="str">
        <f>INDEX('Account executives'!$C$2:$C$25,MATCH(C1286,'Account executives'!$A$2:$A$25,0))</f>
        <v>smb</v>
      </c>
      <c r="X1286" s="0" t="str">
        <f>SUBSTITUTE(LOWER(INDEX('Periods'!$G$2:$G$22,MATCH(N1286,'Periods'!$A$2:$A$22,0)))," ","_")</f>
        <v>q2_2025</v>
      </c>
    </row>
    <row r="1287">
      <c r="A1287" s="0" t="inlineStr">
        <is>
          <t xml:space="preserve">o1286</t>
        </is>
      </c>
      <c r="B1287" s="0" t="inlineStr">
        <is>
          <t xml:space="preserve">a0817</t>
        </is>
      </c>
      <c r="C1287" s="0" t="inlineStr">
        <is>
          <t xml:space="preserve">r03</t>
        </is>
      </c>
      <c r="D1287" s="0" t="inlineStr">
        <is>
          <t xml:space="preserve">s_amer_east_in</t>
        </is>
      </c>
      <c r="E1287" s="0" t="inlineStr">
        <is>
          <t xml:space="preserve">inbound</t>
        </is>
      </c>
      <c r="F1287" s="0" t="inlineStr">
        <is>
          <t xml:space="preserve">closed_lost</t>
        </is>
      </c>
      <c r="G1287" s="4">
        <v>1</v>
      </c>
      <c r="H1287" s="4">
        <v>151800</v>
      </c>
      <c r="I1287" s="4">
        <v>2</v>
      </c>
      <c r="J1287" s="4">
        <v>0</v>
      </c>
      <c r="K1287" s="16">
        <v>46125</v>
      </c>
      <c r="L1287" s="16">
        <v>46152</v>
      </c>
      <c r="M1287" s="0" t="inlineStr">
        <is>
          <t xml:space="preserve">apr26</t>
        </is>
      </c>
      <c r="N1287" s="0" t="inlineStr">
        <is>
          <t xml:space="preserve">may26</t>
        </is>
      </c>
      <c r="O1287" s="4">
        <v>27</v>
      </c>
      <c r="P1287" s="4">
        <v>0</v>
      </c>
      <c r="Q1287" s="4">
        <v>1</v>
      </c>
      <c r="R1287" s="4">
        <v>0</v>
      </c>
      <c r="S1287" s="4">
        <f>(H1287*INDEX('Stages'!$D$2:$D$7,MATCH(F1287,'Stages'!$A$2:$A$7,0)))</f>
        <v>0</v>
      </c>
      <c r="T1287" s="4">
        <f>(H1287*I1287)</f>
        <v>303600</v>
      </c>
      <c r="U1287" s="4">
        <f>(H1287*(I1287-1))</f>
        <v>151800</v>
      </c>
      <c r="V1287" s="0" t="str">
        <f>INDEX('Account executives'!$B$2:$B$25,MATCH(C1287,'Account executives'!$A$2:$A$25,0))</f>
        <v>amer_east</v>
      </c>
      <c r="W1287" s="0" t="str">
        <f>INDEX('Account executives'!$C$2:$C$25,MATCH(C1287,'Account executives'!$A$2:$A$25,0))</f>
        <v>mid_market</v>
      </c>
      <c r="X1287" s="0" t="str">
        <f>SUBSTITUTE(LOWER(INDEX('Periods'!$G$2:$G$22,MATCH(N1287,'Periods'!$A$2:$A$22,0)))," ","_")</f>
        <v>q2_2026</v>
      </c>
    </row>
    <row r="1288">
      <c r="A1288" s="0" t="inlineStr">
        <is>
          <t xml:space="preserve">o1287</t>
        </is>
      </c>
      <c r="B1288" s="0" t="inlineStr">
        <is>
          <t xml:space="preserve">a0057</t>
        </is>
      </c>
      <c r="C1288" s="0" t="inlineStr">
        <is>
          <t xml:space="preserve">r22</t>
        </is>
      </c>
      <c r="D1288" s="0" t="inlineStr">
        <is>
          <t xml:space="preserve">s_apac_out</t>
        </is>
      </c>
      <c r="E1288" s="0" t="inlineStr">
        <is>
          <t xml:space="preserve">outbound</t>
        </is>
      </c>
      <c r="F1288" s="0" t="inlineStr">
        <is>
          <t xml:space="preserve">closed_lost</t>
        </is>
      </c>
      <c r="G1288" s="4">
        <v>0</v>
      </c>
      <c r="H1288" s="4">
        <v>16100</v>
      </c>
      <c r="I1288" s="4">
        <v>3</v>
      </c>
      <c r="J1288" s="4">
        <v>0</v>
      </c>
      <c r="K1288" s="16">
        <v>45752</v>
      </c>
      <c r="L1288" s="16">
        <v>45813</v>
      </c>
      <c r="M1288" s="0" t="inlineStr">
        <is>
          <t xml:space="preserve">apr25</t>
        </is>
      </c>
      <c r="N1288" s="0" t="inlineStr">
        <is>
          <t xml:space="preserve">jun25</t>
        </is>
      </c>
      <c r="O1288" s="4">
        <v>61</v>
      </c>
      <c r="P1288" s="4">
        <v>0</v>
      </c>
      <c r="Q1288" s="4">
        <v>1</v>
      </c>
      <c r="R1288" s="4">
        <v>0</v>
      </c>
      <c r="S1288" s="4">
        <f>(H1288*INDEX('Stages'!$D$2:$D$7,MATCH(F1288,'Stages'!$A$2:$A$7,0)))</f>
        <v>0</v>
      </c>
      <c r="T1288" s="4">
        <f>(H1288*I1288)</f>
        <v>48300</v>
      </c>
      <c r="U1288" s="4">
        <f>(H1288*(I1288-1))</f>
        <v>32200</v>
      </c>
      <c r="V1288" s="0" t="str">
        <f>INDEX('Account executives'!$B$2:$B$25,MATCH(C1288,'Account executives'!$A$2:$A$25,0))</f>
        <v>apac</v>
      </c>
      <c r="W1288" s="0" t="str">
        <f>INDEX('Account executives'!$C$2:$C$25,MATCH(C1288,'Account executives'!$A$2:$A$25,0))</f>
        <v>mid_market</v>
      </c>
      <c r="X1288" s="0" t="str">
        <f>SUBSTITUTE(LOWER(INDEX('Periods'!$G$2:$G$22,MATCH(N1288,'Periods'!$A$2:$A$22,0)))," ","_")</f>
        <v>q2_2025</v>
      </c>
    </row>
    <row r="1289">
      <c r="A1289" s="0" t="inlineStr">
        <is>
          <t xml:space="preserve">o1288</t>
        </is>
      </c>
      <c r="B1289" s="0" t="inlineStr">
        <is>
          <t xml:space="preserve">a0472</t>
        </is>
      </c>
      <c r="C1289" s="0" t="inlineStr">
        <is>
          <t xml:space="preserve">r22</t>
        </is>
      </c>
      <c r="D1289" s="0" t="inlineStr">
        <is>
          <t xml:space="preserve">s_apac_out</t>
        </is>
      </c>
      <c r="E1289" s="0" t="inlineStr">
        <is>
          <t xml:space="preserve">outbound</t>
        </is>
      </c>
      <c r="F1289" s="0" t="inlineStr">
        <is>
          <t xml:space="preserve">closed_won</t>
        </is>
      </c>
      <c r="G1289" s="4">
        <v>1</v>
      </c>
      <c r="H1289" s="4">
        <v>58300</v>
      </c>
      <c r="I1289" s="4">
        <v>1</v>
      </c>
      <c r="J1289" s="4">
        <v>0</v>
      </c>
      <c r="K1289" s="16">
        <v>45957</v>
      </c>
      <c r="L1289" s="16">
        <v>46011</v>
      </c>
      <c r="M1289" s="0" t="inlineStr">
        <is>
          <t xml:space="preserve">oct25</t>
        </is>
      </c>
      <c r="N1289" s="0" t="inlineStr">
        <is>
          <t xml:space="preserve">dec25</t>
        </is>
      </c>
      <c r="O1289" s="4">
        <v>54</v>
      </c>
      <c r="P1289" s="4">
        <v>1</v>
      </c>
      <c r="Q1289" s="4">
        <v>0</v>
      </c>
      <c r="R1289" s="4">
        <v>0</v>
      </c>
      <c r="S1289" s="4">
        <f>(H1289*INDEX('Stages'!$D$2:$D$7,MATCH(F1289,'Stages'!$A$2:$A$7,0)))</f>
        <v>58300</v>
      </c>
      <c r="T1289" s="4">
        <f>(H1289*I1289)</f>
        <v>58300</v>
      </c>
      <c r="U1289" s="4">
        <f>(H1289*(I1289-1))</f>
        <v>0</v>
      </c>
      <c r="V1289" s="0" t="str">
        <f>INDEX('Account executives'!$B$2:$B$25,MATCH(C1289,'Account executives'!$A$2:$A$25,0))</f>
        <v>apac</v>
      </c>
      <c r="W1289" s="0" t="str">
        <f>INDEX('Account executives'!$C$2:$C$25,MATCH(C1289,'Account executives'!$A$2:$A$25,0))</f>
        <v>mid_market</v>
      </c>
      <c r="X1289" s="0" t="str">
        <f>SUBSTITUTE(LOWER(INDEX('Periods'!$G$2:$G$22,MATCH(N1289,'Periods'!$A$2:$A$22,0)))," ","_")</f>
        <v>q4_2025</v>
      </c>
    </row>
    <row r="1290">
      <c r="A1290" s="0" t="inlineStr">
        <is>
          <t xml:space="preserve">o1289</t>
        </is>
      </c>
      <c r="B1290" s="0" t="inlineStr">
        <is>
          <t xml:space="preserve">a1019</t>
        </is>
      </c>
      <c r="C1290" s="0" t="inlineStr">
        <is>
          <t xml:space="preserve">r15</t>
        </is>
      </c>
      <c r="D1290" s="0" t="inlineStr">
        <is>
          <t xml:space="preserve">s_emea_in</t>
        </is>
      </c>
      <c r="E1290" s="0" t="inlineStr">
        <is>
          <t xml:space="preserve">inbound</t>
        </is>
      </c>
      <c r="F1290" s="0" t="inlineStr">
        <is>
          <t xml:space="preserve">closed_lost</t>
        </is>
      </c>
      <c r="G1290" s="4">
        <v>1</v>
      </c>
      <c r="H1290" s="4">
        <v>41700</v>
      </c>
      <c r="I1290" s="4">
        <v>1</v>
      </c>
      <c r="J1290" s="4">
        <v>1</v>
      </c>
      <c r="K1290" s="16">
        <v>46184</v>
      </c>
      <c r="L1290" s="16">
        <v>46235</v>
      </c>
      <c r="M1290" s="0" t="inlineStr">
        <is>
          <t xml:space="preserve">jun26</t>
        </is>
      </c>
      <c r="N1290" s="0" t="inlineStr">
        <is>
          <t xml:space="preserve">aug26</t>
        </is>
      </c>
      <c r="O1290" s="4">
        <v>51</v>
      </c>
      <c r="P1290" s="4">
        <v>0</v>
      </c>
      <c r="Q1290" s="4">
        <v>1</v>
      </c>
      <c r="R1290" s="4">
        <v>0</v>
      </c>
      <c r="S1290" s="4">
        <f>(H1290*INDEX('Stages'!$D$2:$D$7,MATCH(F1290,'Stages'!$A$2:$A$7,0)))</f>
        <v>0</v>
      </c>
      <c r="T1290" s="4">
        <f>(H1290*I1290)</f>
        <v>41700</v>
      </c>
      <c r="U1290" s="4">
        <f>(H1290*(I1290-1))</f>
        <v>0</v>
      </c>
      <c r="V1290" s="0" t="str">
        <f>INDEX('Account executives'!$B$2:$B$25,MATCH(C1290,'Account executives'!$A$2:$A$25,0))</f>
        <v>emea</v>
      </c>
      <c r="W1290" s="0" t="str">
        <f>INDEX('Account executives'!$C$2:$C$25,MATCH(C1290,'Account executives'!$A$2:$A$25,0))</f>
        <v>mid_market</v>
      </c>
      <c r="X1290" s="0" t="str">
        <f>SUBSTITUTE(LOWER(INDEX('Periods'!$G$2:$G$22,MATCH(N1290,'Periods'!$A$2:$A$22,0)))," ","_")</f>
        <v>q3_2026</v>
      </c>
    </row>
    <row r="1291">
      <c r="A1291" s="0" t="inlineStr">
        <is>
          <t xml:space="preserve">o1290</t>
        </is>
      </c>
      <c r="B1291" s="0" t="inlineStr">
        <is>
          <t xml:space="preserve">a0983</t>
        </is>
      </c>
      <c r="C1291" s="0" t="inlineStr">
        <is>
          <t xml:space="preserve">r07</t>
        </is>
      </c>
      <c r="D1291" s="0" t="inlineStr">
        <is>
          <t xml:space="preserve">s_amer_west_in</t>
        </is>
      </c>
      <c r="E1291" s="0" t="inlineStr">
        <is>
          <t xml:space="preserve">inbound</t>
        </is>
      </c>
      <c r="F1291" s="0" t="inlineStr">
        <is>
          <t xml:space="preserve">discovery</t>
        </is>
      </c>
      <c r="G1291" s="4">
        <v>1</v>
      </c>
      <c r="H1291" s="4">
        <v>59800</v>
      </c>
      <c r="I1291" s="4">
        <v>1</v>
      </c>
      <c r="J1291" s="4">
        <v>0</v>
      </c>
      <c r="K1291" s="16">
        <v>46194</v>
      </c>
      <c r="L1291" s="16">
        <v>46371</v>
      </c>
      <c r="M1291" s="0" t="inlineStr">
        <is>
          <t xml:space="preserve">jun26</t>
        </is>
      </c>
      <c r="N1291" s="0" t="inlineStr">
        <is>
          <t xml:space="preserve">dec26</t>
        </is>
      </c>
      <c r="O1291" s="4">
        <v>190</v>
      </c>
      <c r="P1291" s="4">
        <v>0</v>
      </c>
      <c r="Q1291" s="4">
        <v>0</v>
      </c>
      <c r="R1291" s="4">
        <v>1</v>
      </c>
      <c r="S1291" s="4">
        <f>(H1291*INDEX('Stages'!$D$2:$D$7,MATCH(F1291,'Stages'!$A$2:$A$7,0)))</f>
        <v>5980</v>
      </c>
      <c r="T1291" s="4">
        <f>(H1291*I1291)</f>
        <v>59800</v>
      </c>
      <c r="U1291" s="4">
        <f>(H1291*(I1291-1))</f>
        <v>0</v>
      </c>
      <c r="V1291" s="0" t="str">
        <f>INDEX('Account executives'!$B$2:$B$25,MATCH(C1291,'Account executives'!$A$2:$A$25,0))</f>
        <v>amer_west</v>
      </c>
      <c r="W1291" s="0" t="str">
        <f>INDEX('Account executives'!$C$2:$C$25,MATCH(C1291,'Account executives'!$A$2:$A$25,0))</f>
        <v>enterprise</v>
      </c>
      <c r="X1291" s="0" t="str">
        <f>SUBSTITUTE(LOWER(INDEX('Periods'!$G$2:$G$22,MATCH(N1291,'Periods'!$A$2:$A$22,0)))," ","_")</f>
        <v>q4_2026</v>
      </c>
    </row>
    <row r="1292">
      <c r="A1292" s="0" t="inlineStr">
        <is>
          <t xml:space="preserve">o1291</t>
        </is>
      </c>
      <c r="B1292" s="0" t="inlineStr">
        <is>
          <t xml:space="preserve">a0182</t>
        </is>
      </c>
      <c r="C1292" s="0" t="inlineStr">
        <is>
          <t xml:space="preserve">r06</t>
        </is>
      </c>
      <c r="D1292" s="0" t="inlineStr">
        <is>
          <t xml:space="preserve">s_amer_east_out</t>
        </is>
      </c>
      <c r="E1292" s="0" t="inlineStr">
        <is>
          <t xml:space="preserve">outbound</t>
        </is>
      </c>
      <c r="F1292" s="0" t="inlineStr">
        <is>
          <t xml:space="preserve">closed_lost</t>
        </is>
      </c>
      <c r="G1292" s="4">
        <v>1</v>
      </c>
      <c r="H1292" s="4">
        <v>18800</v>
      </c>
      <c r="I1292" s="4">
        <v>1</v>
      </c>
      <c r="J1292" s="4">
        <v>1</v>
      </c>
      <c r="K1292" s="16">
        <v>45833</v>
      </c>
      <c r="L1292" s="16">
        <v>45859</v>
      </c>
      <c r="M1292" s="0" t="inlineStr">
        <is>
          <t xml:space="preserve">jun25</t>
        </is>
      </c>
      <c r="N1292" s="0" t="inlineStr">
        <is>
          <t xml:space="preserve">jul25</t>
        </is>
      </c>
      <c r="O1292" s="4">
        <v>26</v>
      </c>
      <c r="P1292" s="4">
        <v>0</v>
      </c>
      <c r="Q1292" s="4">
        <v>1</v>
      </c>
      <c r="R1292" s="4">
        <v>0</v>
      </c>
      <c r="S1292" s="4">
        <f>(H1292*INDEX('Stages'!$D$2:$D$7,MATCH(F1292,'Stages'!$A$2:$A$7,0)))</f>
        <v>0</v>
      </c>
      <c r="T1292" s="4">
        <f>(H1292*I1292)</f>
        <v>18800</v>
      </c>
      <c r="U1292" s="4">
        <f>(H1292*(I1292-1))</f>
        <v>0</v>
      </c>
      <c r="V1292" s="0" t="str">
        <f>INDEX('Account executives'!$B$2:$B$25,MATCH(C1292,'Account executives'!$A$2:$A$25,0))</f>
        <v>amer_east</v>
      </c>
      <c r="W1292" s="0" t="str">
        <f>INDEX('Account executives'!$C$2:$C$25,MATCH(C1292,'Account executives'!$A$2:$A$25,0))</f>
        <v>smb</v>
      </c>
      <c r="X1292" s="0" t="str">
        <f>SUBSTITUTE(LOWER(INDEX('Periods'!$G$2:$G$22,MATCH(N1292,'Periods'!$A$2:$A$22,0)))," ","_")</f>
        <v>q3_2025</v>
      </c>
    </row>
    <row r="1293">
      <c r="A1293" s="0" t="inlineStr">
        <is>
          <t xml:space="preserve">o1292</t>
        </is>
      </c>
      <c r="B1293" s="0" t="inlineStr">
        <is>
          <t xml:space="preserve">a1042</t>
        </is>
      </c>
      <c r="C1293" s="0" t="inlineStr">
        <is>
          <t xml:space="preserve">r24</t>
        </is>
      </c>
      <c r="D1293" s="0" t="inlineStr">
        <is>
          <t xml:space="preserve">s_apac_in</t>
        </is>
      </c>
      <c r="E1293" s="0" t="inlineStr">
        <is>
          <t xml:space="preserve">inbound</t>
        </is>
      </c>
      <c r="F1293" s="0" t="inlineStr">
        <is>
          <t xml:space="preserve">proposal</t>
        </is>
      </c>
      <c r="G1293" s="4">
        <v>1</v>
      </c>
      <c r="H1293" s="4">
        <v>7000</v>
      </c>
      <c r="I1293" s="4">
        <v>1</v>
      </c>
      <c r="J1293" s="4">
        <v>0</v>
      </c>
      <c r="K1293" s="16">
        <v>46185</v>
      </c>
      <c r="L1293" s="16">
        <v>46315</v>
      </c>
      <c r="M1293" s="0" t="inlineStr">
        <is>
          <t xml:space="preserve">jun26</t>
        </is>
      </c>
      <c r="N1293" s="0" t="inlineStr">
        <is>
          <t xml:space="preserve">oct26</t>
        </is>
      </c>
      <c r="O1293" s="4">
        <v>108</v>
      </c>
      <c r="P1293" s="4">
        <v>0</v>
      </c>
      <c r="Q1293" s="4">
        <v>0</v>
      </c>
      <c r="R1293" s="4">
        <v>1</v>
      </c>
      <c r="S1293" s="4">
        <f>(H1293*INDEX('Stages'!$D$2:$D$7,MATCH(F1293,'Stages'!$A$2:$A$7,0)))</f>
        <v>3500</v>
      </c>
      <c r="T1293" s="4">
        <f>(H1293*I1293)</f>
        <v>7000</v>
      </c>
      <c r="U1293" s="4">
        <f>(H1293*(I1293-1))</f>
        <v>0</v>
      </c>
      <c r="V1293" s="0" t="str">
        <f>INDEX('Account executives'!$B$2:$B$25,MATCH(C1293,'Account executives'!$A$2:$A$25,0))</f>
        <v>apac</v>
      </c>
      <c r="W1293" s="0" t="str">
        <f>INDEX('Account executives'!$C$2:$C$25,MATCH(C1293,'Account executives'!$A$2:$A$25,0))</f>
        <v>smb</v>
      </c>
      <c r="X1293" s="0" t="str">
        <f>SUBSTITUTE(LOWER(INDEX('Periods'!$G$2:$G$22,MATCH(N1293,'Periods'!$A$2:$A$22,0)))," ","_")</f>
        <v>q4_2026</v>
      </c>
    </row>
    <row r="1294">
      <c r="A1294" s="0" t="inlineStr">
        <is>
          <t xml:space="preserve">o1293</t>
        </is>
      </c>
      <c r="B1294" s="0" t="inlineStr">
        <is>
          <t xml:space="preserve">a0301</t>
        </is>
      </c>
      <c r="C1294" s="0" t="inlineStr">
        <is>
          <t xml:space="preserve">r24</t>
        </is>
      </c>
      <c r="D1294" s="0" t="inlineStr">
        <is>
          <t xml:space="preserve">s_apac_in</t>
        </is>
      </c>
      <c r="E1294" s="0" t="inlineStr">
        <is>
          <t xml:space="preserve">inbound</t>
        </is>
      </c>
      <c r="F1294" s="0" t="inlineStr">
        <is>
          <t xml:space="preserve">closed_lost</t>
        </is>
      </c>
      <c r="G1294" s="4">
        <v>1</v>
      </c>
      <c r="H1294" s="4">
        <v>4400</v>
      </c>
      <c r="I1294" s="4">
        <v>1</v>
      </c>
      <c r="J1294" s="4">
        <v>1</v>
      </c>
      <c r="K1294" s="16">
        <v>45846</v>
      </c>
      <c r="L1294" s="16">
        <v>45928</v>
      </c>
      <c r="M1294" s="0" t="inlineStr">
        <is>
          <t xml:space="preserve">jul25</t>
        </is>
      </c>
      <c r="N1294" s="0" t="inlineStr">
        <is>
          <t xml:space="preserve">sep25</t>
        </is>
      </c>
      <c r="O1294" s="4">
        <v>82</v>
      </c>
      <c r="P1294" s="4">
        <v>0</v>
      </c>
      <c r="Q1294" s="4">
        <v>1</v>
      </c>
      <c r="R1294" s="4">
        <v>0</v>
      </c>
      <c r="S1294" s="4">
        <f>(H1294*INDEX('Stages'!$D$2:$D$7,MATCH(F1294,'Stages'!$A$2:$A$7,0)))</f>
        <v>0</v>
      </c>
      <c r="T1294" s="4">
        <f>(H1294*I1294)</f>
        <v>4400</v>
      </c>
      <c r="U1294" s="4">
        <f>(H1294*(I1294-1))</f>
        <v>0</v>
      </c>
      <c r="V1294" s="0" t="str">
        <f>INDEX('Account executives'!$B$2:$B$25,MATCH(C1294,'Account executives'!$A$2:$A$25,0))</f>
        <v>apac</v>
      </c>
      <c r="W1294" s="0" t="str">
        <f>INDEX('Account executives'!$C$2:$C$25,MATCH(C1294,'Account executives'!$A$2:$A$25,0))</f>
        <v>smb</v>
      </c>
      <c r="X1294" s="0" t="str">
        <f>SUBSTITUTE(LOWER(INDEX('Periods'!$G$2:$G$22,MATCH(N1294,'Periods'!$A$2:$A$22,0)))," ","_")</f>
        <v>q3_2025</v>
      </c>
    </row>
    <row r="1295">
      <c r="A1295" s="0" t="inlineStr">
        <is>
          <t xml:space="preserve">o1294</t>
        </is>
      </c>
      <c r="B1295" s="0" t="inlineStr">
        <is>
          <t xml:space="preserve">a0341</t>
        </is>
      </c>
      <c r="C1295" s="0" t="inlineStr">
        <is>
          <t xml:space="preserve">r15</t>
        </is>
      </c>
      <c r="D1295" s="0"/>
      <c r="E1295" s="0" t="inlineStr">
        <is>
          <t xml:space="preserve">partner</t>
        </is>
      </c>
      <c r="F1295" s="0" t="inlineStr">
        <is>
          <t xml:space="preserve">closed_won</t>
        </is>
      </c>
      <c r="G1295" s="4">
        <v>1</v>
      </c>
      <c r="H1295" s="4">
        <v>55000</v>
      </c>
      <c r="I1295" s="4">
        <v>1</v>
      </c>
      <c r="J1295" s="4">
        <v>1</v>
      </c>
      <c r="K1295" s="16">
        <v>45873</v>
      </c>
      <c r="L1295" s="16">
        <v>45935</v>
      </c>
      <c r="M1295" s="0" t="inlineStr">
        <is>
          <t xml:space="preserve">aug25</t>
        </is>
      </c>
      <c r="N1295" s="0" t="inlineStr">
        <is>
          <t xml:space="preserve">oct25</t>
        </is>
      </c>
      <c r="O1295" s="4">
        <v>62</v>
      </c>
      <c r="P1295" s="4">
        <v>1</v>
      </c>
      <c r="Q1295" s="4">
        <v>0</v>
      </c>
      <c r="R1295" s="4">
        <v>0</v>
      </c>
      <c r="S1295" s="4">
        <f>(H1295*INDEX('Stages'!$D$2:$D$7,MATCH(F1295,'Stages'!$A$2:$A$7,0)))</f>
        <v>55000</v>
      </c>
      <c r="T1295" s="4">
        <f>(H1295*I1295)</f>
        <v>55000</v>
      </c>
      <c r="U1295" s="4">
        <f>(H1295*(I1295-1))</f>
        <v>0</v>
      </c>
      <c r="V1295" s="0" t="str">
        <f>INDEX('Account executives'!$B$2:$B$25,MATCH(C1295,'Account executives'!$A$2:$A$25,0))</f>
        <v>emea</v>
      </c>
      <c r="W1295" s="0" t="str">
        <f>INDEX('Account executives'!$C$2:$C$25,MATCH(C1295,'Account executives'!$A$2:$A$25,0))</f>
        <v>mid_market</v>
      </c>
      <c r="X1295" s="0" t="str">
        <f>SUBSTITUTE(LOWER(INDEX('Periods'!$G$2:$G$22,MATCH(N1295,'Periods'!$A$2:$A$22,0)))," ","_")</f>
        <v>q4_2025</v>
      </c>
    </row>
    <row r="1296">
      <c r="A1296" s="0" t="inlineStr">
        <is>
          <t xml:space="preserve">o1295</t>
        </is>
      </c>
      <c r="B1296" s="0" t="inlineStr">
        <is>
          <t xml:space="preserve">a1108</t>
        </is>
      </c>
      <c r="C1296" s="0" t="inlineStr">
        <is>
          <t xml:space="preserve">r12</t>
        </is>
      </c>
      <c r="D1296" s="0" t="inlineStr">
        <is>
          <t xml:space="preserve">s_amer_west_out</t>
        </is>
      </c>
      <c r="E1296" s="0" t="inlineStr">
        <is>
          <t xml:space="preserve">outbound</t>
        </is>
      </c>
      <c r="F1296" s="0" t="inlineStr">
        <is>
          <t xml:space="preserve">closed_won</t>
        </is>
      </c>
      <c r="G1296" s="4">
        <v>1</v>
      </c>
      <c r="H1296" s="4">
        <v>13200</v>
      </c>
      <c r="I1296" s="4">
        <v>2</v>
      </c>
      <c r="J1296" s="4">
        <v>0</v>
      </c>
      <c r="K1296" s="16">
        <v>46220</v>
      </c>
      <c r="L1296" s="16">
        <v>46244</v>
      </c>
      <c r="M1296" s="0" t="inlineStr">
        <is>
          <t xml:space="preserve">jul26</t>
        </is>
      </c>
      <c r="N1296" s="0" t="inlineStr">
        <is>
          <t xml:space="preserve">aug26</t>
        </is>
      </c>
      <c r="O1296" s="4">
        <v>24</v>
      </c>
      <c r="P1296" s="4">
        <v>1</v>
      </c>
      <c r="Q1296" s="4">
        <v>0</v>
      </c>
      <c r="R1296" s="4">
        <v>0</v>
      </c>
      <c r="S1296" s="4">
        <f>(H1296*INDEX('Stages'!$D$2:$D$7,MATCH(F1296,'Stages'!$A$2:$A$7,0)))</f>
        <v>13200</v>
      </c>
      <c r="T1296" s="4">
        <f>(H1296*I1296)</f>
        <v>26400</v>
      </c>
      <c r="U1296" s="4">
        <f>(H1296*(I1296-1))</f>
        <v>13200</v>
      </c>
      <c r="V1296" s="0" t="str">
        <f>INDEX('Account executives'!$B$2:$B$25,MATCH(C1296,'Account executives'!$A$2:$A$25,0))</f>
        <v>amer_west</v>
      </c>
      <c r="W1296" s="0" t="str">
        <f>INDEX('Account executives'!$C$2:$C$25,MATCH(C1296,'Account executives'!$A$2:$A$25,0))</f>
        <v>smb</v>
      </c>
      <c r="X1296" s="0" t="str">
        <f>SUBSTITUTE(LOWER(INDEX('Periods'!$G$2:$G$22,MATCH(N1296,'Periods'!$A$2:$A$22,0)))," ","_")</f>
        <v>q3_2026</v>
      </c>
    </row>
    <row r="1297">
      <c r="A1297" s="0" t="inlineStr">
        <is>
          <t xml:space="preserve">o1296</t>
        </is>
      </c>
      <c r="B1297" s="0" t="inlineStr">
        <is>
          <t xml:space="preserve">a0007</t>
        </is>
      </c>
      <c r="C1297" s="0" t="inlineStr">
        <is>
          <t xml:space="preserve">r04</t>
        </is>
      </c>
      <c r="D1297" s="0" t="inlineStr">
        <is>
          <t xml:space="preserve">s_amer_east_out</t>
        </is>
      </c>
      <c r="E1297" s="0" t="inlineStr">
        <is>
          <t xml:space="preserve">outbound</t>
        </is>
      </c>
      <c r="F1297" s="0" t="inlineStr">
        <is>
          <t xml:space="preserve">closed_lost</t>
        </is>
      </c>
      <c r="G1297" s="4">
        <v>0</v>
      </c>
      <c r="H1297" s="4">
        <v>23900</v>
      </c>
      <c r="I1297" s="4">
        <v>1</v>
      </c>
      <c r="J1297" s="4">
        <v>0</v>
      </c>
      <c r="K1297" s="16">
        <v>45771</v>
      </c>
      <c r="L1297" s="16">
        <v>45813</v>
      </c>
      <c r="M1297" s="0" t="inlineStr">
        <is>
          <t xml:space="preserve">apr25</t>
        </is>
      </c>
      <c r="N1297" s="0" t="inlineStr">
        <is>
          <t xml:space="preserve">jun25</t>
        </is>
      </c>
      <c r="O1297" s="4">
        <v>42</v>
      </c>
      <c r="P1297" s="4">
        <v>0</v>
      </c>
      <c r="Q1297" s="4">
        <v>1</v>
      </c>
      <c r="R1297" s="4">
        <v>0</v>
      </c>
      <c r="S1297" s="4">
        <f>(H1297*INDEX('Stages'!$D$2:$D$7,MATCH(F1297,'Stages'!$A$2:$A$7,0)))</f>
        <v>0</v>
      </c>
      <c r="T1297" s="4">
        <f>(H1297*I1297)</f>
        <v>23900</v>
      </c>
      <c r="U1297" s="4">
        <f>(H1297*(I1297-1))</f>
        <v>0</v>
      </c>
      <c r="V1297" s="0" t="str">
        <f>INDEX('Account executives'!$B$2:$B$25,MATCH(C1297,'Account executives'!$A$2:$A$25,0))</f>
        <v>amer_east</v>
      </c>
      <c r="W1297" s="0" t="str">
        <f>INDEX('Account executives'!$C$2:$C$25,MATCH(C1297,'Account executives'!$A$2:$A$25,0))</f>
        <v>mid_market</v>
      </c>
      <c r="X1297" s="0" t="str">
        <f>SUBSTITUTE(LOWER(INDEX('Periods'!$G$2:$G$22,MATCH(N1297,'Periods'!$A$2:$A$22,0)))," ","_")</f>
        <v>q2_2025</v>
      </c>
    </row>
    <row r="1298">
      <c r="A1298" s="0" t="inlineStr">
        <is>
          <t xml:space="preserve">o1297</t>
        </is>
      </c>
      <c r="B1298" s="0" t="inlineStr">
        <is>
          <t xml:space="preserve">a0333</t>
        </is>
      </c>
      <c r="C1298" s="0" t="inlineStr">
        <is>
          <t xml:space="preserve">r12</t>
        </is>
      </c>
      <c r="D1298" s="0"/>
      <c r="E1298" s="0" t="inlineStr">
        <is>
          <t xml:space="preserve">referral</t>
        </is>
      </c>
      <c r="F1298" s="0" t="inlineStr">
        <is>
          <t xml:space="preserve">closed_lost</t>
        </is>
      </c>
      <c r="G1298" s="4">
        <v>0</v>
      </c>
      <c r="H1298" s="4">
        <v>8400</v>
      </c>
      <c r="I1298" s="4">
        <v>1</v>
      </c>
      <c r="J1298" s="4">
        <v>0</v>
      </c>
      <c r="K1298" s="16">
        <v>46040</v>
      </c>
      <c r="L1298" s="16">
        <v>46064</v>
      </c>
      <c r="M1298" s="0" t="inlineStr">
        <is>
          <t xml:space="preserve">jan26</t>
        </is>
      </c>
      <c r="N1298" s="0" t="inlineStr">
        <is>
          <t xml:space="preserve">feb26</t>
        </is>
      </c>
      <c r="O1298" s="4">
        <v>24</v>
      </c>
      <c r="P1298" s="4">
        <v>0</v>
      </c>
      <c r="Q1298" s="4">
        <v>1</v>
      </c>
      <c r="R1298" s="4">
        <v>0</v>
      </c>
      <c r="S1298" s="4">
        <f>(H1298*INDEX('Stages'!$D$2:$D$7,MATCH(F1298,'Stages'!$A$2:$A$7,0)))</f>
        <v>0</v>
      </c>
      <c r="T1298" s="4">
        <f>(H1298*I1298)</f>
        <v>8400</v>
      </c>
      <c r="U1298" s="4">
        <f>(H1298*(I1298-1))</f>
        <v>0</v>
      </c>
      <c r="V1298" s="0" t="str">
        <f>INDEX('Account executives'!$B$2:$B$25,MATCH(C1298,'Account executives'!$A$2:$A$25,0))</f>
        <v>amer_west</v>
      </c>
      <c r="W1298" s="0" t="str">
        <f>INDEX('Account executives'!$C$2:$C$25,MATCH(C1298,'Account executives'!$A$2:$A$25,0))</f>
        <v>smb</v>
      </c>
      <c r="X1298" s="0" t="str">
        <f>SUBSTITUTE(LOWER(INDEX('Periods'!$G$2:$G$22,MATCH(N1298,'Periods'!$A$2:$A$22,0)))," ","_")</f>
        <v>q1_2026</v>
      </c>
    </row>
    <row r="1299">
      <c r="A1299" s="0" t="inlineStr">
        <is>
          <t xml:space="preserve">o1298</t>
        </is>
      </c>
      <c r="B1299" s="0" t="inlineStr">
        <is>
          <t xml:space="preserve">a0342</t>
        </is>
      </c>
      <c r="C1299" s="0" t="inlineStr">
        <is>
          <t xml:space="preserve">r17</t>
        </is>
      </c>
      <c r="D1299" s="0" t="inlineStr">
        <is>
          <t xml:space="preserve">s_emea_out</t>
        </is>
      </c>
      <c r="E1299" s="0" t="inlineStr">
        <is>
          <t xml:space="preserve">outbound</t>
        </is>
      </c>
      <c r="F1299" s="0" t="inlineStr">
        <is>
          <t xml:space="preserve">closed_lost</t>
        </is>
      </c>
      <c r="G1299" s="4">
        <v>1</v>
      </c>
      <c r="H1299" s="4">
        <v>15000</v>
      </c>
      <c r="I1299" s="4">
        <v>1</v>
      </c>
      <c r="J1299" s="4">
        <v>0</v>
      </c>
      <c r="K1299" s="16">
        <v>45896</v>
      </c>
      <c r="L1299" s="16">
        <v>45918</v>
      </c>
      <c r="M1299" s="0" t="inlineStr">
        <is>
          <t xml:space="preserve">aug25</t>
        </is>
      </c>
      <c r="N1299" s="0" t="inlineStr">
        <is>
          <t xml:space="preserve">sep25</t>
        </is>
      </c>
      <c r="O1299" s="4">
        <v>22</v>
      </c>
      <c r="P1299" s="4">
        <v>0</v>
      </c>
      <c r="Q1299" s="4">
        <v>1</v>
      </c>
      <c r="R1299" s="4">
        <v>0</v>
      </c>
      <c r="S1299" s="4">
        <f>(H1299*INDEX('Stages'!$D$2:$D$7,MATCH(F1299,'Stages'!$A$2:$A$7,0)))</f>
        <v>0</v>
      </c>
      <c r="T1299" s="4">
        <f>(H1299*I1299)</f>
        <v>15000</v>
      </c>
      <c r="U1299" s="4">
        <f>(H1299*(I1299-1))</f>
        <v>0</v>
      </c>
      <c r="V1299" s="0" t="str">
        <f>INDEX('Account executives'!$B$2:$B$25,MATCH(C1299,'Account executives'!$A$2:$A$25,0))</f>
        <v>emea</v>
      </c>
      <c r="W1299" s="0" t="str">
        <f>INDEX('Account executives'!$C$2:$C$25,MATCH(C1299,'Account executives'!$A$2:$A$25,0))</f>
        <v>smb</v>
      </c>
      <c r="X1299" s="0" t="str">
        <f>SUBSTITUTE(LOWER(INDEX('Periods'!$G$2:$G$22,MATCH(N1299,'Periods'!$A$2:$A$22,0)))," ","_")</f>
        <v>q3_2025</v>
      </c>
    </row>
    <row r="1300">
      <c r="A1300" s="0" t="inlineStr">
        <is>
          <t xml:space="preserve">o1299</t>
        </is>
      </c>
      <c r="B1300" s="0" t="inlineStr">
        <is>
          <t xml:space="preserve">a0276</t>
        </is>
      </c>
      <c r="C1300" s="0" t="inlineStr">
        <is>
          <t xml:space="preserve">r13</t>
        </is>
      </c>
      <c r="D1300" s="0" t="inlineStr">
        <is>
          <t xml:space="preserve">s_emea_in</t>
        </is>
      </c>
      <c r="E1300" s="0" t="inlineStr">
        <is>
          <t xml:space="preserve">inbound</t>
        </is>
      </c>
      <c r="F1300" s="0" t="inlineStr">
        <is>
          <t xml:space="preserve">closed_lost</t>
        </is>
      </c>
      <c r="G1300" s="4">
        <v>1</v>
      </c>
      <c r="H1300" s="4">
        <v>118500</v>
      </c>
      <c r="I1300" s="4">
        <v>2</v>
      </c>
      <c r="J1300" s="4">
        <v>0</v>
      </c>
      <c r="K1300" s="16">
        <v>45865</v>
      </c>
      <c r="L1300" s="16">
        <v>45961</v>
      </c>
      <c r="M1300" s="0" t="inlineStr">
        <is>
          <t xml:space="preserve">jul25</t>
        </is>
      </c>
      <c r="N1300" s="0" t="inlineStr">
        <is>
          <t xml:space="preserve">oct25</t>
        </is>
      </c>
      <c r="O1300" s="4">
        <v>96</v>
      </c>
      <c r="P1300" s="4">
        <v>0</v>
      </c>
      <c r="Q1300" s="4">
        <v>1</v>
      </c>
      <c r="R1300" s="4">
        <v>0</v>
      </c>
      <c r="S1300" s="4">
        <f>(H1300*INDEX('Stages'!$D$2:$D$7,MATCH(F1300,'Stages'!$A$2:$A$7,0)))</f>
        <v>0</v>
      </c>
      <c r="T1300" s="4">
        <f>(H1300*I1300)</f>
        <v>237000</v>
      </c>
      <c r="U1300" s="4">
        <f>(H1300*(I1300-1))</f>
        <v>118500</v>
      </c>
      <c r="V1300" s="0" t="str">
        <f>INDEX('Account executives'!$B$2:$B$25,MATCH(C1300,'Account executives'!$A$2:$A$25,0))</f>
        <v>emea</v>
      </c>
      <c r="W1300" s="0" t="str">
        <f>INDEX('Account executives'!$C$2:$C$25,MATCH(C1300,'Account executives'!$A$2:$A$25,0))</f>
        <v>enterprise</v>
      </c>
      <c r="X1300" s="0" t="str">
        <f>SUBSTITUTE(LOWER(INDEX('Periods'!$G$2:$G$22,MATCH(N1300,'Periods'!$A$2:$A$22,0)))," ","_")</f>
        <v>q4_2025</v>
      </c>
    </row>
    <row r="1301">
      <c r="A1301" s="0" t="inlineStr">
        <is>
          <t xml:space="preserve">o1300</t>
        </is>
      </c>
      <c r="B1301" s="0" t="inlineStr">
        <is>
          <t xml:space="preserve">a0796</t>
        </is>
      </c>
      <c r="C1301" s="0" t="inlineStr">
        <is>
          <t xml:space="preserve">r21</t>
        </is>
      </c>
      <c r="D1301" s="0" t="inlineStr">
        <is>
          <t xml:space="preserve">s_apac_in</t>
        </is>
      </c>
      <c r="E1301" s="0" t="inlineStr">
        <is>
          <t xml:space="preserve">inbound</t>
        </is>
      </c>
      <c r="F1301" s="0" t="inlineStr">
        <is>
          <t xml:space="preserve">closed_won</t>
        </is>
      </c>
      <c r="G1301" s="4">
        <v>1</v>
      </c>
      <c r="H1301" s="4">
        <v>42600</v>
      </c>
      <c r="I1301" s="4">
        <v>1</v>
      </c>
      <c r="J1301" s="4">
        <v>1</v>
      </c>
      <c r="K1301" s="16">
        <v>46092</v>
      </c>
      <c r="L1301" s="16">
        <v>46161</v>
      </c>
      <c r="M1301" s="0" t="inlineStr">
        <is>
          <t xml:space="preserve">mar26</t>
        </is>
      </c>
      <c r="N1301" s="0" t="inlineStr">
        <is>
          <t xml:space="preserve">may26</t>
        </is>
      </c>
      <c r="O1301" s="4">
        <v>69</v>
      </c>
      <c r="P1301" s="4">
        <v>1</v>
      </c>
      <c r="Q1301" s="4">
        <v>0</v>
      </c>
      <c r="R1301" s="4">
        <v>0</v>
      </c>
      <c r="S1301" s="4">
        <f>(H1301*INDEX('Stages'!$D$2:$D$7,MATCH(F1301,'Stages'!$A$2:$A$7,0)))</f>
        <v>42600</v>
      </c>
      <c r="T1301" s="4">
        <f>(H1301*I1301)</f>
        <v>42600</v>
      </c>
      <c r="U1301" s="4">
        <f>(H1301*(I1301-1))</f>
        <v>0</v>
      </c>
      <c r="V1301" s="0" t="str">
        <f>INDEX('Account executives'!$B$2:$B$25,MATCH(C1301,'Account executives'!$A$2:$A$25,0))</f>
        <v>apac</v>
      </c>
      <c r="W1301" s="0" t="str">
        <f>INDEX('Account executives'!$C$2:$C$25,MATCH(C1301,'Account executives'!$A$2:$A$25,0))</f>
        <v>mid_market</v>
      </c>
      <c r="X1301" s="0" t="str">
        <f>SUBSTITUTE(LOWER(INDEX('Periods'!$G$2:$G$22,MATCH(N1301,'Periods'!$A$2:$A$22,0)))," ","_")</f>
        <v>q2_2026</v>
      </c>
    </row>
    <row r="1302">
      <c r="A1302" s="0" t="inlineStr">
        <is>
          <t xml:space="preserve">o1301</t>
        </is>
      </c>
      <c r="B1302" s="0" t="inlineStr">
        <is>
          <t xml:space="preserve">a0934</t>
        </is>
      </c>
      <c r="C1302" s="0" t="inlineStr">
        <is>
          <t xml:space="preserve">r18</t>
        </is>
      </c>
      <c r="D1302" s="0" t="inlineStr">
        <is>
          <t xml:space="preserve">s_emea_in</t>
        </is>
      </c>
      <c r="E1302" s="0" t="inlineStr">
        <is>
          <t xml:space="preserve">inbound</t>
        </is>
      </c>
      <c r="F1302" s="0" t="inlineStr">
        <is>
          <t xml:space="preserve">closed_won</t>
        </is>
      </c>
      <c r="G1302" s="4">
        <v>1</v>
      </c>
      <c r="H1302" s="4">
        <v>17500</v>
      </c>
      <c r="I1302" s="4">
        <v>1</v>
      </c>
      <c r="J1302" s="4">
        <v>0</v>
      </c>
      <c r="K1302" s="16">
        <v>46165</v>
      </c>
      <c r="L1302" s="16">
        <v>46194</v>
      </c>
      <c r="M1302" s="0" t="inlineStr">
        <is>
          <t xml:space="preserve">may26</t>
        </is>
      </c>
      <c r="N1302" s="0" t="inlineStr">
        <is>
          <t xml:space="preserve">jun26</t>
        </is>
      </c>
      <c r="O1302" s="4">
        <v>29</v>
      </c>
      <c r="P1302" s="4">
        <v>1</v>
      </c>
      <c r="Q1302" s="4">
        <v>0</v>
      </c>
      <c r="R1302" s="4">
        <v>0</v>
      </c>
      <c r="S1302" s="4">
        <f>(H1302*INDEX('Stages'!$D$2:$D$7,MATCH(F1302,'Stages'!$A$2:$A$7,0)))</f>
        <v>17500</v>
      </c>
      <c r="T1302" s="4">
        <f>(H1302*I1302)</f>
        <v>17500</v>
      </c>
      <c r="U1302" s="4">
        <f>(H1302*(I1302-1))</f>
        <v>0</v>
      </c>
      <c r="V1302" s="0" t="str">
        <f>INDEX('Account executives'!$B$2:$B$25,MATCH(C1302,'Account executives'!$A$2:$A$25,0))</f>
        <v>emea</v>
      </c>
      <c r="W1302" s="0" t="str">
        <f>INDEX('Account executives'!$C$2:$C$25,MATCH(C1302,'Account executives'!$A$2:$A$25,0))</f>
        <v>smb</v>
      </c>
      <c r="X1302" s="0" t="str">
        <f>SUBSTITUTE(LOWER(INDEX('Periods'!$G$2:$G$22,MATCH(N1302,'Periods'!$A$2:$A$22,0)))," ","_")</f>
        <v>q2_2026</v>
      </c>
    </row>
    <row r="1303">
      <c r="A1303" s="0" t="inlineStr">
        <is>
          <t xml:space="preserve">o1302</t>
        </is>
      </c>
      <c r="B1303" s="0" t="inlineStr">
        <is>
          <t xml:space="preserve">a1085</t>
        </is>
      </c>
      <c r="C1303" s="0" t="inlineStr">
        <is>
          <t xml:space="preserve">r04</t>
        </is>
      </c>
      <c r="D1303" s="0" t="inlineStr">
        <is>
          <t xml:space="preserve">s_amer_east_out</t>
        </is>
      </c>
      <c r="E1303" s="0" t="inlineStr">
        <is>
          <t xml:space="preserve">outbound</t>
        </is>
      </c>
      <c r="F1303" s="0" t="inlineStr">
        <is>
          <t xml:space="preserve">closed_lost</t>
        </is>
      </c>
      <c r="G1303" s="4">
        <v>1</v>
      </c>
      <c r="H1303" s="4">
        <v>85500</v>
      </c>
      <c r="I1303" s="4">
        <v>1</v>
      </c>
      <c r="J1303" s="4">
        <v>0</v>
      </c>
      <c r="K1303" s="16">
        <v>46214</v>
      </c>
      <c r="L1303" s="16">
        <v>46257</v>
      </c>
      <c r="M1303" s="0" t="inlineStr">
        <is>
          <t xml:space="preserve">jul26</t>
        </is>
      </c>
      <c r="N1303" s="0" t="inlineStr">
        <is>
          <t xml:space="preserve">aug26</t>
        </is>
      </c>
      <c r="O1303" s="4">
        <v>43</v>
      </c>
      <c r="P1303" s="4">
        <v>0</v>
      </c>
      <c r="Q1303" s="4">
        <v>1</v>
      </c>
      <c r="R1303" s="4">
        <v>0</v>
      </c>
      <c r="S1303" s="4">
        <f>(H1303*INDEX('Stages'!$D$2:$D$7,MATCH(F1303,'Stages'!$A$2:$A$7,0)))</f>
        <v>0</v>
      </c>
      <c r="T1303" s="4">
        <f>(H1303*I1303)</f>
        <v>85500</v>
      </c>
      <c r="U1303" s="4">
        <f>(H1303*(I1303-1))</f>
        <v>0</v>
      </c>
      <c r="V1303" s="0" t="str">
        <f>INDEX('Account executives'!$B$2:$B$25,MATCH(C1303,'Account executives'!$A$2:$A$25,0))</f>
        <v>amer_east</v>
      </c>
      <c r="W1303" s="0" t="str">
        <f>INDEX('Account executives'!$C$2:$C$25,MATCH(C1303,'Account executives'!$A$2:$A$25,0))</f>
        <v>mid_market</v>
      </c>
      <c r="X1303" s="0" t="str">
        <f>SUBSTITUTE(LOWER(INDEX('Periods'!$G$2:$G$22,MATCH(N1303,'Periods'!$A$2:$A$22,0)))," ","_")</f>
        <v>q3_2026</v>
      </c>
    </row>
    <row r="1304">
      <c r="A1304" s="0" t="inlineStr">
        <is>
          <t xml:space="preserve">o1303</t>
        </is>
      </c>
      <c r="B1304" s="0" t="inlineStr">
        <is>
          <t xml:space="preserve">a0699</t>
        </is>
      </c>
      <c r="C1304" s="0" t="inlineStr">
        <is>
          <t xml:space="preserve">r16</t>
        </is>
      </c>
      <c r="D1304" s="0"/>
      <c r="E1304" s="0" t="inlineStr">
        <is>
          <t xml:space="preserve">events</t>
        </is>
      </c>
      <c r="F1304" s="0" t="inlineStr">
        <is>
          <t xml:space="preserve">closed_lost</t>
        </is>
      </c>
      <c r="G1304" s="4">
        <v>1</v>
      </c>
      <c r="H1304" s="4">
        <v>87300</v>
      </c>
      <c r="I1304" s="4">
        <v>2</v>
      </c>
      <c r="J1304" s="4">
        <v>0</v>
      </c>
      <c r="K1304" s="16">
        <v>46069</v>
      </c>
      <c r="L1304" s="16">
        <v>46094</v>
      </c>
      <c r="M1304" s="0" t="inlineStr">
        <is>
          <t xml:space="preserve">feb26</t>
        </is>
      </c>
      <c r="N1304" s="0" t="inlineStr">
        <is>
          <t xml:space="preserve">mar26</t>
        </is>
      </c>
      <c r="O1304" s="4">
        <v>25</v>
      </c>
      <c r="P1304" s="4">
        <v>0</v>
      </c>
      <c r="Q1304" s="4">
        <v>1</v>
      </c>
      <c r="R1304" s="4">
        <v>0</v>
      </c>
      <c r="S1304" s="4">
        <f>(H1304*INDEX('Stages'!$D$2:$D$7,MATCH(F1304,'Stages'!$A$2:$A$7,0)))</f>
        <v>0</v>
      </c>
      <c r="T1304" s="4">
        <f>(H1304*I1304)</f>
        <v>174600</v>
      </c>
      <c r="U1304" s="4">
        <f>(H1304*(I1304-1))</f>
        <v>87300</v>
      </c>
      <c r="V1304" s="0" t="str">
        <f>INDEX('Account executives'!$B$2:$B$25,MATCH(C1304,'Account executives'!$A$2:$A$25,0))</f>
        <v>emea</v>
      </c>
      <c r="W1304" s="0" t="str">
        <f>INDEX('Account executives'!$C$2:$C$25,MATCH(C1304,'Account executives'!$A$2:$A$25,0))</f>
        <v>mid_market</v>
      </c>
      <c r="X1304" s="0" t="str">
        <f>SUBSTITUTE(LOWER(INDEX('Periods'!$G$2:$G$22,MATCH(N1304,'Periods'!$A$2:$A$22,0)))," ","_")</f>
        <v>q1_2026</v>
      </c>
    </row>
    <row r="1305">
      <c r="A1305" s="0" t="inlineStr">
        <is>
          <t xml:space="preserve">o1304</t>
        </is>
      </c>
      <c r="B1305" s="0" t="inlineStr">
        <is>
          <t xml:space="preserve">a0517</t>
        </is>
      </c>
      <c r="C1305" s="0" t="inlineStr">
        <is>
          <t xml:space="preserve">r16</t>
        </is>
      </c>
      <c r="D1305" s="0"/>
      <c r="E1305" s="0" t="inlineStr">
        <is>
          <t xml:space="preserve">partner</t>
        </is>
      </c>
      <c r="F1305" s="0" t="inlineStr">
        <is>
          <t xml:space="preserve">closed_lost</t>
        </is>
      </c>
      <c r="G1305" s="4">
        <v>0</v>
      </c>
      <c r="H1305" s="4">
        <v>13300</v>
      </c>
      <c r="I1305" s="4">
        <v>1</v>
      </c>
      <c r="J1305" s="4">
        <v>0</v>
      </c>
      <c r="K1305" s="16">
        <v>46013</v>
      </c>
      <c r="L1305" s="16">
        <v>46090</v>
      </c>
      <c r="M1305" s="0" t="inlineStr">
        <is>
          <t xml:space="preserve">dec25</t>
        </is>
      </c>
      <c r="N1305" s="0" t="inlineStr">
        <is>
          <t xml:space="preserve">mar26</t>
        </is>
      </c>
      <c r="O1305" s="4">
        <v>77</v>
      </c>
      <c r="P1305" s="4">
        <v>0</v>
      </c>
      <c r="Q1305" s="4">
        <v>1</v>
      </c>
      <c r="R1305" s="4">
        <v>0</v>
      </c>
      <c r="S1305" s="4">
        <f>(H1305*INDEX('Stages'!$D$2:$D$7,MATCH(F1305,'Stages'!$A$2:$A$7,0)))</f>
        <v>0</v>
      </c>
      <c r="T1305" s="4">
        <f>(H1305*I1305)</f>
        <v>13300</v>
      </c>
      <c r="U1305" s="4">
        <f>(H1305*(I1305-1))</f>
        <v>0</v>
      </c>
      <c r="V1305" s="0" t="str">
        <f>INDEX('Account executives'!$B$2:$B$25,MATCH(C1305,'Account executives'!$A$2:$A$25,0))</f>
        <v>emea</v>
      </c>
      <c r="W1305" s="0" t="str">
        <f>INDEX('Account executives'!$C$2:$C$25,MATCH(C1305,'Account executives'!$A$2:$A$25,0))</f>
        <v>mid_market</v>
      </c>
      <c r="X1305" s="0" t="str">
        <f>SUBSTITUTE(LOWER(INDEX('Periods'!$G$2:$G$22,MATCH(N1305,'Periods'!$A$2:$A$22,0)))," ","_")</f>
        <v>q1_2026</v>
      </c>
    </row>
    <row r="1306">
      <c r="A1306" s="0" t="inlineStr">
        <is>
          <t xml:space="preserve">o1305</t>
        </is>
      </c>
      <c r="B1306" s="0" t="inlineStr">
        <is>
          <t xml:space="preserve">a0167</t>
        </is>
      </c>
      <c r="C1306" s="0" t="inlineStr">
        <is>
          <t xml:space="preserve">r01</t>
        </is>
      </c>
      <c r="D1306" s="0" t="inlineStr">
        <is>
          <t xml:space="preserve">s_amer_east_in</t>
        </is>
      </c>
      <c r="E1306" s="0" t="inlineStr">
        <is>
          <t xml:space="preserve">inbound</t>
        </is>
      </c>
      <c r="F1306" s="0" t="inlineStr">
        <is>
          <t xml:space="preserve">closed_lost</t>
        </is>
      </c>
      <c r="G1306" s="4">
        <v>1</v>
      </c>
      <c r="H1306" s="4">
        <v>104100</v>
      </c>
      <c r="I1306" s="4">
        <v>3</v>
      </c>
      <c r="J1306" s="4">
        <v>0</v>
      </c>
      <c r="K1306" s="16">
        <v>45814</v>
      </c>
      <c r="L1306" s="16">
        <v>45927</v>
      </c>
      <c r="M1306" s="0" t="inlineStr">
        <is>
          <t xml:space="preserve">jun25</t>
        </is>
      </c>
      <c r="N1306" s="0" t="inlineStr">
        <is>
          <t xml:space="preserve">sep25</t>
        </is>
      </c>
      <c r="O1306" s="4">
        <v>113</v>
      </c>
      <c r="P1306" s="4">
        <v>0</v>
      </c>
      <c r="Q1306" s="4">
        <v>1</v>
      </c>
      <c r="R1306" s="4">
        <v>0</v>
      </c>
      <c r="S1306" s="4">
        <f>(H1306*INDEX('Stages'!$D$2:$D$7,MATCH(F1306,'Stages'!$A$2:$A$7,0)))</f>
        <v>0</v>
      </c>
      <c r="T1306" s="4">
        <f>(H1306*I1306)</f>
        <v>312300</v>
      </c>
      <c r="U1306" s="4">
        <f>(H1306*(I1306-1))</f>
        <v>208200</v>
      </c>
      <c r="V1306" s="0" t="str">
        <f>INDEX('Account executives'!$B$2:$B$25,MATCH(C1306,'Account executives'!$A$2:$A$25,0))</f>
        <v>amer_east</v>
      </c>
      <c r="W1306" s="0" t="str">
        <f>INDEX('Account executives'!$C$2:$C$25,MATCH(C1306,'Account executives'!$A$2:$A$25,0))</f>
        <v>enterprise</v>
      </c>
      <c r="X1306" s="0" t="str">
        <f>SUBSTITUTE(LOWER(INDEX('Periods'!$G$2:$G$22,MATCH(N1306,'Periods'!$A$2:$A$22,0)))," ","_")</f>
        <v>q3_2025</v>
      </c>
    </row>
    <row r="1307">
      <c r="A1307" s="0" t="inlineStr">
        <is>
          <t xml:space="preserve">o1306</t>
        </is>
      </c>
      <c r="B1307" s="0" t="inlineStr">
        <is>
          <t xml:space="preserve">a0190</t>
        </is>
      </c>
      <c r="C1307" s="0" t="inlineStr">
        <is>
          <t xml:space="preserve">r12</t>
        </is>
      </c>
      <c r="D1307" s="0" t="inlineStr">
        <is>
          <t xml:space="preserve">s_amer_west_in</t>
        </is>
      </c>
      <c r="E1307" s="0" t="inlineStr">
        <is>
          <t xml:space="preserve">paid</t>
        </is>
      </c>
      <c r="F1307" s="0" t="inlineStr">
        <is>
          <t xml:space="preserve">closed_lost</t>
        </is>
      </c>
      <c r="G1307" s="4">
        <v>1</v>
      </c>
      <c r="H1307" s="4">
        <v>9000</v>
      </c>
      <c r="I1307" s="4">
        <v>1</v>
      </c>
      <c r="J1307" s="4">
        <v>0</v>
      </c>
      <c r="K1307" s="16">
        <v>45815</v>
      </c>
      <c r="L1307" s="16">
        <v>45844</v>
      </c>
      <c r="M1307" s="0" t="inlineStr">
        <is>
          <t xml:space="preserve">jun25</t>
        </is>
      </c>
      <c r="N1307" s="0" t="inlineStr">
        <is>
          <t xml:space="preserve">jul25</t>
        </is>
      </c>
      <c r="O1307" s="4">
        <v>29</v>
      </c>
      <c r="P1307" s="4">
        <v>0</v>
      </c>
      <c r="Q1307" s="4">
        <v>1</v>
      </c>
      <c r="R1307" s="4">
        <v>0</v>
      </c>
      <c r="S1307" s="4">
        <f>(H1307*INDEX('Stages'!$D$2:$D$7,MATCH(F1307,'Stages'!$A$2:$A$7,0)))</f>
        <v>0</v>
      </c>
      <c r="T1307" s="4">
        <f>(H1307*I1307)</f>
        <v>9000</v>
      </c>
      <c r="U1307" s="4">
        <f>(H1307*(I1307-1))</f>
        <v>0</v>
      </c>
      <c r="V1307" s="0" t="str">
        <f>INDEX('Account executives'!$B$2:$B$25,MATCH(C1307,'Account executives'!$A$2:$A$25,0))</f>
        <v>amer_west</v>
      </c>
      <c r="W1307" s="0" t="str">
        <f>INDEX('Account executives'!$C$2:$C$25,MATCH(C1307,'Account executives'!$A$2:$A$25,0))</f>
        <v>smb</v>
      </c>
      <c r="X1307" s="0" t="str">
        <f>SUBSTITUTE(LOWER(INDEX('Periods'!$G$2:$G$22,MATCH(N1307,'Periods'!$A$2:$A$22,0)))," ","_")</f>
        <v>q3_2025</v>
      </c>
    </row>
    <row r="1308">
      <c r="A1308" s="0" t="inlineStr">
        <is>
          <t xml:space="preserve">o1307</t>
        </is>
      </c>
      <c r="B1308" s="0" t="inlineStr">
        <is>
          <t xml:space="preserve">a0050</t>
        </is>
      </c>
      <c r="C1308" s="0" t="inlineStr">
        <is>
          <t xml:space="preserve">r15</t>
        </is>
      </c>
      <c r="D1308" s="0" t="inlineStr">
        <is>
          <t xml:space="preserve">s_emea_out</t>
        </is>
      </c>
      <c r="E1308" s="0" t="inlineStr">
        <is>
          <t xml:space="preserve">outbound</t>
        </is>
      </c>
      <c r="F1308" s="0" t="inlineStr">
        <is>
          <t xml:space="preserve">closed_lost</t>
        </is>
      </c>
      <c r="G1308" s="4">
        <v>0</v>
      </c>
      <c r="H1308" s="4">
        <v>24900</v>
      </c>
      <c r="I1308" s="4">
        <v>1</v>
      </c>
      <c r="J1308" s="4">
        <v>1</v>
      </c>
      <c r="K1308" s="16">
        <v>45938</v>
      </c>
      <c r="L1308" s="16">
        <v>45996</v>
      </c>
      <c r="M1308" s="0" t="inlineStr">
        <is>
          <t xml:space="preserve">oct25</t>
        </is>
      </c>
      <c r="N1308" s="0" t="inlineStr">
        <is>
          <t xml:space="preserve">dec25</t>
        </is>
      </c>
      <c r="O1308" s="4">
        <v>58</v>
      </c>
      <c r="P1308" s="4">
        <v>0</v>
      </c>
      <c r="Q1308" s="4">
        <v>1</v>
      </c>
      <c r="R1308" s="4">
        <v>0</v>
      </c>
      <c r="S1308" s="4">
        <f>(H1308*INDEX('Stages'!$D$2:$D$7,MATCH(F1308,'Stages'!$A$2:$A$7,0)))</f>
        <v>0</v>
      </c>
      <c r="T1308" s="4">
        <f>(H1308*I1308)</f>
        <v>24900</v>
      </c>
      <c r="U1308" s="4">
        <f>(H1308*(I1308-1))</f>
        <v>0</v>
      </c>
      <c r="V1308" s="0" t="str">
        <f>INDEX('Account executives'!$B$2:$B$25,MATCH(C1308,'Account executives'!$A$2:$A$25,0))</f>
        <v>emea</v>
      </c>
      <c r="W1308" s="0" t="str">
        <f>INDEX('Account executives'!$C$2:$C$25,MATCH(C1308,'Account executives'!$A$2:$A$25,0))</f>
        <v>mid_market</v>
      </c>
      <c r="X1308" s="0" t="str">
        <f>SUBSTITUTE(LOWER(INDEX('Periods'!$G$2:$G$22,MATCH(N1308,'Periods'!$A$2:$A$22,0)))," ","_")</f>
        <v>q4_2025</v>
      </c>
    </row>
    <row r="1309">
      <c r="A1309" s="0" t="inlineStr">
        <is>
          <t xml:space="preserve">o1308</t>
        </is>
      </c>
      <c r="B1309" s="0" t="inlineStr">
        <is>
          <t xml:space="preserve">a0372</t>
        </is>
      </c>
      <c r="C1309" s="0" t="inlineStr">
        <is>
          <t xml:space="preserve">r01</t>
        </is>
      </c>
      <c r="D1309" s="0" t="inlineStr">
        <is>
          <t xml:space="preserve">s_amer_east_out</t>
        </is>
      </c>
      <c r="E1309" s="0" t="inlineStr">
        <is>
          <t xml:space="preserve">outbound</t>
        </is>
      </c>
      <c r="F1309" s="0" t="inlineStr">
        <is>
          <t xml:space="preserve">closed_won</t>
        </is>
      </c>
      <c r="G1309" s="4">
        <v>0</v>
      </c>
      <c r="H1309" s="4">
        <v>127500</v>
      </c>
      <c r="I1309" s="4">
        <v>2</v>
      </c>
      <c r="J1309" s="4">
        <v>0</v>
      </c>
      <c r="K1309" s="16">
        <v>46066</v>
      </c>
      <c r="L1309" s="16">
        <v>46150</v>
      </c>
      <c r="M1309" s="0" t="inlineStr">
        <is>
          <t xml:space="preserve">feb26</t>
        </is>
      </c>
      <c r="N1309" s="0" t="inlineStr">
        <is>
          <t xml:space="preserve">may26</t>
        </is>
      </c>
      <c r="O1309" s="4">
        <v>84</v>
      </c>
      <c r="P1309" s="4">
        <v>1</v>
      </c>
      <c r="Q1309" s="4">
        <v>0</v>
      </c>
      <c r="R1309" s="4">
        <v>0</v>
      </c>
      <c r="S1309" s="4">
        <f>(H1309*INDEX('Stages'!$D$2:$D$7,MATCH(F1309,'Stages'!$A$2:$A$7,0)))</f>
        <v>127500</v>
      </c>
      <c r="T1309" s="4">
        <f>(H1309*I1309)</f>
        <v>255000</v>
      </c>
      <c r="U1309" s="4">
        <f>(H1309*(I1309-1))</f>
        <v>127500</v>
      </c>
      <c r="V1309" s="0" t="str">
        <f>INDEX('Account executives'!$B$2:$B$25,MATCH(C1309,'Account executives'!$A$2:$A$25,0))</f>
        <v>amer_east</v>
      </c>
      <c r="W1309" s="0" t="str">
        <f>INDEX('Account executives'!$C$2:$C$25,MATCH(C1309,'Account executives'!$A$2:$A$25,0))</f>
        <v>enterprise</v>
      </c>
      <c r="X1309" s="0" t="str">
        <f>SUBSTITUTE(LOWER(INDEX('Periods'!$G$2:$G$22,MATCH(N1309,'Periods'!$A$2:$A$22,0)))," ","_")</f>
        <v>q2_2026</v>
      </c>
    </row>
    <row r="1310">
      <c r="A1310" s="0" t="inlineStr">
        <is>
          <t xml:space="preserve">o1309</t>
        </is>
      </c>
      <c r="B1310" s="0" t="inlineStr">
        <is>
          <t xml:space="preserve">a0397</t>
        </is>
      </c>
      <c r="C1310" s="0" t="inlineStr">
        <is>
          <t xml:space="preserve">r17</t>
        </is>
      </c>
      <c r="D1310" s="0" t="inlineStr">
        <is>
          <t xml:space="preserve">s_emea_in</t>
        </is>
      </c>
      <c r="E1310" s="0" t="inlineStr">
        <is>
          <t xml:space="preserve">inbound</t>
        </is>
      </c>
      <c r="F1310" s="0" t="inlineStr">
        <is>
          <t xml:space="preserve">closed_won</t>
        </is>
      </c>
      <c r="G1310" s="4">
        <v>0</v>
      </c>
      <c r="H1310" s="4">
        <v>5500</v>
      </c>
      <c r="I1310" s="4">
        <v>1</v>
      </c>
      <c r="J1310" s="4">
        <v>0</v>
      </c>
      <c r="K1310" s="16">
        <v>45975</v>
      </c>
      <c r="L1310" s="16">
        <v>45995</v>
      </c>
      <c r="M1310" s="0" t="inlineStr">
        <is>
          <t xml:space="preserve">nov25</t>
        </is>
      </c>
      <c r="N1310" s="0" t="inlineStr">
        <is>
          <t xml:space="preserve">dec25</t>
        </is>
      </c>
      <c r="O1310" s="4">
        <v>20</v>
      </c>
      <c r="P1310" s="4">
        <v>1</v>
      </c>
      <c r="Q1310" s="4">
        <v>0</v>
      </c>
      <c r="R1310" s="4">
        <v>0</v>
      </c>
      <c r="S1310" s="4">
        <f>(H1310*INDEX('Stages'!$D$2:$D$7,MATCH(F1310,'Stages'!$A$2:$A$7,0)))</f>
        <v>5500</v>
      </c>
      <c r="T1310" s="4">
        <f>(H1310*I1310)</f>
        <v>5500</v>
      </c>
      <c r="U1310" s="4">
        <f>(H1310*(I1310-1))</f>
        <v>0</v>
      </c>
      <c r="V1310" s="0" t="str">
        <f>INDEX('Account executives'!$B$2:$B$25,MATCH(C1310,'Account executives'!$A$2:$A$25,0))</f>
        <v>emea</v>
      </c>
      <c r="W1310" s="0" t="str">
        <f>INDEX('Account executives'!$C$2:$C$25,MATCH(C1310,'Account executives'!$A$2:$A$25,0))</f>
        <v>smb</v>
      </c>
      <c r="X1310" s="0" t="str">
        <f>SUBSTITUTE(LOWER(INDEX('Periods'!$G$2:$G$22,MATCH(N1310,'Periods'!$A$2:$A$22,0)))," ","_")</f>
        <v>q4_2025</v>
      </c>
    </row>
    <row r="1311">
      <c r="A1311" s="0" t="inlineStr">
        <is>
          <t xml:space="preserve">o1310</t>
        </is>
      </c>
      <c r="B1311" s="0" t="inlineStr">
        <is>
          <t xml:space="preserve">a0747</t>
        </is>
      </c>
      <c r="C1311" s="0" t="inlineStr">
        <is>
          <t xml:space="preserve">r03</t>
        </is>
      </c>
      <c r="D1311" s="0"/>
      <c r="E1311" s="0" t="inlineStr">
        <is>
          <t xml:space="preserve">partner</t>
        </is>
      </c>
      <c r="F1311" s="0" t="inlineStr">
        <is>
          <t xml:space="preserve">closed_won</t>
        </is>
      </c>
      <c r="G1311" s="4">
        <v>1</v>
      </c>
      <c r="H1311" s="4">
        <v>52700</v>
      </c>
      <c r="I1311" s="4">
        <v>1</v>
      </c>
      <c r="J1311" s="4">
        <v>0</v>
      </c>
      <c r="K1311" s="16">
        <v>46094</v>
      </c>
      <c r="L1311" s="16">
        <v>46201</v>
      </c>
      <c r="M1311" s="0" t="inlineStr">
        <is>
          <t xml:space="preserve">mar26</t>
        </is>
      </c>
      <c r="N1311" s="0" t="inlineStr">
        <is>
          <t xml:space="preserve">jun26</t>
        </is>
      </c>
      <c r="O1311" s="4">
        <v>107</v>
      </c>
      <c r="P1311" s="4">
        <v>1</v>
      </c>
      <c r="Q1311" s="4">
        <v>0</v>
      </c>
      <c r="R1311" s="4">
        <v>0</v>
      </c>
      <c r="S1311" s="4">
        <f>(H1311*INDEX('Stages'!$D$2:$D$7,MATCH(F1311,'Stages'!$A$2:$A$7,0)))</f>
        <v>52700</v>
      </c>
      <c r="T1311" s="4">
        <f>(H1311*I1311)</f>
        <v>52700</v>
      </c>
      <c r="U1311" s="4">
        <f>(H1311*(I1311-1))</f>
        <v>0</v>
      </c>
      <c r="V1311" s="0" t="str">
        <f>INDEX('Account executives'!$B$2:$B$25,MATCH(C1311,'Account executives'!$A$2:$A$25,0))</f>
        <v>amer_east</v>
      </c>
      <c r="W1311" s="0" t="str">
        <f>INDEX('Account executives'!$C$2:$C$25,MATCH(C1311,'Account executives'!$A$2:$A$25,0))</f>
        <v>mid_market</v>
      </c>
      <c r="X1311" s="0" t="str">
        <f>SUBSTITUTE(LOWER(INDEX('Periods'!$G$2:$G$22,MATCH(N1311,'Periods'!$A$2:$A$22,0)))," ","_")</f>
        <v>q2_2026</v>
      </c>
    </row>
    <row r="1312">
      <c r="A1312" s="0" t="inlineStr">
        <is>
          <t xml:space="preserve">o1311</t>
        </is>
      </c>
      <c r="B1312" s="0" t="inlineStr">
        <is>
          <t xml:space="preserve">a0143</t>
        </is>
      </c>
      <c r="C1312" s="0" t="inlineStr">
        <is>
          <t xml:space="preserve">r19</t>
        </is>
      </c>
      <c r="D1312" s="0"/>
      <c r="E1312" s="0" t="inlineStr">
        <is>
          <t xml:space="preserve">partner</t>
        </is>
      </c>
      <c r="F1312" s="0" t="inlineStr">
        <is>
          <t xml:space="preserve">closed_won</t>
        </is>
      </c>
      <c r="G1312" s="4">
        <v>0</v>
      </c>
      <c r="H1312" s="4">
        <v>66500</v>
      </c>
      <c r="I1312" s="4">
        <v>2</v>
      </c>
      <c r="J1312" s="4">
        <v>0</v>
      </c>
      <c r="K1312" s="16">
        <v>45826</v>
      </c>
      <c r="L1312" s="16">
        <v>45928</v>
      </c>
      <c r="M1312" s="0" t="inlineStr">
        <is>
          <t xml:space="preserve">jun25</t>
        </is>
      </c>
      <c r="N1312" s="0" t="inlineStr">
        <is>
          <t xml:space="preserve">sep25</t>
        </is>
      </c>
      <c r="O1312" s="4">
        <v>102</v>
      </c>
      <c r="P1312" s="4">
        <v>1</v>
      </c>
      <c r="Q1312" s="4">
        <v>0</v>
      </c>
      <c r="R1312" s="4">
        <v>0</v>
      </c>
      <c r="S1312" s="4">
        <f>(H1312*INDEX('Stages'!$D$2:$D$7,MATCH(F1312,'Stages'!$A$2:$A$7,0)))</f>
        <v>66500</v>
      </c>
      <c r="T1312" s="4">
        <f>(H1312*I1312)</f>
        <v>133000</v>
      </c>
      <c r="U1312" s="4">
        <f>(H1312*(I1312-1))</f>
        <v>66500</v>
      </c>
      <c r="V1312" s="0" t="str">
        <f>INDEX('Account executives'!$B$2:$B$25,MATCH(C1312,'Account executives'!$A$2:$A$25,0))</f>
        <v>apac</v>
      </c>
      <c r="W1312" s="0" t="str">
        <f>INDEX('Account executives'!$C$2:$C$25,MATCH(C1312,'Account executives'!$A$2:$A$25,0))</f>
        <v>enterprise</v>
      </c>
      <c r="X1312" s="0" t="str">
        <f>SUBSTITUTE(LOWER(INDEX('Periods'!$G$2:$G$22,MATCH(N1312,'Periods'!$A$2:$A$22,0)))," ","_")</f>
        <v>q3_2025</v>
      </c>
    </row>
    <row r="1313">
      <c r="A1313" s="0" t="inlineStr">
        <is>
          <t xml:space="preserve">o1312</t>
        </is>
      </c>
      <c r="B1313" s="0" t="inlineStr">
        <is>
          <t xml:space="preserve">a0024</t>
        </is>
      </c>
      <c r="C1313" s="0" t="inlineStr">
        <is>
          <t xml:space="preserve">r11</t>
        </is>
      </c>
      <c r="D1313" s="0" t="inlineStr">
        <is>
          <t xml:space="preserve">s_amer_west_in</t>
        </is>
      </c>
      <c r="E1313" s="0" t="inlineStr">
        <is>
          <t xml:space="preserve">paid</t>
        </is>
      </c>
      <c r="F1313" s="0" t="inlineStr">
        <is>
          <t xml:space="preserve">closed_lost</t>
        </is>
      </c>
      <c r="G1313" s="4">
        <v>0</v>
      </c>
      <c r="H1313" s="4">
        <v>5900</v>
      </c>
      <c r="I1313" s="4">
        <v>1</v>
      </c>
      <c r="J1313" s="4">
        <v>0</v>
      </c>
      <c r="K1313" s="16">
        <v>45811</v>
      </c>
      <c r="L1313" s="16">
        <v>45842</v>
      </c>
      <c r="M1313" s="0" t="inlineStr">
        <is>
          <t xml:space="preserve">jun25</t>
        </is>
      </c>
      <c r="N1313" s="0" t="inlineStr">
        <is>
          <t xml:space="preserve">jul25</t>
        </is>
      </c>
      <c r="O1313" s="4">
        <v>31</v>
      </c>
      <c r="P1313" s="4">
        <v>0</v>
      </c>
      <c r="Q1313" s="4">
        <v>1</v>
      </c>
      <c r="R1313" s="4">
        <v>0</v>
      </c>
      <c r="S1313" s="4">
        <f>(H1313*INDEX('Stages'!$D$2:$D$7,MATCH(F1313,'Stages'!$A$2:$A$7,0)))</f>
        <v>0</v>
      </c>
      <c r="T1313" s="4">
        <f>(H1313*I1313)</f>
        <v>5900</v>
      </c>
      <c r="U1313" s="4">
        <f>(H1313*(I1313-1))</f>
        <v>0</v>
      </c>
      <c r="V1313" s="0" t="str">
        <f>INDEX('Account executives'!$B$2:$B$25,MATCH(C1313,'Account executives'!$A$2:$A$25,0))</f>
        <v>amer_west</v>
      </c>
      <c r="W1313" s="0" t="str">
        <f>INDEX('Account executives'!$C$2:$C$25,MATCH(C1313,'Account executives'!$A$2:$A$25,0))</f>
        <v>smb</v>
      </c>
      <c r="X1313" s="0" t="str">
        <f>SUBSTITUTE(LOWER(INDEX('Periods'!$G$2:$G$22,MATCH(N1313,'Periods'!$A$2:$A$22,0)))," ","_")</f>
        <v>q3_2025</v>
      </c>
    </row>
    <row r="1314">
      <c r="A1314" s="0" t="inlineStr">
        <is>
          <t xml:space="preserve">o1313</t>
        </is>
      </c>
      <c r="B1314" s="0" t="inlineStr">
        <is>
          <t xml:space="preserve">a0223</t>
        </is>
      </c>
      <c r="C1314" s="0" t="inlineStr">
        <is>
          <t xml:space="preserve">r22</t>
        </is>
      </c>
      <c r="D1314" s="0" t="inlineStr">
        <is>
          <t xml:space="preserve">s_apac_in</t>
        </is>
      </c>
      <c r="E1314" s="0" t="inlineStr">
        <is>
          <t xml:space="preserve">inbound</t>
        </is>
      </c>
      <c r="F1314" s="0" t="inlineStr">
        <is>
          <t xml:space="preserve">closed_won</t>
        </is>
      </c>
      <c r="G1314" s="4">
        <v>1</v>
      </c>
      <c r="H1314" s="4">
        <v>43500</v>
      </c>
      <c r="I1314" s="4">
        <v>1</v>
      </c>
      <c r="J1314" s="4">
        <v>1</v>
      </c>
      <c r="K1314" s="16">
        <v>45815</v>
      </c>
      <c r="L1314" s="16">
        <v>45843</v>
      </c>
      <c r="M1314" s="0" t="inlineStr">
        <is>
          <t xml:space="preserve">jun25</t>
        </is>
      </c>
      <c r="N1314" s="0" t="inlineStr">
        <is>
          <t xml:space="preserve">jul25</t>
        </is>
      </c>
      <c r="O1314" s="4">
        <v>28</v>
      </c>
      <c r="P1314" s="4">
        <v>1</v>
      </c>
      <c r="Q1314" s="4">
        <v>0</v>
      </c>
      <c r="R1314" s="4">
        <v>0</v>
      </c>
      <c r="S1314" s="4">
        <f>(H1314*INDEX('Stages'!$D$2:$D$7,MATCH(F1314,'Stages'!$A$2:$A$7,0)))</f>
        <v>43500</v>
      </c>
      <c r="T1314" s="4">
        <f>(H1314*I1314)</f>
        <v>43500</v>
      </c>
      <c r="U1314" s="4">
        <f>(H1314*(I1314-1))</f>
        <v>0</v>
      </c>
      <c r="V1314" s="0" t="str">
        <f>INDEX('Account executives'!$B$2:$B$25,MATCH(C1314,'Account executives'!$A$2:$A$25,0))</f>
        <v>apac</v>
      </c>
      <c r="W1314" s="0" t="str">
        <f>INDEX('Account executives'!$C$2:$C$25,MATCH(C1314,'Account executives'!$A$2:$A$25,0))</f>
        <v>mid_market</v>
      </c>
      <c r="X1314" s="0" t="str">
        <f>SUBSTITUTE(LOWER(INDEX('Periods'!$G$2:$G$22,MATCH(N1314,'Periods'!$A$2:$A$22,0)))," ","_")</f>
        <v>q3_2025</v>
      </c>
    </row>
    <row r="1315">
      <c r="A1315" s="0" t="inlineStr">
        <is>
          <t xml:space="preserve">o1314</t>
        </is>
      </c>
      <c r="B1315" s="0" t="inlineStr">
        <is>
          <t xml:space="preserve">a0041</t>
        </is>
      </c>
      <c r="C1315" s="0" t="inlineStr">
        <is>
          <t xml:space="preserve">r18</t>
        </is>
      </c>
      <c r="D1315" s="0" t="inlineStr">
        <is>
          <t xml:space="preserve">s_emea_in</t>
        </is>
      </c>
      <c r="E1315" s="0" t="inlineStr">
        <is>
          <t xml:space="preserve">inbound</t>
        </is>
      </c>
      <c r="F1315" s="0" t="inlineStr">
        <is>
          <t xml:space="preserve">closed_lost</t>
        </is>
      </c>
      <c r="G1315" s="4">
        <v>1</v>
      </c>
      <c r="H1315" s="4">
        <v>21900</v>
      </c>
      <c r="I1315" s="4">
        <v>1</v>
      </c>
      <c r="J1315" s="4">
        <v>0</v>
      </c>
      <c r="K1315" s="16">
        <v>45767</v>
      </c>
      <c r="L1315" s="16">
        <v>45795</v>
      </c>
      <c r="M1315" s="0" t="inlineStr">
        <is>
          <t xml:space="preserve">apr25</t>
        </is>
      </c>
      <c r="N1315" s="0" t="inlineStr">
        <is>
          <t xml:space="preserve">may25</t>
        </is>
      </c>
      <c r="O1315" s="4">
        <v>28</v>
      </c>
      <c r="P1315" s="4">
        <v>0</v>
      </c>
      <c r="Q1315" s="4">
        <v>1</v>
      </c>
      <c r="R1315" s="4">
        <v>0</v>
      </c>
      <c r="S1315" s="4">
        <f>(H1315*INDEX('Stages'!$D$2:$D$7,MATCH(F1315,'Stages'!$A$2:$A$7,0)))</f>
        <v>0</v>
      </c>
      <c r="T1315" s="4">
        <f>(H1315*I1315)</f>
        <v>21900</v>
      </c>
      <c r="U1315" s="4">
        <f>(H1315*(I1315-1))</f>
        <v>0</v>
      </c>
      <c r="V1315" s="0" t="str">
        <f>INDEX('Account executives'!$B$2:$B$25,MATCH(C1315,'Account executives'!$A$2:$A$25,0))</f>
        <v>emea</v>
      </c>
      <c r="W1315" s="0" t="str">
        <f>INDEX('Account executives'!$C$2:$C$25,MATCH(C1315,'Account executives'!$A$2:$A$25,0))</f>
        <v>smb</v>
      </c>
      <c r="X1315" s="0" t="str">
        <f>SUBSTITUTE(LOWER(INDEX('Periods'!$G$2:$G$22,MATCH(N1315,'Periods'!$A$2:$A$22,0)))," ","_")</f>
        <v>q2_2025</v>
      </c>
    </row>
    <row r="1316">
      <c r="A1316" s="0" t="inlineStr">
        <is>
          <t xml:space="preserve">o1315</t>
        </is>
      </c>
      <c r="B1316" s="0" t="inlineStr">
        <is>
          <t xml:space="preserve">a0117</t>
        </is>
      </c>
      <c r="C1316" s="0" t="inlineStr">
        <is>
          <t xml:space="preserve">r15</t>
        </is>
      </c>
      <c r="D1316" s="0" t="inlineStr">
        <is>
          <t xml:space="preserve">s_emea_in</t>
        </is>
      </c>
      <c r="E1316" s="0" t="inlineStr">
        <is>
          <t xml:space="preserve">paid</t>
        </is>
      </c>
      <c r="F1316" s="0" t="inlineStr">
        <is>
          <t xml:space="preserve">closed_lost</t>
        </is>
      </c>
      <c r="G1316" s="4">
        <v>0</v>
      </c>
      <c r="H1316" s="4">
        <v>74700</v>
      </c>
      <c r="I1316" s="4">
        <v>2</v>
      </c>
      <c r="J1316" s="4">
        <v>0</v>
      </c>
      <c r="K1316" s="16">
        <v>46039</v>
      </c>
      <c r="L1316" s="16">
        <v>46122</v>
      </c>
      <c r="M1316" s="0" t="inlineStr">
        <is>
          <t xml:space="preserve">jan26</t>
        </is>
      </c>
      <c r="N1316" s="0" t="inlineStr">
        <is>
          <t xml:space="preserve">apr26</t>
        </is>
      </c>
      <c r="O1316" s="4">
        <v>83</v>
      </c>
      <c r="P1316" s="4">
        <v>0</v>
      </c>
      <c r="Q1316" s="4">
        <v>1</v>
      </c>
      <c r="R1316" s="4">
        <v>0</v>
      </c>
      <c r="S1316" s="4">
        <f>(H1316*INDEX('Stages'!$D$2:$D$7,MATCH(F1316,'Stages'!$A$2:$A$7,0)))</f>
        <v>0</v>
      </c>
      <c r="T1316" s="4">
        <f>(H1316*I1316)</f>
        <v>149400</v>
      </c>
      <c r="U1316" s="4">
        <f>(H1316*(I1316-1))</f>
        <v>74700</v>
      </c>
      <c r="V1316" s="0" t="str">
        <f>INDEX('Account executives'!$B$2:$B$25,MATCH(C1316,'Account executives'!$A$2:$A$25,0))</f>
        <v>emea</v>
      </c>
      <c r="W1316" s="0" t="str">
        <f>INDEX('Account executives'!$C$2:$C$25,MATCH(C1316,'Account executives'!$A$2:$A$25,0))</f>
        <v>mid_market</v>
      </c>
      <c r="X1316" s="0" t="str">
        <f>SUBSTITUTE(LOWER(INDEX('Periods'!$G$2:$G$22,MATCH(N1316,'Periods'!$A$2:$A$22,0)))," ","_")</f>
        <v>q2_2026</v>
      </c>
    </row>
    <row r="1317">
      <c r="A1317" s="0" t="inlineStr">
        <is>
          <t xml:space="preserve">o1316</t>
        </is>
      </c>
      <c r="B1317" s="0" t="inlineStr">
        <is>
          <t xml:space="preserve">a0051</t>
        </is>
      </c>
      <c r="C1317" s="0" t="inlineStr">
        <is>
          <t xml:space="preserve">r15</t>
        </is>
      </c>
      <c r="D1317" s="0" t="inlineStr">
        <is>
          <t xml:space="preserve">s_emea_out</t>
        </is>
      </c>
      <c r="E1317" s="0" t="inlineStr">
        <is>
          <t xml:space="preserve">outbound</t>
        </is>
      </c>
      <c r="F1317" s="0" t="inlineStr">
        <is>
          <t xml:space="preserve">closed_lost</t>
        </is>
      </c>
      <c r="G1317" s="4">
        <v>1</v>
      </c>
      <c r="H1317" s="4">
        <v>48900</v>
      </c>
      <c r="I1317" s="4">
        <v>2</v>
      </c>
      <c r="J1317" s="4">
        <v>1</v>
      </c>
      <c r="K1317" s="16">
        <v>45768</v>
      </c>
      <c r="L1317" s="16">
        <v>45813</v>
      </c>
      <c r="M1317" s="0" t="inlineStr">
        <is>
          <t xml:space="preserve">apr25</t>
        </is>
      </c>
      <c r="N1317" s="0" t="inlineStr">
        <is>
          <t xml:space="preserve">jun25</t>
        </is>
      </c>
      <c r="O1317" s="4">
        <v>45</v>
      </c>
      <c r="P1317" s="4">
        <v>0</v>
      </c>
      <c r="Q1317" s="4">
        <v>1</v>
      </c>
      <c r="R1317" s="4">
        <v>0</v>
      </c>
      <c r="S1317" s="4">
        <f>(H1317*INDEX('Stages'!$D$2:$D$7,MATCH(F1317,'Stages'!$A$2:$A$7,0)))</f>
        <v>0</v>
      </c>
      <c r="T1317" s="4">
        <f>(H1317*I1317)</f>
        <v>97800</v>
      </c>
      <c r="U1317" s="4">
        <f>(H1317*(I1317-1))</f>
        <v>48900</v>
      </c>
      <c r="V1317" s="0" t="str">
        <f>INDEX('Account executives'!$B$2:$B$25,MATCH(C1317,'Account executives'!$A$2:$A$25,0))</f>
        <v>emea</v>
      </c>
      <c r="W1317" s="0" t="str">
        <f>INDEX('Account executives'!$C$2:$C$25,MATCH(C1317,'Account executives'!$A$2:$A$25,0))</f>
        <v>mid_market</v>
      </c>
      <c r="X1317" s="0" t="str">
        <f>SUBSTITUTE(LOWER(INDEX('Periods'!$G$2:$G$22,MATCH(N1317,'Periods'!$A$2:$A$22,0)))," ","_")</f>
        <v>q2_2025</v>
      </c>
    </row>
    <row r="1318">
      <c r="A1318" s="0" t="inlineStr">
        <is>
          <t xml:space="preserve">o1317</t>
        </is>
      </c>
      <c r="B1318" s="0" t="inlineStr">
        <is>
          <t xml:space="preserve">a1017</t>
        </is>
      </c>
      <c r="C1318" s="0" t="inlineStr">
        <is>
          <t xml:space="preserve">r13</t>
        </is>
      </c>
      <c r="D1318" s="0" t="inlineStr">
        <is>
          <t xml:space="preserve">s_emea_in</t>
        </is>
      </c>
      <c r="E1318" s="0" t="inlineStr">
        <is>
          <t xml:space="preserve">inbound</t>
        </is>
      </c>
      <c r="F1318" s="0" t="inlineStr">
        <is>
          <t xml:space="preserve">proposal</t>
        </is>
      </c>
      <c r="G1318" s="4">
        <v>1</v>
      </c>
      <c r="H1318" s="4">
        <v>91600</v>
      </c>
      <c r="I1318" s="4">
        <v>1</v>
      </c>
      <c r="J1318" s="4">
        <v>1</v>
      </c>
      <c r="K1318" s="16">
        <v>46182</v>
      </c>
      <c r="L1318" s="16">
        <v>46298</v>
      </c>
      <c r="M1318" s="0" t="inlineStr">
        <is>
          <t xml:space="preserve">jun26</t>
        </is>
      </c>
      <c r="N1318" s="0" t="inlineStr">
        <is>
          <t xml:space="preserve">oct26</t>
        </is>
      </c>
      <c r="O1318" s="4">
        <v>137</v>
      </c>
      <c r="P1318" s="4">
        <v>0</v>
      </c>
      <c r="Q1318" s="4">
        <v>0</v>
      </c>
      <c r="R1318" s="4">
        <v>1</v>
      </c>
      <c r="S1318" s="4">
        <f>(H1318*INDEX('Stages'!$D$2:$D$7,MATCH(F1318,'Stages'!$A$2:$A$7,0)))</f>
        <v>45800</v>
      </c>
      <c r="T1318" s="4">
        <f>(H1318*I1318)</f>
        <v>91600</v>
      </c>
      <c r="U1318" s="4">
        <f>(H1318*(I1318-1))</f>
        <v>0</v>
      </c>
      <c r="V1318" s="0" t="str">
        <f>INDEX('Account executives'!$B$2:$B$25,MATCH(C1318,'Account executives'!$A$2:$A$25,0))</f>
        <v>emea</v>
      </c>
      <c r="W1318" s="0" t="str">
        <f>INDEX('Account executives'!$C$2:$C$25,MATCH(C1318,'Account executives'!$A$2:$A$25,0))</f>
        <v>enterprise</v>
      </c>
      <c r="X1318" s="0" t="str">
        <f>SUBSTITUTE(LOWER(INDEX('Periods'!$G$2:$G$22,MATCH(N1318,'Periods'!$A$2:$A$22,0)))," ","_")</f>
        <v>q4_2026</v>
      </c>
    </row>
    <row r="1319">
      <c r="A1319" s="0" t="inlineStr">
        <is>
          <t xml:space="preserve">o1318</t>
        </is>
      </c>
      <c r="B1319" s="0" t="inlineStr">
        <is>
          <t xml:space="preserve">a0770</t>
        </is>
      </c>
      <c r="C1319" s="0" t="inlineStr">
        <is>
          <t xml:space="preserve">r09</t>
        </is>
      </c>
      <c r="D1319" s="0" t="inlineStr">
        <is>
          <t xml:space="preserve">s_amer_west_out</t>
        </is>
      </c>
      <c r="E1319" s="0" t="inlineStr">
        <is>
          <t xml:space="preserve">outbound</t>
        </is>
      </c>
      <c r="F1319" s="0" t="inlineStr">
        <is>
          <t xml:space="preserve">closed_lost</t>
        </is>
      </c>
      <c r="G1319" s="4">
        <v>1</v>
      </c>
      <c r="H1319" s="4">
        <v>14000</v>
      </c>
      <c r="I1319" s="4">
        <v>1</v>
      </c>
      <c r="J1319" s="4">
        <v>0</v>
      </c>
      <c r="K1319" s="16">
        <v>46100</v>
      </c>
      <c r="L1319" s="16">
        <v>46169</v>
      </c>
      <c r="M1319" s="0" t="inlineStr">
        <is>
          <t xml:space="preserve">mar26</t>
        </is>
      </c>
      <c r="N1319" s="0" t="inlineStr">
        <is>
          <t xml:space="preserve">may26</t>
        </is>
      </c>
      <c r="O1319" s="4">
        <v>69</v>
      </c>
      <c r="P1319" s="4">
        <v>0</v>
      </c>
      <c r="Q1319" s="4">
        <v>1</v>
      </c>
      <c r="R1319" s="4">
        <v>0</v>
      </c>
      <c r="S1319" s="4">
        <f>(H1319*INDEX('Stages'!$D$2:$D$7,MATCH(F1319,'Stages'!$A$2:$A$7,0)))</f>
        <v>0</v>
      </c>
      <c r="T1319" s="4">
        <f>(H1319*I1319)</f>
        <v>14000</v>
      </c>
      <c r="U1319" s="4">
        <f>(H1319*(I1319-1))</f>
        <v>0</v>
      </c>
      <c r="V1319" s="0" t="str">
        <f>INDEX('Account executives'!$B$2:$B$25,MATCH(C1319,'Account executives'!$A$2:$A$25,0))</f>
        <v>amer_west</v>
      </c>
      <c r="W1319" s="0" t="str">
        <f>INDEX('Account executives'!$C$2:$C$25,MATCH(C1319,'Account executives'!$A$2:$A$25,0))</f>
        <v>mid_market</v>
      </c>
      <c r="X1319" s="0" t="str">
        <f>SUBSTITUTE(LOWER(INDEX('Periods'!$G$2:$G$22,MATCH(N1319,'Periods'!$A$2:$A$22,0)))," ","_")</f>
        <v>q2_2026</v>
      </c>
    </row>
    <row r="1320">
      <c r="A1320" s="0" t="inlineStr">
        <is>
          <t xml:space="preserve">o1319</t>
        </is>
      </c>
      <c r="B1320" s="0" t="inlineStr">
        <is>
          <t xml:space="preserve">a0774</t>
        </is>
      </c>
      <c r="C1320" s="0" t="inlineStr">
        <is>
          <t xml:space="preserve">r17</t>
        </is>
      </c>
      <c r="D1320" s="0"/>
      <c r="E1320" s="0" t="inlineStr">
        <is>
          <t xml:space="preserve">partner</t>
        </is>
      </c>
      <c r="F1320" s="0" t="inlineStr">
        <is>
          <t xml:space="preserve">closed_lost</t>
        </is>
      </c>
      <c r="G1320" s="4">
        <v>0</v>
      </c>
      <c r="H1320" s="4">
        <v>4100</v>
      </c>
      <c r="I1320" s="4">
        <v>1</v>
      </c>
      <c r="J1320" s="4">
        <v>0</v>
      </c>
      <c r="K1320" s="16">
        <v>46191</v>
      </c>
      <c r="L1320" s="16">
        <v>46220</v>
      </c>
      <c r="M1320" s="0" t="inlineStr">
        <is>
          <t xml:space="preserve">jun26</t>
        </is>
      </c>
      <c r="N1320" s="0" t="inlineStr">
        <is>
          <t xml:space="preserve">jul26</t>
        </is>
      </c>
      <c r="O1320" s="4">
        <v>29</v>
      </c>
      <c r="P1320" s="4">
        <v>0</v>
      </c>
      <c r="Q1320" s="4">
        <v>1</v>
      </c>
      <c r="R1320" s="4">
        <v>0</v>
      </c>
      <c r="S1320" s="4">
        <f>(H1320*INDEX('Stages'!$D$2:$D$7,MATCH(F1320,'Stages'!$A$2:$A$7,0)))</f>
        <v>0</v>
      </c>
      <c r="T1320" s="4">
        <f>(H1320*I1320)</f>
        <v>4100</v>
      </c>
      <c r="U1320" s="4">
        <f>(H1320*(I1320-1))</f>
        <v>0</v>
      </c>
      <c r="V1320" s="0" t="str">
        <f>INDEX('Account executives'!$B$2:$B$25,MATCH(C1320,'Account executives'!$A$2:$A$25,0))</f>
        <v>emea</v>
      </c>
      <c r="W1320" s="0" t="str">
        <f>INDEX('Account executives'!$C$2:$C$25,MATCH(C1320,'Account executives'!$A$2:$A$25,0))</f>
        <v>smb</v>
      </c>
      <c r="X1320" s="0" t="str">
        <f>SUBSTITUTE(LOWER(INDEX('Periods'!$G$2:$G$22,MATCH(N1320,'Periods'!$A$2:$A$22,0)))," ","_")</f>
        <v>q3_2026</v>
      </c>
    </row>
    <row r="1321">
      <c r="A1321" s="0" t="inlineStr">
        <is>
          <t xml:space="preserve">o1320</t>
        </is>
      </c>
      <c r="B1321" s="0" t="inlineStr">
        <is>
          <t xml:space="preserve">a0058</t>
        </is>
      </c>
      <c r="C1321" s="0" t="inlineStr">
        <is>
          <t xml:space="preserve">r20</t>
        </is>
      </c>
      <c r="D1321" s="0"/>
      <c r="E1321" s="0" t="inlineStr">
        <is>
          <t xml:space="preserve">partner</t>
        </is>
      </c>
      <c r="F1321" s="0" t="inlineStr">
        <is>
          <t xml:space="preserve">closed_lost</t>
        </is>
      </c>
      <c r="G1321" s="4">
        <v>1</v>
      </c>
      <c r="H1321" s="4">
        <v>54300</v>
      </c>
      <c r="I1321" s="4">
        <v>1</v>
      </c>
      <c r="J1321" s="4">
        <v>1</v>
      </c>
      <c r="K1321" s="16">
        <v>45760</v>
      </c>
      <c r="L1321" s="16">
        <v>45871</v>
      </c>
      <c r="M1321" s="0" t="inlineStr">
        <is>
          <t xml:space="preserve">apr25</t>
        </is>
      </c>
      <c r="N1321" s="0" t="inlineStr">
        <is>
          <t xml:space="preserve">aug25</t>
        </is>
      </c>
      <c r="O1321" s="4">
        <v>111</v>
      </c>
      <c r="P1321" s="4">
        <v>0</v>
      </c>
      <c r="Q1321" s="4">
        <v>1</v>
      </c>
      <c r="R1321" s="4">
        <v>0</v>
      </c>
      <c r="S1321" s="4">
        <f>(H1321*INDEX('Stages'!$D$2:$D$7,MATCH(F1321,'Stages'!$A$2:$A$7,0)))</f>
        <v>0</v>
      </c>
      <c r="T1321" s="4">
        <f>(H1321*I1321)</f>
        <v>54300</v>
      </c>
      <c r="U1321" s="4">
        <f>(H1321*(I1321-1))</f>
        <v>0</v>
      </c>
      <c r="V1321" s="0" t="str">
        <f>INDEX('Account executives'!$B$2:$B$25,MATCH(C1321,'Account executives'!$A$2:$A$25,0))</f>
        <v>apac</v>
      </c>
      <c r="W1321" s="0" t="str">
        <f>INDEX('Account executives'!$C$2:$C$25,MATCH(C1321,'Account executives'!$A$2:$A$25,0))</f>
        <v>enterprise</v>
      </c>
      <c r="X1321" s="0" t="str">
        <f>SUBSTITUTE(LOWER(INDEX('Periods'!$G$2:$G$22,MATCH(N1321,'Periods'!$A$2:$A$22,0)))," ","_")</f>
        <v>q3_2025</v>
      </c>
    </row>
    <row r="1322">
      <c r="A1322" s="0" t="inlineStr">
        <is>
          <t xml:space="preserve">o1321</t>
        </is>
      </c>
      <c r="B1322" s="0" t="inlineStr">
        <is>
          <t xml:space="preserve">a0324</t>
        </is>
      </c>
      <c r="C1322" s="0" t="inlineStr">
        <is>
          <t xml:space="preserve">r08</t>
        </is>
      </c>
      <c r="D1322" s="0"/>
      <c r="E1322" s="0" t="inlineStr">
        <is>
          <t xml:space="preserve">referral</t>
        </is>
      </c>
      <c r="F1322" s="0" t="inlineStr">
        <is>
          <t xml:space="preserve">closed_won</t>
        </is>
      </c>
      <c r="G1322" s="4">
        <v>0</v>
      </c>
      <c r="H1322" s="4">
        <v>35500</v>
      </c>
      <c r="I1322" s="4">
        <v>3</v>
      </c>
      <c r="J1322" s="4">
        <v>1</v>
      </c>
      <c r="K1322" s="16">
        <v>45908</v>
      </c>
      <c r="L1322" s="16">
        <v>46109</v>
      </c>
      <c r="M1322" s="0" t="inlineStr">
        <is>
          <t xml:space="preserve">sep25</t>
        </is>
      </c>
      <c r="N1322" s="0" t="inlineStr">
        <is>
          <t xml:space="preserve">mar26</t>
        </is>
      </c>
      <c r="O1322" s="4">
        <v>201</v>
      </c>
      <c r="P1322" s="4">
        <v>1</v>
      </c>
      <c r="Q1322" s="4">
        <v>0</v>
      </c>
      <c r="R1322" s="4">
        <v>0</v>
      </c>
      <c r="S1322" s="4">
        <f>(H1322*INDEX('Stages'!$D$2:$D$7,MATCH(F1322,'Stages'!$A$2:$A$7,0)))</f>
        <v>35500</v>
      </c>
      <c r="T1322" s="4">
        <f>(H1322*I1322)</f>
        <v>106500</v>
      </c>
      <c r="U1322" s="4">
        <f>(H1322*(I1322-1))</f>
        <v>71000</v>
      </c>
      <c r="V1322" s="0" t="str">
        <f>INDEX('Account executives'!$B$2:$B$25,MATCH(C1322,'Account executives'!$A$2:$A$25,0))</f>
        <v>amer_west</v>
      </c>
      <c r="W1322" s="0" t="str">
        <f>INDEX('Account executives'!$C$2:$C$25,MATCH(C1322,'Account executives'!$A$2:$A$25,0))</f>
        <v>enterprise</v>
      </c>
      <c r="X1322" s="0" t="str">
        <f>SUBSTITUTE(LOWER(INDEX('Periods'!$G$2:$G$22,MATCH(N1322,'Periods'!$A$2:$A$22,0)))," ","_")</f>
        <v>q1_2026</v>
      </c>
    </row>
    <row r="1323">
      <c r="A1323" s="0" t="inlineStr">
        <is>
          <t xml:space="preserve">o1322</t>
        </is>
      </c>
      <c r="B1323" s="0" t="inlineStr">
        <is>
          <t xml:space="preserve">a0071</t>
        </is>
      </c>
      <c r="C1323" s="0" t="inlineStr">
        <is>
          <t xml:space="preserve">r05</t>
        </is>
      </c>
      <c r="D1323" s="0" t="inlineStr">
        <is>
          <t xml:space="preserve">s_amer_east_in</t>
        </is>
      </c>
      <c r="E1323" s="0" t="inlineStr">
        <is>
          <t xml:space="preserve">paid</t>
        </is>
      </c>
      <c r="F1323" s="0" t="inlineStr">
        <is>
          <t xml:space="preserve">closed_lost</t>
        </is>
      </c>
      <c r="G1323" s="4">
        <v>1</v>
      </c>
      <c r="H1323" s="4">
        <v>13600</v>
      </c>
      <c r="I1323" s="4">
        <v>1</v>
      </c>
      <c r="J1323" s="4">
        <v>0</v>
      </c>
      <c r="K1323" s="16">
        <v>45788</v>
      </c>
      <c r="L1323" s="16">
        <v>45806</v>
      </c>
      <c r="M1323" s="0" t="inlineStr">
        <is>
          <t xml:space="preserve">may25</t>
        </is>
      </c>
      <c r="N1323" s="0" t="inlineStr">
        <is>
          <t xml:space="preserve">may25</t>
        </is>
      </c>
      <c r="O1323" s="4">
        <v>18</v>
      </c>
      <c r="P1323" s="4">
        <v>0</v>
      </c>
      <c r="Q1323" s="4">
        <v>1</v>
      </c>
      <c r="R1323" s="4">
        <v>0</v>
      </c>
      <c r="S1323" s="4">
        <f>(H1323*INDEX('Stages'!$D$2:$D$7,MATCH(F1323,'Stages'!$A$2:$A$7,0)))</f>
        <v>0</v>
      </c>
      <c r="T1323" s="4">
        <f>(H1323*I1323)</f>
        <v>13600</v>
      </c>
      <c r="U1323" s="4">
        <f>(H1323*(I1323-1))</f>
        <v>0</v>
      </c>
      <c r="V1323" s="0" t="str">
        <f>INDEX('Account executives'!$B$2:$B$25,MATCH(C1323,'Account executives'!$A$2:$A$25,0))</f>
        <v>amer_east</v>
      </c>
      <c r="W1323" s="0" t="str">
        <f>INDEX('Account executives'!$C$2:$C$25,MATCH(C1323,'Account executives'!$A$2:$A$25,0))</f>
        <v>smb</v>
      </c>
      <c r="X1323" s="0" t="str">
        <f>SUBSTITUTE(LOWER(INDEX('Periods'!$G$2:$G$22,MATCH(N1323,'Periods'!$A$2:$A$22,0)))," ","_")</f>
        <v>q2_2025</v>
      </c>
    </row>
    <row r="1324">
      <c r="A1324" s="0" t="inlineStr">
        <is>
          <t xml:space="preserve">o1323</t>
        </is>
      </c>
      <c r="B1324" s="0" t="inlineStr">
        <is>
          <t xml:space="preserve">a0924</t>
        </is>
      </c>
      <c r="C1324" s="0" t="inlineStr">
        <is>
          <t xml:space="preserve">r10</t>
        </is>
      </c>
      <c r="D1324" s="0"/>
      <c r="E1324" s="0" t="inlineStr">
        <is>
          <t xml:space="preserve">partner</t>
        </is>
      </c>
      <c r="F1324" s="0" t="inlineStr">
        <is>
          <t xml:space="preserve">closed_won</t>
        </is>
      </c>
      <c r="G1324" s="4">
        <v>1</v>
      </c>
      <c r="H1324" s="4">
        <v>34300</v>
      </c>
      <c r="I1324" s="4">
        <v>2</v>
      </c>
      <c r="J1324" s="4">
        <v>0</v>
      </c>
      <c r="K1324" s="16">
        <v>46153</v>
      </c>
      <c r="L1324" s="16">
        <v>46194</v>
      </c>
      <c r="M1324" s="0" t="inlineStr">
        <is>
          <t xml:space="preserve">may26</t>
        </is>
      </c>
      <c r="N1324" s="0" t="inlineStr">
        <is>
          <t xml:space="preserve">jun26</t>
        </is>
      </c>
      <c r="O1324" s="4">
        <v>41</v>
      </c>
      <c r="P1324" s="4">
        <v>1</v>
      </c>
      <c r="Q1324" s="4">
        <v>0</v>
      </c>
      <c r="R1324" s="4">
        <v>0</v>
      </c>
      <c r="S1324" s="4">
        <f>(H1324*INDEX('Stages'!$D$2:$D$7,MATCH(F1324,'Stages'!$A$2:$A$7,0)))</f>
        <v>34300</v>
      </c>
      <c r="T1324" s="4">
        <f>(H1324*I1324)</f>
        <v>68600</v>
      </c>
      <c r="U1324" s="4">
        <f>(H1324*(I1324-1))</f>
        <v>34300</v>
      </c>
      <c r="V1324" s="0" t="str">
        <f>INDEX('Account executives'!$B$2:$B$25,MATCH(C1324,'Account executives'!$A$2:$A$25,0))</f>
        <v>amer_west</v>
      </c>
      <c r="W1324" s="0" t="str">
        <f>INDEX('Account executives'!$C$2:$C$25,MATCH(C1324,'Account executives'!$A$2:$A$25,0))</f>
        <v>mid_market</v>
      </c>
      <c r="X1324" s="0" t="str">
        <f>SUBSTITUTE(LOWER(INDEX('Periods'!$G$2:$G$22,MATCH(N1324,'Periods'!$A$2:$A$22,0)))," ","_")</f>
        <v>q2_2026</v>
      </c>
    </row>
    <row r="1325">
      <c r="A1325" s="0" t="inlineStr">
        <is>
          <t xml:space="preserve">o1324</t>
        </is>
      </c>
      <c r="B1325" s="0" t="inlineStr">
        <is>
          <t xml:space="preserve">a0473</t>
        </is>
      </c>
      <c r="C1325" s="0" t="inlineStr">
        <is>
          <t xml:space="preserve">r24</t>
        </is>
      </c>
      <c r="D1325" s="0" t="inlineStr">
        <is>
          <t xml:space="preserve">s_apac_out</t>
        </is>
      </c>
      <c r="E1325" s="0" t="inlineStr">
        <is>
          <t xml:space="preserve">outbound</t>
        </is>
      </c>
      <c r="F1325" s="0" t="inlineStr">
        <is>
          <t xml:space="preserve">closed_lost</t>
        </is>
      </c>
      <c r="G1325" s="4">
        <v>1</v>
      </c>
      <c r="H1325" s="4">
        <v>28300</v>
      </c>
      <c r="I1325" s="4">
        <v>1</v>
      </c>
      <c r="J1325" s="4">
        <v>0</v>
      </c>
      <c r="K1325" s="16">
        <v>45941</v>
      </c>
      <c r="L1325" s="16">
        <v>46019</v>
      </c>
      <c r="M1325" s="0" t="inlineStr">
        <is>
          <t xml:space="preserve">oct25</t>
        </is>
      </c>
      <c r="N1325" s="0" t="inlineStr">
        <is>
          <t xml:space="preserve">dec25</t>
        </is>
      </c>
      <c r="O1325" s="4">
        <v>78</v>
      </c>
      <c r="P1325" s="4">
        <v>0</v>
      </c>
      <c r="Q1325" s="4">
        <v>1</v>
      </c>
      <c r="R1325" s="4">
        <v>0</v>
      </c>
      <c r="S1325" s="4">
        <f>(H1325*INDEX('Stages'!$D$2:$D$7,MATCH(F1325,'Stages'!$A$2:$A$7,0)))</f>
        <v>0</v>
      </c>
      <c r="T1325" s="4">
        <f>(H1325*I1325)</f>
        <v>28300</v>
      </c>
      <c r="U1325" s="4">
        <f>(H1325*(I1325-1))</f>
        <v>0</v>
      </c>
      <c r="V1325" s="0" t="str">
        <f>INDEX('Account executives'!$B$2:$B$25,MATCH(C1325,'Account executives'!$A$2:$A$25,0))</f>
        <v>apac</v>
      </c>
      <c r="W1325" s="0" t="str">
        <f>INDEX('Account executives'!$C$2:$C$25,MATCH(C1325,'Account executives'!$A$2:$A$25,0))</f>
        <v>smb</v>
      </c>
      <c r="X1325" s="0" t="str">
        <f>SUBSTITUTE(LOWER(INDEX('Periods'!$G$2:$G$22,MATCH(N1325,'Periods'!$A$2:$A$22,0)))," ","_")</f>
        <v>q4_2025</v>
      </c>
    </row>
    <row r="1326">
      <c r="A1326" s="0" t="inlineStr">
        <is>
          <t xml:space="preserve">o1325</t>
        </is>
      </c>
      <c r="B1326" s="0" t="inlineStr">
        <is>
          <t xml:space="preserve">a0814</t>
        </is>
      </c>
      <c r="C1326" s="0" t="inlineStr">
        <is>
          <t xml:space="preserve">r05</t>
        </is>
      </c>
      <c r="D1326" s="0" t="inlineStr">
        <is>
          <t xml:space="preserve">s_amer_east_in</t>
        </is>
      </c>
      <c r="E1326" s="0" t="inlineStr">
        <is>
          <t xml:space="preserve">paid</t>
        </is>
      </c>
      <c r="F1326" s="0" t="inlineStr">
        <is>
          <t xml:space="preserve">closed_won</t>
        </is>
      </c>
      <c r="G1326" s="4">
        <v>0</v>
      </c>
      <c r="H1326" s="4">
        <v>4500</v>
      </c>
      <c r="I1326" s="4">
        <v>1</v>
      </c>
      <c r="J1326" s="4">
        <v>0</v>
      </c>
      <c r="K1326" s="16">
        <v>46132</v>
      </c>
      <c r="L1326" s="16">
        <v>46160</v>
      </c>
      <c r="M1326" s="0" t="inlineStr">
        <is>
          <t xml:space="preserve">apr26</t>
        </is>
      </c>
      <c r="N1326" s="0" t="inlineStr">
        <is>
          <t xml:space="preserve">may26</t>
        </is>
      </c>
      <c r="O1326" s="4">
        <v>28</v>
      </c>
      <c r="P1326" s="4">
        <v>1</v>
      </c>
      <c r="Q1326" s="4">
        <v>0</v>
      </c>
      <c r="R1326" s="4">
        <v>0</v>
      </c>
      <c r="S1326" s="4">
        <f>(H1326*INDEX('Stages'!$D$2:$D$7,MATCH(F1326,'Stages'!$A$2:$A$7,0)))</f>
        <v>4500</v>
      </c>
      <c r="T1326" s="4">
        <f>(H1326*I1326)</f>
        <v>4500</v>
      </c>
      <c r="U1326" s="4">
        <f>(H1326*(I1326-1))</f>
        <v>0</v>
      </c>
      <c r="V1326" s="0" t="str">
        <f>INDEX('Account executives'!$B$2:$B$25,MATCH(C1326,'Account executives'!$A$2:$A$25,0))</f>
        <v>amer_east</v>
      </c>
      <c r="W1326" s="0" t="str">
        <f>INDEX('Account executives'!$C$2:$C$25,MATCH(C1326,'Account executives'!$A$2:$A$25,0))</f>
        <v>smb</v>
      </c>
      <c r="X1326" s="0" t="str">
        <f>SUBSTITUTE(LOWER(INDEX('Periods'!$G$2:$G$22,MATCH(N1326,'Periods'!$A$2:$A$22,0)))," ","_")</f>
        <v>q2_2026</v>
      </c>
    </row>
    <row r="1327">
      <c r="A1327" s="0" t="inlineStr">
        <is>
          <t xml:space="preserve">o1326</t>
        </is>
      </c>
      <c r="B1327" s="0" t="inlineStr">
        <is>
          <t xml:space="preserve">a0643</t>
        </is>
      </c>
      <c r="C1327" s="0" t="inlineStr">
        <is>
          <t xml:space="preserve">r18</t>
        </is>
      </c>
      <c r="D1327" s="0" t="inlineStr">
        <is>
          <t xml:space="preserve">s_emea_in</t>
        </is>
      </c>
      <c r="E1327" s="0" t="inlineStr">
        <is>
          <t xml:space="preserve">inbound</t>
        </is>
      </c>
      <c r="F1327" s="0" t="inlineStr">
        <is>
          <t xml:space="preserve">closed_won</t>
        </is>
      </c>
      <c r="G1327" s="4">
        <v>1</v>
      </c>
      <c r="H1327" s="4">
        <v>7800</v>
      </c>
      <c r="I1327" s="4">
        <v>1</v>
      </c>
      <c r="J1327" s="4">
        <v>0</v>
      </c>
      <c r="K1327" s="16">
        <v>46045</v>
      </c>
      <c r="L1327" s="16">
        <v>46067</v>
      </c>
      <c r="M1327" s="0" t="inlineStr">
        <is>
          <t xml:space="preserve">jan26</t>
        </is>
      </c>
      <c r="N1327" s="0" t="inlineStr">
        <is>
          <t xml:space="preserve">feb26</t>
        </is>
      </c>
      <c r="O1327" s="4">
        <v>22</v>
      </c>
      <c r="P1327" s="4">
        <v>1</v>
      </c>
      <c r="Q1327" s="4">
        <v>0</v>
      </c>
      <c r="R1327" s="4">
        <v>0</v>
      </c>
      <c r="S1327" s="4">
        <f>(H1327*INDEX('Stages'!$D$2:$D$7,MATCH(F1327,'Stages'!$A$2:$A$7,0)))</f>
        <v>7800</v>
      </c>
      <c r="T1327" s="4">
        <f>(H1327*I1327)</f>
        <v>7800</v>
      </c>
      <c r="U1327" s="4">
        <f>(H1327*(I1327-1))</f>
        <v>0</v>
      </c>
      <c r="V1327" s="0" t="str">
        <f>INDEX('Account executives'!$B$2:$B$25,MATCH(C1327,'Account executives'!$A$2:$A$25,0))</f>
        <v>emea</v>
      </c>
      <c r="W1327" s="0" t="str">
        <f>INDEX('Account executives'!$C$2:$C$25,MATCH(C1327,'Account executives'!$A$2:$A$25,0))</f>
        <v>smb</v>
      </c>
      <c r="X1327" s="0" t="str">
        <f>SUBSTITUTE(LOWER(INDEX('Periods'!$G$2:$G$22,MATCH(N1327,'Periods'!$A$2:$A$22,0)))," ","_")</f>
        <v>q1_2026</v>
      </c>
    </row>
    <row r="1328">
      <c r="A1328" s="0" t="inlineStr">
        <is>
          <t xml:space="preserve">o1327</t>
        </is>
      </c>
      <c r="B1328" s="0" t="inlineStr">
        <is>
          <t xml:space="preserve">a0075</t>
        </is>
      </c>
      <c r="C1328" s="0" t="inlineStr">
        <is>
          <t xml:space="preserve">r05</t>
        </is>
      </c>
      <c r="D1328" s="0"/>
      <c r="E1328" s="0" t="inlineStr">
        <is>
          <t xml:space="preserve">events</t>
        </is>
      </c>
      <c r="F1328" s="0" t="inlineStr">
        <is>
          <t xml:space="preserve">closed_lost</t>
        </is>
      </c>
      <c r="G1328" s="4">
        <v>0</v>
      </c>
      <c r="H1328" s="4">
        <v>3700</v>
      </c>
      <c r="I1328" s="4">
        <v>1</v>
      </c>
      <c r="J1328" s="4">
        <v>1</v>
      </c>
      <c r="K1328" s="16">
        <v>45825</v>
      </c>
      <c r="L1328" s="16">
        <v>45854</v>
      </c>
      <c r="M1328" s="0" t="inlineStr">
        <is>
          <t xml:space="preserve">jun25</t>
        </is>
      </c>
      <c r="N1328" s="0" t="inlineStr">
        <is>
          <t xml:space="preserve">jul25</t>
        </is>
      </c>
      <c r="O1328" s="4">
        <v>29</v>
      </c>
      <c r="P1328" s="4">
        <v>0</v>
      </c>
      <c r="Q1328" s="4">
        <v>1</v>
      </c>
      <c r="R1328" s="4">
        <v>0</v>
      </c>
      <c r="S1328" s="4">
        <f>(H1328*INDEX('Stages'!$D$2:$D$7,MATCH(F1328,'Stages'!$A$2:$A$7,0)))</f>
        <v>0</v>
      </c>
      <c r="T1328" s="4">
        <f>(H1328*I1328)</f>
        <v>3700</v>
      </c>
      <c r="U1328" s="4">
        <f>(H1328*(I1328-1))</f>
        <v>0</v>
      </c>
      <c r="V1328" s="0" t="str">
        <f>INDEX('Account executives'!$B$2:$B$25,MATCH(C1328,'Account executives'!$A$2:$A$25,0))</f>
        <v>amer_east</v>
      </c>
      <c r="W1328" s="0" t="str">
        <f>INDEX('Account executives'!$C$2:$C$25,MATCH(C1328,'Account executives'!$A$2:$A$25,0))</f>
        <v>smb</v>
      </c>
      <c r="X1328" s="0" t="str">
        <f>SUBSTITUTE(LOWER(INDEX('Periods'!$G$2:$G$22,MATCH(N1328,'Periods'!$A$2:$A$22,0)))," ","_")</f>
        <v>q3_2025</v>
      </c>
    </row>
    <row r="1329">
      <c r="A1329" s="0" t="inlineStr">
        <is>
          <t xml:space="preserve">o1328</t>
        </is>
      </c>
      <c r="B1329" s="0" t="inlineStr">
        <is>
          <t xml:space="preserve">a0754</t>
        </is>
      </c>
      <c r="C1329" s="0" t="inlineStr">
        <is>
          <t xml:space="preserve">r09</t>
        </is>
      </c>
      <c r="D1329" s="0" t="inlineStr">
        <is>
          <t xml:space="preserve">s_amer_west_in</t>
        </is>
      </c>
      <c r="E1329" s="0" t="inlineStr">
        <is>
          <t xml:space="preserve">inbound</t>
        </is>
      </c>
      <c r="F1329" s="0" t="inlineStr">
        <is>
          <t xml:space="preserve">closed_won</t>
        </is>
      </c>
      <c r="G1329" s="4">
        <v>1</v>
      </c>
      <c r="H1329" s="4">
        <v>90800</v>
      </c>
      <c r="I1329" s="4">
        <v>2</v>
      </c>
      <c r="J1329" s="4">
        <v>1</v>
      </c>
      <c r="K1329" s="16">
        <v>46099</v>
      </c>
      <c r="L1329" s="16">
        <v>46201</v>
      </c>
      <c r="M1329" s="0" t="inlineStr">
        <is>
          <t xml:space="preserve">mar26</t>
        </is>
      </c>
      <c r="N1329" s="0" t="inlineStr">
        <is>
          <t xml:space="preserve">jun26</t>
        </is>
      </c>
      <c r="O1329" s="4">
        <v>102</v>
      </c>
      <c r="P1329" s="4">
        <v>1</v>
      </c>
      <c r="Q1329" s="4">
        <v>0</v>
      </c>
      <c r="R1329" s="4">
        <v>0</v>
      </c>
      <c r="S1329" s="4">
        <f>(H1329*INDEX('Stages'!$D$2:$D$7,MATCH(F1329,'Stages'!$A$2:$A$7,0)))</f>
        <v>90800</v>
      </c>
      <c r="T1329" s="4">
        <f>(H1329*I1329)</f>
        <v>181600</v>
      </c>
      <c r="U1329" s="4">
        <f>(H1329*(I1329-1))</f>
        <v>90800</v>
      </c>
      <c r="V1329" s="0" t="str">
        <f>INDEX('Account executives'!$B$2:$B$25,MATCH(C1329,'Account executives'!$A$2:$A$25,0))</f>
        <v>amer_west</v>
      </c>
      <c r="W1329" s="0" t="str">
        <f>INDEX('Account executives'!$C$2:$C$25,MATCH(C1329,'Account executives'!$A$2:$A$25,0))</f>
        <v>mid_market</v>
      </c>
      <c r="X1329" s="0" t="str">
        <f>SUBSTITUTE(LOWER(INDEX('Periods'!$G$2:$G$22,MATCH(N1329,'Periods'!$A$2:$A$22,0)))," ","_")</f>
        <v>q2_2026</v>
      </c>
    </row>
    <row r="1330">
      <c r="A1330" s="0" t="inlineStr">
        <is>
          <t xml:space="preserve">o1329</t>
        </is>
      </c>
      <c r="B1330" s="0" t="inlineStr">
        <is>
          <t xml:space="preserve">a0650</t>
        </is>
      </c>
      <c r="C1330" s="0" t="inlineStr">
        <is>
          <t xml:space="preserve">r15</t>
        </is>
      </c>
      <c r="D1330" s="0" t="inlineStr">
        <is>
          <t xml:space="preserve">s_emea_out</t>
        </is>
      </c>
      <c r="E1330" s="0" t="inlineStr">
        <is>
          <t xml:space="preserve">outbound</t>
        </is>
      </c>
      <c r="F1330" s="0" t="inlineStr">
        <is>
          <t xml:space="preserve">closed_won</t>
        </is>
      </c>
      <c r="G1330" s="4">
        <v>1</v>
      </c>
      <c r="H1330" s="4">
        <v>95100</v>
      </c>
      <c r="I1330" s="4">
        <v>1</v>
      </c>
      <c r="J1330" s="4">
        <v>0</v>
      </c>
      <c r="K1330" s="16">
        <v>46046</v>
      </c>
      <c r="L1330" s="16">
        <v>46139</v>
      </c>
      <c r="M1330" s="0" t="inlineStr">
        <is>
          <t xml:space="preserve">jan26</t>
        </is>
      </c>
      <c r="N1330" s="0" t="inlineStr">
        <is>
          <t xml:space="preserve">apr26</t>
        </is>
      </c>
      <c r="O1330" s="4">
        <v>93</v>
      </c>
      <c r="P1330" s="4">
        <v>1</v>
      </c>
      <c r="Q1330" s="4">
        <v>0</v>
      </c>
      <c r="R1330" s="4">
        <v>0</v>
      </c>
      <c r="S1330" s="4">
        <f>(H1330*INDEX('Stages'!$D$2:$D$7,MATCH(F1330,'Stages'!$A$2:$A$7,0)))</f>
        <v>95100</v>
      </c>
      <c r="T1330" s="4">
        <f>(H1330*I1330)</f>
        <v>95100</v>
      </c>
      <c r="U1330" s="4">
        <f>(H1330*(I1330-1))</f>
        <v>0</v>
      </c>
      <c r="V1330" s="0" t="str">
        <f>INDEX('Account executives'!$B$2:$B$25,MATCH(C1330,'Account executives'!$A$2:$A$25,0))</f>
        <v>emea</v>
      </c>
      <c r="W1330" s="0" t="str">
        <f>INDEX('Account executives'!$C$2:$C$25,MATCH(C1330,'Account executives'!$A$2:$A$25,0))</f>
        <v>mid_market</v>
      </c>
      <c r="X1330" s="0" t="str">
        <f>SUBSTITUTE(LOWER(INDEX('Periods'!$G$2:$G$22,MATCH(N1330,'Periods'!$A$2:$A$22,0)))," ","_")</f>
        <v>q2_2026</v>
      </c>
    </row>
    <row r="1331">
      <c r="A1331" s="0" t="inlineStr">
        <is>
          <t xml:space="preserve">o1330</t>
        </is>
      </c>
      <c r="B1331" s="0" t="inlineStr">
        <is>
          <t xml:space="preserve">a0868</t>
        </is>
      </c>
      <c r="C1331" s="0" t="inlineStr">
        <is>
          <t xml:space="preserve">r15</t>
        </is>
      </c>
      <c r="D1331" s="0"/>
      <c r="E1331" s="0" t="inlineStr">
        <is>
          <t xml:space="preserve">partner</t>
        </is>
      </c>
      <c r="F1331" s="0" t="inlineStr">
        <is>
          <t xml:space="preserve">closed_lost</t>
        </is>
      </c>
      <c r="G1331" s="4">
        <v>1</v>
      </c>
      <c r="H1331" s="4">
        <v>31400</v>
      </c>
      <c r="I1331" s="4">
        <v>1</v>
      </c>
      <c r="J1331" s="4">
        <v>0</v>
      </c>
      <c r="K1331" s="16">
        <v>46137</v>
      </c>
      <c r="L1331" s="16">
        <v>46190</v>
      </c>
      <c r="M1331" s="0" t="inlineStr">
        <is>
          <t xml:space="preserve">apr26</t>
        </is>
      </c>
      <c r="N1331" s="0" t="inlineStr">
        <is>
          <t xml:space="preserve">jun26</t>
        </is>
      </c>
      <c r="O1331" s="4">
        <v>53</v>
      </c>
      <c r="P1331" s="4">
        <v>0</v>
      </c>
      <c r="Q1331" s="4">
        <v>1</v>
      </c>
      <c r="R1331" s="4">
        <v>0</v>
      </c>
      <c r="S1331" s="4">
        <f>(H1331*INDEX('Stages'!$D$2:$D$7,MATCH(F1331,'Stages'!$A$2:$A$7,0)))</f>
        <v>0</v>
      </c>
      <c r="T1331" s="4">
        <f>(H1331*I1331)</f>
        <v>31400</v>
      </c>
      <c r="U1331" s="4">
        <f>(H1331*(I1331-1))</f>
        <v>0</v>
      </c>
      <c r="V1331" s="0" t="str">
        <f>INDEX('Account executives'!$B$2:$B$25,MATCH(C1331,'Account executives'!$A$2:$A$25,0))</f>
        <v>emea</v>
      </c>
      <c r="W1331" s="0" t="str">
        <f>INDEX('Account executives'!$C$2:$C$25,MATCH(C1331,'Account executives'!$A$2:$A$25,0))</f>
        <v>mid_market</v>
      </c>
      <c r="X1331" s="0" t="str">
        <f>SUBSTITUTE(LOWER(INDEX('Periods'!$G$2:$G$22,MATCH(N1331,'Periods'!$A$2:$A$22,0)))," ","_")</f>
        <v>q2_2026</v>
      </c>
    </row>
    <row r="1332">
      <c r="A1332" s="0" t="inlineStr">
        <is>
          <t xml:space="preserve">o1331</t>
        </is>
      </c>
      <c r="B1332" s="0" t="inlineStr">
        <is>
          <t xml:space="preserve">a0363</t>
        </is>
      </c>
      <c r="C1332" s="0" t="inlineStr">
        <is>
          <t xml:space="preserve">r06</t>
        </is>
      </c>
      <c r="D1332" s="0" t="inlineStr">
        <is>
          <t xml:space="preserve">s_amer_east_in</t>
        </is>
      </c>
      <c r="E1332" s="0" t="inlineStr">
        <is>
          <t xml:space="preserve">paid</t>
        </is>
      </c>
      <c r="F1332" s="0" t="inlineStr">
        <is>
          <t xml:space="preserve">closed_lost</t>
        </is>
      </c>
      <c r="G1332" s="4">
        <v>1</v>
      </c>
      <c r="H1332" s="4">
        <v>36400</v>
      </c>
      <c r="I1332" s="4">
        <v>1</v>
      </c>
      <c r="J1332" s="4">
        <v>0</v>
      </c>
      <c r="K1332" s="16">
        <v>45910</v>
      </c>
      <c r="L1332" s="16">
        <v>45940</v>
      </c>
      <c r="M1332" s="0" t="inlineStr">
        <is>
          <t xml:space="preserve">sep25</t>
        </is>
      </c>
      <c r="N1332" s="0" t="inlineStr">
        <is>
          <t xml:space="preserve">oct25</t>
        </is>
      </c>
      <c r="O1332" s="4">
        <v>30</v>
      </c>
      <c r="P1332" s="4">
        <v>0</v>
      </c>
      <c r="Q1332" s="4">
        <v>1</v>
      </c>
      <c r="R1332" s="4">
        <v>0</v>
      </c>
      <c r="S1332" s="4">
        <f>(H1332*INDEX('Stages'!$D$2:$D$7,MATCH(F1332,'Stages'!$A$2:$A$7,0)))</f>
        <v>0</v>
      </c>
      <c r="T1332" s="4">
        <f>(H1332*I1332)</f>
        <v>36400</v>
      </c>
      <c r="U1332" s="4">
        <f>(H1332*(I1332-1))</f>
        <v>0</v>
      </c>
      <c r="V1332" s="0" t="str">
        <f>INDEX('Account executives'!$B$2:$B$25,MATCH(C1332,'Account executives'!$A$2:$A$25,0))</f>
        <v>amer_east</v>
      </c>
      <c r="W1332" s="0" t="str">
        <f>INDEX('Account executives'!$C$2:$C$25,MATCH(C1332,'Account executives'!$A$2:$A$25,0))</f>
        <v>smb</v>
      </c>
      <c r="X1332" s="0" t="str">
        <f>SUBSTITUTE(LOWER(INDEX('Periods'!$G$2:$G$22,MATCH(N1332,'Periods'!$A$2:$A$22,0)))," ","_")</f>
        <v>q4_2025</v>
      </c>
    </row>
    <row r="1333">
      <c r="A1333" s="0" t="inlineStr">
        <is>
          <t xml:space="preserve">o1332</t>
        </is>
      </c>
      <c r="B1333" s="0" t="inlineStr">
        <is>
          <t xml:space="preserve">a1247</t>
        </is>
      </c>
      <c r="C1333" s="0" t="inlineStr">
        <is>
          <t xml:space="preserve">r13</t>
        </is>
      </c>
      <c r="D1333" s="0" t="inlineStr">
        <is>
          <t xml:space="preserve">s_emea_in</t>
        </is>
      </c>
      <c r="E1333" s="0" t="inlineStr">
        <is>
          <t xml:space="preserve">inbound</t>
        </is>
      </c>
      <c r="F1333" s="0" t="inlineStr">
        <is>
          <t xml:space="preserve">discovery</t>
        </is>
      </c>
      <c r="G1333" s="4">
        <v>1</v>
      </c>
      <c r="H1333" s="4">
        <v>127200</v>
      </c>
      <c r="I1333" s="4">
        <v>2</v>
      </c>
      <c r="J1333" s="4">
        <v>1</v>
      </c>
      <c r="K1333" s="16">
        <v>46267</v>
      </c>
      <c r="L1333" s="16">
        <v>46371</v>
      </c>
      <c r="M1333" s="0" t="inlineStr">
        <is>
          <t xml:space="preserve">sep26</t>
        </is>
      </c>
      <c r="N1333" s="0" t="inlineStr">
        <is>
          <t xml:space="preserve">dec26</t>
        </is>
      </c>
      <c r="O1333" s="4">
        <v>104</v>
      </c>
      <c r="P1333" s="4">
        <v>0</v>
      </c>
      <c r="Q1333" s="4">
        <v>0</v>
      </c>
      <c r="R1333" s="4">
        <v>1</v>
      </c>
      <c r="S1333" s="4">
        <f>(H1333*INDEX('Stages'!$D$2:$D$7,MATCH(F1333,'Stages'!$A$2:$A$7,0)))</f>
        <v>12720</v>
      </c>
      <c r="T1333" s="4">
        <f>(H1333*I1333)</f>
        <v>254400</v>
      </c>
      <c r="U1333" s="4">
        <f>(H1333*(I1333-1))</f>
        <v>127200</v>
      </c>
      <c r="V1333" s="0" t="str">
        <f>INDEX('Account executives'!$B$2:$B$25,MATCH(C1333,'Account executives'!$A$2:$A$25,0))</f>
        <v>emea</v>
      </c>
      <c r="W1333" s="0" t="str">
        <f>INDEX('Account executives'!$C$2:$C$25,MATCH(C1333,'Account executives'!$A$2:$A$25,0))</f>
        <v>enterprise</v>
      </c>
      <c r="X1333" s="0" t="str">
        <f>SUBSTITUTE(LOWER(INDEX('Periods'!$G$2:$G$22,MATCH(N1333,'Periods'!$A$2:$A$22,0)))," ","_")</f>
        <v>q4_2026</v>
      </c>
    </row>
    <row r="1334">
      <c r="A1334" s="0" t="inlineStr">
        <is>
          <t xml:space="preserve">o1333</t>
        </is>
      </c>
      <c r="B1334" s="0" t="inlineStr">
        <is>
          <t xml:space="preserve">a0853</t>
        </is>
      </c>
      <c r="C1334" s="0" t="inlineStr">
        <is>
          <t xml:space="preserve">r09</t>
        </is>
      </c>
      <c r="D1334" s="0" t="inlineStr">
        <is>
          <t xml:space="preserve">s_amer_west_out</t>
        </is>
      </c>
      <c r="E1334" s="0" t="inlineStr">
        <is>
          <t xml:space="preserve">outbound</t>
        </is>
      </c>
      <c r="F1334" s="0" t="inlineStr">
        <is>
          <t xml:space="preserve">closed_lost</t>
        </is>
      </c>
      <c r="G1334" s="4">
        <v>1</v>
      </c>
      <c r="H1334" s="4">
        <v>43800</v>
      </c>
      <c r="I1334" s="4">
        <v>1</v>
      </c>
      <c r="J1334" s="4">
        <v>0</v>
      </c>
      <c r="K1334" s="16">
        <v>46140</v>
      </c>
      <c r="L1334" s="16">
        <v>46196</v>
      </c>
      <c r="M1334" s="0" t="inlineStr">
        <is>
          <t xml:space="preserve">apr26</t>
        </is>
      </c>
      <c r="N1334" s="0" t="inlineStr">
        <is>
          <t xml:space="preserve">jun26</t>
        </is>
      </c>
      <c r="O1334" s="4">
        <v>56</v>
      </c>
      <c r="P1334" s="4">
        <v>0</v>
      </c>
      <c r="Q1334" s="4">
        <v>1</v>
      </c>
      <c r="R1334" s="4">
        <v>0</v>
      </c>
      <c r="S1334" s="4">
        <f>(H1334*INDEX('Stages'!$D$2:$D$7,MATCH(F1334,'Stages'!$A$2:$A$7,0)))</f>
        <v>0</v>
      </c>
      <c r="T1334" s="4">
        <f>(H1334*I1334)</f>
        <v>43800</v>
      </c>
      <c r="U1334" s="4">
        <f>(H1334*(I1334-1))</f>
        <v>0</v>
      </c>
      <c r="V1334" s="0" t="str">
        <f>INDEX('Account executives'!$B$2:$B$25,MATCH(C1334,'Account executives'!$A$2:$A$25,0))</f>
        <v>amer_west</v>
      </c>
      <c r="W1334" s="0" t="str">
        <f>INDEX('Account executives'!$C$2:$C$25,MATCH(C1334,'Account executives'!$A$2:$A$25,0))</f>
        <v>mid_market</v>
      </c>
      <c r="X1334" s="0" t="str">
        <f>SUBSTITUTE(LOWER(INDEX('Periods'!$G$2:$G$22,MATCH(N1334,'Periods'!$A$2:$A$22,0)))," ","_")</f>
        <v>q2_2026</v>
      </c>
    </row>
    <row r="1335">
      <c r="A1335" s="0" t="inlineStr">
        <is>
          <t xml:space="preserve">o1334</t>
        </is>
      </c>
      <c r="B1335" s="0" t="inlineStr">
        <is>
          <t xml:space="preserve">a0074</t>
        </is>
      </c>
      <c r="C1335" s="0" t="inlineStr">
        <is>
          <t xml:space="preserve">r05</t>
        </is>
      </c>
      <c r="D1335" s="0" t="inlineStr">
        <is>
          <t xml:space="preserve">s_amer_east_in</t>
        </is>
      </c>
      <c r="E1335" s="0" t="inlineStr">
        <is>
          <t xml:space="preserve">paid</t>
        </is>
      </c>
      <c r="F1335" s="0" t="inlineStr">
        <is>
          <t xml:space="preserve">closed_won</t>
        </is>
      </c>
      <c r="G1335" s="4">
        <v>0</v>
      </c>
      <c r="H1335" s="4">
        <v>6200</v>
      </c>
      <c r="I1335" s="4">
        <v>1</v>
      </c>
      <c r="J1335" s="4">
        <v>0</v>
      </c>
      <c r="K1335" s="16">
        <v>46001</v>
      </c>
      <c r="L1335" s="16">
        <v>46031</v>
      </c>
      <c r="M1335" s="0" t="inlineStr">
        <is>
          <t xml:space="preserve">dec25</t>
        </is>
      </c>
      <c r="N1335" s="0" t="inlineStr">
        <is>
          <t xml:space="preserve">jan26</t>
        </is>
      </c>
      <c r="O1335" s="4">
        <v>30</v>
      </c>
      <c r="P1335" s="4">
        <v>1</v>
      </c>
      <c r="Q1335" s="4">
        <v>0</v>
      </c>
      <c r="R1335" s="4">
        <v>0</v>
      </c>
      <c r="S1335" s="4">
        <f>(H1335*INDEX('Stages'!$D$2:$D$7,MATCH(F1335,'Stages'!$A$2:$A$7,0)))</f>
        <v>6200</v>
      </c>
      <c r="T1335" s="4">
        <f>(H1335*I1335)</f>
        <v>6200</v>
      </c>
      <c r="U1335" s="4">
        <f>(H1335*(I1335-1))</f>
        <v>0</v>
      </c>
      <c r="V1335" s="0" t="str">
        <f>INDEX('Account executives'!$B$2:$B$25,MATCH(C1335,'Account executives'!$A$2:$A$25,0))</f>
        <v>amer_east</v>
      </c>
      <c r="W1335" s="0" t="str">
        <f>INDEX('Account executives'!$C$2:$C$25,MATCH(C1335,'Account executives'!$A$2:$A$25,0))</f>
        <v>smb</v>
      </c>
      <c r="X1335" s="0" t="str">
        <f>SUBSTITUTE(LOWER(INDEX('Periods'!$G$2:$G$22,MATCH(N1335,'Periods'!$A$2:$A$22,0)))," ","_")</f>
        <v>q1_2026</v>
      </c>
    </row>
    <row r="1336">
      <c r="A1336" s="0" t="inlineStr">
        <is>
          <t xml:space="preserve">o1335</t>
        </is>
      </c>
      <c r="B1336" s="0" t="inlineStr">
        <is>
          <t xml:space="preserve">a1231</t>
        </is>
      </c>
      <c r="C1336" s="0" t="inlineStr">
        <is>
          <t xml:space="preserve">r04</t>
        </is>
      </c>
      <c r="D1336" s="0" t="inlineStr">
        <is>
          <t xml:space="preserve">s_amer_east_out</t>
        </is>
      </c>
      <c r="E1336" s="0" t="inlineStr">
        <is>
          <t xml:space="preserve">outbound</t>
        </is>
      </c>
      <c r="F1336" s="0" t="inlineStr">
        <is>
          <t xml:space="preserve">discovery</t>
        </is>
      </c>
      <c r="G1336" s="4">
        <v>1</v>
      </c>
      <c r="H1336" s="4">
        <v>20900</v>
      </c>
      <c r="I1336" s="4">
        <v>1</v>
      </c>
      <c r="J1336" s="4">
        <v>0</v>
      </c>
      <c r="K1336" s="16">
        <v>46273</v>
      </c>
      <c r="L1336" s="16">
        <v>46371</v>
      </c>
      <c r="M1336" s="0" t="inlineStr">
        <is>
          <t xml:space="preserve">sep26</t>
        </is>
      </c>
      <c r="N1336" s="0" t="inlineStr">
        <is>
          <t xml:space="preserve">dec26</t>
        </is>
      </c>
      <c r="O1336" s="4">
        <v>58</v>
      </c>
      <c r="P1336" s="4">
        <v>0</v>
      </c>
      <c r="Q1336" s="4">
        <v>0</v>
      </c>
      <c r="R1336" s="4">
        <v>1</v>
      </c>
      <c r="S1336" s="4">
        <f>(H1336*INDEX('Stages'!$D$2:$D$7,MATCH(F1336,'Stages'!$A$2:$A$7,0)))</f>
        <v>2090</v>
      </c>
      <c r="T1336" s="4">
        <f>(H1336*I1336)</f>
        <v>20900</v>
      </c>
      <c r="U1336" s="4">
        <f>(H1336*(I1336-1))</f>
        <v>0</v>
      </c>
      <c r="V1336" s="0" t="str">
        <f>INDEX('Account executives'!$B$2:$B$25,MATCH(C1336,'Account executives'!$A$2:$A$25,0))</f>
        <v>amer_east</v>
      </c>
      <c r="W1336" s="0" t="str">
        <f>INDEX('Account executives'!$C$2:$C$25,MATCH(C1336,'Account executives'!$A$2:$A$25,0))</f>
        <v>mid_market</v>
      </c>
      <c r="X1336" s="0" t="str">
        <f>SUBSTITUTE(LOWER(INDEX('Periods'!$G$2:$G$22,MATCH(N1336,'Periods'!$A$2:$A$22,0)))," ","_")</f>
        <v>q4_2026</v>
      </c>
    </row>
    <row r="1337">
      <c r="A1337" s="0" t="inlineStr">
        <is>
          <t xml:space="preserve">o1336</t>
        </is>
      </c>
      <c r="B1337" s="0" t="inlineStr">
        <is>
          <t xml:space="preserve">a0293</t>
        </is>
      </c>
      <c r="C1337" s="0" t="inlineStr">
        <is>
          <t xml:space="preserve">r16</t>
        </is>
      </c>
      <c r="D1337" s="0"/>
      <c r="E1337" s="0" t="inlineStr">
        <is>
          <t xml:space="preserve">referral</t>
        </is>
      </c>
      <c r="F1337" s="0" t="inlineStr">
        <is>
          <t xml:space="preserve">closed_won</t>
        </is>
      </c>
      <c r="G1337" s="4">
        <v>1</v>
      </c>
      <c r="H1337" s="4">
        <v>40200</v>
      </c>
      <c r="I1337" s="4">
        <v>1</v>
      </c>
      <c r="J1337" s="4">
        <v>0</v>
      </c>
      <c r="K1337" s="16">
        <v>45850</v>
      </c>
      <c r="L1337" s="16">
        <v>45914</v>
      </c>
      <c r="M1337" s="0" t="inlineStr">
        <is>
          <t xml:space="preserve">jul25</t>
        </is>
      </c>
      <c r="N1337" s="0" t="inlineStr">
        <is>
          <t xml:space="preserve">sep25</t>
        </is>
      </c>
      <c r="O1337" s="4">
        <v>64</v>
      </c>
      <c r="P1337" s="4">
        <v>1</v>
      </c>
      <c r="Q1337" s="4">
        <v>0</v>
      </c>
      <c r="R1337" s="4">
        <v>0</v>
      </c>
      <c r="S1337" s="4">
        <f>(H1337*INDEX('Stages'!$D$2:$D$7,MATCH(F1337,'Stages'!$A$2:$A$7,0)))</f>
        <v>40200</v>
      </c>
      <c r="T1337" s="4">
        <f>(H1337*I1337)</f>
        <v>40200</v>
      </c>
      <c r="U1337" s="4">
        <f>(H1337*(I1337-1))</f>
        <v>0</v>
      </c>
      <c r="V1337" s="0" t="str">
        <f>INDEX('Account executives'!$B$2:$B$25,MATCH(C1337,'Account executives'!$A$2:$A$25,0))</f>
        <v>emea</v>
      </c>
      <c r="W1337" s="0" t="str">
        <f>INDEX('Account executives'!$C$2:$C$25,MATCH(C1337,'Account executives'!$A$2:$A$25,0))</f>
        <v>mid_market</v>
      </c>
      <c r="X1337" s="0" t="str">
        <f>SUBSTITUTE(LOWER(INDEX('Periods'!$G$2:$G$22,MATCH(N1337,'Periods'!$A$2:$A$22,0)))," ","_")</f>
        <v>q3_2025</v>
      </c>
    </row>
    <row r="1338">
      <c r="A1338" s="0" t="inlineStr">
        <is>
          <t xml:space="preserve">o1337</t>
        </is>
      </c>
      <c r="B1338" s="0" t="inlineStr">
        <is>
          <t xml:space="preserve">a0872</t>
        </is>
      </c>
      <c r="C1338" s="0" t="inlineStr">
        <is>
          <t xml:space="preserve">r18</t>
        </is>
      </c>
      <c r="D1338" s="0" t="inlineStr">
        <is>
          <t xml:space="preserve">s_emea_out</t>
        </is>
      </c>
      <c r="E1338" s="0" t="inlineStr">
        <is>
          <t xml:space="preserve">outbound</t>
        </is>
      </c>
      <c r="F1338" s="0" t="inlineStr">
        <is>
          <t xml:space="preserve">closed_won</t>
        </is>
      </c>
      <c r="G1338" s="4">
        <v>1</v>
      </c>
      <c r="H1338" s="4">
        <v>14600</v>
      </c>
      <c r="I1338" s="4">
        <v>1</v>
      </c>
      <c r="J1338" s="4">
        <v>0</v>
      </c>
      <c r="K1338" s="16">
        <v>46113</v>
      </c>
      <c r="L1338" s="16">
        <v>46131</v>
      </c>
      <c r="M1338" s="0" t="inlineStr">
        <is>
          <t xml:space="preserve">apr26</t>
        </is>
      </c>
      <c r="N1338" s="0" t="inlineStr">
        <is>
          <t xml:space="preserve">apr26</t>
        </is>
      </c>
      <c r="O1338" s="4">
        <v>18</v>
      </c>
      <c r="P1338" s="4">
        <v>1</v>
      </c>
      <c r="Q1338" s="4">
        <v>0</v>
      </c>
      <c r="R1338" s="4">
        <v>0</v>
      </c>
      <c r="S1338" s="4">
        <f>(H1338*INDEX('Stages'!$D$2:$D$7,MATCH(F1338,'Stages'!$A$2:$A$7,0)))</f>
        <v>14600</v>
      </c>
      <c r="T1338" s="4">
        <f>(H1338*I1338)</f>
        <v>14600</v>
      </c>
      <c r="U1338" s="4">
        <f>(H1338*(I1338-1))</f>
        <v>0</v>
      </c>
      <c r="V1338" s="0" t="str">
        <f>INDEX('Account executives'!$B$2:$B$25,MATCH(C1338,'Account executives'!$A$2:$A$25,0))</f>
        <v>emea</v>
      </c>
      <c r="W1338" s="0" t="str">
        <f>INDEX('Account executives'!$C$2:$C$25,MATCH(C1338,'Account executives'!$A$2:$A$25,0))</f>
        <v>smb</v>
      </c>
      <c r="X1338" s="0" t="str">
        <f>SUBSTITUTE(LOWER(INDEX('Periods'!$G$2:$G$22,MATCH(N1338,'Periods'!$A$2:$A$22,0)))," ","_")</f>
        <v>q2_2026</v>
      </c>
    </row>
    <row r="1339">
      <c r="A1339" s="0" t="inlineStr">
        <is>
          <t xml:space="preserve">o1338</t>
        </is>
      </c>
      <c r="B1339" s="0" t="inlineStr">
        <is>
          <t xml:space="preserve">a0958</t>
        </is>
      </c>
      <c r="C1339" s="0" t="inlineStr">
        <is>
          <t xml:space="preserve">r05</t>
        </is>
      </c>
      <c r="D1339" s="0" t="inlineStr">
        <is>
          <t xml:space="preserve">s_amer_east_in</t>
        </is>
      </c>
      <c r="E1339" s="0" t="inlineStr">
        <is>
          <t xml:space="preserve">inbound</t>
        </is>
      </c>
      <c r="F1339" s="0" t="inlineStr">
        <is>
          <t xml:space="preserve">closed_lost</t>
        </is>
      </c>
      <c r="G1339" s="4">
        <v>1</v>
      </c>
      <c r="H1339" s="4">
        <v>26100</v>
      </c>
      <c r="I1339" s="4">
        <v>1</v>
      </c>
      <c r="J1339" s="4">
        <v>1</v>
      </c>
      <c r="K1339" s="16">
        <v>46179</v>
      </c>
      <c r="L1339" s="16">
        <v>46194</v>
      </c>
      <c r="M1339" s="0" t="inlineStr">
        <is>
          <t xml:space="preserve">jun26</t>
        </is>
      </c>
      <c r="N1339" s="0" t="inlineStr">
        <is>
          <t xml:space="preserve">jun26</t>
        </is>
      </c>
      <c r="O1339" s="4">
        <v>15</v>
      </c>
      <c r="P1339" s="4">
        <v>0</v>
      </c>
      <c r="Q1339" s="4">
        <v>1</v>
      </c>
      <c r="R1339" s="4">
        <v>0</v>
      </c>
      <c r="S1339" s="4">
        <f>(H1339*INDEX('Stages'!$D$2:$D$7,MATCH(F1339,'Stages'!$A$2:$A$7,0)))</f>
        <v>0</v>
      </c>
      <c r="T1339" s="4">
        <f>(H1339*I1339)</f>
        <v>26100</v>
      </c>
      <c r="U1339" s="4">
        <f>(H1339*(I1339-1))</f>
        <v>0</v>
      </c>
      <c r="V1339" s="0" t="str">
        <f>INDEX('Account executives'!$B$2:$B$25,MATCH(C1339,'Account executives'!$A$2:$A$25,0))</f>
        <v>amer_east</v>
      </c>
      <c r="W1339" s="0" t="str">
        <f>INDEX('Account executives'!$C$2:$C$25,MATCH(C1339,'Account executives'!$A$2:$A$25,0))</f>
        <v>smb</v>
      </c>
      <c r="X1339" s="0" t="str">
        <f>SUBSTITUTE(LOWER(INDEX('Periods'!$G$2:$G$22,MATCH(N1339,'Periods'!$A$2:$A$22,0)))," ","_")</f>
        <v>q2_2026</v>
      </c>
    </row>
    <row r="1340">
      <c r="A1340" s="0" t="inlineStr">
        <is>
          <t xml:space="preserve">o1339</t>
        </is>
      </c>
      <c r="B1340" s="0" t="inlineStr">
        <is>
          <t xml:space="preserve">a0864</t>
        </is>
      </c>
      <c r="C1340" s="0" t="inlineStr">
        <is>
          <t xml:space="preserve">r18</t>
        </is>
      </c>
      <c r="D1340" s="0" t="inlineStr">
        <is>
          <t xml:space="preserve">s_emea_in</t>
        </is>
      </c>
      <c r="E1340" s="0" t="inlineStr">
        <is>
          <t xml:space="preserve">inbound</t>
        </is>
      </c>
      <c r="F1340" s="0" t="inlineStr">
        <is>
          <t xml:space="preserve">closed_won</t>
        </is>
      </c>
      <c r="G1340" s="4">
        <v>1</v>
      </c>
      <c r="H1340" s="4">
        <v>5400</v>
      </c>
      <c r="I1340" s="4">
        <v>1</v>
      </c>
      <c r="J1340" s="4">
        <v>0</v>
      </c>
      <c r="K1340" s="16">
        <v>46135</v>
      </c>
      <c r="L1340" s="16">
        <v>46156</v>
      </c>
      <c r="M1340" s="0" t="inlineStr">
        <is>
          <t xml:space="preserve">apr26</t>
        </is>
      </c>
      <c r="N1340" s="0" t="inlineStr">
        <is>
          <t xml:space="preserve">may26</t>
        </is>
      </c>
      <c r="O1340" s="4">
        <v>21</v>
      </c>
      <c r="P1340" s="4">
        <v>1</v>
      </c>
      <c r="Q1340" s="4">
        <v>0</v>
      </c>
      <c r="R1340" s="4">
        <v>0</v>
      </c>
      <c r="S1340" s="4">
        <f>(H1340*INDEX('Stages'!$D$2:$D$7,MATCH(F1340,'Stages'!$A$2:$A$7,0)))</f>
        <v>5400</v>
      </c>
      <c r="T1340" s="4">
        <f>(H1340*I1340)</f>
        <v>5400</v>
      </c>
      <c r="U1340" s="4">
        <f>(H1340*(I1340-1))</f>
        <v>0</v>
      </c>
      <c r="V1340" s="0" t="str">
        <f>INDEX('Account executives'!$B$2:$B$25,MATCH(C1340,'Account executives'!$A$2:$A$25,0))</f>
        <v>emea</v>
      </c>
      <c r="W1340" s="0" t="str">
        <f>INDEX('Account executives'!$C$2:$C$25,MATCH(C1340,'Account executives'!$A$2:$A$25,0))</f>
        <v>smb</v>
      </c>
      <c r="X1340" s="0" t="str">
        <f>SUBSTITUTE(LOWER(INDEX('Periods'!$G$2:$G$22,MATCH(N1340,'Periods'!$A$2:$A$22,0)))," ","_")</f>
        <v>q2_2026</v>
      </c>
    </row>
    <row r="1341">
      <c r="A1341" s="0" t="inlineStr">
        <is>
          <t xml:space="preserve">o1340</t>
        </is>
      </c>
      <c r="B1341" s="0" t="inlineStr">
        <is>
          <t xml:space="preserve">a0470</t>
        </is>
      </c>
      <c r="C1341" s="0" t="inlineStr">
        <is>
          <t xml:space="preserve">r24</t>
        </is>
      </c>
      <c r="D1341" s="0"/>
      <c r="E1341" s="0" t="inlineStr">
        <is>
          <t xml:space="preserve">events</t>
        </is>
      </c>
      <c r="F1341" s="0" t="inlineStr">
        <is>
          <t xml:space="preserve">closed_lost</t>
        </is>
      </c>
      <c r="G1341" s="4">
        <v>1</v>
      </c>
      <c r="H1341" s="4">
        <v>10500</v>
      </c>
      <c r="I1341" s="4">
        <v>1</v>
      </c>
      <c r="J1341" s="4">
        <v>0</v>
      </c>
      <c r="K1341" s="16">
        <v>45951</v>
      </c>
      <c r="L1341" s="16">
        <v>45967</v>
      </c>
      <c r="M1341" s="0" t="inlineStr">
        <is>
          <t xml:space="preserve">oct25</t>
        </is>
      </c>
      <c r="N1341" s="0" t="inlineStr">
        <is>
          <t xml:space="preserve">nov25</t>
        </is>
      </c>
      <c r="O1341" s="4">
        <v>16</v>
      </c>
      <c r="P1341" s="4">
        <v>0</v>
      </c>
      <c r="Q1341" s="4">
        <v>1</v>
      </c>
      <c r="R1341" s="4">
        <v>0</v>
      </c>
      <c r="S1341" s="4">
        <f>(H1341*INDEX('Stages'!$D$2:$D$7,MATCH(F1341,'Stages'!$A$2:$A$7,0)))</f>
        <v>0</v>
      </c>
      <c r="T1341" s="4">
        <f>(H1341*I1341)</f>
        <v>10500</v>
      </c>
      <c r="U1341" s="4">
        <f>(H1341*(I1341-1))</f>
        <v>0</v>
      </c>
      <c r="V1341" s="0" t="str">
        <f>INDEX('Account executives'!$B$2:$B$25,MATCH(C1341,'Account executives'!$A$2:$A$25,0))</f>
        <v>apac</v>
      </c>
      <c r="W1341" s="0" t="str">
        <f>INDEX('Account executives'!$C$2:$C$25,MATCH(C1341,'Account executives'!$A$2:$A$25,0))</f>
        <v>smb</v>
      </c>
      <c r="X1341" s="0" t="str">
        <f>SUBSTITUTE(LOWER(INDEX('Periods'!$G$2:$G$22,MATCH(N1341,'Periods'!$A$2:$A$22,0)))," ","_")</f>
        <v>q4_2025</v>
      </c>
    </row>
    <row r="1342">
      <c r="A1342" s="0" t="inlineStr">
        <is>
          <t xml:space="preserve">o1341</t>
        </is>
      </c>
      <c r="B1342" s="0" t="inlineStr">
        <is>
          <t xml:space="preserve">a0315</t>
        </is>
      </c>
      <c r="C1342" s="0" t="inlineStr">
        <is>
          <t xml:space="preserve">r04</t>
        </is>
      </c>
      <c r="D1342" s="0" t="inlineStr">
        <is>
          <t xml:space="preserve">s_amer_east_in</t>
        </is>
      </c>
      <c r="E1342" s="0" t="inlineStr">
        <is>
          <t xml:space="preserve">inbound</t>
        </is>
      </c>
      <c r="F1342" s="0" t="inlineStr">
        <is>
          <t xml:space="preserve">closed_lost</t>
        </is>
      </c>
      <c r="G1342" s="4">
        <v>1</v>
      </c>
      <c r="H1342" s="4">
        <v>88600</v>
      </c>
      <c r="I1342" s="4">
        <v>1</v>
      </c>
      <c r="J1342" s="4">
        <v>0</v>
      </c>
      <c r="K1342" s="16">
        <v>45875</v>
      </c>
      <c r="L1342" s="16">
        <v>45938</v>
      </c>
      <c r="M1342" s="0" t="inlineStr">
        <is>
          <t xml:space="preserve">aug25</t>
        </is>
      </c>
      <c r="N1342" s="0" t="inlineStr">
        <is>
          <t xml:space="preserve">oct25</t>
        </is>
      </c>
      <c r="O1342" s="4">
        <v>63</v>
      </c>
      <c r="P1342" s="4">
        <v>0</v>
      </c>
      <c r="Q1342" s="4">
        <v>1</v>
      </c>
      <c r="R1342" s="4">
        <v>0</v>
      </c>
      <c r="S1342" s="4">
        <f>(H1342*INDEX('Stages'!$D$2:$D$7,MATCH(F1342,'Stages'!$A$2:$A$7,0)))</f>
        <v>0</v>
      </c>
      <c r="T1342" s="4">
        <f>(H1342*I1342)</f>
        <v>88600</v>
      </c>
      <c r="U1342" s="4">
        <f>(H1342*(I1342-1))</f>
        <v>0</v>
      </c>
      <c r="V1342" s="0" t="str">
        <f>INDEX('Account executives'!$B$2:$B$25,MATCH(C1342,'Account executives'!$A$2:$A$25,0))</f>
        <v>amer_east</v>
      </c>
      <c r="W1342" s="0" t="str">
        <f>INDEX('Account executives'!$C$2:$C$25,MATCH(C1342,'Account executives'!$A$2:$A$25,0))</f>
        <v>mid_market</v>
      </c>
      <c r="X1342" s="0" t="str">
        <f>SUBSTITUTE(LOWER(INDEX('Periods'!$G$2:$G$22,MATCH(N1342,'Periods'!$A$2:$A$22,0)))," ","_")</f>
        <v>q4_2025</v>
      </c>
    </row>
    <row r="1343">
      <c r="A1343" s="0" t="inlineStr">
        <is>
          <t xml:space="preserve">o1342</t>
        </is>
      </c>
      <c r="B1343" s="0" t="inlineStr">
        <is>
          <t xml:space="preserve">a1012</t>
        </is>
      </c>
      <c r="C1343" s="0" t="inlineStr">
        <is>
          <t xml:space="preserve">r16</t>
        </is>
      </c>
      <c r="D1343" s="0" t="inlineStr">
        <is>
          <t xml:space="preserve">s_emea_in</t>
        </is>
      </c>
      <c r="E1343" s="0" t="inlineStr">
        <is>
          <t xml:space="preserve">inbound</t>
        </is>
      </c>
      <c r="F1343" s="0" t="inlineStr">
        <is>
          <t xml:space="preserve">closed_won</t>
        </is>
      </c>
      <c r="G1343" s="4">
        <v>1</v>
      </c>
      <c r="H1343" s="4">
        <v>37200</v>
      </c>
      <c r="I1343" s="4">
        <v>1</v>
      </c>
      <c r="J1343" s="4">
        <v>0</v>
      </c>
      <c r="K1343" s="16">
        <v>46192</v>
      </c>
      <c r="L1343" s="16">
        <v>46233</v>
      </c>
      <c r="M1343" s="0" t="inlineStr">
        <is>
          <t xml:space="preserve">jun26</t>
        </is>
      </c>
      <c r="N1343" s="0" t="inlineStr">
        <is>
          <t xml:space="preserve">jul26</t>
        </is>
      </c>
      <c r="O1343" s="4">
        <v>41</v>
      </c>
      <c r="P1343" s="4">
        <v>1</v>
      </c>
      <c r="Q1343" s="4">
        <v>0</v>
      </c>
      <c r="R1343" s="4">
        <v>0</v>
      </c>
      <c r="S1343" s="4">
        <f>(H1343*INDEX('Stages'!$D$2:$D$7,MATCH(F1343,'Stages'!$A$2:$A$7,0)))</f>
        <v>37200</v>
      </c>
      <c r="T1343" s="4">
        <f>(H1343*I1343)</f>
        <v>37200</v>
      </c>
      <c r="U1343" s="4">
        <f>(H1343*(I1343-1))</f>
        <v>0</v>
      </c>
      <c r="V1343" s="0" t="str">
        <f>INDEX('Account executives'!$B$2:$B$25,MATCH(C1343,'Account executives'!$A$2:$A$25,0))</f>
        <v>emea</v>
      </c>
      <c r="W1343" s="0" t="str">
        <f>INDEX('Account executives'!$C$2:$C$25,MATCH(C1343,'Account executives'!$A$2:$A$25,0))</f>
        <v>mid_market</v>
      </c>
      <c r="X1343" s="0" t="str">
        <f>SUBSTITUTE(LOWER(INDEX('Periods'!$G$2:$G$22,MATCH(N1343,'Periods'!$A$2:$A$22,0)))," ","_")</f>
        <v>q3_2026</v>
      </c>
    </row>
    <row r="1344">
      <c r="A1344" s="0" t="inlineStr">
        <is>
          <t xml:space="preserve">o1343</t>
        </is>
      </c>
      <c r="B1344" s="0" t="inlineStr">
        <is>
          <t xml:space="preserve">a0614</t>
        </is>
      </c>
      <c r="C1344" s="0" t="inlineStr">
        <is>
          <t xml:space="preserve">r04</t>
        </is>
      </c>
      <c r="D1344" s="0" t="inlineStr">
        <is>
          <t xml:space="preserve">s_amer_east_in</t>
        </is>
      </c>
      <c r="E1344" s="0" t="inlineStr">
        <is>
          <t xml:space="preserve">paid</t>
        </is>
      </c>
      <c r="F1344" s="0" t="inlineStr">
        <is>
          <t xml:space="preserve">closed_lost</t>
        </is>
      </c>
      <c r="G1344" s="4">
        <v>1</v>
      </c>
      <c r="H1344" s="4">
        <v>36000</v>
      </c>
      <c r="I1344" s="4">
        <v>1</v>
      </c>
      <c r="J1344" s="4">
        <v>0</v>
      </c>
      <c r="K1344" s="16">
        <v>46028</v>
      </c>
      <c r="L1344" s="16">
        <v>46075</v>
      </c>
      <c r="M1344" s="0" t="inlineStr">
        <is>
          <t xml:space="preserve">jan26</t>
        </is>
      </c>
      <c r="N1344" s="0" t="inlineStr">
        <is>
          <t xml:space="preserve">feb26</t>
        </is>
      </c>
      <c r="O1344" s="4">
        <v>47</v>
      </c>
      <c r="P1344" s="4">
        <v>0</v>
      </c>
      <c r="Q1344" s="4">
        <v>1</v>
      </c>
      <c r="R1344" s="4">
        <v>0</v>
      </c>
      <c r="S1344" s="4">
        <f>(H1344*INDEX('Stages'!$D$2:$D$7,MATCH(F1344,'Stages'!$A$2:$A$7,0)))</f>
        <v>0</v>
      </c>
      <c r="T1344" s="4">
        <f>(H1344*I1344)</f>
        <v>36000</v>
      </c>
      <c r="U1344" s="4">
        <f>(H1344*(I1344-1))</f>
        <v>0</v>
      </c>
      <c r="V1344" s="0" t="str">
        <f>INDEX('Account executives'!$B$2:$B$25,MATCH(C1344,'Account executives'!$A$2:$A$25,0))</f>
        <v>amer_east</v>
      </c>
      <c r="W1344" s="0" t="str">
        <f>INDEX('Account executives'!$C$2:$C$25,MATCH(C1344,'Account executives'!$A$2:$A$25,0))</f>
        <v>mid_market</v>
      </c>
      <c r="X1344" s="0" t="str">
        <f>SUBSTITUTE(LOWER(INDEX('Periods'!$G$2:$G$22,MATCH(N1344,'Periods'!$A$2:$A$22,0)))," ","_")</f>
        <v>q1_2026</v>
      </c>
    </row>
    <row r="1345">
      <c r="A1345" s="0" t="inlineStr">
        <is>
          <t xml:space="preserve">o1344</t>
        </is>
      </c>
      <c r="B1345" s="0" t="inlineStr">
        <is>
          <t xml:space="preserve">a0129</t>
        </is>
      </c>
      <c r="C1345" s="0" t="inlineStr">
        <is>
          <t xml:space="preserve">r15</t>
        </is>
      </c>
      <c r="D1345" s="0"/>
      <c r="E1345" s="0" t="inlineStr">
        <is>
          <t xml:space="preserve">events</t>
        </is>
      </c>
      <c r="F1345" s="0" t="inlineStr">
        <is>
          <t xml:space="preserve">closed_lost</t>
        </is>
      </c>
      <c r="G1345" s="4">
        <v>1</v>
      </c>
      <c r="H1345" s="4">
        <v>67800</v>
      </c>
      <c r="I1345" s="4">
        <v>2</v>
      </c>
      <c r="J1345" s="4">
        <v>0</v>
      </c>
      <c r="K1345" s="16">
        <v>45779</v>
      </c>
      <c r="L1345" s="16">
        <v>45840</v>
      </c>
      <c r="M1345" s="0" t="inlineStr">
        <is>
          <t xml:space="preserve">may25</t>
        </is>
      </c>
      <c r="N1345" s="0" t="inlineStr">
        <is>
          <t xml:space="preserve">jul25</t>
        </is>
      </c>
      <c r="O1345" s="4">
        <v>61</v>
      </c>
      <c r="P1345" s="4">
        <v>0</v>
      </c>
      <c r="Q1345" s="4">
        <v>1</v>
      </c>
      <c r="R1345" s="4">
        <v>0</v>
      </c>
      <c r="S1345" s="4">
        <f>(H1345*INDEX('Stages'!$D$2:$D$7,MATCH(F1345,'Stages'!$A$2:$A$7,0)))</f>
        <v>0</v>
      </c>
      <c r="T1345" s="4">
        <f>(H1345*I1345)</f>
        <v>135600</v>
      </c>
      <c r="U1345" s="4">
        <f>(H1345*(I1345-1))</f>
        <v>67800</v>
      </c>
      <c r="V1345" s="0" t="str">
        <f>INDEX('Account executives'!$B$2:$B$25,MATCH(C1345,'Account executives'!$A$2:$A$25,0))</f>
        <v>emea</v>
      </c>
      <c r="W1345" s="0" t="str">
        <f>INDEX('Account executives'!$C$2:$C$25,MATCH(C1345,'Account executives'!$A$2:$A$25,0))</f>
        <v>mid_market</v>
      </c>
      <c r="X1345" s="0" t="str">
        <f>SUBSTITUTE(LOWER(INDEX('Periods'!$G$2:$G$22,MATCH(N1345,'Periods'!$A$2:$A$22,0)))," ","_")</f>
        <v>q3_2025</v>
      </c>
    </row>
    <row r="1346">
      <c r="A1346" s="0" t="inlineStr">
        <is>
          <t xml:space="preserve">o1345</t>
        </is>
      </c>
      <c r="B1346" s="0" t="inlineStr">
        <is>
          <t xml:space="preserve">a0142</t>
        </is>
      </c>
      <c r="C1346" s="0" t="inlineStr">
        <is>
          <t xml:space="preserve">r24</t>
        </is>
      </c>
      <c r="D1346" s="0" t="inlineStr">
        <is>
          <t xml:space="preserve">s_apac_in</t>
        </is>
      </c>
      <c r="E1346" s="0" t="inlineStr">
        <is>
          <t xml:space="preserve">inbound</t>
        </is>
      </c>
      <c r="F1346" s="0" t="inlineStr">
        <is>
          <t xml:space="preserve">closed_won</t>
        </is>
      </c>
      <c r="G1346" s="4">
        <v>1</v>
      </c>
      <c r="H1346" s="4">
        <v>4900</v>
      </c>
      <c r="I1346" s="4">
        <v>1</v>
      </c>
      <c r="J1346" s="4">
        <v>0</v>
      </c>
      <c r="K1346" s="16">
        <v>45805</v>
      </c>
      <c r="L1346" s="16">
        <v>45840</v>
      </c>
      <c r="M1346" s="0" t="inlineStr">
        <is>
          <t xml:space="preserve">may25</t>
        </is>
      </c>
      <c r="N1346" s="0" t="inlineStr">
        <is>
          <t xml:space="preserve">jul25</t>
        </is>
      </c>
      <c r="O1346" s="4">
        <v>35</v>
      </c>
      <c r="P1346" s="4">
        <v>1</v>
      </c>
      <c r="Q1346" s="4">
        <v>0</v>
      </c>
      <c r="R1346" s="4">
        <v>0</v>
      </c>
      <c r="S1346" s="4">
        <f>(H1346*INDEX('Stages'!$D$2:$D$7,MATCH(F1346,'Stages'!$A$2:$A$7,0)))</f>
        <v>4900</v>
      </c>
      <c r="T1346" s="4">
        <f>(H1346*I1346)</f>
        <v>4900</v>
      </c>
      <c r="U1346" s="4">
        <f>(H1346*(I1346-1))</f>
        <v>0</v>
      </c>
      <c r="V1346" s="0" t="str">
        <f>INDEX('Account executives'!$B$2:$B$25,MATCH(C1346,'Account executives'!$A$2:$A$25,0))</f>
        <v>apac</v>
      </c>
      <c r="W1346" s="0" t="str">
        <f>INDEX('Account executives'!$C$2:$C$25,MATCH(C1346,'Account executives'!$A$2:$A$25,0))</f>
        <v>smb</v>
      </c>
      <c r="X1346" s="0" t="str">
        <f>SUBSTITUTE(LOWER(INDEX('Periods'!$G$2:$G$22,MATCH(N1346,'Periods'!$A$2:$A$22,0)))," ","_")</f>
        <v>q3_2025</v>
      </c>
    </row>
    <row r="1347">
      <c r="A1347" s="0" t="inlineStr">
        <is>
          <t xml:space="preserve">o1346</t>
        </is>
      </c>
      <c r="B1347" s="0" t="inlineStr">
        <is>
          <t xml:space="preserve">a0391</t>
        </is>
      </c>
      <c r="C1347" s="0" t="inlineStr">
        <is>
          <t xml:space="preserve">r18</t>
        </is>
      </c>
      <c r="D1347" s="0" t="inlineStr">
        <is>
          <t xml:space="preserve">s_emea_in</t>
        </is>
      </c>
      <c r="E1347" s="0" t="inlineStr">
        <is>
          <t xml:space="preserve">paid</t>
        </is>
      </c>
      <c r="F1347" s="0" t="inlineStr">
        <is>
          <t xml:space="preserve">closed_lost</t>
        </is>
      </c>
      <c r="G1347" s="4">
        <v>0</v>
      </c>
      <c r="H1347" s="4">
        <v>8400</v>
      </c>
      <c r="I1347" s="4">
        <v>1</v>
      </c>
      <c r="J1347" s="4">
        <v>0</v>
      </c>
      <c r="K1347" s="16">
        <v>46032</v>
      </c>
      <c r="L1347" s="16">
        <v>46053</v>
      </c>
      <c r="M1347" s="0" t="inlineStr">
        <is>
          <t xml:space="preserve">jan26</t>
        </is>
      </c>
      <c r="N1347" s="0" t="inlineStr">
        <is>
          <t xml:space="preserve">jan26</t>
        </is>
      </c>
      <c r="O1347" s="4">
        <v>21</v>
      </c>
      <c r="P1347" s="4">
        <v>0</v>
      </c>
      <c r="Q1347" s="4">
        <v>1</v>
      </c>
      <c r="R1347" s="4">
        <v>0</v>
      </c>
      <c r="S1347" s="4">
        <f>(H1347*INDEX('Stages'!$D$2:$D$7,MATCH(F1347,'Stages'!$A$2:$A$7,0)))</f>
        <v>0</v>
      </c>
      <c r="T1347" s="4">
        <f>(H1347*I1347)</f>
        <v>8400</v>
      </c>
      <c r="U1347" s="4">
        <f>(H1347*(I1347-1))</f>
        <v>0</v>
      </c>
      <c r="V1347" s="0" t="str">
        <f>INDEX('Account executives'!$B$2:$B$25,MATCH(C1347,'Account executives'!$A$2:$A$25,0))</f>
        <v>emea</v>
      </c>
      <c r="W1347" s="0" t="str">
        <f>INDEX('Account executives'!$C$2:$C$25,MATCH(C1347,'Account executives'!$A$2:$A$25,0))</f>
        <v>smb</v>
      </c>
      <c r="X1347" s="0" t="str">
        <f>SUBSTITUTE(LOWER(INDEX('Periods'!$G$2:$G$22,MATCH(N1347,'Periods'!$A$2:$A$22,0)))," ","_")</f>
        <v>q1_2026</v>
      </c>
    </row>
    <row r="1348">
      <c r="A1348" s="0" t="inlineStr">
        <is>
          <t xml:space="preserve">o1347</t>
        </is>
      </c>
      <c r="B1348" s="0" t="inlineStr">
        <is>
          <t xml:space="preserve">a0061</t>
        </is>
      </c>
      <c r="C1348" s="0" t="inlineStr">
        <is>
          <t xml:space="preserve">r20</t>
        </is>
      </c>
      <c r="D1348" s="0" t="inlineStr">
        <is>
          <t xml:space="preserve">s_apac_out</t>
        </is>
      </c>
      <c r="E1348" s="0" t="inlineStr">
        <is>
          <t xml:space="preserve">outbound</t>
        </is>
      </c>
      <c r="F1348" s="0" t="inlineStr">
        <is>
          <t xml:space="preserve">closed_lost</t>
        </is>
      </c>
      <c r="G1348" s="4">
        <v>1</v>
      </c>
      <c r="H1348" s="4">
        <v>97300</v>
      </c>
      <c r="I1348" s="4">
        <v>1</v>
      </c>
      <c r="J1348" s="4">
        <v>1</v>
      </c>
      <c r="K1348" s="16">
        <v>45773</v>
      </c>
      <c r="L1348" s="16">
        <v>45855</v>
      </c>
      <c r="M1348" s="0" t="inlineStr">
        <is>
          <t xml:space="preserve">apr25</t>
        </is>
      </c>
      <c r="N1348" s="0" t="inlineStr">
        <is>
          <t xml:space="preserve">jul25</t>
        </is>
      </c>
      <c r="O1348" s="4">
        <v>82</v>
      </c>
      <c r="P1348" s="4">
        <v>0</v>
      </c>
      <c r="Q1348" s="4">
        <v>1</v>
      </c>
      <c r="R1348" s="4">
        <v>0</v>
      </c>
      <c r="S1348" s="4">
        <f>(H1348*INDEX('Stages'!$D$2:$D$7,MATCH(F1348,'Stages'!$A$2:$A$7,0)))</f>
        <v>0</v>
      </c>
      <c r="T1348" s="4">
        <f>(H1348*I1348)</f>
        <v>97300</v>
      </c>
      <c r="U1348" s="4">
        <f>(H1348*(I1348-1))</f>
        <v>0</v>
      </c>
      <c r="V1348" s="0" t="str">
        <f>INDEX('Account executives'!$B$2:$B$25,MATCH(C1348,'Account executives'!$A$2:$A$25,0))</f>
        <v>apac</v>
      </c>
      <c r="W1348" s="0" t="str">
        <f>INDEX('Account executives'!$C$2:$C$25,MATCH(C1348,'Account executives'!$A$2:$A$25,0))</f>
        <v>enterprise</v>
      </c>
      <c r="X1348" s="0" t="str">
        <f>SUBSTITUTE(LOWER(INDEX('Periods'!$G$2:$G$22,MATCH(N1348,'Periods'!$A$2:$A$22,0)))," ","_")</f>
        <v>q3_2025</v>
      </c>
    </row>
    <row r="1349">
      <c r="A1349" s="0" t="inlineStr">
        <is>
          <t xml:space="preserve">o1348</t>
        </is>
      </c>
      <c r="B1349" s="0" t="inlineStr">
        <is>
          <t xml:space="preserve">a0200</t>
        </is>
      </c>
      <c r="C1349" s="0" t="inlineStr">
        <is>
          <t xml:space="preserve">r09</t>
        </is>
      </c>
      <c r="D1349" s="0" t="inlineStr">
        <is>
          <t xml:space="preserve">s_amer_west_in</t>
        </is>
      </c>
      <c r="E1349" s="0" t="inlineStr">
        <is>
          <t xml:space="preserve">inbound</t>
        </is>
      </c>
      <c r="F1349" s="0" t="inlineStr">
        <is>
          <t xml:space="preserve">closed_lost</t>
        </is>
      </c>
      <c r="G1349" s="4">
        <v>0</v>
      </c>
      <c r="H1349" s="4">
        <v>21500</v>
      </c>
      <c r="I1349" s="4">
        <v>1</v>
      </c>
      <c r="J1349" s="4">
        <v>0</v>
      </c>
      <c r="K1349" s="16">
        <v>45979</v>
      </c>
      <c r="L1349" s="16">
        <v>46041</v>
      </c>
      <c r="M1349" s="0" t="inlineStr">
        <is>
          <t xml:space="preserve">nov25</t>
        </is>
      </c>
      <c r="N1349" s="0" t="inlineStr">
        <is>
          <t xml:space="preserve">jan26</t>
        </is>
      </c>
      <c r="O1349" s="4">
        <v>62</v>
      </c>
      <c r="P1349" s="4">
        <v>0</v>
      </c>
      <c r="Q1349" s="4">
        <v>1</v>
      </c>
      <c r="R1349" s="4">
        <v>0</v>
      </c>
      <c r="S1349" s="4">
        <f>(H1349*INDEX('Stages'!$D$2:$D$7,MATCH(F1349,'Stages'!$A$2:$A$7,0)))</f>
        <v>0</v>
      </c>
      <c r="T1349" s="4">
        <f>(H1349*I1349)</f>
        <v>21500</v>
      </c>
      <c r="U1349" s="4">
        <f>(H1349*(I1349-1))</f>
        <v>0</v>
      </c>
      <c r="V1349" s="0" t="str">
        <f>INDEX('Account executives'!$B$2:$B$25,MATCH(C1349,'Account executives'!$A$2:$A$25,0))</f>
        <v>amer_west</v>
      </c>
      <c r="W1349" s="0" t="str">
        <f>INDEX('Account executives'!$C$2:$C$25,MATCH(C1349,'Account executives'!$A$2:$A$25,0))</f>
        <v>mid_market</v>
      </c>
      <c r="X1349" s="0" t="str">
        <f>SUBSTITUTE(LOWER(INDEX('Periods'!$G$2:$G$22,MATCH(N1349,'Periods'!$A$2:$A$22,0)))," ","_")</f>
        <v>q1_2026</v>
      </c>
    </row>
    <row r="1350">
      <c r="A1350" s="0" t="inlineStr">
        <is>
          <t xml:space="preserve">o1349</t>
        </is>
      </c>
      <c r="B1350" s="0" t="inlineStr">
        <is>
          <t xml:space="preserve">a0791</t>
        </is>
      </c>
      <c r="C1350" s="0" t="inlineStr">
        <is>
          <t xml:space="preserve">r24</t>
        </is>
      </c>
      <c r="D1350" s="0" t="inlineStr">
        <is>
          <t xml:space="preserve">s_apac_in</t>
        </is>
      </c>
      <c r="E1350" s="0" t="inlineStr">
        <is>
          <t xml:space="preserve">inbound</t>
        </is>
      </c>
      <c r="F1350" s="0" t="inlineStr">
        <is>
          <t xml:space="preserve">closed_won</t>
        </is>
      </c>
      <c r="G1350" s="4">
        <v>1</v>
      </c>
      <c r="H1350" s="4">
        <v>5300</v>
      </c>
      <c r="I1350" s="4">
        <v>1</v>
      </c>
      <c r="J1350" s="4">
        <v>0</v>
      </c>
      <c r="K1350" s="16">
        <v>46094</v>
      </c>
      <c r="L1350" s="16">
        <v>46201</v>
      </c>
      <c r="M1350" s="0" t="inlineStr">
        <is>
          <t xml:space="preserve">mar26</t>
        </is>
      </c>
      <c r="N1350" s="0" t="inlineStr">
        <is>
          <t xml:space="preserve">jun26</t>
        </is>
      </c>
      <c r="O1350" s="4">
        <v>107</v>
      </c>
      <c r="P1350" s="4">
        <v>1</v>
      </c>
      <c r="Q1350" s="4">
        <v>0</v>
      </c>
      <c r="R1350" s="4">
        <v>0</v>
      </c>
      <c r="S1350" s="4">
        <f>(H1350*INDEX('Stages'!$D$2:$D$7,MATCH(F1350,'Stages'!$A$2:$A$7,0)))</f>
        <v>5300</v>
      </c>
      <c r="T1350" s="4">
        <f>(H1350*I1350)</f>
        <v>5300</v>
      </c>
      <c r="U1350" s="4">
        <f>(H1350*(I1350-1))</f>
        <v>0</v>
      </c>
      <c r="V1350" s="0" t="str">
        <f>INDEX('Account executives'!$B$2:$B$25,MATCH(C1350,'Account executives'!$A$2:$A$25,0))</f>
        <v>apac</v>
      </c>
      <c r="W1350" s="0" t="str">
        <f>INDEX('Account executives'!$C$2:$C$25,MATCH(C1350,'Account executives'!$A$2:$A$25,0))</f>
        <v>smb</v>
      </c>
      <c r="X1350" s="0" t="str">
        <f>SUBSTITUTE(LOWER(INDEX('Periods'!$G$2:$G$22,MATCH(N1350,'Periods'!$A$2:$A$22,0)))," ","_")</f>
        <v>q2_2026</v>
      </c>
    </row>
    <row r="1351">
      <c r="A1351" s="0" t="inlineStr">
        <is>
          <t xml:space="preserve">o1350</t>
        </is>
      </c>
      <c r="B1351" s="0" t="inlineStr">
        <is>
          <t xml:space="preserve">a0050</t>
        </is>
      </c>
      <c r="C1351" s="0" t="inlineStr">
        <is>
          <t xml:space="preserve">r16</t>
        </is>
      </c>
      <c r="D1351" s="0" t="inlineStr">
        <is>
          <t xml:space="preserve">s_emea_out</t>
        </is>
      </c>
      <c r="E1351" s="0" t="inlineStr">
        <is>
          <t xml:space="preserve">outbound</t>
        </is>
      </c>
      <c r="F1351" s="0" t="inlineStr">
        <is>
          <t xml:space="preserve">evaluation</t>
        </is>
      </c>
      <c r="G1351" s="4">
        <v>0</v>
      </c>
      <c r="H1351" s="4">
        <v>44100</v>
      </c>
      <c r="I1351" s="4">
        <v>2</v>
      </c>
      <c r="J1351" s="4">
        <v>0</v>
      </c>
      <c r="K1351" s="16">
        <v>46260</v>
      </c>
      <c r="L1351" s="16">
        <v>46299</v>
      </c>
      <c r="M1351" s="0" t="inlineStr">
        <is>
          <t xml:space="preserve">aug26</t>
        </is>
      </c>
      <c r="N1351" s="0" t="inlineStr">
        <is>
          <t xml:space="preserve">oct26</t>
        </is>
      </c>
      <c r="O1351" s="4">
        <v>59</v>
      </c>
      <c r="P1351" s="4">
        <v>0</v>
      </c>
      <c r="Q1351" s="4">
        <v>0</v>
      </c>
      <c r="R1351" s="4">
        <v>1</v>
      </c>
      <c r="S1351" s="4">
        <f>(H1351*INDEX('Stages'!$D$2:$D$7,MATCH(F1351,'Stages'!$A$2:$A$7,0)))</f>
        <v>11025</v>
      </c>
      <c r="T1351" s="4">
        <f>(H1351*I1351)</f>
        <v>88200</v>
      </c>
      <c r="U1351" s="4">
        <f>(H1351*(I1351-1))</f>
        <v>44100</v>
      </c>
      <c r="V1351" s="0" t="str">
        <f>INDEX('Account executives'!$B$2:$B$25,MATCH(C1351,'Account executives'!$A$2:$A$25,0))</f>
        <v>emea</v>
      </c>
      <c r="W1351" s="0" t="str">
        <f>INDEX('Account executives'!$C$2:$C$25,MATCH(C1351,'Account executives'!$A$2:$A$25,0))</f>
        <v>mid_market</v>
      </c>
      <c r="X1351" s="0" t="str">
        <f>SUBSTITUTE(LOWER(INDEX('Periods'!$G$2:$G$22,MATCH(N1351,'Periods'!$A$2:$A$22,0)))," ","_")</f>
        <v>q4_2026</v>
      </c>
    </row>
    <row r="1352">
      <c r="A1352" s="0" t="inlineStr">
        <is>
          <t xml:space="preserve">o1351</t>
        </is>
      </c>
      <c r="B1352" s="0" t="inlineStr">
        <is>
          <t xml:space="preserve">a0115</t>
        </is>
      </c>
      <c r="C1352" s="0" t="inlineStr">
        <is>
          <t xml:space="preserve">r18</t>
        </is>
      </c>
      <c r="D1352" s="0" t="inlineStr">
        <is>
          <t xml:space="preserve">s_emea_in</t>
        </is>
      </c>
      <c r="E1352" s="0" t="inlineStr">
        <is>
          <t xml:space="preserve">inbound</t>
        </is>
      </c>
      <c r="F1352" s="0" t="inlineStr">
        <is>
          <t xml:space="preserve">closed_lost</t>
        </is>
      </c>
      <c r="G1352" s="4">
        <v>1</v>
      </c>
      <c r="H1352" s="4">
        <v>18600</v>
      </c>
      <c r="I1352" s="4">
        <v>2</v>
      </c>
      <c r="J1352" s="4">
        <v>1</v>
      </c>
      <c r="K1352" s="16">
        <v>45800</v>
      </c>
      <c r="L1352" s="16">
        <v>45825</v>
      </c>
      <c r="M1352" s="0" t="inlineStr">
        <is>
          <t xml:space="preserve">may25</t>
        </is>
      </c>
      <c r="N1352" s="0" t="inlineStr">
        <is>
          <t xml:space="preserve">jun25</t>
        </is>
      </c>
      <c r="O1352" s="4">
        <v>25</v>
      </c>
      <c r="P1352" s="4">
        <v>0</v>
      </c>
      <c r="Q1352" s="4">
        <v>1</v>
      </c>
      <c r="R1352" s="4">
        <v>0</v>
      </c>
      <c r="S1352" s="4">
        <f>(H1352*INDEX('Stages'!$D$2:$D$7,MATCH(F1352,'Stages'!$A$2:$A$7,0)))</f>
        <v>0</v>
      </c>
      <c r="T1352" s="4">
        <f>(H1352*I1352)</f>
        <v>37200</v>
      </c>
      <c r="U1352" s="4">
        <f>(H1352*(I1352-1))</f>
        <v>18600</v>
      </c>
      <c r="V1352" s="0" t="str">
        <f>INDEX('Account executives'!$B$2:$B$25,MATCH(C1352,'Account executives'!$A$2:$A$25,0))</f>
        <v>emea</v>
      </c>
      <c r="W1352" s="0" t="str">
        <f>INDEX('Account executives'!$C$2:$C$25,MATCH(C1352,'Account executives'!$A$2:$A$25,0))</f>
        <v>smb</v>
      </c>
      <c r="X1352" s="0" t="str">
        <f>SUBSTITUTE(LOWER(INDEX('Periods'!$G$2:$G$22,MATCH(N1352,'Periods'!$A$2:$A$22,0)))," ","_")</f>
        <v>q2_2025</v>
      </c>
    </row>
    <row r="1353">
      <c r="A1353" s="0" t="inlineStr">
        <is>
          <t xml:space="preserve">o1352</t>
        </is>
      </c>
      <c r="B1353" s="0" t="inlineStr">
        <is>
          <t xml:space="preserve">a0062</t>
        </is>
      </c>
      <c r="C1353" s="0" t="inlineStr">
        <is>
          <t xml:space="preserve">r05</t>
        </is>
      </c>
      <c r="D1353" s="0" t="inlineStr">
        <is>
          <t xml:space="preserve">s_amer_east_in</t>
        </is>
      </c>
      <c r="E1353" s="0" t="inlineStr">
        <is>
          <t xml:space="preserve">inbound</t>
        </is>
      </c>
      <c r="F1353" s="0" t="inlineStr">
        <is>
          <t xml:space="preserve">closed_lost</t>
        </is>
      </c>
      <c r="G1353" s="4">
        <v>1</v>
      </c>
      <c r="H1353" s="4">
        <v>13400</v>
      </c>
      <c r="I1353" s="4">
        <v>1</v>
      </c>
      <c r="J1353" s="4">
        <v>0</v>
      </c>
      <c r="K1353" s="16">
        <v>45791</v>
      </c>
      <c r="L1353" s="16">
        <v>45826</v>
      </c>
      <c r="M1353" s="0" t="inlineStr">
        <is>
          <t xml:space="preserve">may25</t>
        </is>
      </c>
      <c r="N1353" s="0" t="inlineStr">
        <is>
          <t xml:space="preserve">jun25</t>
        </is>
      </c>
      <c r="O1353" s="4">
        <v>35</v>
      </c>
      <c r="P1353" s="4">
        <v>0</v>
      </c>
      <c r="Q1353" s="4">
        <v>1</v>
      </c>
      <c r="R1353" s="4">
        <v>0</v>
      </c>
      <c r="S1353" s="4">
        <f>(H1353*INDEX('Stages'!$D$2:$D$7,MATCH(F1353,'Stages'!$A$2:$A$7,0)))</f>
        <v>0</v>
      </c>
      <c r="T1353" s="4">
        <f>(H1353*I1353)</f>
        <v>13400</v>
      </c>
      <c r="U1353" s="4">
        <f>(H1353*(I1353-1))</f>
        <v>0</v>
      </c>
      <c r="V1353" s="0" t="str">
        <f>INDEX('Account executives'!$B$2:$B$25,MATCH(C1353,'Account executives'!$A$2:$A$25,0))</f>
        <v>amer_east</v>
      </c>
      <c r="W1353" s="0" t="str">
        <f>INDEX('Account executives'!$C$2:$C$25,MATCH(C1353,'Account executives'!$A$2:$A$25,0))</f>
        <v>smb</v>
      </c>
      <c r="X1353" s="0" t="str">
        <f>SUBSTITUTE(LOWER(INDEX('Periods'!$G$2:$G$22,MATCH(N1353,'Periods'!$A$2:$A$22,0)))," ","_")</f>
        <v>q2_2025</v>
      </c>
    </row>
    <row r="1354">
      <c r="A1354" s="0" t="inlineStr">
        <is>
          <t xml:space="preserve">o1353</t>
        </is>
      </c>
      <c r="B1354" s="0" t="inlineStr">
        <is>
          <t xml:space="preserve">a0031</t>
        </is>
      </c>
      <c r="C1354" s="0" t="inlineStr">
        <is>
          <t xml:space="preserve">r12</t>
        </is>
      </c>
      <c r="D1354" s="0" t="inlineStr">
        <is>
          <t xml:space="preserve">s_amer_west_in</t>
        </is>
      </c>
      <c r="E1354" s="0" t="inlineStr">
        <is>
          <t xml:space="preserve">paid</t>
        </is>
      </c>
      <c r="F1354" s="0" t="inlineStr">
        <is>
          <t xml:space="preserve">closed_lost</t>
        </is>
      </c>
      <c r="G1354" s="4">
        <v>0</v>
      </c>
      <c r="H1354" s="4">
        <v>11600</v>
      </c>
      <c r="I1354" s="4">
        <v>1</v>
      </c>
      <c r="J1354" s="4">
        <v>1</v>
      </c>
      <c r="K1354" s="16">
        <v>46094</v>
      </c>
      <c r="L1354" s="16">
        <v>46118</v>
      </c>
      <c r="M1354" s="0" t="inlineStr">
        <is>
          <t xml:space="preserve">mar26</t>
        </is>
      </c>
      <c r="N1354" s="0" t="inlineStr">
        <is>
          <t xml:space="preserve">apr26</t>
        </is>
      </c>
      <c r="O1354" s="4">
        <v>24</v>
      </c>
      <c r="P1354" s="4">
        <v>0</v>
      </c>
      <c r="Q1354" s="4">
        <v>1</v>
      </c>
      <c r="R1354" s="4">
        <v>0</v>
      </c>
      <c r="S1354" s="4">
        <f>(H1354*INDEX('Stages'!$D$2:$D$7,MATCH(F1354,'Stages'!$A$2:$A$7,0)))</f>
        <v>0</v>
      </c>
      <c r="T1354" s="4">
        <f>(H1354*I1354)</f>
        <v>11600</v>
      </c>
      <c r="U1354" s="4">
        <f>(H1354*(I1354-1))</f>
        <v>0</v>
      </c>
      <c r="V1354" s="0" t="str">
        <f>INDEX('Account executives'!$B$2:$B$25,MATCH(C1354,'Account executives'!$A$2:$A$25,0))</f>
        <v>amer_west</v>
      </c>
      <c r="W1354" s="0" t="str">
        <f>INDEX('Account executives'!$C$2:$C$25,MATCH(C1354,'Account executives'!$A$2:$A$25,0))</f>
        <v>smb</v>
      </c>
      <c r="X1354" s="0" t="str">
        <f>SUBSTITUTE(LOWER(INDEX('Periods'!$G$2:$G$22,MATCH(N1354,'Periods'!$A$2:$A$22,0)))," ","_")</f>
        <v>q2_2026</v>
      </c>
    </row>
    <row r="1355">
      <c r="A1355" s="0" t="inlineStr">
        <is>
          <t xml:space="preserve">o1354</t>
        </is>
      </c>
      <c r="B1355" s="0" t="inlineStr">
        <is>
          <t xml:space="preserve">a0832</t>
        </is>
      </c>
      <c r="C1355" s="0" t="inlineStr">
        <is>
          <t xml:space="preserve">r03</t>
        </is>
      </c>
      <c r="D1355" s="0"/>
      <c r="E1355" s="0" t="inlineStr">
        <is>
          <t xml:space="preserve">partner</t>
        </is>
      </c>
      <c r="F1355" s="0" t="inlineStr">
        <is>
          <t xml:space="preserve">closed_lost</t>
        </is>
      </c>
      <c r="G1355" s="4">
        <v>1</v>
      </c>
      <c r="H1355" s="4">
        <v>26500</v>
      </c>
      <c r="I1355" s="4">
        <v>1</v>
      </c>
      <c r="J1355" s="4">
        <v>0</v>
      </c>
      <c r="K1355" s="16">
        <v>46123</v>
      </c>
      <c r="L1355" s="16">
        <v>46189</v>
      </c>
      <c r="M1355" s="0" t="inlineStr">
        <is>
          <t xml:space="preserve">apr26</t>
        </is>
      </c>
      <c r="N1355" s="0" t="inlineStr">
        <is>
          <t xml:space="preserve">jun26</t>
        </is>
      </c>
      <c r="O1355" s="4">
        <v>66</v>
      </c>
      <c r="P1355" s="4">
        <v>0</v>
      </c>
      <c r="Q1355" s="4">
        <v>1</v>
      </c>
      <c r="R1355" s="4">
        <v>0</v>
      </c>
      <c r="S1355" s="4">
        <f>(H1355*INDEX('Stages'!$D$2:$D$7,MATCH(F1355,'Stages'!$A$2:$A$7,0)))</f>
        <v>0</v>
      </c>
      <c r="T1355" s="4">
        <f>(H1355*I1355)</f>
        <v>26500</v>
      </c>
      <c r="U1355" s="4">
        <f>(H1355*(I1355-1))</f>
        <v>0</v>
      </c>
      <c r="V1355" s="0" t="str">
        <f>INDEX('Account executives'!$B$2:$B$25,MATCH(C1355,'Account executives'!$A$2:$A$25,0))</f>
        <v>amer_east</v>
      </c>
      <c r="W1355" s="0" t="str">
        <f>INDEX('Account executives'!$C$2:$C$25,MATCH(C1355,'Account executives'!$A$2:$A$25,0))</f>
        <v>mid_market</v>
      </c>
      <c r="X1355" s="0" t="str">
        <f>SUBSTITUTE(LOWER(INDEX('Periods'!$G$2:$G$22,MATCH(N1355,'Periods'!$A$2:$A$22,0)))," ","_")</f>
        <v>q2_2026</v>
      </c>
    </row>
    <row r="1356">
      <c r="A1356" s="0" t="inlineStr">
        <is>
          <t xml:space="preserve">o1355</t>
        </is>
      </c>
      <c r="B1356" s="0" t="inlineStr">
        <is>
          <t xml:space="preserve">a0045</t>
        </is>
      </c>
      <c r="C1356" s="0" t="inlineStr">
        <is>
          <t xml:space="preserve">r16</t>
        </is>
      </c>
      <c r="D1356" s="0" t="inlineStr">
        <is>
          <t xml:space="preserve">s_emea_in</t>
        </is>
      </c>
      <c r="E1356" s="0" t="inlineStr">
        <is>
          <t xml:space="preserve">inbound</t>
        </is>
      </c>
      <c r="F1356" s="0" t="inlineStr">
        <is>
          <t xml:space="preserve">closed_lost</t>
        </is>
      </c>
      <c r="G1356" s="4">
        <v>1</v>
      </c>
      <c r="H1356" s="4">
        <v>53600</v>
      </c>
      <c r="I1356" s="4">
        <v>1</v>
      </c>
      <c r="J1356" s="4">
        <v>0</v>
      </c>
      <c r="K1356" s="16">
        <v>45760</v>
      </c>
      <c r="L1356" s="16">
        <v>45928</v>
      </c>
      <c r="M1356" s="0" t="inlineStr">
        <is>
          <t xml:space="preserve">apr25</t>
        </is>
      </c>
      <c r="N1356" s="0" t="inlineStr">
        <is>
          <t xml:space="preserve">sep25</t>
        </is>
      </c>
      <c r="O1356" s="4">
        <v>168</v>
      </c>
      <c r="P1356" s="4">
        <v>0</v>
      </c>
      <c r="Q1356" s="4">
        <v>1</v>
      </c>
      <c r="R1356" s="4">
        <v>0</v>
      </c>
      <c r="S1356" s="4">
        <f>(H1356*INDEX('Stages'!$D$2:$D$7,MATCH(F1356,'Stages'!$A$2:$A$7,0)))</f>
        <v>0</v>
      </c>
      <c r="T1356" s="4">
        <f>(H1356*I1356)</f>
        <v>53600</v>
      </c>
      <c r="U1356" s="4">
        <f>(H1356*(I1356-1))</f>
        <v>0</v>
      </c>
      <c r="V1356" s="0" t="str">
        <f>INDEX('Account executives'!$B$2:$B$25,MATCH(C1356,'Account executives'!$A$2:$A$25,0))</f>
        <v>emea</v>
      </c>
      <c r="W1356" s="0" t="str">
        <f>INDEX('Account executives'!$C$2:$C$25,MATCH(C1356,'Account executives'!$A$2:$A$25,0))</f>
        <v>mid_market</v>
      </c>
      <c r="X1356" s="0" t="str">
        <f>SUBSTITUTE(LOWER(INDEX('Periods'!$G$2:$G$22,MATCH(N1356,'Periods'!$A$2:$A$22,0)))," ","_")</f>
        <v>q3_2025</v>
      </c>
    </row>
    <row r="1357">
      <c r="A1357" s="0" t="inlineStr">
        <is>
          <t xml:space="preserve">o1356</t>
        </is>
      </c>
      <c r="B1357" s="0" t="inlineStr">
        <is>
          <t xml:space="preserve">a0464</t>
        </is>
      </c>
      <c r="C1357" s="0" t="inlineStr">
        <is>
          <t xml:space="preserve">r18</t>
        </is>
      </c>
      <c r="D1357" s="0" t="inlineStr">
        <is>
          <t xml:space="preserve">s_emea_in</t>
        </is>
      </c>
      <c r="E1357" s="0" t="inlineStr">
        <is>
          <t xml:space="preserve">inbound</t>
        </is>
      </c>
      <c r="F1357" s="0" t="inlineStr">
        <is>
          <t xml:space="preserve">closed_lost</t>
        </is>
      </c>
      <c r="G1357" s="4">
        <v>0</v>
      </c>
      <c r="H1357" s="4">
        <v>7400</v>
      </c>
      <c r="I1357" s="4">
        <v>1</v>
      </c>
      <c r="J1357" s="4">
        <v>0</v>
      </c>
      <c r="K1357" s="16">
        <v>46049</v>
      </c>
      <c r="L1357" s="16">
        <v>46088</v>
      </c>
      <c r="M1357" s="0" t="inlineStr">
        <is>
          <t xml:space="preserve">jan26</t>
        </is>
      </c>
      <c r="N1357" s="0" t="inlineStr">
        <is>
          <t xml:space="preserve">mar26</t>
        </is>
      </c>
      <c r="O1357" s="4">
        <v>39</v>
      </c>
      <c r="P1357" s="4">
        <v>0</v>
      </c>
      <c r="Q1357" s="4">
        <v>1</v>
      </c>
      <c r="R1357" s="4">
        <v>0</v>
      </c>
      <c r="S1357" s="4">
        <f>(H1357*INDEX('Stages'!$D$2:$D$7,MATCH(F1357,'Stages'!$A$2:$A$7,0)))</f>
        <v>0</v>
      </c>
      <c r="T1357" s="4">
        <f>(H1357*I1357)</f>
        <v>7400</v>
      </c>
      <c r="U1357" s="4">
        <f>(H1357*(I1357-1))</f>
        <v>0</v>
      </c>
      <c r="V1357" s="0" t="str">
        <f>INDEX('Account executives'!$B$2:$B$25,MATCH(C1357,'Account executives'!$A$2:$A$25,0))</f>
        <v>emea</v>
      </c>
      <c r="W1357" s="0" t="str">
        <f>INDEX('Account executives'!$C$2:$C$25,MATCH(C1357,'Account executives'!$A$2:$A$25,0))</f>
        <v>smb</v>
      </c>
      <c r="X1357" s="0" t="str">
        <f>SUBSTITUTE(LOWER(INDEX('Periods'!$G$2:$G$22,MATCH(N1357,'Periods'!$A$2:$A$22,0)))," ","_")</f>
        <v>q1_2026</v>
      </c>
    </row>
    <row r="1358">
      <c r="A1358" s="0" t="inlineStr">
        <is>
          <t xml:space="preserve">o1357</t>
        </is>
      </c>
      <c r="B1358" s="0" t="inlineStr">
        <is>
          <t xml:space="preserve">a0288</t>
        </is>
      </c>
      <c r="C1358" s="0" t="inlineStr">
        <is>
          <t xml:space="preserve">r18</t>
        </is>
      </c>
      <c r="D1358" s="0" t="inlineStr">
        <is>
          <t xml:space="preserve">s_emea_in</t>
        </is>
      </c>
      <c r="E1358" s="0" t="inlineStr">
        <is>
          <t xml:space="preserve">inbound</t>
        </is>
      </c>
      <c r="F1358" s="0" t="inlineStr">
        <is>
          <t xml:space="preserve">closed_won</t>
        </is>
      </c>
      <c r="G1358" s="4">
        <v>0</v>
      </c>
      <c r="H1358" s="4">
        <v>6500</v>
      </c>
      <c r="I1358" s="4">
        <v>1</v>
      </c>
      <c r="J1358" s="4">
        <v>0</v>
      </c>
      <c r="K1358" s="16">
        <v>46072</v>
      </c>
      <c r="L1358" s="16">
        <v>46087</v>
      </c>
      <c r="M1358" s="0" t="inlineStr">
        <is>
          <t xml:space="preserve">feb26</t>
        </is>
      </c>
      <c r="N1358" s="0" t="inlineStr">
        <is>
          <t xml:space="preserve">mar26</t>
        </is>
      </c>
      <c r="O1358" s="4">
        <v>15</v>
      </c>
      <c r="P1358" s="4">
        <v>1</v>
      </c>
      <c r="Q1358" s="4">
        <v>0</v>
      </c>
      <c r="R1358" s="4">
        <v>0</v>
      </c>
      <c r="S1358" s="4">
        <f>(H1358*INDEX('Stages'!$D$2:$D$7,MATCH(F1358,'Stages'!$A$2:$A$7,0)))</f>
        <v>6500</v>
      </c>
      <c r="T1358" s="4">
        <f>(H1358*I1358)</f>
        <v>6500</v>
      </c>
      <c r="U1358" s="4">
        <f>(H1358*(I1358-1))</f>
        <v>0</v>
      </c>
      <c r="V1358" s="0" t="str">
        <f>INDEX('Account executives'!$B$2:$B$25,MATCH(C1358,'Account executives'!$A$2:$A$25,0))</f>
        <v>emea</v>
      </c>
      <c r="W1358" s="0" t="str">
        <f>INDEX('Account executives'!$C$2:$C$25,MATCH(C1358,'Account executives'!$A$2:$A$25,0))</f>
        <v>smb</v>
      </c>
      <c r="X1358" s="0" t="str">
        <f>SUBSTITUTE(LOWER(INDEX('Periods'!$G$2:$G$22,MATCH(N1358,'Periods'!$A$2:$A$22,0)))," ","_")</f>
        <v>q1_2026</v>
      </c>
    </row>
    <row r="1359">
      <c r="A1359" s="0" t="inlineStr">
        <is>
          <t xml:space="preserve">o1358</t>
        </is>
      </c>
      <c r="B1359" s="0" t="inlineStr">
        <is>
          <t xml:space="preserve">a0001</t>
        </is>
      </c>
      <c r="C1359" s="0" t="inlineStr">
        <is>
          <t xml:space="preserve">r04</t>
        </is>
      </c>
      <c r="D1359" s="0" t="inlineStr">
        <is>
          <t xml:space="preserve">s_amer_east_in</t>
        </is>
      </c>
      <c r="E1359" s="0" t="inlineStr">
        <is>
          <t xml:space="preserve">inbound</t>
        </is>
      </c>
      <c r="F1359" s="0" t="inlineStr">
        <is>
          <t xml:space="preserve">closed_lost</t>
        </is>
      </c>
      <c r="G1359" s="4">
        <v>1</v>
      </c>
      <c r="H1359" s="4">
        <v>36700</v>
      </c>
      <c r="I1359" s="4">
        <v>2</v>
      </c>
      <c r="J1359" s="4">
        <v>0</v>
      </c>
      <c r="K1359" s="16">
        <v>45770</v>
      </c>
      <c r="L1359" s="16">
        <v>45826</v>
      </c>
      <c r="M1359" s="0" t="inlineStr">
        <is>
          <t xml:space="preserve">apr25</t>
        </is>
      </c>
      <c r="N1359" s="0" t="inlineStr">
        <is>
          <t xml:space="preserve">jun25</t>
        </is>
      </c>
      <c r="O1359" s="4">
        <v>56</v>
      </c>
      <c r="P1359" s="4">
        <v>0</v>
      </c>
      <c r="Q1359" s="4">
        <v>1</v>
      </c>
      <c r="R1359" s="4">
        <v>0</v>
      </c>
      <c r="S1359" s="4">
        <f>(H1359*INDEX('Stages'!$D$2:$D$7,MATCH(F1359,'Stages'!$A$2:$A$7,0)))</f>
        <v>0</v>
      </c>
      <c r="T1359" s="4">
        <f>(H1359*I1359)</f>
        <v>73400</v>
      </c>
      <c r="U1359" s="4">
        <f>(H1359*(I1359-1))</f>
        <v>36700</v>
      </c>
      <c r="V1359" s="0" t="str">
        <f>INDEX('Account executives'!$B$2:$B$25,MATCH(C1359,'Account executives'!$A$2:$A$25,0))</f>
        <v>amer_east</v>
      </c>
      <c r="W1359" s="0" t="str">
        <f>INDEX('Account executives'!$C$2:$C$25,MATCH(C1359,'Account executives'!$A$2:$A$25,0))</f>
        <v>mid_market</v>
      </c>
      <c r="X1359" s="0" t="str">
        <f>SUBSTITUTE(LOWER(INDEX('Periods'!$G$2:$G$22,MATCH(N1359,'Periods'!$A$2:$A$22,0)))," ","_")</f>
        <v>q2_2025</v>
      </c>
    </row>
    <row r="1360">
      <c r="A1360" s="0" t="inlineStr">
        <is>
          <t xml:space="preserve">o1359</t>
        </is>
      </c>
      <c r="B1360" s="0" t="inlineStr">
        <is>
          <t xml:space="preserve">a1154</t>
        </is>
      </c>
      <c r="C1360" s="0" t="inlineStr">
        <is>
          <t xml:space="preserve">r05</t>
        </is>
      </c>
      <c r="D1360" s="0" t="inlineStr">
        <is>
          <t xml:space="preserve">s_amer_east_in</t>
        </is>
      </c>
      <c r="E1360" s="0" t="inlineStr">
        <is>
          <t xml:space="preserve">paid</t>
        </is>
      </c>
      <c r="F1360" s="0" t="inlineStr">
        <is>
          <t xml:space="preserve">closed_lost</t>
        </is>
      </c>
      <c r="G1360" s="4">
        <v>1</v>
      </c>
      <c r="H1360" s="4">
        <v>8700</v>
      </c>
      <c r="I1360" s="4">
        <v>1</v>
      </c>
      <c r="J1360" s="4">
        <v>0</v>
      </c>
      <c r="K1360" s="16">
        <v>46237</v>
      </c>
      <c r="L1360" s="16">
        <v>46260</v>
      </c>
      <c r="M1360" s="0" t="inlineStr">
        <is>
          <t xml:space="preserve">aug26</t>
        </is>
      </c>
      <c r="N1360" s="0" t="inlineStr">
        <is>
          <t xml:space="preserve">aug26</t>
        </is>
      </c>
      <c r="O1360" s="4">
        <v>23</v>
      </c>
      <c r="P1360" s="4">
        <v>0</v>
      </c>
      <c r="Q1360" s="4">
        <v>1</v>
      </c>
      <c r="R1360" s="4">
        <v>0</v>
      </c>
      <c r="S1360" s="4">
        <f>(H1360*INDEX('Stages'!$D$2:$D$7,MATCH(F1360,'Stages'!$A$2:$A$7,0)))</f>
        <v>0</v>
      </c>
      <c r="T1360" s="4">
        <f>(H1360*I1360)</f>
        <v>8700</v>
      </c>
      <c r="U1360" s="4">
        <f>(H1360*(I1360-1))</f>
        <v>0</v>
      </c>
      <c r="V1360" s="0" t="str">
        <f>INDEX('Account executives'!$B$2:$B$25,MATCH(C1360,'Account executives'!$A$2:$A$25,0))</f>
        <v>amer_east</v>
      </c>
      <c r="W1360" s="0" t="str">
        <f>INDEX('Account executives'!$C$2:$C$25,MATCH(C1360,'Account executives'!$A$2:$A$25,0))</f>
        <v>smb</v>
      </c>
      <c r="X1360" s="0" t="str">
        <f>SUBSTITUTE(LOWER(INDEX('Periods'!$G$2:$G$22,MATCH(N1360,'Periods'!$A$2:$A$22,0)))," ","_")</f>
        <v>q3_2026</v>
      </c>
    </row>
    <row r="1361">
      <c r="A1361" s="0" t="inlineStr">
        <is>
          <t xml:space="preserve">o1360</t>
        </is>
      </c>
      <c r="B1361" s="0" t="inlineStr">
        <is>
          <t xml:space="preserve">a0229</t>
        </is>
      </c>
      <c r="C1361" s="0" t="inlineStr">
        <is>
          <t xml:space="preserve">r21</t>
        </is>
      </c>
      <c r="D1361" s="0"/>
      <c r="E1361" s="0" t="inlineStr">
        <is>
          <t xml:space="preserve">partner</t>
        </is>
      </c>
      <c r="F1361" s="0" t="inlineStr">
        <is>
          <t xml:space="preserve">closed_lost</t>
        </is>
      </c>
      <c r="G1361" s="4">
        <v>1</v>
      </c>
      <c r="H1361" s="4">
        <v>137500</v>
      </c>
      <c r="I1361" s="4">
        <v>2</v>
      </c>
      <c r="J1361" s="4">
        <v>0</v>
      </c>
      <c r="K1361" s="16">
        <v>45830</v>
      </c>
      <c r="L1361" s="16">
        <v>45894</v>
      </c>
      <c r="M1361" s="0" t="inlineStr">
        <is>
          <t xml:space="preserve">jun25</t>
        </is>
      </c>
      <c r="N1361" s="0" t="inlineStr">
        <is>
          <t xml:space="preserve">aug25</t>
        </is>
      </c>
      <c r="O1361" s="4">
        <v>64</v>
      </c>
      <c r="P1361" s="4">
        <v>0</v>
      </c>
      <c r="Q1361" s="4">
        <v>1</v>
      </c>
      <c r="R1361" s="4">
        <v>0</v>
      </c>
      <c r="S1361" s="4">
        <f>(H1361*INDEX('Stages'!$D$2:$D$7,MATCH(F1361,'Stages'!$A$2:$A$7,0)))</f>
        <v>0</v>
      </c>
      <c r="T1361" s="4">
        <f>(H1361*I1361)</f>
        <v>275000</v>
      </c>
      <c r="U1361" s="4">
        <f>(H1361*(I1361-1))</f>
        <v>137500</v>
      </c>
      <c r="V1361" s="0" t="str">
        <f>INDEX('Account executives'!$B$2:$B$25,MATCH(C1361,'Account executives'!$A$2:$A$25,0))</f>
        <v>apac</v>
      </c>
      <c r="W1361" s="0" t="str">
        <f>INDEX('Account executives'!$C$2:$C$25,MATCH(C1361,'Account executives'!$A$2:$A$25,0))</f>
        <v>mid_market</v>
      </c>
      <c r="X1361" s="0" t="str">
        <f>SUBSTITUTE(LOWER(INDEX('Periods'!$G$2:$G$22,MATCH(N1361,'Periods'!$A$2:$A$22,0)))," ","_")</f>
        <v>q3_2025</v>
      </c>
    </row>
    <row r="1362">
      <c r="A1362" s="0" t="inlineStr">
        <is>
          <t xml:space="preserve">o1361</t>
        </is>
      </c>
      <c r="B1362" s="0" t="inlineStr">
        <is>
          <t xml:space="preserve">a0756</t>
        </is>
      </c>
      <c r="C1362" s="0" t="inlineStr">
        <is>
          <t xml:space="preserve">r11</t>
        </is>
      </c>
      <c r="D1362" s="0" t="inlineStr">
        <is>
          <t xml:space="preserve">s_amer_west_in</t>
        </is>
      </c>
      <c r="E1362" s="0" t="inlineStr">
        <is>
          <t xml:space="preserve">paid</t>
        </is>
      </c>
      <c r="F1362" s="0" t="inlineStr">
        <is>
          <t xml:space="preserve">closed_lost</t>
        </is>
      </c>
      <c r="G1362" s="4">
        <v>1</v>
      </c>
      <c r="H1362" s="4">
        <v>34900</v>
      </c>
      <c r="I1362" s="4">
        <v>1</v>
      </c>
      <c r="J1362" s="4">
        <v>0</v>
      </c>
      <c r="K1362" s="16">
        <v>46099</v>
      </c>
      <c r="L1362" s="16">
        <v>46201</v>
      </c>
      <c r="M1362" s="0" t="inlineStr">
        <is>
          <t xml:space="preserve">mar26</t>
        </is>
      </c>
      <c r="N1362" s="0" t="inlineStr">
        <is>
          <t xml:space="preserve">jun26</t>
        </is>
      </c>
      <c r="O1362" s="4">
        <v>102</v>
      </c>
      <c r="P1362" s="4">
        <v>0</v>
      </c>
      <c r="Q1362" s="4">
        <v>1</v>
      </c>
      <c r="R1362" s="4">
        <v>0</v>
      </c>
      <c r="S1362" s="4">
        <f>(H1362*INDEX('Stages'!$D$2:$D$7,MATCH(F1362,'Stages'!$A$2:$A$7,0)))</f>
        <v>0</v>
      </c>
      <c r="T1362" s="4">
        <f>(H1362*I1362)</f>
        <v>34900</v>
      </c>
      <c r="U1362" s="4">
        <f>(H1362*(I1362-1))</f>
        <v>0</v>
      </c>
      <c r="V1362" s="0" t="str">
        <f>INDEX('Account executives'!$B$2:$B$25,MATCH(C1362,'Account executives'!$A$2:$A$25,0))</f>
        <v>amer_west</v>
      </c>
      <c r="W1362" s="0" t="str">
        <f>INDEX('Account executives'!$C$2:$C$25,MATCH(C1362,'Account executives'!$A$2:$A$25,0))</f>
        <v>smb</v>
      </c>
      <c r="X1362" s="0" t="str">
        <f>SUBSTITUTE(LOWER(INDEX('Periods'!$G$2:$G$22,MATCH(N1362,'Periods'!$A$2:$A$22,0)))," ","_")</f>
        <v>q2_2026</v>
      </c>
    </row>
    <row r="1363">
      <c r="A1363" s="0" t="inlineStr">
        <is>
          <t xml:space="preserve">o1362</t>
        </is>
      </c>
      <c r="B1363" s="0" t="inlineStr">
        <is>
          <t xml:space="preserve">a0248</t>
        </is>
      </c>
      <c r="C1363" s="0" t="inlineStr">
        <is>
          <t xml:space="preserve">r03</t>
        </is>
      </c>
      <c r="D1363" s="0"/>
      <c r="E1363" s="0" t="inlineStr">
        <is>
          <t xml:space="preserve">partner</t>
        </is>
      </c>
      <c r="F1363" s="0" t="inlineStr">
        <is>
          <t xml:space="preserve">closed_won</t>
        </is>
      </c>
      <c r="G1363" s="4">
        <v>0</v>
      </c>
      <c r="H1363" s="4">
        <v>42200</v>
      </c>
      <c r="I1363" s="4">
        <v>2</v>
      </c>
      <c r="J1363" s="4">
        <v>0</v>
      </c>
      <c r="K1363" s="16">
        <v>46007</v>
      </c>
      <c r="L1363" s="16">
        <v>46037</v>
      </c>
      <c r="M1363" s="0" t="inlineStr">
        <is>
          <t xml:space="preserve">dec25</t>
        </is>
      </c>
      <c r="N1363" s="0" t="inlineStr">
        <is>
          <t xml:space="preserve">jan26</t>
        </is>
      </c>
      <c r="O1363" s="4">
        <v>30</v>
      </c>
      <c r="P1363" s="4">
        <v>1</v>
      </c>
      <c r="Q1363" s="4">
        <v>0</v>
      </c>
      <c r="R1363" s="4">
        <v>0</v>
      </c>
      <c r="S1363" s="4">
        <f>(H1363*INDEX('Stages'!$D$2:$D$7,MATCH(F1363,'Stages'!$A$2:$A$7,0)))</f>
        <v>42200</v>
      </c>
      <c r="T1363" s="4">
        <f>(H1363*I1363)</f>
        <v>84400</v>
      </c>
      <c r="U1363" s="4">
        <f>(H1363*(I1363-1))</f>
        <v>42200</v>
      </c>
      <c r="V1363" s="0" t="str">
        <f>INDEX('Account executives'!$B$2:$B$25,MATCH(C1363,'Account executives'!$A$2:$A$25,0))</f>
        <v>amer_east</v>
      </c>
      <c r="W1363" s="0" t="str">
        <f>INDEX('Account executives'!$C$2:$C$25,MATCH(C1363,'Account executives'!$A$2:$A$25,0))</f>
        <v>mid_market</v>
      </c>
      <c r="X1363" s="0" t="str">
        <f>SUBSTITUTE(LOWER(INDEX('Periods'!$G$2:$G$22,MATCH(N1363,'Periods'!$A$2:$A$22,0)))," ","_")</f>
        <v>q1_2026</v>
      </c>
    </row>
    <row r="1364">
      <c r="A1364" s="0" t="inlineStr">
        <is>
          <t xml:space="preserve">o1363</t>
        </is>
      </c>
      <c r="B1364" s="0" t="inlineStr">
        <is>
          <t xml:space="preserve">a0027</t>
        </is>
      </c>
      <c r="C1364" s="0" t="inlineStr">
        <is>
          <t xml:space="preserve">r09</t>
        </is>
      </c>
      <c r="D1364" s="0" t="inlineStr">
        <is>
          <t xml:space="preserve">s_amer_west_in</t>
        </is>
      </c>
      <c r="E1364" s="0" t="inlineStr">
        <is>
          <t xml:space="preserve">inbound</t>
        </is>
      </c>
      <c r="F1364" s="0" t="inlineStr">
        <is>
          <t xml:space="preserve">closed_won</t>
        </is>
      </c>
      <c r="G1364" s="4">
        <v>1</v>
      </c>
      <c r="H1364" s="4">
        <v>32300</v>
      </c>
      <c r="I1364" s="4">
        <v>1</v>
      </c>
      <c r="J1364" s="4">
        <v>1</v>
      </c>
      <c r="K1364" s="16">
        <v>45769</v>
      </c>
      <c r="L1364" s="16">
        <v>45791</v>
      </c>
      <c r="M1364" s="0" t="inlineStr">
        <is>
          <t xml:space="preserve">apr25</t>
        </is>
      </c>
      <c r="N1364" s="0" t="inlineStr">
        <is>
          <t xml:space="preserve">may25</t>
        </is>
      </c>
      <c r="O1364" s="4">
        <v>22</v>
      </c>
      <c r="P1364" s="4">
        <v>1</v>
      </c>
      <c r="Q1364" s="4">
        <v>0</v>
      </c>
      <c r="R1364" s="4">
        <v>0</v>
      </c>
      <c r="S1364" s="4">
        <f>(H1364*INDEX('Stages'!$D$2:$D$7,MATCH(F1364,'Stages'!$A$2:$A$7,0)))</f>
        <v>32300</v>
      </c>
      <c r="T1364" s="4">
        <f>(H1364*I1364)</f>
        <v>32300</v>
      </c>
      <c r="U1364" s="4">
        <f>(H1364*(I1364-1))</f>
        <v>0</v>
      </c>
      <c r="V1364" s="0" t="str">
        <f>INDEX('Account executives'!$B$2:$B$25,MATCH(C1364,'Account executives'!$A$2:$A$25,0))</f>
        <v>amer_west</v>
      </c>
      <c r="W1364" s="0" t="str">
        <f>INDEX('Account executives'!$C$2:$C$25,MATCH(C1364,'Account executives'!$A$2:$A$25,0))</f>
        <v>mid_market</v>
      </c>
      <c r="X1364" s="0" t="str">
        <f>SUBSTITUTE(LOWER(INDEX('Periods'!$G$2:$G$22,MATCH(N1364,'Periods'!$A$2:$A$22,0)))," ","_")</f>
        <v>q2_2025</v>
      </c>
    </row>
    <row r="1365">
      <c r="A1365" s="0" t="inlineStr">
        <is>
          <t xml:space="preserve">o1364</t>
        </is>
      </c>
      <c r="B1365" s="0" t="inlineStr">
        <is>
          <t xml:space="preserve">a0150</t>
        </is>
      </c>
      <c r="C1365" s="0" t="inlineStr">
        <is>
          <t xml:space="preserve">r20</t>
        </is>
      </c>
      <c r="D1365" s="0" t="inlineStr">
        <is>
          <t xml:space="preserve">s_apac_out</t>
        </is>
      </c>
      <c r="E1365" s="0" t="inlineStr">
        <is>
          <t xml:space="preserve">outbound</t>
        </is>
      </c>
      <c r="F1365" s="0" t="inlineStr">
        <is>
          <t xml:space="preserve">closed_won</t>
        </is>
      </c>
      <c r="G1365" s="4">
        <v>0</v>
      </c>
      <c r="H1365" s="4">
        <v>64300</v>
      </c>
      <c r="I1365" s="4">
        <v>2</v>
      </c>
      <c r="J1365" s="4">
        <v>0</v>
      </c>
      <c r="K1365" s="16">
        <v>45791</v>
      </c>
      <c r="L1365" s="16">
        <v>45977</v>
      </c>
      <c r="M1365" s="0" t="inlineStr">
        <is>
          <t xml:space="preserve">may25</t>
        </is>
      </c>
      <c r="N1365" s="0" t="inlineStr">
        <is>
          <t xml:space="preserve">nov25</t>
        </is>
      </c>
      <c r="O1365" s="4">
        <v>186</v>
      </c>
      <c r="P1365" s="4">
        <v>1</v>
      </c>
      <c r="Q1365" s="4">
        <v>0</v>
      </c>
      <c r="R1365" s="4">
        <v>0</v>
      </c>
      <c r="S1365" s="4">
        <f>(H1365*INDEX('Stages'!$D$2:$D$7,MATCH(F1365,'Stages'!$A$2:$A$7,0)))</f>
        <v>64300</v>
      </c>
      <c r="T1365" s="4">
        <f>(H1365*I1365)</f>
        <v>128600</v>
      </c>
      <c r="U1365" s="4">
        <f>(H1365*(I1365-1))</f>
        <v>64300</v>
      </c>
      <c r="V1365" s="0" t="str">
        <f>INDEX('Account executives'!$B$2:$B$25,MATCH(C1365,'Account executives'!$A$2:$A$25,0))</f>
        <v>apac</v>
      </c>
      <c r="W1365" s="0" t="str">
        <f>INDEX('Account executives'!$C$2:$C$25,MATCH(C1365,'Account executives'!$A$2:$A$25,0))</f>
        <v>enterprise</v>
      </c>
      <c r="X1365" s="0" t="str">
        <f>SUBSTITUTE(LOWER(INDEX('Periods'!$G$2:$G$22,MATCH(N1365,'Periods'!$A$2:$A$22,0)))," ","_")</f>
        <v>q4_2025</v>
      </c>
    </row>
    <row r="1366">
      <c r="A1366" s="0" t="inlineStr">
        <is>
          <t xml:space="preserve">o1365</t>
        </is>
      </c>
      <c r="B1366" s="0" t="inlineStr">
        <is>
          <t xml:space="preserve">a1089</t>
        </is>
      </c>
      <c r="C1366" s="0" t="inlineStr">
        <is>
          <t xml:space="preserve">r09</t>
        </is>
      </c>
      <c r="D1366" s="0" t="inlineStr">
        <is>
          <t xml:space="preserve">s_amer_west_in</t>
        </is>
      </c>
      <c r="E1366" s="0" t="inlineStr">
        <is>
          <t xml:space="preserve">inbound</t>
        </is>
      </c>
      <c r="F1366" s="0" t="inlineStr">
        <is>
          <t xml:space="preserve">closed_won</t>
        </is>
      </c>
      <c r="G1366" s="4">
        <v>0</v>
      </c>
      <c r="H1366" s="4">
        <v>25000</v>
      </c>
      <c r="I1366" s="4">
        <v>1</v>
      </c>
      <c r="J1366" s="4">
        <v>0</v>
      </c>
      <c r="K1366" s="16">
        <v>46229</v>
      </c>
      <c r="L1366" s="16">
        <v>46280</v>
      </c>
      <c r="M1366" s="0" t="inlineStr">
        <is>
          <t xml:space="preserve">jul26</t>
        </is>
      </c>
      <c r="N1366" s="0" t="inlineStr">
        <is>
          <t xml:space="preserve">sep26</t>
        </is>
      </c>
      <c r="O1366" s="4">
        <v>51</v>
      </c>
      <c r="P1366" s="4">
        <v>1</v>
      </c>
      <c r="Q1366" s="4">
        <v>0</v>
      </c>
      <c r="R1366" s="4">
        <v>0</v>
      </c>
      <c r="S1366" s="4">
        <f>(H1366*INDEX('Stages'!$D$2:$D$7,MATCH(F1366,'Stages'!$A$2:$A$7,0)))</f>
        <v>25000</v>
      </c>
      <c r="T1366" s="4">
        <f>(H1366*I1366)</f>
        <v>25000</v>
      </c>
      <c r="U1366" s="4">
        <f>(H1366*(I1366-1))</f>
        <v>0</v>
      </c>
      <c r="V1366" s="0" t="str">
        <f>INDEX('Account executives'!$B$2:$B$25,MATCH(C1366,'Account executives'!$A$2:$A$25,0))</f>
        <v>amer_west</v>
      </c>
      <c r="W1366" s="0" t="str">
        <f>INDEX('Account executives'!$C$2:$C$25,MATCH(C1366,'Account executives'!$A$2:$A$25,0))</f>
        <v>mid_market</v>
      </c>
      <c r="X1366" s="0" t="str">
        <f>SUBSTITUTE(LOWER(INDEX('Periods'!$G$2:$G$22,MATCH(N1366,'Periods'!$A$2:$A$22,0)))," ","_")</f>
        <v>q3_2026</v>
      </c>
    </row>
    <row r="1367">
      <c r="A1367" s="0" t="inlineStr">
        <is>
          <t xml:space="preserve">o1366</t>
        </is>
      </c>
      <c r="B1367" s="0" t="inlineStr">
        <is>
          <t xml:space="preserve">a0654</t>
        </is>
      </c>
      <c r="C1367" s="0" t="inlineStr">
        <is>
          <t xml:space="preserve">r24</t>
        </is>
      </c>
      <c r="D1367" s="0" t="inlineStr">
        <is>
          <t xml:space="preserve">s_apac_out</t>
        </is>
      </c>
      <c r="E1367" s="0" t="inlineStr">
        <is>
          <t xml:space="preserve">outbound</t>
        </is>
      </c>
      <c r="F1367" s="0" t="inlineStr">
        <is>
          <t xml:space="preserve">closed_won</t>
        </is>
      </c>
      <c r="G1367" s="4">
        <v>0</v>
      </c>
      <c r="H1367" s="4">
        <v>7000</v>
      </c>
      <c r="I1367" s="4">
        <v>1</v>
      </c>
      <c r="J1367" s="4">
        <v>0</v>
      </c>
      <c r="K1367" s="16">
        <v>46072</v>
      </c>
      <c r="L1367" s="16">
        <v>46079</v>
      </c>
      <c r="M1367" s="0" t="inlineStr">
        <is>
          <t xml:space="preserve">feb26</t>
        </is>
      </c>
      <c r="N1367" s="0" t="inlineStr">
        <is>
          <t xml:space="preserve">feb26</t>
        </is>
      </c>
      <c r="O1367" s="4">
        <v>7</v>
      </c>
      <c r="P1367" s="4">
        <v>1</v>
      </c>
      <c r="Q1367" s="4">
        <v>0</v>
      </c>
      <c r="R1367" s="4">
        <v>0</v>
      </c>
      <c r="S1367" s="4">
        <f>(H1367*INDEX('Stages'!$D$2:$D$7,MATCH(F1367,'Stages'!$A$2:$A$7,0)))</f>
        <v>7000</v>
      </c>
      <c r="T1367" s="4">
        <f>(H1367*I1367)</f>
        <v>7000</v>
      </c>
      <c r="U1367" s="4">
        <f>(H1367*(I1367-1))</f>
        <v>0</v>
      </c>
      <c r="V1367" s="0" t="str">
        <f>INDEX('Account executives'!$B$2:$B$25,MATCH(C1367,'Account executives'!$A$2:$A$25,0))</f>
        <v>apac</v>
      </c>
      <c r="W1367" s="0" t="str">
        <f>INDEX('Account executives'!$C$2:$C$25,MATCH(C1367,'Account executives'!$A$2:$A$25,0))</f>
        <v>smb</v>
      </c>
      <c r="X1367" s="0" t="str">
        <f>SUBSTITUTE(LOWER(INDEX('Periods'!$G$2:$G$22,MATCH(N1367,'Periods'!$A$2:$A$22,0)))," ","_")</f>
        <v>q1_2026</v>
      </c>
    </row>
    <row r="1368">
      <c r="A1368" s="0" t="inlineStr">
        <is>
          <t xml:space="preserve">o1367</t>
        </is>
      </c>
      <c r="B1368" s="0" t="inlineStr">
        <is>
          <t xml:space="preserve">a0097</t>
        </is>
      </c>
      <c r="C1368" s="0" t="inlineStr">
        <is>
          <t xml:space="preserve">r09</t>
        </is>
      </c>
      <c r="D1368" s="0"/>
      <c r="E1368" s="0" t="inlineStr">
        <is>
          <t xml:space="preserve">partner</t>
        </is>
      </c>
      <c r="F1368" s="0" t="inlineStr">
        <is>
          <t xml:space="preserve">closed_won</t>
        </is>
      </c>
      <c r="G1368" s="4">
        <v>0</v>
      </c>
      <c r="H1368" s="4">
        <v>34300</v>
      </c>
      <c r="I1368" s="4">
        <v>1</v>
      </c>
      <c r="J1368" s="4">
        <v>0</v>
      </c>
      <c r="K1368" s="16">
        <v>45996</v>
      </c>
      <c r="L1368" s="16">
        <v>46057</v>
      </c>
      <c r="M1368" s="0" t="inlineStr">
        <is>
          <t xml:space="preserve">dec25</t>
        </is>
      </c>
      <c r="N1368" s="0" t="inlineStr">
        <is>
          <t xml:space="preserve">feb26</t>
        </is>
      </c>
      <c r="O1368" s="4">
        <v>61</v>
      </c>
      <c r="P1368" s="4">
        <v>1</v>
      </c>
      <c r="Q1368" s="4">
        <v>0</v>
      </c>
      <c r="R1368" s="4">
        <v>0</v>
      </c>
      <c r="S1368" s="4">
        <f>(H1368*INDEX('Stages'!$D$2:$D$7,MATCH(F1368,'Stages'!$A$2:$A$7,0)))</f>
        <v>34300</v>
      </c>
      <c r="T1368" s="4">
        <f>(H1368*I1368)</f>
        <v>34300</v>
      </c>
      <c r="U1368" s="4">
        <f>(H1368*(I1368-1))</f>
        <v>0</v>
      </c>
      <c r="V1368" s="0" t="str">
        <f>INDEX('Account executives'!$B$2:$B$25,MATCH(C1368,'Account executives'!$A$2:$A$25,0))</f>
        <v>amer_west</v>
      </c>
      <c r="W1368" s="0" t="str">
        <f>INDEX('Account executives'!$C$2:$C$25,MATCH(C1368,'Account executives'!$A$2:$A$25,0))</f>
        <v>mid_market</v>
      </c>
      <c r="X1368" s="0" t="str">
        <f>SUBSTITUTE(LOWER(INDEX('Periods'!$G$2:$G$22,MATCH(N1368,'Periods'!$A$2:$A$22,0)))," ","_")</f>
        <v>q1_2026</v>
      </c>
    </row>
    <row r="1369">
      <c r="A1369" s="0" t="inlineStr">
        <is>
          <t xml:space="preserve">o1368</t>
        </is>
      </c>
      <c r="B1369" s="0" t="inlineStr">
        <is>
          <t xml:space="preserve">a0233</t>
        </is>
      </c>
      <c r="C1369" s="0" t="inlineStr">
        <is>
          <t xml:space="preserve">r05</t>
        </is>
      </c>
      <c r="D1369" s="0" t="inlineStr">
        <is>
          <t xml:space="preserve">s_amer_east_in</t>
        </is>
      </c>
      <c r="E1369" s="0" t="inlineStr">
        <is>
          <t xml:space="preserve">paid</t>
        </is>
      </c>
      <c r="F1369" s="0" t="inlineStr">
        <is>
          <t xml:space="preserve">closed_lost</t>
        </is>
      </c>
      <c r="G1369" s="4">
        <v>0</v>
      </c>
      <c r="H1369" s="4">
        <v>9900</v>
      </c>
      <c r="I1369" s="4">
        <v>1</v>
      </c>
      <c r="J1369" s="4">
        <v>0</v>
      </c>
      <c r="K1369" s="16">
        <v>46103</v>
      </c>
      <c r="L1369" s="16">
        <v>46132</v>
      </c>
      <c r="M1369" s="0" t="inlineStr">
        <is>
          <t xml:space="preserve">mar26</t>
        </is>
      </c>
      <c r="N1369" s="0" t="inlineStr">
        <is>
          <t xml:space="preserve">apr26</t>
        </is>
      </c>
      <c r="O1369" s="4">
        <v>29</v>
      </c>
      <c r="P1369" s="4">
        <v>0</v>
      </c>
      <c r="Q1369" s="4">
        <v>1</v>
      </c>
      <c r="R1369" s="4">
        <v>0</v>
      </c>
      <c r="S1369" s="4">
        <f>(H1369*INDEX('Stages'!$D$2:$D$7,MATCH(F1369,'Stages'!$A$2:$A$7,0)))</f>
        <v>0</v>
      </c>
      <c r="T1369" s="4">
        <f>(H1369*I1369)</f>
        <v>9900</v>
      </c>
      <c r="U1369" s="4">
        <f>(H1369*(I1369-1))</f>
        <v>0</v>
      </c>
      <c r="V1369" s="0" t="str">
        <f>INDEX('Account executives'!$B$2:$B$25,MATCH(C1369,'Account executives'!$A$2:$A$25,0))</f>
        <v>amer_east</v>
      </c>
      <c r="W1369" s="0" t="str">
        <f>INDEX('Account executives'!$C$2:$C$25,MATCH(C1369,'Account executives'!$A$2:$A$25,0))</f>
        <v>smb</v>
      </c>
      <c r="X1369" s="0" t="str">
        <f>SUBSTITUTE(LOWER(INDEX('Periods'!$G$2:$G$22,MATCH(N1369,'Periods'!$A$2:$A$22,0)))," ","_")</f>
        <v>q2_2026</v>
      </c>
    </row>
    <row r="1370">
      <c r="A1370" s="0" t="inlineStr">
        <is>
          <t xml:space="preserve">o1369</t>
        </is>
      </c>
      <c r="B1370" s="0" t="inlineStr">
        <is>
          <t xml:space="preserve">a1223</t>
        </is>
      </c>
      <c r="C1370" s="0" t="inlineStr">
        <is>
          <t xml:space="preserve">r04</t>
        </is>
      </c>
      <c r="D1370" s="0"/>
      <c r="E1370" s="0" t="inlineStr">
        <is>
          <t xml:space="preserve">events</t>
        </is>
      </c>
      <c r="F1370" s="0" t="inlineStr">
        <is>
          <t xml:space="preserve">discovery</t>
        </is>
      </c>
      <c r="G1370" s="4">
        <v>1</v>
      </c>
      <c r="H1370" s="4">
        <v>19600</v>
      </c>
      <c r="I1370" s="4">
        <v>1</v>
      </c>
      <c r="J1370" s="4">
        <v>0</v>
      </c>
      <c r="K1370" s="16">
        <v>46282</v>
      </c>
      <c r="L1370" s="16">
        <v>46371</v>
      </c>
      <c r="M1370" s="0" t="inlineStr">
        <is>
          <t xml:space="preserve">sep26</t>
        </is>
      </c>
      <c r="N1370" s="0" t="inlineStr">
        <is>
          <t xml:space="preserve">dec26</t>
        </is>
      </c>
      <c r="O1370" s="4">
        <v>93</v>
      </c>
      <c r="P1370" s="4">
        <v>0</v>
      </c>
      <c r="Q1370" s="4">
        <v>0</v>
      </c>
      <c r="R1370" s="4">
        <v>1</v>
      </c>
      <c r="S1370" s="4">
        <f>(H1370*INDEX('Stages'!$D$2:$D$7,MATCH(F1370,'Stages'!$A$2:$A$7,0)))</f>
        <v>1960</v>
      </c>
      <c r="T1370" s="4">
        <f>(H1370*I1370)</f>
        <v>19600</v>
      </c>
      <c r="U1370" s="4">
        <f>(H1370*(I1370-1))</f>
        <v>0</v>
      </c>
      <c r="V1370" s="0" t="str">
        <f>INDEX('Account executives'!$B$2:$B$25,MATCH(C1370,'Account executives'!$A$2:$A$25,0))</f>
        <v>amer_east</v>
      </c>
      <c r="W1370" s="0" t="str">
        <f>INDEX('Account executives'!$C$2:$C$25,MATCH(C1370,'Account executives'!$A$2:$A$25,0))</f>
        <v>mid_market</v>
      </c>
      <c r="X1370" s="0" t="str">
        <f>SUBSTITUTE(LOWER(INDEX('Periods'!$G$2:$G$22,MATCH(N1370,'Periods'!$A$2:$A$22,0)))," ","_")</f>
        <v>q4_2026</v>
      </c>
    </row>
    <row r="1371">
      <c r="A1371" s="0" t="inlineStr">
        <is>
          <t xml:space="preserve">o1370</t>
        </is>
      </c>
      <c r="B1371" s="0" t="inlineStr">
        <is>
          <t xml:space="preserve">a0048</t>
        </is>
      </c>
      <c r="C1371" s="0" t="inlineStr">
        <is>
          <t xml:space="preserve">r13</t>
        </is>
      </c>
      <c r="D1371" s="0"/>
      <c r="E1371" s="0" t="inlineStr">
        <is>
          <t xml:space="preserve">referral</t>
        </is>
      </c>
      <c r="F1371" s="0" t="inlineStr">
        <is>
          <t xml:space="preserve">closed_lost</t>
        </is>
      </c>
      <c r="G1371" s="4">
        <v>0</v>
      </c>
      <c r="H1371" s="4">
        <v>38100</v>
      </c>
      <c r="I1371" s="4">
        <v>1</v>
      </c>
      <c r="J1371" s="4">
        <v>0</v>
      </c>
      <c r="K1371" s="16">
        <v>45815</v>
      </c>
      <c r="L1371" s="16">
        <v>45928</v>
      </c>
      <c r="M1371" s="0" t="inlineStr">
        <is>
          <t xml:space="preserve">jun25</t>
        </is>
      </c>
      <c r="N1371" s="0" t="inlineStr">
        <is>
          <t xml:space="preserve">sep25</t>
        </is>
      </c>
      <c r="O1371" s="4">
        <v>113</v>
      </c>
      <c r="P1371" s="4">
        <v>0</v>
      </c>
      <c r="Q1371" s="4">
        <v>1</v>
      </c>
      <c r="R1371" s="4">
        <v>0</v>
      </c>
      <c r="S1371" s="4">
        <f>(H1371*INDEX('Stages'!$D$2:$D$7,MATCH(F1371,'Stages'!$A$2:$A$7,0)))</f>
        <v>0</v>
      </c>
      <c r="T1371" s="4">
        <f>(H1371*I1371)</f>
        <v>38100</v>
      </c>
      <c r="U1371" s="4">
        <f>(H1371*(I1371-1))</f>
        <v>0</v>
      </c>
      <c r="V1371" s="0" t="str">
        <f>INDEX('Account executives'!$B$2:$B$25,MATCH(C1371,'Account executives'!$A$2:$A$25,0))</f>
        <v>emea</v>
      </c>
      <c r="W1371" s="0" t="str">
        <f>INDEX('Account executives'!$C$2:$C$25,MATCH(C1371,'Account executives'!$A$2:$A$25,0))</f>
        <v>enterprise</v>
      </c>
      <c r="X1371" s="0" t="str">
        <f>SUBSTITUTE(LOWER(INDEX('Periods'!$G$2:$G$22,MATCH(N1371,'Periods'!$A$2:$A$22,0)))," ","_")</f>
        <v>q3_2025</v>
      </c>
    </row>
    <row r="1372">
      <c r="A1372" s="0" t="inlineStr">
        <is>
          <t xml:space="preserve">o1371</t>
        </is>
      </c>
      <c r="B1372" s="0" t="inlineStr">
        <is>
          <t xml:space="preserve">a0640</t>
        </is>
      </c>
      <c r="C1372" s="0" t="inlineStr">
        <is>
          <t xml:space="preserve">r14</t>
        </is>
      </c>
      <c r="D1372" s="0" t="inlineStr">
        <is>
          <t xml:space="preserve">s_emea_out</t>
        </is>
      </c>
      <c r="E1372" s="0" t="inlineStr">
        <is>
          <t xml:space="preserve">outbound</t>
        </is>
      </c>
      <c r="F1372" s="0" t="inlineStr">
        <is>
          <t xml:space="preserve">closed_won</t>
        </is>
      </c>
      <c r="G1372" s="4">
        <v>0</v>
      </c>
      <c r="H1372" s="4">
        <v>60000</v>
      </c>
      <c r="I1372" s="4">
        <v>1</v>
      </c>
      <c r="J1372" s="4">
        <v>1</v>
      </c>
      <c r="K1372" s="16">
        <v>46047</v>
      </c>
      <c r="L1372" s="16">
        <v>46201</v>
      </c>
      <c r="M1372" s="0" t="inlineStr">
        <is>
          <t xml:space="preserve">jan26</t>
        </is>
      </c>
      <c r="N1372" s="0" t="inlineStr">
        <is>
          <t xml:space="preserve">jun26</t>
        </is>
      </c>
      <c r="O1372" s="4">
        <v>154</v>
      </c>
      <c r="P1372" s="4">
        <v>1</v>
      </c>
      <c r="Q1372" s="4">
        <v>0</v>
      </c>
      <c r="R1372" s="4">
        <v>0</v>
      </c>
      <c r="S1372" s="4">
        <f>(H1372*INDEX('Stages'!$D$2:$D$7,MATCH(F1372,'Stages'!$A$2:$A$7,0)))</f>
        <v>60000</v>
      </c>
      <c r="T1372" s="4">
        <f>(H1372*I1372)</f>
        <v>60000</v>
      </c>
      <c r="U1372" s="4">
        <f>(H1372*(I1372-1))</f>
        <v>0</v>
      </c>
      <c r="V1372" s="0" t="str">
        <f>INDEX('Account executives'!$B$2:$B$25,MATCH(C1372,'Account executives'!$A$2:$A$25,0))</f>
        <v>emea</v>
      </c>
      <c r="W1372" s="0" t="str">
        <f>INDEX('Account executives'!$C$2:$C$25,MATCH(C1372,'Account executives'!$A$2:$A$25,0))</f>
        <v>enterprise</v>
      </c>
      <c r="X1372" s="0" t="str">
        <f>SUBSTITUTE(LOWER(INDEX('Periods'!$G$2:$G$22,MATCH(N1372,'Periods'!$A$2:$A$22,0)))," ","_")</f>
        <v>q2_2026</v>
      </c>
    </row>
    <row r="1373">
      <c r="A1373" s="0" t="inlineStr">
        <is>
          <t xml:space="preserve">o1372</t>
        </is>
      </c>
      <c r="B1373" s="0" t="inlineStr">
        <is>
          <t xml:space="preserve">a1027</t>
        </is>
      </c>
      <c r="C1373" s="0" t="inlineStr">
        <is>
          <t xml:space="preserve">r18</t>
        </is>
      </c>
      <c r="D1373" s="0"/>
      <c r="E1373" s="0" t="inlineStr">
        <is>
          <t xml:space="preserve">events</t>
        </is>
      </c>
      <c r="F1373" s="0" t="inlineStr">
        <is>
          <t xml:space="preserve">closed_lost</t>
        </is>
      </c>
      <c r="G1373" s="4">
        <v>1</v>
      </c>
      <c r="H1373" s="4">
        <v>20000</v>
      </c>
      <c r="I1373" s="4">
        <v>1</v>
      </c>
      <c r="J1373" s="4">
        <v>0</v>
      </c>
      <c r="K1373" s="16">
        <v>46189</v>
      </c>
      <c r="L1373" s="16">
        <v>46212</v>
      </c>
      <c r="M1373" s="0" t="inlineStr">
        <is>
          <t xml:space="preserve">jun26</t>
        </is>
      </c>
      <c r="N1373" s="0" t="inlineStr">
        <is>
          <t xml:space="preserve">jul26</t>
        </is>
      </c>
      <c r="O1373" s="4">
        <v>23</v>
      </c>
      <c r="P1373" s="4">
        <v>0</v>
      </c>
      <c r="Q1373" s="4">
        <v>1</v>
      </c>
      <c r="R1373" s="4">
        <v>0</v>
      </c>
      <c r="S1373" s="4">
        <f>(H1373*INDEX('Stages'!$D$2:$D$7,MATCH(F1373,'Stages'!$A$2:$A$7,0)))</f>
        <v>0</v>
      </c>
      <c r="T1373" s="4">
        <f>(H1373*I1373)</f>
        <v>20000</v>
      </c>
      <c r="U1373" s="4">
        <f>(H1373*(I1373-1))</f>
        <v>0</v>
      </c>
      <c r="V1373" s="0" t="str">
        <f>INDEX('Account executives'!$B$2:$B$25,MATCH(C1373,'Account executives'!$A$2:$A$25,0))</f>
        <v>emea</v>
      </c>
      <c r="W1373" s="0" t="str">
        <f>INDEX('Account executives'!$C$2:$C$25,MATCH(C1373,'Account executives'!$A$2:$A$25,0))</f>
        <v>smb</v>
      </c>
      <c r="X1373" s="0" t="str">
        <f>SUBSTITUTE(LOWER(INDEX('Periods'!$G$2:$G$22,MATCH(N1373,'Periods'!$A$2:$A$22,0)))," ","_")</f>
        <v>q3_2026</v>
      </c>
    </row>
    <row r="1374">
      <c r="A1374" s="0" t="inlineStr">
        <is>
          <t xml:space="preserve">o1373</t>
        </is>
      </c>
      <c r="B1374" s="0" t="inlineStr">
        <is>
          <t xml:space="preserve">a1201</t>
        </is>
      </c>
      <c r="C1374" s="0" t="inlineStr">
        <is>
          <t xml:space="preserve">r20</t>
        </is>
      </c>
      <c r="D1374" s="0" t="inlineStr">
        <is>
          <t xml:space="preserve">s_apac_in</t>
        </is>
      </c>
      <c r="E1374" s="0" t="inlineStr">
        <is>
          <t xml:space="preserve">inbound</t>
        </is>
      </c>
      <c r="F1374" s="0" t="inlineStr">
        <is>
          <t xml:space="preserve">evaluation</t>
        </is>
      </c>
      <c r="G1374" s="4">
        <v>1</v>
      </c>
      <c r="H1374" s="4">
        <v>236900</v>
      </c>
      <c r="I1374" s="4">
        <v>2</v>
      </c>
      <c r="J1374" s="4">
        <v>0</v>
      </c>
      <c r="K1374" s="16">
        <v>46259</v>
      </c>
      <c r="L1374" s="16">
        <v>46293</v>
      </c>
      <c r="M1374" s="0" t="inlineStr">
        <is>
          <t xml:space="preserve">aug26</t>
        </is>
      </c>
      <c r="N1374" s="0" t="inlineStr">
        <is>
          <t xml:space="preserve">sep26</t>
        </is>
      </c>
      <c r="O1374" s="4">
        <v>58</v>
      </c>
      <c r="P1374" s="4">
        <v>0</v>
      </c>
      <c r="Q1374" s="4">
        <v>0</v>
      </c>
      <c r="R1374" s="4">
        <v>1</v>
      </c>
      <c r="S1374" s="4">
        <f>(H1374*INDEX('Stages'!$D$2:$D$7,MATCH(F1374,'Stages'!$A$2:$A$7,0)))</f>
        <v>59225</v>
      </c>
      <c r="T1374" s="4">
        <f>(H1374*I1374)</f>
        <v>473800</v>
      </c>
      <c r="U1374" s="4">
        <f>(H1374*(I1374-1))</f>
        <v>236900</v>
      </c>
      <c r="V1374" s="0" t="str">
        <f>INDEX('Account executives'!$B$2:$B$25,MATCH(C1374,'Account executives'!$A$2:$A$25,0))</f>
        <v>apac</v>
      </c>
      <c r="W1374" s="0" t="str">
        <f>INDEX('Account executives'!$C$2:$C$25,MATCH(C1374,'Account executives'!$A$2:$A$25,0))</f>
        <v>enterprise</v>
      </c>
      <c r="X1374" s="0" t="str">
        <f>SUBSTITUTE(LOWER(INDEX('Periods'!$G$2:$G$22,MATCH(N1374,'Periods'!$A$2:$A$22,0)))," ","_")</f>
        <v>q3_2026</v>
      </c>
    </row>
    <row r="1375">
      <c r="A1375" s="0" t="inlineStr">
        <is>
          <t xml:space="preserve">o1374</t>
        </is>
      </c>
      <c r="B1375" s="0" t="inlineStr">
        <is>
          <t xml:space="preserve">a0289</t>
        </is>
      </c>
      <c r="C1375" s="0" t="inlineStr">
        <is>
          <t xml:space="preserve">r13</t>
        </is>
      </c>
      <c r="D1375" s="0"/>
      <c r="E1375" s="0" t="inlineStr">
        <is>
          <t xml:space="preserve">partner</t>
        </is>
      </c>
      <c r="F1375" s="0" t="inlineStr">
        <is>
          <t xml:space="preserve">closed_lost</t>
        </is>
      </c>
      <c r="G1375" s="4">
        <v>1</v>
      </c>
      <c r="H1375" s="4">
        <v>269900</v>
      </c>
      <c r="I1375" s="4">
        <v>2</v>
      </c>
      <c r="J1375" s="4">
        <v>1</v>
      </c>
      <c r="K1375" s="16">
        <v>45866</v>
      </c>
      <c r="L1375" s="16">
        <v>46019</v>
      </c>
      <c r="M1375" s="0" t="inlineStr">
        <is>
          <t xml:space="preserve">jul25</t>
        </is>
      </c>
      <c r="N1375" s="0" t="inlineStr">
        <is>
          <t xml:space="preserve">dec25</t>
        </is>
      </c>
      <c r="O1375" s="4">
        <v>153</v>
      </c>
      <c r="P1375" s="4">
        <v>0</v>
      </c>
      <c r="Q1375" s="4">
        <v>1</v>
      </c>
      <c r="R1375" s="4">
        <v>0</v>
      </c>
      <c r="S1375" s="4">
        <f>(H1375*INDEX('Stages'!$D$2:$D$7,MATCH(F1375,'Stages'!$A$2:$A$7,0)))</f>
        <v>0</v>
      </c>
      <c r="T1375" s="4">
        <f>(H1375*I1375)</f>
        <v>539800</v>
      </c>
      <c r="U1375" s="4">
        <f>(H1375*(I1375-1))</f>
        <v>269900</v>
      </c>
      <c r="V1375" s="0" t="str">
        <f>INDEX('Account executives'!$B$2:$B$25,MATCH(C1375,'Account executives'!$A$2:$A$25,0))</f>
        <v>emea</v>
      </c>
      <c r="W1375" s="0" t="str">
        <f>INDEX('Account executives'!$C$2:$C$25,MATCH(C1375,'Account executives'!$A$2:$A$25,0))</f>
        <v>enterprise</v>
      </c>
      <c r="X1375" s="0" t="str">
        <f>SUBSTITUTE(LOWER(INDEX('Periods'!$G$2:$G$22,MATCH(N1375,'Periods'!$A$2:$A$22,0)))," ","_")</f>
        <v>q4_2025</v>
      </c>
    </row>
    <row r="1376">
      <c r="A1376" s="0" t="inlineStr">
        <is>
          <t xml:space="preserve">o1375</t>
        </is>
      </c>
      <c r="B1376" s="0" t="inlineStr">
        <is>
          <t xml:space="preserve">a0931</t>
        </is>
      </c>
      <c r="C1376" s="0" t="inlineStr">
        <is>
          <t xml:space="preserve">r18</t>
        </is>
      </c>
      <c r="D1376" s="0" t="inlineStr">
        <is>
          <t xml:space="preserve">s_emea_in</t>
        </is>
      </c>
      <c r="E1376" s="0" t="inlineStr">
        <is>
          <t xml:space="preserve">inbound</t>
        </is>
      </c>
      <c r="F1376" s="0" t="inlineStr">
        <is>
          <t xml:space="preserve">closed_lost</t>
        </is>
      </c>
      <c r="G1376" s="4">
        <v>1</v>
      </c>
      <c r="H1376" s="4">
        <v>7900</v>
      </c>
      <c r="I1376" s="4">
        <v>1</v>
      </c>
      <c r="J1376" s="4">
        <v>1</v>
      </c>
      <c r="K1376" s="16">
        <v>46143</v>
      </c>
      <c r="L1376" s="16">
        <v>46174</v>
      </c>
      <c r="M1376" s="0" t="inlineStr">
        <is>
          <t xml:space="preserve">may26</t>
        </is>
      </c>
      <c r="N1376" s="0" t="inlineStr">
        <is>
          <t xml:space="preserve">jun26</t>
        </is>
      </c>
      <c r="O1376" s="4">
        <v>31</v>
      </c>
      <c r="P1376" s="4">
        <v>0</v>
      </c>
      <c r="Q1376" s="4">
        <v>1</v>
      </c>
      <c r="R1376" s="4">
        <v>0</v>
      </c>
      <c r="S1376" s="4">
        <f>(H1376*INDEX('Stages'!$D$2:$D$7,MATCH(F1376,'Stages'!$A$2:$A$7,0)))</f>
        <v>0</v>
      </c>
      <c r="T1376" s="4">
        <f>(H1376*I1376)</f>
        <v>7900</v>
      </c>
      <c r="U1376" s="4">
        <f>(H1376*(I1376-1))</f>
        <v>0</v>
      </c>
      <c r="V1376" s="0" t="str">
        <f>INDEX('Account executives'!$B$2:$B$25,MATCH(C1376,'Account executives'!$A$2:$A$25,0))</f>
        <v>emea</v>
      </c>
      <c r="W1376" s="0" t="str">
        <f>INDEX('Account executives'!$C$2:$C$25,MATCH(C1376,'Account executives'!$A$2:$A$25,0))</f>
        <v>smb</v>
      </c>
      <c r="X1376" s="0" t="str">
        <f>SUBSTITUTE(LOWER(INDEX('Periods'!$G$2:$G$22,MATCH(N1376,'Periods'!$A$2:$A$22,0)))," ","_")</f>
        <v>q2_2026</v>
      </c>
    </row>
    <row r="1377">
      <c r="A1377" s="0" t="inlineStr">
        <is>
          <t xml:space="preserve">o1376</t>
        </is>
      </c>
      <c r="B1377" s="0" t="inlineStr">
        <is>
          <t xml:space="preserve">a0011</t>
        </is>
      </c>
      <c r="C1377" s="0" t="inlineStr">
        <is>
          <t xml:space="preserve">r03</t>
        </is>
      </c>
      <c r="D1377" s="0"/>
      <c r="E1377" s="0" t="inlineStr">
        <is>
          <t xml:space="preserve">events</t>
        </is>
      </c>
      <c r="F1377" s="0" t="inlineStr">
        <is>
          <t xml:space="preserve">closed_won</t>
        </is>
      </c>
      <c r="G1377" s="4">
        <v>0</v>
      </c>
      <c r="H1377" s="4">
        <v>11700</v>
      </c>
      <c r="I1377" s="4">
        <v>1</v>
      </c>
      <c r="J1377" s="4">
        <v>0</v>
      </c>
      <c r="K1377" s="16">
        <v>46181</v>
      </c>
      <c r="L1377" s="16">
        <v>46220</v>
      </c>
      <c r="M1377" s="0" t="inlineStr">
        <is>
          <t xml:space="preserve">jun26</t>
        </is>
      </c>
      <c r="N1377" s="0" t="inlineStr">
        <is>
          <t xml:space="preserve">jul26</t>
        </is>
      </c>
      <c r="O1377" s="4">
        <v>39</v>
      </c>
      <c r="P1377" s="4">
        <v>1</v>
      </c>
      <c r="Q1377" s="4">
        <v>0</v>
      </c>
      <c r="R1377" s="4">
        <v>0</v>
      </c>
      <c r="S1377" s="4">
        <f>(H1377*INDEX('Stages'!$D$2:$D$7,MATCH(F1377,'Stages'!$A$2:$A$7,0)))</f>
        <v>11700</v>
      </c>
      <c r="T1377" s="4">
        <f>(H1377*I1377)</f>
        <v>11700</v>
      </c>
      <c r="U1377" s="4">
        <f>(H1377*(I1377-1))</f>
        <v>0</v>
      </c>
      <c r="V1377" s="0" t="str">
        <f>INDEX('Account executives'!$B$2:$B$25,MATCH(C1377,'Account executives'!$A$2:$A$25,0))</f>
        <v>amer_east</v>
      </c>
      <c r="W1377" s="0" t="str">
        <f>INDEX('Account executives'!$C$2:$C$25,MATCH(C1377,'Account executives'!$A$2:$A$25,0))</f>
        <v>mid_market</v>
      </c>
      <c r="X1377" s="0" t="str">
        <f>SUBSTITUTE(LOWER(INDEX('Periods'!$G$2:$G$22,MATCH(N1377,'Periods'!$A$2:$A$22,0)))," ","_")</f>
        <v>q3_2026</v>
      </c>
    </row>
    <row r="1378">
      <c r="A1378" s="0" t="inlineStr">
        <is>
          <t xml:space="preserve">o1377</t>
        </is>
      </c>
      <c r="B1378" s="0" t="inlineStr">
        <is>
          <t xml:space="preserve">a0449</t>
        </is>
      </c>
      <c r="C1378" s="0" t="inlineStr">
        <is>
          <t xml:space="preserve">r17</t>
        </is>
      </c>
      <c r="D1378" s="0" t="inlineStr">
        <is>
          <t xml:space="preserve">s_emea_out</t>
        </is>
      </c>
      <c r="E1378" s="0" t="inlineStr">
        <is>
          <t xml:space="preserve">outbound</t>
        </is>
      </c>
      <c r="F1378" s="0" t="inlineStr">
        <is>
          <t xml:space="preserve">closed_lost</t>
        </is>
      </c>
      <c r="G1378" s="4">
        <v>0</v>
      </c>
      <c r="H1378" s="4">
        <v>7300</v>
      </c>
      <c r="I1378" s="4">
        <v>1</v>
      </c>
      <c r="J1378" s="4">
        <v>0</v>
      </c>
      <c r="K1378" s="16">
        <v>45982</v>
      </c>
      <c r="L1378" s="16">
        <v>46018</v>
      </c>
      <c r="M1378" s="0" t="inlineStr">
        <is>
          <t xml:space="preserve">nov25</t>
        </is>
      </c>
      <c r="N1378" s="0" t="inlineStr">
        <is>
          <t xml:space="preserve">dec25</t>
        </is>
      </c>
      <c r="O1378" s="4">
        <v>36</v>
      </c>
      <c r="P1378" s="4">
        <v>0</v>
      </c>
      <c r="Q1378" s="4">
        <v>1</v>
      </c>
      <c r="R1378" s="4">
        <v>0</v>
      </c>
      <c r="S1378" s="4">
        <f>(H1378*INDEX('Stages'!$D$2:$D$7,MATCH(F1378,'Stages'!$A$2:$A$7,0)))</f>
        <v>0</v>
      </c>
      <c r="T1378" s="4">
        <f>(H1378*I1378)</f>
        <v>7300</v>
      </c>
      <c r="U1378" s="4">
        <f>(H1378*(I1378-1))</f>
        <v>0</v>
      </c>
      <c r="V1378" s="0" t="str">
        <f>INDEX('Account executives'!$B$2:$B$25,MATCH(C1378,'Account executives'!$A$2:$A$25,0))</f>
        <v>emea</v>
      </c>
      <c r="W1378" s="0" t="str">
        <f>INDEX('Account executives'!$C$2:$C$25,MATCH(C1378,'Account executives'!$A$2:$A$25,0))</f>
        <v>smb</v>
      </c>
      <c r="X1378" s="0" t="str">
        <f>SUBSTITUTE(LOWER(INDEX('Periods'!$G$2:$G$22,MATCH(N1378,'Periods'!$A$2:$A$22,0)))," ","_")</f>
        <v>q4_2025</v>
      </c>
    </row>
    <row r="1379">
      <c r="A1379" s="0" t="inlineStr">
        <is>
          <t xml:space="preserve">o1378</t>
        </is>
      </c>
      <c r="B1379" s="0" t="inlineStr">
        <is>
          <t xml:space="preserve">a0624</t>
        </is>
      </c>
      <c r="C1379" s="0" t="inlineStr">
        <is>
          <t xml:space="preserve">r11</t>
        </is>
      </c>
      <c r="D1379" s="0" t="inlineStr">
        <is>
          <t xml:space="preserve">s_amer_west_in</t>
        </is>
      </c>
      <c r="E1379" s="0" t="inlineStr">
        <is>
          <t xml:space="preserve">inbound</t>
        </is>
      </c>
      <c r="F1379" s="0" t="inlineStr">
        <is>
          <t xml:space="preserve">closed_lost</t>
        </is>
      </c>
      <c r="G1379" s="4">
        <v>1</v>
      </c>
      <c r="H1379" s="4">
        <v>13500</v>
      </c>
      <c r="I1379" s="4">
        <v>1</v>
      </c>
      <c r="J1379" s="4">
        <v>0</v>
      </c>
      <c r="K1379" s="16">
        <v>46049</v>
      </c>
      <c r="L1379" s="16">
        <v>46063</v>
      </c>
      <c r="M1379" s="0" t="inlineStr">
        <is>
          <t xml:space="preserve">jan26</t>
        </is>
      </c>
      <c r="N1379" s="0" t="inlineStr">
        <is>
          <t xml:space="preserve">feb26</t>
        </is>
      </c>
      <c r="O1379" s="4">
        <v>14</v>
      </c>
      <c r="P1379" s="4">
        <v>0</v>
      </c>
      <c r="Q1379" s="4">
        <v>1</v>
      </c>
      <c r="R1379" s="4">
        <v>0</v>
      </c>
      <c r="S1379" s="4">
        <f>(H1379*INDEX('Stages'!$D$2:$D$7,MATCH(F1379,'Stages'!$A$2:$A$7,0)))</f>
        <v>0</v>
      </c>
      <c r="T1379" s="4">
        <f>(H1379*I1379)</f>
        <v>13500</v>
      </c>
      <c r="U1379" s="4">
        <f>(H1379*(I1379-1))</f>
        <v>0</v>
      </c>
      <c r="V1379" s="0" t="str">
        <f>INDEX('Account executives'!$B$2:$B$25,MATCH(C1379,'Account executives'!$A$2:$A$25,0))</f>
        <v>amer_west</v>
      </c>
      <c r="W1379" s="0" t="str">
        <f>INDEX('Account executives'!$C$2:$C$25,MATCH(C1379,'Account executives'!$A$2:$A$25,0))</f>
        <v>smb</v>
      </c>
      <c r="X1379" s="0" t="str">
        <f>SUBSTITUTE(LOWER(INDEX('Periods'!$G$2:$G$22,MATCH(N1379,'Periods'!$A$2:$A$22,0)))," ","_")</f>
        <v>q1_2026</v>
      </c>
    </row>
    <row r="1380">
      <c r="A1380" s="0" t="inlineStr">
        <is>
          <t xml:space="preserve">o1379</t>
        </is>
      </c>
      <c r="B1380" s="0" t="inlineStr">
        <is>
          <t xml:space="preserve">a0126</t>
        </is>
      </c>
      <c r="C1380" s="0" t="inlineStr">
        <is>
          <t xml:space="preserve">r15</t>
        </is>
      </c>
      <c r="D1380" s="0"/>
      <c r="E1380" s="0" t="inlineStr">
        <is>
          <t xml:space="preserve">events</t>
        </is>
      </c>
      <c r="F1380" s="0" t="inlineStr">
        <is>
          <t xml:space="preserve">closed_lost</t>
        </is>
      </c>
      <c r="G1380" s="4">
        <v>1</v>
      </c>
      <c r="H1380" s="4">
        <v>40300</v>
      </c>
      <c r="I1380" s="4">
        <v>3</v>
      </c>
      <c r="J1380" s="4">
        <v>1</v>
      </c>
      <c r="K1380" s="16">
        <v>45799</v>
      </c>
      <c r="L1380" s="16">
        <v>45928</v>
      </c>
      <c r="M1380" s="0" t="inlineStr">
        <is>
          <t xml:space="preserve">may25</t>
        </is>
      </c>
      <c r="N1380" s="0" t="inlineStr">
        <is>
          <t xml:space="preserve">sep25</t>
        </is>
      </c>
      <c r="O1380" s="4">
        <v>129</v>
      </c>
      <c r="P1380" s="4">
        <v>0</v>
      </c>
      <c r="Q1380" s="4">
        <v>1</v>
      </c>
      <c r="R1380" s="4">
        <v>0</v>
      </c>
      <c r="S1380" s="4">
        <f>(H1380*INDEX('Stages'!$D$2:$D$7,MATCH(F1380,'Stages'!$A$2:$A$7,0)))</f>
        <v>0</v>
      </c>
      <c r="T1380" s="4">
        <f>(H1380*I1380)</f>
        <v>120900</v>
      </c>
      <c r="U1380" s="4">
        <f>(H1380*(I1380-1))</f>
        <v>80600</v>
      </c>
      <c r="V1380" s="0" t="str">
        <f>INDEX('Account executives'!$B$2:$B$25,MATCH(C1380,'Account executives'!$A$2:$A$25,0))</f>
        <v>emea</v>
      </c>
      <c r="W1380" s="0" t="str">
        <f>INDEX('Account executives'!$C$2:$C$25,MATCH(C1380,'Account executives'!$A$2:$A$25,0))</f>
        <v>mid_market</v>
      </c>
      <c r="X1380" s="0" t="str">
        <f>SUBSTITUTE(LOWER(INDEX('Periods'!$G$2:$G$22,MATCH(N1380,'Periods'!$A$2:$A$22,0)))," ","_")</f>
        <v>q3_2025</v>
      </c>
    </row>
    <row r="1381">
      <c r="A1381" s="0" t="inlineStr">
        <is>
          <t xml:space="preserve">o1380</t>
        </is>
      </c>
      <c r="B1381" s="0" t="inlineStr">
        <is>
          <t xml:space="preserve">a0713</t>
        </is>
      </c>
      <c r="C1381" s="0" t="inlineStr">
        <is>
          <t xml:space="preserve">r22</t>
        </is>
      </c>
      <c r="D1381" s="0" t="inlineStr">
        <is>
          <t xml:space="preserve">s_apac_in</t>
        </is>
      </c>
      <c r="E1381" s="0" t="inlineStr">
        <is>
          <t xml:space="preserve">inbound</t>
        </is>
      </c>
      <c r="F1381" s="0" t="inlineStr">
        <is>
          <t xml:space="preserve">closed_won</t>
        </is>
      </c>
      <c r="G1381" s="4">
        <v>1</v>
      </c>
      <c r="H1381" s="4">
        <v>27300</v>
      </c>
      <c r="I1381" s="4">
        <v>2</v>
      </c>
      <c r="J1381" s="4">
        <v>0</v>
      </c>
      <c r="K1381" s="16">
        <v>46064</v>
      </c>
      <c r="L1381" s="16">
        <v>46135</v>
      </c>
      <c r="M1381" s="0" t="inlineStr">
        <is>
          <t xml:space="preserve">feb26</t>
        </is>
      </c>
      <c r="N1381" s="0" t="inlineStr">
        <is>
          <t xml:space="preserve">apr26</t>
        </is>
      </c>
      <c r="O1381" s="4">
        <v>71</v>
      </c>
      <c r="P1381" s="4">
        <v>1</v>
      </c>
      <c r="Q1381" s="4">
        <v>0</v>
      </c>
      <c r="R1381" s="4">
        <v>0</v>
      </c>
      <c r="S1381" s="4">
        <f>(H1381*INDEX('Stages'!$D$2:$D$7,MATCH(F1381,'Stages'!$A$2:$A$7,0)))</f>
        <v>27300</v>
      </c>
      <c r="T1381" s="4">
        <f>(H1381*I1381)</f>
        <v>54600</v>
      </c>
      <c r="U1381" s="4">
        <f>(H1381*(I1381-1))</f>
        <v>27300</v>
      </c>
      <c r="V1381" s="0" t="str">
        <f>INDEX('Account executives'!$B$2:$B$25,MATCH(C1381,'Account executives'!$A$2:$A$25,0))</f>
        <v>apac</v>
      </c>
      <c r="W1381" s="0" t="str">
        <f>INDEX('Account executives'!$C$2:$C$25,MATCH(C1381,'Account executives'!$A$2:$A$25,0))</f>
        <v>mid_market</v>
      </c>
      <c r="X1381" s="0" t="str">
        <f>SUBSTITUTE(LOWER(INDEX('Periods'!$G$2:$G$22,MATCH(N1381,'Periods'!$A$2:$A$22,0)))," ","_")</f>
        <v>q2_2026</v>
      </c>
    </row>
    <row r="1382">
      <c r="A1382" s="0" t="inlineStr">
        <is>
          <t xml:space="preserve">o1381</t>
        </is>
      </c>
      <c r="B1382" s="0" t="inlineStr">
        <is>
          <t xml:space="preserve">a0593</t>
        </is>
      </c>
      <c r="C1382" s="0" t="inlineStr">
        <is>
          <t xml:space="preserve">r18</t>
        </is>
      </c>
      <c r="D1382" s="0"/>
      <c r="E1382" s="0" t="inlineStr">
        <is>
          <t xml:space="preserve">partner</t>
        </is>
      </c>
      <c r="F1382" s="0" t="inlineStr">
        <is>
          <t xml:space="preserve">closed_lost</t>
        </is>
      </c>
      <c r="G1382" s="4">
        <v>1</v>
      </c>
      <c r="H1382" s="4">
        <v>11700</v>
      </c>
      <c r="I1382" s="4">
        <v>1</v>
      </c>
      <c r="J1382" s="4">
        <v>0</v>
      </c>
      <c r="K1382" s="16">
        <v>45992</v>
      </c>
      <c r="L1382" s="16">
        <v>46109</v>
      </c>
      <c r="M1382" s="0" t="inlineStr">
        <is>
          <t xml:space="preserve">dec25</t>
        </is>
      </c>
      <c r="N1382" s="0" t="inlineStr">
        <is>
          <t xml:space="preserve">mar26</t>
        </is>
      </c>
      <c r="O1382" s="4">
        <v>117</v>
      </c>
      <c r="P1382" s="4">
        <v>0</v>
      </c>
      <c r="Q1382" s="4">
        <v>1</v>
      </c>
      <c r="R1382" s="4">
        <v>0</v>
      </c>
      <c r="S1382" s="4">
        <f>(H1382*INDEX('Stages'!$D$2:$D$7,MATCH(F1382,'Stages'!$A$2:$A$7,0)))</f>
        <v>0</v>
      </c>
      <c r="T1382" s="4">
        <f>(H1382*I1382)</f>
        <v>11700</v>
      </c>
      <c r="U1382" s="4">
        <f>(H1382*(I1382-1))</f>
        <v>0</v>
      </c>
      <c r="V1382" s="0" t="str">
        <f>INDEX('Account executives'!$B$2:$B$25,MATCH(C1382,'Account executives'!$A$2:$A$25,0))</f>
        <v>emea</v>
      </c>
      <c r="W1382" s="0" t="str">
        <f>INDEX('Account executives'!$C$2:$C$25,MATCH(C1382,'Account executives'!$A$2:$A$25,0))</f>
        <v>smb</v>
      </c>
      <c r="X1382" s="0" t="str">
        <f>SUBSTITUTE(LOWER(INDEX('Periods'!$G$2:$G$22,MATCH(N1382,'Periods'!$A$2:$A$22,0)))," ","_")</f>
        <v>q1_2026</v>
      </c>
    </row>
    <row r="1383">
      <c r="A1383" s="0" t="inlineStr">
        <is>
          <t xml:space="preserve">o1382</t>
        </is>
      </c>
      <c r="B1383" s="0" t="inlineStr">
        <is>
          <t xml:space="preserve">a0200</t>
        </is>
      </c>
      <c r="C1383" s="0" t="inlineStr">
        <is>
          <t xml:space="preserve">r09</t>
        </is>
      </c>
      <c r="D1383" s="0"/>
      <c r="E1383" s="0" t="inlineStr">
        <is>
          <t xml:space="preserve">partner</t>
        </is>
      </c>
      <c r="F1383" s="0" t="inlineStr">
        <is>
          <t xml:space="preserve">closed_won</t>
        </is>
      </c>
      <c r="G1383" s="4">
        <v>1</v>
      </c>
      <c r="H1383" s="4">
        <v>30000</v>
      </c>
      <c r="I1383" s="4">
        <v>1</v>
      </c>
      <c r="J1383" s="4">
        <v>0</v>
      </c>
      <c r="K1383" s="16">
        <v>45830</v>
      </c>
      <c r="L1383" s="16">
        <v>45875</v>
      </c>
      <c r="M1383" s="0" t="inlineStr">
        <is>
          <t xml:space="preserve">jun25</t>
        </is>
      </c>
      <c r="N1383" s="0" t="inlineStr">
        <is>
          <t xml:space="preserve">aug25</t>
        </is>
      </c>
      <c r="O1383" s="4">
        <v>45</v>
      </c>
      <c r="P1383" s="4">
        <v>1</v>
      </c>
      <c r="Q1383" s="4">
        <v>0</v>
      </c>
      <c r="R1383" s="4">
        <v>0</v>
      </c>
      <c r="S1383" s="4">
        <f>(H1383*INDEX('Stages'!$D$2:$D$7,MATCH(F1383,'Stages'!$A$2:$A$7,0)))</f>
        <v>30000</v>
      </c>
      <c r="T1383" s="4">
        <f>(H1383*I1383)</f>
        <v>30000</v>
      </c>
      <c r="U1383" s="4">
        <f>(H1383*(I1383-1))</f>
        <v>0</v>
      </c>
      <c r="V1383" s="0" t="str">
        <f>INDEX('Account executives'!$B$2:$B$25,MATCH(C1383,'Account executives'!$A$2:$A$25,0))</f>
        <v>amer_west</v>
      </c>
      <c r="W1383" s="0" t="str">
        <f>INDEX('Account executives'!$C$2:$C$25,MATCH(C1383,'Account executives'!$A$2:$A$25,0))</f>
        <v>mid_market</v>
      </c>
      <c r="X1383" s="0" t="str">
        <f>SUBSTITUTE(LOWER(INDEX('Periods'!$G$2:$G$22,MATCH(N1383,'Periods'!$A$2:$A$22,0)))," ","_")</f>
        <v>q3_2025</v>
      </c>
    </row>
    <row r="1384">
      <c r="A1384" s="0" t="inlineStr">
        <is>
          <t xml:space="preserve">o1383</t>
        </is>
      </c>
      <c r="B1384" s="0" t="inlineStr">
        <is>
          <t xml:space="preserve">a0887</t>
        </is>
      </c>
      <c r="C1384" s="0" t="inlineStr">
        <is>
          <t xml:space="preserve">r03</t>
        </is>
      </c>
      <c r="D1384" s="0" t="inlineStr">
        <is>
          <t xml:space="preserve">s_amer_east_in</t>
        </is>
      </c>
      <c r="E1384" s="0" t="inlineStr">
        <is>
          <t xml:space="preserve">inbound</t>
        </is>
      </c>
      <c r="F1384" s="0" t="inlineStr">
        <is>
          <t xml:space="preserve">closed_won</t>
        </is>
      </c>
      <c r="G1384" s="4">
        <v>1</v>
      </c>
      <c r="H1384" s="4">
        <v>47100</v>
      </c>
      <c r="I1384" s="4">
        <v>2</v>
      </c>
      <c r="J1384" s="4">
        <v>1</v>
      </c>
      <c r="K1384" s="16">
        <v>46152</v>
      </c>
      <c r="L1384" s="16">
        <v>46190</v>
      </c>
      <c r="M1384" s="0" t="inlineStr">
        <is>
          <t xml:space="preserve">may26</t>
        </is>
      </c>
      <c r="N1384" s="0" t="inlineStr">
        <is>
          <t xml:space="preserve">jun26</t>
        </is>
      </c>
      <c r="O1384" s="4">
        <v>38</v>
      </c>
      <c r="P1384" s="4">
        <v>1</v>
      </c>
      <c r="Q1384" s="4">
        <v>0</v>
      </c>
      <c r="R1384" s="4">
        <v>0</v>
      </c>
      <c r="S1384" s="4">
        <f>(H1384*INDEX('Stages'!$D$2:$D$7,MATCH(F1384,'Stages'!$A$2:$A$7,0)))</f>
        <v>47100</v>
      </c>
      <c r="T1384" s="4">
        <f>(H1384*I1384)</f>
        <v>94200</v>
      </c>
      <c r="U1384" s="4">
        <f>(H1384*(I1384-1))</f>
        <v>47100</v>
      </c>
      <c r="V1384" s="0" t="str">
        <f>INDEX('Account executives'!$B$2:$B$25,MATCH(C1384,'Account executives'!$A$2:$A$25,0))</f>
        <v>amer_east</v>
      </c>
      <c r="W1384" s="0" t="str">
        <f>INDEX('Account executives'!$C$2:$C$25,MATCH(C1384,'Account executives'!$A$2:$A$25,0))</f>
        <v>mid_market</v>
      </c>
      <c r="X1384" s="0" t="str">
        <f>SUBSTITUTE(LOWER(INDEX('Periods'!$G$2:$G$22,MATCH(N1384,'Periods'!$A$2:$A$22,0)))," ","_")</f>
        <v>q2_2026</v>
      </c>
    </row>
    <row r="1385">
      <c r="A1385" s="0" t="inlineStr">
        <is>
          <t xml:space="preserve">o1384</t>
        </is>
      </c>
      <c r="B1385" s="0" t="inlineStr">
        <is>
          <t xml:space="preserve">a0617</t>
        </is>
      </c>
      <c r="C1385" s="0" t="inlineStr">
        <is>
          <t xml:space="preserve">r06</t>
        </is>
      </c>
      <c r="D1385" s="0" t="inlineStr">
        <is>
          <t xml:space="preserve">s_amer_east_out</t>
        </is>
      </c>
      <c r="E1385" s="0" t="inlineStr">
        <is>
          <t xml:space="preserve">outbound</t>
        </is>
      </c>
      <c r="F1385" s="0" t="inlineStr">
        <is>
          <t xml:space="preserve">closed_won</t>
        </is>
      </c>
      <c r="G1385" s="4">
        <v>1</v>
      </c>
      <c r="H1385" s="4">
        <v>15000</v>
      </c>
      <c r="I1385" s="4">
        <v>2</v>
      </c>
      <c r="J1385" s="4">
        <v>0</v>
      </c>
      <c r="K1385" s="16">
        <v>46023</v>
      </c>
      <c r="L1385" s="16">
        <v>46041</v>
      </c>
      <c r="M1385" s="0" t="inlineStr">
        <is>
          <t xml:space="preserve">jan26</t>
        </is>
      </c>
      <c r="N1385" s="0" t="inlineStr">
        <is>
          <t xml:space="preserve">jan26</t>
        </is>
      </c>
      <c r="O1385" s="4">
        <v>18</v>
      </c>
      <c r="P1385" s="4">
        <v>1</v>
      </c>
      <c r="Q1385" s="4">
        <v>0</v>
      </c>
      <c r="R1385" s="4">
        <v>0</v>
      </c>
      <c r="S1385" s="4">
        <f>(H1385*INDEX('Stages'!$D$2:$D$7,MATCH(F1385,'Stages'!$A$2:$A$7,0)))</f>
        <v>15000</v>
      </c>
      <c r="T1385" s="4">
        <f>(H1385*I1385)</f>
        <v>30000</v>
      </c>
      <c r="U1385" s="4">
        <f>(H1385*(I1385-1))</f>
        <v>15000</v>
      </c>
      <c r="V1385" s="0" t="str">
        <f>INDEX('Account executives'!$B$2:$B$25,MATCH(C1385,'Account executives'!$A$2:$A$25,0))</f>
        <v>amer_east</v>
      </c>
      <c r="W1385" s="0" t="str">
        <f>INDEX('Account executives'!$C$2:$C$25,MATCH(C1385,'Account executives'!$A$2:$A$25,0))</f>
        <v>smb</v>
      </c>
      <c r="X1385" s="0" t="str">
        <f>SUBSTITUTE(LOWER(INDEX('Periods'!$G$2:$G$22,MATCH(N1385,'Periods'!$A$2:$A$22,0)))," ","_")</f>
        <v>q1_2026</v>
      </c>
    </row>
    <row r="1386">
      <c r="A1386" s="0" t="inlineStr">
        <is>
          <t xml:space="preserve">o1385</t>
        </is>
      </c>
      <c r="B1386" s="0" t="inlineStr">
        <is>
          <t xml:space="preserve">a0211</t>
        </is>
      </c>
      <c r="C1386" s="0" t="inlineStr">
        <is>
          <t xml:space="preserve">r18</t>
        </is>
      </c>
      <c r="D1386" s="0" t="inlineStr">
        <is>
          <t xml:space="preserve">s_emea_in</t>
        </is>
      </c>
      <c r="E1386" s="0" t="inlineStr">
        <is>
          <t xml:space="preserve">inbound</t>
        </is>
      </c>
      <c r="F1386" s="0" t="inlineStr">
        <is>
          <t xml:space="preserve">closed_won</t>
        </is>
      </c>
      <c r="G1386" s="4">
        <v>1</v>
      </c>
      <c r="H1386" s="4">
        <v>24300</v>
      </c>
      <c r="I1386" s="4">
        <v>1</v>
      </c>
      <c r="J1386" s="4">
        <v>0</v>
      </c>
      <c r="K1386" s="16">
        <v>45821</v>
      </c>
      <c r="L1386" s="16">
        <v>45859</v>
      </c>
      <c r="M1386" s="0" t="inlineStr">
        <is>
          <t xml:space="preserve">jun25</t>
        </is>
      </c>
      <c r="N1386" s="0" t="inlineStr">
        <is>
          <t xml:space="preserve">jul25</t>
        </is>
      </c>
      <c r="O1386" s="4">
        <v>38</v>
      </c>
      <c r="P1386" s="4">
        <v>1</v>
      </c>
      <c r="Q1386" s="4">
        <v>0</v>
      </c>
      <c r="R1386" s="4">
        <v>0</v>
      </c>
      <c r="S1386" s="4">
        <f>(H1386*INDEX('Stages'!$D$2:$D$7,MATCH(F1386,'Stages'!$A$2:$A$7,0)))</f>
        <v>24300</v>
      </c>
      <c r="T1386" s="4">
        <f>(H1386*I1386)</f>
        <v>24300</v>
      </c>
      <c r="U1386" s="4">
        <f>(H1386*(I1386-1))</f>
        <v>0</v>
      </c>
      <c r="V1386" s="0" t="str">
        <f>INDEX('Account executives'!$B$2:$B$25,MATCH(C1386,'Account executives'!$A$2:$A$25,0))</f>
        <v>emea</v>
      </c>
      <c r="W1386" s="0" t="str">
        <f>INDEX('Account executives'!$C$2:$C$25,MATCH(C1386,'Account executives'!$A$2:$A$25,0))</f>
        <v>smb</v>
      </c>
      <c r="X1386" s="0" t="str">
        <f>SUBSTITUTE(LOWER(INDEX('Periods'!$G$2:$G$22,MATCH(N1386,'Periods'!$A$2:$A$22,0)))," ","_")</f>
        <v>q3_2025</v>
      </c>
    </row>
    <row r="1387">
      <c r="A1387" s="0" t="inlineStr">
        <is>
          <t xml:space="preserve">o1386</t>
        </is>
      </c>
      <c r="B1387" s="0" t="inlineStr">
        <is>
          <t xml:space="preserve">a0954</t>
        </is>
      </c>
      <c r="C1387" s="0" t="inlineStr">
        <is>
          <t xml:space="preserve">r22</t>
        </is>
      </c>
      <c r="D1387" s="0" t="inlineStr">
        <is>
          <t xml:space="preserve">s_apac_out</t>
        </is>
      </c>
      <c r="E1387" s="0" t="inlineStr">
        <is>
          <t xml:space="preserve">outbound</t>
        </is>
      </c>
      <c r="F1387" s="0" t="inlineStr">
        <is>
          <t xml:space="preserve">closed_lost</t>
        </is>
      </c>
      <c r="G1387" s="4">
        <v>1</v>
      </c>
      <c r="H1387" s="4">
        <v>46600</v>
      </c>
      <c r="I1387" s="4">
        <v>1</v>
      </c>
      <c r="J1387" s="4">
        <v>1</v>
      </c>
      <c r="K1387" s="16">
        <v>46146</v>
      </c>
      <c r="L1387" s="16">
        <v>46212</v>
      </c>
      <c r="M1387" s="0" t="inlineStr">
        <is>
          <t xml:space="preserve">may26</t>
        </is>
      </c>
      <c r="N1387" s="0" t="inlineStr">
        <is>
          <t xml:space="preserve">jul26</t>
        </is>
      </c>
      <c r="O1387" s="4">
        <v>66</v>
      </c>
      <c r="P1387" s="4">
        <v>0</v>
      </c>
      <c r="Q1387" s="4">
        <v>1</v>
      </c>
      <c r="R1387" s="4">
        <v>0</v>
      </c>
      <c r="S1387" s="4">
        <f>(H1387*INDEX('Stages'!$D$2:$D$7,MATCH(F1387,'Stages'!$A$2:$A$7,0)))</f>
        <v>0</v>
      </c>
      <c r="T1387" s="4">
        <f>(H1387*I1387)</f>
        <v>46600</v>
      </c>
      <c r="U1387" s="4">
        <f>(H1387*(I1387-1))</f>
        <v>0</v>
      </c>
      <c r="V1387" s="0" t="str">
        <f>INDEX('Account executives'!$B$2:$B$25,MATCH(C1387,'Account executives'!$A$2:$A$25,0))</f>
        <v>apac</v>
      </c>
      <c r="W1387" s="0" t="str">
        <f>INDEX('Account executives'!$C$2:$C$25,MATCH(C1387,'Account executives'!$A$2:$A$25,0))</f>
        <v>mid_market</v>
      </c>
      <c r="X1387" s="0" t="str">
        <f>SUBSTITUTE(LOWER(INDEX('Periods'!$G$2:$G$22,MATCH(N1387,'Periods'!$A$2:$A$22,0)))," ","_")</f>
        <v>q3_2026</v>
      </c>
    </row>
    <row r="1388">
      <c r="A1388" s="0" t="inlineStr">
        <is>
          <t xml:space="preserve">o1387</t>
        </is>
      </c>
      <c r="B1388" s="0" t="inlineStr">
        <is>
          <t xml:space="preserve">a1135</t>
        </is>
      </c>
      <c r="C1388" s="0" t="inlineStr">
        <is>
          <t xml:space="preserve">r22</t>
        </is>
      </c>
      <c r="D1388" s="0" t="inlineStr">
        <is>
          <t xml:space="preserve">s_apac_in</t>
        </is>
      </c>
      <c r="E1388" s="0" t="inlineStr">
        <is>
          <t xml:space="preserve">inbound</t>
        </is>
      </c>
      <c r="F1388" s="0" t="inlineStr">
        <is>
          <t xml:space="preserve">closed_lost</t>
        </is>
      </c>
      <c r="G1388" s="4">
        <v>1</v>
      </c>
      <c r="H1388" s="4">
        <v>54700</v>
      </c>
      <c r="I1388" s="4">
        <v>1</v>
      </c>
      <c r="J1388" s="4">
        <v>1</v>
      </c>
      <c r="K1388" s="16">
        <v>46209</v>
      </c>
      <c r="L1388" s="16">
        <v>46264</v>
      </c>
      <c r="M1388" s="0" t="inlineStr">
        <is>
          <t xml:space="preserve">jul26</t>
        </is>
      </c>
      <c r="N1388" s="0" t="inlineStr">
        <is>
          <t xml:space="preserve">aug26</t>
        </is>
      </c>
      <c r="O1388" s="4">
        <v>55</v>
      </c>
      <c r="P1388" s="4">
        <v>0</v>
      </c>
      <c r="Q1388" s="4">
        <v>1</v>
      </c>
      <c r="R1388" s="4">
        <v>0</v>
      </c>
      <c r="S1388" s="4">
        <f>(H1388*INDEX('Stages'!$D$2:$D$7,MATCH(F1388,'Stages'!$A$2:$A$7,0)))</f>
        <v>0</v>
      </c>
      <c r="T1388" s="4">
        <f>(H1388*I1388)</f>
        <v>54700</v>
      </c>
      <c r="U1388" s="4">
        <f>(H1388*(I1388-1))</f>
        <v>0</v>
      </c>
      <c r="V1388" s="0" t="str">
        <f>INDEX('Account executives'!$B$2:$B$25,MATCH(C1388,'Account executives'!$A$2:$A$25,0))</f>
        <v>apac</v>
      </c>
      <c r="W1388" s="0" t="str">
        <f>INDEX('Account executives'!$C$2:$C$25,MATCH(C1388,'Account executives'!$A$2:$A$25,0))</f>
        <v>mid_market</v>
      </c>
      <c r="X1388" s="0" t="str">
        <f>SUBSTITUTE(LOWER(INDEX('Periods'!$G$2:$G$22,MATCH(N1388,'Periods'!$A$2:$A$22,0)))," ","_")</f>
        <v>q3_2026</v>
      </c>
    </row>
    <row r="1389">
      <c r="A1389" s="0" t="inlineStr">
        <is>
          <t xml:space="preserve">o1388</t>
        </is>
      </c>
      <c r="B1389" s="0" t="inlineStr">
        <is>
          <t xml:space="preserve">a0102</t>
        </is>
      </c>
      <c r="C1389" s="0" t="inlineStr">
        <is>
          <t xml:space="preserve">r09</t>
        </is>
      </c>
      <c r="D1389" s="0"/>
      <c r="E1389" s="0" t="inlineStr">
        <is>
          <t xml:space="preserve">partner</t>
        </is>
      </c>
      <c r="F1389" s="0" t="inlineStr">
        <is>
          <t xml:space="preserve">closed_lost</t>
        </is>
      </c>
      <c r="G1389" s="4">
        <v>1</v>
      </c>
      <c r="H1389" s="4">
        <v>55600</v>
      </c>
      <c r="I1389" s="4">
        <v>2</v>
      </c>
      <c r="J1389" s="4">
        <v>1</v>
      </c>
      <c r="K1389" s="16">
        <v>45785</v>
      </c>
      <c r="L1389" s="16">
        <v>45928</v>
      </c>
      <c r="M1389" s="0" t="inlineStr">
        <is>
          <t xml:space="preserve">may25</t>
        </is>
      </c>
      <c r="N1389" s="0" t="inlineStr">
        <is>
          <t xml:space="preserve">sep25</t>
        </is>
      </c>
      <c r="O1389" s="4">
        <v>143</v>
      </c>
      <c r="P1389" s="4">
        <v>0</v>
      </c>
      <c r="Q1389" s="4">
        <v>1</v>
      </c>
      <c r="R1389" s="4">
        <v>0</v>
      </c>
      <c r="S1389" s="4">
        <f>(H1389*INDEX('Stages'!$D$2:$D$7,MATCH(F1389,'Stages'!$A$2:$A$7,0)))</f>
        <v>0</v>
      </c>
      <c r="T1389" s="4">
        <f>(H1389*I1389)</f>
        <v>111200</v>
      </c>
      <c r="U1389" s="4">
        <f>(H1389*(I1389-1))</f>
        <v>55600</v>
      </c>
      <c r="V1389" s="0" t="str">
        <f>INDEX('Account executives'!$B$2:$B$25,MATCH(C1389,'Account executives'!$A$2:$A$25,0))</f>
        <v>amer_west</v>
      </c>
      <c r="W1389" s="0" t="str">
        <f>INDEX('Account executives'!$C$2:$C$25,MATCH(C1389,'Account executives'!$A$2:$A$25,0))</f>
        <v>mid_market</v>
      </c>
      <c r="X1389" s="0" t="str">
        <f>SUBSTITUTE(LOWER(INDEX('Periods'!$G$2:$G$22,MATCH(N1389,'Periods'!$A$2:$A$22,0)))," ","_")</f>
        <v>q3_2025</v>
      </c>
    </row>
    <row r="1390">
      <c r="A1390" s="0" t="inlineStr">
        <is>
          <t xml:space="preserve">o1389</t>
        </is>
      </c>
      <c r="B1390" s="0" t="inlineStr">
        <is>
          <t xml:space="preserve">a0580</t>
        </is>
      </c>
      <c r="C1390" s="0" t="inlineStr">
        <is>
          <t xml:space="preserve">r11</t>
        </is>
      </c>
      <c r="D1390" s="0"/>
      <c r="E1390" s="0" t="inlineStr">
        <is>
          <t xml:space="preserve">referral</t>
        </is>
      </c>
      <c r="F1390" s="0" t="inlineStr">
        <is>
          <t xml:space="preserve">closed_lost</t>
        </is>
      </c>
      <c r="G1390" s="4">
        <v>1</v>
      </c>
      <c r="H1390" s="4">
        <v>22400</v>
      </c>
      <c r="I1390" s="4">
        <v>1</v>
      </c>
      <c r="J1390" s="4">
        <v>0</v>
      </c>
      <c r="K1390" s="16">
        <v>45998</v>
      </c>
      <c r="L1390" s="16">
        <v>46021</v>
      </c>
      <c r="M1390" s="0" t="inlineStr">
        <is>
          <t xml:space="preserve">dec25</t>
        </is>
      </c>
      <c r="N1390" s="0" t="inlineStr">
        <is>
          <t xml:space="preserve">dec25</t>
        </is>
      </c>
      <c r="O1390" s="4">
        <v>23</v>
      </c>
      <c r="P1390" s="4">
        <v>0</v>
      </c>
      <c r="Q1390" s="4">
        <v>1</v>
      </c>
      <c r="R1390" s="4">
        <v>0</v>
      </c>
      <c r="S1390" s="4">
        <f>(H1390*INDEX('Stages'!$D$2:$D$7,MATCH(F1390,'Stages'!$A$2:$A$7,0)))</f>
        <v>0</v>
      </c>
      <c r="T1390" s="4">
        <f>(H1390*I1390)</f>
        <v>22400</v>
      </c>
      <c r="U1390" s="4">
        <f>(H1390*(I1390-1))</f>
        <v>0</v>
      </c>
      <c r="V1390" s="0" t="str">
        <f>INDEX('Account executives'!$B$2:$B$25,MATCH(C1390,'Account executives'!$A$2:$A$25,0))</f>
        <v>amer_west</v>
      </c>
      <c r="W1390" s="0" t="str">
        <f>INDEX('Account executives'!$C$2:$C$25,MATCH(C1390,'Account executives'!$A$2:$A$25,0))</f>
        <v>smb</v>
      </c>
      <c r="X1390" s="0" t="str">
        <f>SUBSTITUTE(LOWER(INDEX('Periods'!$G$2:$G$22,MATCH(N1390,'Periods'!$A$2:$A$22,0)))," ","_")</f>
        <v>q4_2025</v>
      </c>
    </row>
    <row r="1391">
      <c r="A1391" s="0" t="inlineStr">
        <is>
          <t xml:space="preserve">o1390</t>
        </is>
      </c>
      <c r="B1391" s="0" t="inlineStr">
        <is>
          <t xml:space="preserve">a1211</t>
        </is>
      </c>
      <c r="C1391" s="0" t="inlineStr">
        <is>
          <t xml:space="preserve">r04</t>
        </is>
      </c>
      <c r="D1391" s="0" t="inlineStr">
        <is>
          <t xml:space="preserve">s_amer_east_in</t>
        </is>
      </c>
      <c r="E1391" s="0" t="inlineStr">
        <is>
          <t xml:space="preserve">inbound</t>
        </is>
      </c>
      <c r="F1391" s="0" t="inlineStr">
        <is>
          <t xml:space="preserve">discovery</t>
        </is>
      </c>
      <c r="G1391" s="4">
        <v>1</v>
      </c>
      <c r="H1391" s="4">
        <v>23300</v>
      </c>
      <c r="I1391" s="4">
        <v>1</v>
      </c>
      <c r="J1391" s="4">
        <v>0</v>
      </c>
      <c r="K1391" s="16">
        <v>46279</v>
      </c>
      <c r="L1391" s="16">
        <v>46310</v>
      </c>
      <c r="M1391" s="0" t="inlineStr">
        <is>
          <t xml:space="preserve">sep26</t>
        </is>
      </c>
      <c r="N1391" s="0" t="inlineStr">
        <is>
          <t xml:space="preserve">oct26</t>
        </is>
      </c>
      <c r="O1391" s="4">
        <v>41</v>
      </c>
      <c r="P1391" s="4">
        <v>0</v>
      </c>
      <c r="Q1391" s="4">
        <v>0</v>
      </c>
      <c r="R1391" s="4">
        <v>1</v>
      </c>
      <c r="S1391" s="4">
        <f>(H1391*INDEX('Stages'!$D$2:$D$7,MATCH(F1391,'Stages'!$A$2:$A$7,0)))</f>
        <v>2330</v>
      </c>
      <c r="T1391" s="4">
        <f>(H1391*I1391)</f>
        <v>23300</v>
      </c>
      <c r="U1391" s="4">
        <f>(H1391*(I1391-1))</f>
        <v>0</v>
      </c>
      <c r="V1391" s="0" t="str">
        <f>INDEX('Account executives'!$B$2:$B$25,MATCH(C1391,'Account executives'!$A$2:$A$25,0))</f>
        <v>amer_east</v>
      </c>
      <c r="W1391" s="0" t="str">
        <f>INDEX('Account executives'!$C$2:$C$25,MATCH(C1391,'Account executives'!$A$2:$A$25,0))</f>
        <v>mid_market</v>
      </c>
      <c r="X1391" s="0" t="str">
        <f>SUBSTITUTE(LOWER(INDEX('Periods'!$G$2:$G$22,MATCH(N1391,'Periods'!$A$2:$A$22,0)))," ","_")</f>
        <v>q4_2026</v>
      </c>
    </row>
    <row r="1392">
      <c r="A1392" s="0" t="inlineStr">
        <is>
          <t xml:space="preserve">o1391</t>
        </is>
      </c>
      <c r="B1392" s="0" t="inlineStr">
        <is>
          <t xml:space="preserve">a0874</t>
        </is>
      </c>
      <c r="C1392" s="0" t="inlineStr">
        <is>
          <t xml:space="preserve">r17</t>
        </is>
      </c>
      <c r="D1392" s="0" t="inlineStr">
        <is>
          <t xml:space="preserve">s_emea_out</t>
        </is>
      </c>
      <c r="E1392" s="0" t="inlineStr">
        <is>
          <t xml:space="preserve">outbound</t>
        </is>
      </c>
      <c r="F1392" s="0" t="inlineStr">
        <is>
          <t xml:space="preserve">closed_lost</t>
        </is>
      </c>
      <c r="G1392" s="4">
        <v>0</v>
      </c>
      <c r="H1392" s="4">
        <v>11900</v>
      </c>
      <c r="I1392" s="4">
        <v>1</v>
      </c>
      <c r="J1392" s="4">
        <v>0</v>
      </c>
      <c r="K1392" s="16">
        <v>46167</v>
      </c>
      <c r="L1392" s="16">
        <v>46194</v>
      </c>
      <c r="M1392" s="0" t="inlineStr">
        <is>
          <t xml:space="preserve">may26</t>
        </is>
      </c>
      <c r="N1392" s="0" t="inlineStr">
        <is>
          <t xml:space="preserve">jun26</t>
        </is>
      </c>
      <c r="O1392" s="4">
        <v>27</v>
      </c>
      <c r="P1392" s="4">
        <v>0</v>
      </c>
      <c r="Q1392" s="4">
        <v>1</v>
      </c>
      <c r="R1392" s="4">
        <v>0</v>
      </c>
      <c r="S1392" s="4">
        <f>(H1392*INDEX('Stages'!$D$2:$D$7,MATCH(F1392,'Stages'!$A$2:$A$7,0)))</f>
        <v>0</v>
      </c>
      <c r="T1392" s="4">
        <f>(H1392*I1392)</f>
        <v>11900</v>
      </c>
      <c r="U1392" s="4">
        <f>(H1392*(I1392-1))</f>
        <v>0</v>
      </c>
      <c r="V1392" s="0" t="str">
        <f>INDEX('Account executives'!$B$2:$B$25,MATCH(C1392,'Account executives'!$A$2:$A$25,0))</f>
        <v>emea</v>
      </c>
      <c r="W1392" s="0" t="str">
        <f>INDEX('Account executives'!$C$2:$C$25,MATCH(C1392,'Account executives'!$A$2:$A$25,0))</f>
        <v>smb</v>
      </c>
      <c r="X1392" s="0" t="str">
        <f>SUBSTITUTE(LOWER(INDEX('Periods'!$G$2:$G$22,MATCH(N1392,'Periods'!$A$2:$A$22,0)))," ","_")</f>
        <v>q2_2026</v>
      </c>
    </row>
    <row r="1393">
      <c r="A1393" s="0" t="inlineStr">
        <is>
          <t xml:space="preserve">o1392</t>
        </is>
      </c>
      <c r="B1393" s="0" t="inlineStr">
        <is>
          <t xml:space="preserve">a1214</t>
        </is>
      </c>
      <c r="C1393" s="0" t="inlineStr">
        <is>
          <t xml:space="preserve">r05</t>
        </is>
      </c>
      <c r="D1393" s="0" t="inlineStr">
        <is>
          <t xml:space="preserve">s_amer_east_in</t>
        </is>
      </c>
      <c r="E1393" s="0" t="inlineStr">
        <is>
          <t xml:space="preserve">inbound</t>
        </is>
      </c>
      <c r="F1393" s="0" t="inlineStr">
        <is>
          <t xml:space="preserve">discovery</t>
        </is>
      </c>
      <c r="G1393" s="4">
        <v>1</v>
      </c>
      <c r="H1393" s="4">
        <v>22800</v>
      </c>
      <c r="I1393" s="4">
        <v>1</v>
      </c>
      <c r="J1393" s="4">
        <v>0</v>
      </c>
      <c r="K1393" s="16">
        <v>46283</v>
      </c>
      <c r="L1393" s="16">
        <v>46371</v>
      </c>
      <c r="M1393" s="0" t="inlineStr">
        <is>
          <t xml:space="preserve">sep26</t>
        </is>
      </c>
      <c r="N1393" s="0" t="inlineStr">
        <is>
          <t xml:space="preserve">dec26</t>
        </is>
      </c>
      <c r="O1393" s="4">
        <v>21</v>
      </c>
      <c r="P1393" s="4">
        <v>0</v>
      </c>
      <c r="Q1393" s="4">
        <v>0</v>
      </c>
      <c r="R1393" s="4">
        <v>1</v>
      </c>
      <c r="S1393" s="4">
        <f>(H1393*INDEX('Stages'!$D$2:$D$7,MATCH(F1393,'Stages'!$A$2:$A$7,0)))</f>
        <v>2280</v>
      </c>
      <c r="T1393" s="4">
        <f>(H1393*I1393)</f>
        <v>22800</v>
      </c>
      <c r="U1393" s="4">
        <f>(H1393*(I1393-1))</f>
        <v>0</v>
      </c>
      <c r="V1393" s="0" t="str">
        <f>INDEX('Account executives'!$B$2:$B$25,MATCH(C1393,'Account executives'!$A$2:$A$25,0))</f>
        <v>amer_east</v>
      </c>
      <c r="W1393" s="0" t="str">
        <f>INDEX('Account executives'!$C$2:$C$25,MATCH(C1393,'Account executives'!$A$2:$A$25,0))</f>
        <v>smb</v>
      </c>
      <c r="X1393" s="0" t="str">
        <f>SUBSTITUTE(LOWER(INDEX('Periods'!$G$2:$G$22,MATCH(N1393,'Periods'!$A$2:$A$22,0)))," ","_")</f>
        <v>q4_2026</v>
      </c>
    </row>
    <row r="1394">
      <c r="A1394" s="0" t="inlineStr">
        <is>
          <t xml:space="preserve">o1393</t>
        </is>
      </c>
      <c r="B1394" s="0" t="inlineStr">
        <is>
          <t xml:space="preserve">a0207</t>
        </is>
      </c>
      <c r="C1394" s="0" t="inlineStr">
        <is>
          <t xml:space="preserve">r15</t>
        </is>
      </c>
      <c r="D1394" s="0" t="inlineStr">
        <is>
          <t xml:space="preserve">s_emea_in</t>
        </is>
      </c>
      <c r="E1394" s="0" t="inlineStr">
        <is>
          <t xml:space="preserve">inbound</t>
        </is>
      </c>
      <c r="F1394" s="0" t="inlineStr">
        <is>
          <t xml:space="preserve">closed_won</t>
        </is>
      </c>
      <c r="G1394" s="4">
        <v>1</v>
      </c>
      <c r="H1394" s="4">
        <v>20000</v>
      </c>
      <c r="I1394" s="4">
        <v>3</v>
      </c>
      <c r="J1394" s="4">
        <v>0</v>
      </c>
      <c r="K1394" s="16">
        <v>45823</v>
      </c>
      <c r="L1394" s="16">
        <v>45928</v>
      </c>
      <c r="M1394" s="0" t="inlineStr">
        <is>
          <t xml:space="preserve">jun25</t>
        </is>
      </c>
      <c r="N1394" s="0" t="inlineStr">
        <is>
          <t xml:space="preserve">sep25</t>
        </is>
      </c>
      <c r="O1394" s="4">
        <v>105</v>
      </c>
      <c r="P1394" s="4">
        <v>1</v>
      </c>
      <c r="Q1394" s="4">
        <v>0</v>
      </c>
      <c r="R1394" s="4">
        <v>0</v>
      </c>
      <c r="S1394" s="4">
        <f>(H1394*INDEX('Stages'!$D$2:$D$7,MATCH(F1394,'Stages'!$A$2:$A$7,0)))</f>
        <v>20000</v>
      </c>
      <c r="T1394" s="4">
        <f>(H1394*I1394)</f>
        <v>60000</v>
      </c>
      <c r="U1394" s="4">
        <f>(H1394*(I1394-1))</f>
        <v>40000</v>
      </c>
      <c r="V1394" s="0" t="str">
        <f>INDEX('Account executives'!$B$2:$B$25,MATCH(C1394,'Account executives'!$A$2:$A$25,0))</f>
        <v>emea</v>
      </c>
      <c r="W1394" s="0" t="str">
        <f>INDEX('Account executives'!$C$2:$C$25,MATCH(C1394,'Account executives'!$A$2:$A$25,0))</f>
        <v>mid_market</v>
      </c>
      <c r="X1394" s="0" t="str">
        <f>SUBSTITUTE(LOWER(INDEX('Periods'!$G$2:$G$22,MATCH(N1394,'Periods'!$A$2:$A$22,0)))," ","_")</f>
        <v>q3_2025</v>
      </c>
    </row>
    <row r="1395">
      <c r="A1395" s="0" t="inlineStr">
        <is>
          <t xml:space="preserve">o1394</t>
        </is>
      </c>
      <c r="B1395" s="0" t="inlineStr">
        <is>
          <t xml:space="preserve">a1015</t>
        </is>
      </c>
      <c r="C1395" s="0" t="inlineStr">
        <is>
          <t xml:space="preserve">r17</t>
        </is>
      </c>
      <c r="D1395" s="0" t="inlineStr">
        <is>
          <t xml:space="preserve">s_emea_out</t>
        </is>
      </c>
      <c r="E1395" s="0" t="inlineStr">
        <is>
          <t xml:space="preserve">outbound</t>
        </is>
      </c>
      <c r="F1395" s="0" t="inlineStr">
        <is>
          <t xml:space="preserve">evaluation</t>
        </is>
      </c>
      <c r="G1395" s="4">
        <v>0</v>
      </c>
      <c r="H1395" s="4">
        <v>12300</v>
      </c>
      <c r="I1395" s="4">
        <v>1</v>
      </c>
      <c r="J1395" s="4">
        <v>0</v>
      </c>
      <c r="K1395" s="16">
        <v>46262</v>
      </c>
      <c r="L1395" s="16">
        <v>46293</v>
      </c>
      <c r="M1395" s="0" t="inlineStr">
        <is>
          <t xml:space="preserve">aug26</t>
        </is>
      </c>
      <c r="N1395" s="0" t="inlineStr">
        <is>
          <t xml:space="preserve">sep26</t>
        </is>
      </c>
      <c r="O1395" s="4">
        <v>37</v>
      </c>
      <c r="P1395" s="4">
        <v>0</v>
      </c>
      <c r="Q1395" s="4">
        <v>0</v>
      </c>
      <c r="R1395" s="4">
        <v>1</v>
      </c>
      <c r="S1395" s="4">
        <f>(H1395*INDEX('Stages'!$D$2:$D$7,MATCH(F1395,'Stages'!$A$2:$A$7,0)))</f>
        <v>3075</v>
      </c>
      <c r="T1395" s="4">
        <f>(H1395*I1395)</f>
        <v>12300</v>
      </c>
      <c r="U1395" s="4">
        <f>(H1395*(I1395-1))</f>
        <v>0</v>
      </c>
      <c r="V1395" s="0" t="str">
        <f>INDEX('Account executives'!$B$2:$B$25,MATCH(C1395,'Account executives'!$A$2:$A$25,0))</f>
        <v>emea</v>
      </c>
      <c r="W1395" s="0" t="str">
        <f>INDEX('Account executives'!$C$2:$C$25,MATCH(C1395,'Account executives'!$A$2:$A$25,0))</f>
        <v>smb</v>
      </c>
      <c r="X1395" s="0" t="str">
        <f>SUBSTITUTE(LOWER(INDEX('Periods'!$G$2:$G$22,MATCH(N1395,'Periods'!$A$2:$A$22,0)))," ","_")</f>
        <v>q3_2026</v>
      </c>
    </row>
    <row r="1396">
      <c r="A1396" s="0" t="inlineStr">
        <is>
          <t xml:space="preserve">o1395</t>
        </is>
      </c>
      <c r="B1396" s="0" t="inlineStr">
        <is>
          <t xml:space="preserve">a0212</t>
        </is>
      </c>
      <c r="C1396" s="0" t="inlineStr">
        <is>
          <t xml:space="preserve">r15</t>
        </is>
      </c>
      <c r="D1396" s="0" t="inlineStr">
        <is>
          <t xml:space="preserve">s_emea_in</t>
        </is>
      </c>
      <c r="E1396" s="0" t="inlineStr">
        <is>
          <t xml:space="preserve">paid</t>
        </is>
      </c>
      <c r="F1396" s="0" t="inlineStr">
        <is>
          <t xml:space="preserve">closed_lost</t>
        </is>
      </c>
      <c r="G1396" s="4">
        <v>1</v>
      </c>
      <c r="H1396" s="4">
        <v>87200</v>
      </c>
      <c r="I1396" s="4">
        <v>1</v>
      </c>
      <c r="J1396" s="4">
        <v>1</v>
      </c>
      <c r="K1396" s="16">
        <v>45816</v>
      </c>
      <c r="L1396" s="16">
        <v>45885</v>
      </c>
      <c r="M1396" s="0" t="inlineStr">
        <is>
          <t xml:space="preserve">jun25</t>
        </is>
      </c>
      <c r="N1396" s="0" t="inlineStr">
        <is>
          <t xml:space="preserve">aug25</t>
        </is>
      </c>
      <c r="O1396" s="4">
        <v>69</v>
      </c>
      <c r="P1396" s="4">
        <v>0</v>
      </c>
      <c r="Q1396" s="4">
        <v>1</v>
      </c>
      <c r="R1396" s="4">
        <v>0</v>
      </c>
      <c r="S1396" s="4">
        <f>(H1396*INDEX('Stages'!$D$2:$D$7,MATCH(F1396,'Stages'!$A$2:$A$7,0)))</f>
        <v>0</v>
      </c>
      <c r="T1396" s="4">
        <f>(H1396*I1396)</f>
        <v>87200</v>
      </c>
      <c r="U1396" s="4">
        <f>(H1396*(I1396-1))</f>
        <v>0</v>
      </c>
      <c r="V1396" s="0" t="str">
        <f>INDEX('Account executives'!$B$2:$B$25,MATCH(C1396,'Account executives'!$A$2:$A$25,0))</f>
        <v>emea</v>
      </c>
      <c r="W1396" s="0" t="str">
        <f>INDEX('Account executives'!$C$2:$C$25,MATCH(C1396,'Account executives'!$A$2:$A$25,0))</f>
        <v>mid_market</v>
      </c>
      <c r="X1396" s="0" t="str">
        <f>SUBSTITUTE(LOWER(INDEX('Periods'!$G$2:$G$22,MATCH(N1396,'Periods'!$A$2:$A$22,0)))," ","_")</f>
        <v>q3_2025</v>
      </c>
    </row>
    <row r="1397">
      <c r="A1397" s="0" t="inlineStr">
        <is>
          <t xml:space="preserve">o1396</t>
        </is>
      </c>
      <c r="B1397" s="0" t="inlineStr">
        <is>
          <t xml:space="preserve">a1259</t>
        </is>
      </c>
      <c r="C1397" s="0" t="inlineStr">
        <is>
          <t xml:space="preserve">r24</t>
        </is>
      </c>
      <c r="D1397" s="0" t="inlineStr">
        <is>
          <t xml:space="preserve">s_apac_in</t>
        </is>
      </c>
      <c r="E1397" s="0" t="inlineStr">
        <is>
          <t xml:space="preserve">inbound</t>
        </is>
      </c>
      <c r="F1397" s="0" t="inlineStr">
        <is>
          <t xml:space="preserve">discovery</t>
        </is>
      </c>
      <c r="G1397" s="4">
        <v>1</v>
      </c>
      <c r="H1397" s="4">
        <v>21700</v>
      </c>
      <c r="I1397" s="4">
        <v>1</v>
      </c>
      <c r="J1397" s="4">
        <v>0</v>
      </c>
      <c r="K1397" s="16">
        <v>46284</v>
      </c>
      <c r="L1397" s="16">
        <v>46311</v>
      </c>
      <c r="M1397" s="0" t="inlineStr">
        <is>
          <t xml:space="preserve">sep26</t>
        </is>
      </c>
      <c r="N1397" s="0" t="inlineStr">
        <is>
          <t xml:space="preserve">oct26</t>
        </is>
      </c>
      <c r="O1397" s="4">
        <v>36</v>
      </c>
      <c r="P1397" s="4">
        <v>0</v>
      </c>
      <c r="Q1397" s="4">
        <v>0</v>
      </c>
      <c r="R1397" s="4">
        <v>1</v>
      </c>
      <c r="S1397" s="4">
        <f>(H1397*INDEX('Stages'!$D$2:$D$7,MATCH(F1397,'Stages'!$A$2:$A$7,0)))</f>
        <v>2170</v>
      </c>
      <c r="T1397" s="4">
        <f>(H1397*I1397)</f>
        <v>21700</v>
      </c>
      <c r="U1397" s="4">
        <f>(H1397*(I1397-1))</f>
        <v>0</v>
      </c>
      <c r="V1397" s="0" t="str">
        <f>INDEX('Account executives'!$B$2:$B$25,MATCH(C1397,'Account executives'!$A$2:$A$25,0))</f>
        <v>apac</v>
      </c>
      <c r="W1397" s="0" t="str">
        <f>INDEX('Account executives'!$C$2:$C$25,MATCH(C1397,'Account executives'!$A$2:$A$25,0))</f>
        <v>smb</v>
      </c>
      <c r="X1397" s="0" t="str">
        <f>SUBSTITUTE(LOWER(INDEX('Periods'!$G$2:$G$22,MATCH(N1397,'Periods'!$A$2:$A$22,0)))," ","_")</f>
        <v>q4_2026</v>
      </c>
    </row>
    <row r="1398">
      <c r="A1398" s="0" t="inlineStr">
        <is>
          <t xml:space="preserve">o1397</t>
        </is>
      </c>
      <c r="B1398" s="0" t="inlineStr">
        <is>
          <t xml:space="preserve">a1177</t>
        </is>
      </c>
      <c r="C1398" s="0" t="inlineStr">
        <is>
          <t xml:space="preserve">r10</t>
        </is>
      </c>
      <c r="D1398" s="0" t="inlineStr">
        <is>
          <t xml:space="preserve">s_amer_west_out</t>
        </is>
      </c>
      <c r="E1398" s="0" t="inlineStr">
        <is>
          <t xml:space="preserve">outbound</t>
        </is>
      </c>
      <c r="F1398" s="0" t="inlineStr">
        <is>
          <t xml:space="preserve">discovery</t>
        </is>
      </c>
      <c r="G1398" s="4">
        <v>1</v>
      </c>
      <c r="H1398" s="4">
        <v>48400</v>
      </c>
      <c r="I1398" s="4">
        <v>1</v>
      </c>
      <c r="J1398" s="4">
        <v>1</v>
      </c>
      <c r="K1398" s="16">
        <v>46258</v>
      </c>
      <c r="L1398" s="16">
        <v>46371</v>
      </c>
      <c r="M1398" s="0" t="inlineStr">
        <is>
          <t xml:space="preserve">aug26</t>
        </is>
      </c>
      <c r="N1398" s="0" t="inlineStr">
        <is>
          <t xml:space="preserve">dec26</t>
        </is>
      </c>
      <c r="O1398" s="4">
        <v>126</v>
      </c>
      <c r="P1398" s="4">
        <v>0</v>
      </c>
      <c r="Q1398" s="4">
        <v>0</v>
      </c>
      <c r="R1398" s="4">
        <v>1</v>
      </c>
      <c r="S1398" s="4">
        <f>(H1398*INDEX('Stages'!$D$2:$D$7,MATCH(F1398,'Stages'!$A$2:$A$7,0)))</f>
        <v>4840</v>
      </c>
      <c r="T1398" s="4">
        <f>(H1398*I1398)</f>
        <v>48400</v>
      </c>
      <c r="U1398" s="4">
        <f>(H1398*(I1398-1))</f>
        <v>0</v>
      </c>
      <c r="V1398" s="0" t="str">
        <f>INDEX('Account executives'!$B$2:$B$25,MATCH(C1398,'Account executives'!$A$2:$A$25,0))</f>
        <v>amer_west</v>
      </c>
      <c r="W1398" s="0" t="str">
        <f>INDEX('Account executives'!$C$2:$C$25,MATCH(C1398,'Account executives'!$A$2:$A$25,0))</f>
        <v>mid_market</v>
      </c>
      <c r="X1398" s="0" t="str">
        <f>SUBSTITUTE(LOWER(INDEX('Periods'!$G$2:$G$22,MATCH(N1398,'Periods'!$A$2:$A$22,0)))," ","_")</f>
        <v>q4_2026</v>
      </c>
    </row>
    <row r="1399">
      <c r="A1399" s="0" t="inlineStr">
        <is>
          <t xml:space="preserve">o1398</t>
        </is>
      </c>
      <c r="B1399" s="0" t="inlineStr">
        <is>
          <t xml:space="preserve">a0160</t>
        </is>
      </c>
      <c r="C1399" s="0" t="inlineStr">
        <is>
          <t xml:space="preserve">r05</t>
        </is>
      </c>
      <c r="D1399" s="0" t="inlineStr">
        <is>
          <t xml:space="preserve">s_amer_east_in</t>
        </is>
      </c>
      <c r="E1399" s="0" t="inlineStr">
        <is>
          <t xml:space="preserve">inbound</t>
        </is>
      </c>
      <c r="F1399" s="0" t="inlineStr">
        <is>
          <t xml:space="preserve">closed_lost</t>
        </is>
      </c>
      <c r="G1399" s="4">
        <v>1</v>
      </c>
      <c r="H1399" s="4">
        <v>10400</v>
      </c>
      <c r="I1399" s="4">
        <v>1</v>
      </c>
      <c r="J1399" s="4">
        <v>0</v>
      </c>
      <c r="K1399" s="16">
        <v>45821</v>
      </c>
      <c r="L1399" s="16">
        <v>45928</v>
      </c>
      <c r="M1399" s="0" t="inlineStr">
        <is>
          <t xml:space="preserve">jun25</t>
        </is>
      </c>
      <c r="N1399" s="0" t="inlineStr">
        <is>
          <t xml:space="preserve">sep25</t>
        </is>
      </c>
      <c r="O1399" s="4">
        <v>107</v>
      </c>
      <c r="P1399" s="4">
        <v>0</v>
      </c>
      <c r="Q1399" s="4">
        <v>1</v>
      </c>
      <c r="R1399" s="4">
        <v>0</v>
      </c>
      <c r="S1399" s="4">
        <f>(H1399*INDEX('Stages'!$D$2:$D$7,MATCH(F1399,'Stages'!$A$2:$A$7,0)))</f>
        <v>0</v>
      </c>
      <c r="T1399" s="4">
        <f>(H1399*I1399)</f>
        <v>10400</v>
      </c>
      <c r="U1399" s="4">
        <f>(H1399*(I1399-1))</f>
        <v>0</v>
      </c>
      <c r="V1399" s="0" t="str">
        <f>INDEX('Account executives'!$B$2:$B$25,MATCH(C1399,'Account executives'!$A$2:$A$25,0))</f>
        <v>amer_east</v>
      </c>
      <c r="W1399" s="0" t="str">
        <f>INDEX('Account executives'!$C$2:$C$25,MATCH(C1399,'Account executives'!$A$2:$A$25,0))</f>
        <v>smb</v>
      </c>
      <c r="X1399" s="0" t="str">
        <f>SUBSTITUTE(LOWER(INDEX('Periods'!$G$2:$G$22,MATCH(N1399,'Periods'!$A$2:$A$22,0)))," ","_")</f>
        <v>q3_2025</v>
      </c>
    </row>
    <row r="1400">
      <c r="A1400" s="0" t="inlineStr">
        <is>
          <t xml:space="preserve">o1399</t>
        </is>
      </c>
      <c r="B1400" s="0" t="inlineStr">
        <is>
          <t xml:space="preserve">a0407</t>
        </is>
      </c>
      <c r="C1400" s="0" t="inlineStr">
        <is>
          <t xml:space="preserve">r20</t>
        </is>
      </c>
      <c r="D1400" s="0" t="inlineStr">
        <is>
          <t xml:space="preserve">s_apac_in</t>
        </is>
      </c>
      <c r="E1400" s="0" t="inlineStr">
        <is>
          <t xml:space="preserve">inbound</t>
        </is>
      </c>
      <c r="F1400" s="0" t="inlineStr">
        <is>
          <t xml:space="preserve">closed_lost</t>
        </is>
      </c>
      <c r="G1400" s="4">
        <v>1</v>
      </c>
      <c r="H1400" s="4">
        <v>157300</v>
      </c>
      <c r="I1400" s="4">
        <v>2</v>
      </c>
      <c r="J1400" s="4">
        <v>0</v>
      </c>
      <c r="K1400" s="16">
        <v>45920</v>
      </c>
      <c r="L1400" s="16">
        <v>46032</v>
      </c>
      <c r="M1400" s="0" t="inlineStr">
        <is>
          <t xml:space="preserve">sep25</t>
        </is>
      </c>
      <c r="N1400" s="0" t="inlineStr">
        <is>
          <t xml:space="preserve">jan26</t>
        </is>
      </c>
      <c r="O1400" s="4">
        <v>112</v>
      </c>
      <c r="P1400" s="4">
        <v>0</v>
      </c>
      <c r="Q1400" s="4">
        <v>1</v>
      </c>
      <c r="R1400" s="4">
        <v>0</v>
      </c>
      <c r="S1400" s="4">
        <f>(H1400*INDEX('Stages'!$D$2:$D$7,MATCH(F1400,'Stages'!$A$2:$A$7,0)))</f>
        <v>0</v>
      </c>
      <c r="T1400" s="4">
        <f>(H1400*I1400)</f>
        <v>314600</v>
      </c>
      <c r="U1400" s="4">
        <f>(H1400*(I1400-1))</f>
        <v>157300</v>
      </c>
      <c r="V1400" s="0" t="str">
        <f>INDEX('Account executives'!$B$2:$B$25,MATCH(C1400,'Account executives'!$A$2:$A$25,0))</f>
        <v>apac</v>
      </c>
      <c r="W1400" s="0" t="str">
        <f>INDEX('Account executives'!$C$2:$C$25,MATCH(C1400,'Account executives'!$A$2:$A$25,0))</f>
        <v>enterprise</v>
      </c>
      <c r="X1400" s="0" t="str">
        <f>SUBSTITUTE(LOWER(INDEX('Periods'!$G$2:$G$22,MATCH(N1400,'Periods'!$A$2:$A$22,0)))," ","_")</f>
        <v>q1_2026</v>
      </c>
    </row>
    <row r="1401">
      <c r="A1401" s="0" t="inlineStr">
        <is>
          <t xml:space="preserve">o1400</t>
        </is>
      </c>
      <c r="B1401" s="0" t="inlineStr">
        <is>
          <t xml:space="preserve">a0863</t>
        </is>
      </c>
      <c r="C1401" s="0" t="inlineStr">
        <is>
          <t xml:space="preserve">r16</t>
        </is>
      </c>
      <c r="D1401" s="0" t="inlineStr">
        <is>
          <t xml:space="preserve">s_emea_in</t>
        </is>
      </c>
      <c r="E1401" s="0" t="inlineStr">
        <is>
          <t xml:space="preserve">inbound</t>
        </is>
      </c>
      <c r="F1401" s="0" t="inlineStr">
        <is>
          <t xml:space="preserve">closed_lost</t>
        </is>
      </c>
      <c r="G1401" s="4">
        <v>1</v>
      </c>
      <c r="H1401" s="4">
        <v>50000</v>
      </c>
      <c r="I1401" s="4">
        <v>1</v>
      </c>
      <c r="J1401" s="4">
        <v>0</v>
      </c>
      <c r="K1401" s="16">
        <v>46131</v>
      </c>
      <c r="L1401" s="16">
        <v>46183</v>
      </c>
      <c r="M1401" s="0" t="inlineStr">
        <is>
          <t xml:space="preserve">apr26</t>
        </is>
      </c>
      <c r="N1401" s="0" t="inlineStr">
        <is>
          <t xml:space="preserve">jun26</t>
        </is>
      </c>
      <c r="O1401" s="4">
        <v>52</v>
      </c>
      <c r="P1401" s="4">
        <v>0</v>
      </c>
      <c r="Q1401" s="4">
        <v>1</v>
      </c>
      <c r="R1401" s="4">
        <v>0</v>
      </c>
      <c r="S1401" s="4">
        <f>(H1401*INDEX('Stages'!$D$2:$D$7,MATCH(F1401,'Stages'!$A$2:$A$7,0)))</f>
        <v>0</v>
      </c>
      <c r="T1401" s="4">
        <f>(H1401*I1401)</f>
        <v>50000</v>
      </c>
      <c r="U1401" s="4">
        <f>(H1401*(I1401-1))</f>
        <v>0</v>
      </c>
      <c r="V1401" s="0" t="str">
        <f>INDEX('Account executives'!$B$2:$B$25,MATCH(C1401,'Account executives'!$A$2:$A$25,0))</f>
        <v>emea</v>
      </c>
      <c r="W1401" s="0" t="str">
        <f>INDEX('Account executives'!$C$2:$C$25,MATCH(C1401,'Account executives'!$A$2:$A$25,0))</f>
        <v>mid_market</v>
      </c>
      <c r="X1401" s="0" t="str">
        <f>SUBSTITUTE(LOWER(INDEX('Periods'!$G$2:$G$22,MATCH(N1401,'Periods'!$A$2:$A$22,0)))," ","_")</f>
        <v>q2_2026</v>
      </c>
    </row>
    <row r="1402">
      <c r="A1402" s="0" t="inlineStr">
        <is>
          <t xml:space="preserve">o1401</t>
        </is>
      </c>
      <c r="B1402" s="0" t="inlineStr">
        <is>
          <t xml:space="preserve">a0224</t>
        </is>
      </c>
      <c r="C1402" s="0" t="inlineStr">
        <is>
          <t xml:space="preserve">r22</t>
        </is>
      </c>
      <c r="D1402" s="0"/>
      <c r="E1402" s="0" t="inlineStr">
        <is>
          <t xml:space="preserve">partner</t>
        </is>
      </c>
      <c r="F1402" s="0" t="inlineStr">
        <is>
          <t xml:space="preserve">closed_won</t>
        </is>
      </c>
      <c r="G1402" s="4">
        <v>0</v>
      </c>
      <c r="H1402" s="4">
        <v>23800</v>
      </c>
      <c r="I1402" s="4">
        <v>2</v>
      </c>
      <c r="J1402" s="4">
        <v>0</v>
      </c>
      <c r="K1402" s="16">
        <v>45924</v>
      </c>
      <c r="L1402" s="16">
        <v>45970</v>
      </c>
      <c r="M1402" s="0" t="inlineStr">
        <is>
          <t xml:space="preserve">sep25</t>
        </is>
      </c>
      <c r="N1402" s="0" t="inlineStr">
        <is>
          <t xml:space="preserve">nov25</t>
        </is>
      </c>
      <c r="O1402" s="4">
        <v>46</v>
      </c>
      <c r="P1402" s="4">
        <v>1</v>
      </c>
      <c r="Q1402" s="4">
        <v>0</v>
      </c>
      <c r="R1402" s="4">
        <v>0</v>
      </c>
      <c r="S1402" s="4">
        <f>(H1402*INDEX('Stages'!$D$2:$D$7,MATCH(F1402,'Stages'!$A$2:$A$7,0)))</f>
        <v>23800</v>
      </c>
      <c r="T1402" s="4">
        <f>(H1402*I1402)</f>
        <v>47600</v>
      </c>
      <c r="U1402" s="4">
        <f>(H1402*(I1402-1))</f>
        <v>23800</v>
      </c>
      <c r="V1402" s="0" t="str">
        <f>INDEX('Account executives'!$B$2:$B$25,MATCH(C1402,'Account executives'!$A$2:$A$25,0))</f>
        <v>apac</v>
      </c>
      <c r="W1402" s="0" t="str">
        <f>INDEX('Account executives'!$C$2:$C$25,MATCH(C1402,'Account executives'!$A$2:$A$25,0))</f>
        <v>mid_market</v>
      </c>
      <c r="X1402" s="0" t="str">
        <f>SUBSTITUTE(LOWER(INDEX('Periods'!$G$2:$G$22,MATCH(N1402,'Periods'!$A$2:$A$22,0)))," ","_")</f>
        <v>q4_2025</v>
      </c>
    </row>
    <row r="1403">
      <c r="A1403" s="0" t="inlineStr">
        <is>
          <t xml:space="preserve">o1402</t>
        </is>
      </c>
      <c r="B1403" s="0" t="inlineStr">
        <is>
          <t xml:space="preserve">a1174</t>
        </is>
      </c>
      <c r="C1403" s="0" t="inlineStr">
        <is>
          <t xml:space="preserve">r12</t>
        </is>
      </c>
      <c r="D1403" s="0" t="inlineStr">
        <is>
          <t xml:space="preserve">s_amer_west_in</t>
        </is>
      </c>
      <c r="E1403" s="0" t="inlineStr">
        <is>
          <t xml:space="preserve">paid</t>
        </is>
      </c>
      <c r="F1403" s="0" t="inlineStr">
        <is>
          <t xml:space="preserve">closed_lost</t>
        </is>
      </c>
      <c r="G1403" s="4">
        <v>1</v>
      </c>
      <c r="H1403" s="4">
        <v>16900</v>
      </c>
      <c r="I1403" s="4">
        <v>1</v>
      </c>
      <c r="J1403" s="4">
        <v>1</v>
      </c>
      <c r="K1403" s="16">
        <v>46255</v>
      </c>
      <c r="L1403" s="16">
        <v>46277</v>
      </c>
      <c r="M1403" s="0" t="inlineStr">
        <is>
          <t xml:space="preserve">aug26</t>
        </is>
      </c>
      <c r="N1403" s="0" t="inlineStr">
        <is>
          <t xml:space="preserve">sep26</t>
        </is>
      </c>
      <c r="O1403" s="4">
        <v>22</v>
      </c>
      <c r="P1403" s="4">
        <v>0</v>
      </c>
      <c r="Q1403" s="4">
        <v>1</v>
      </c>
      <c r="R1403" s="4">
        <v>0</v>
      </c>
      <c r="S1403" s="4">
        <f>(H1403*INDEX('Stages'!$D$2:$D$7,MATCH(F1403,'Stages'!$A$2:$A$7,0)))</f>
        <v>0</v>
      </c>
      <c r="T1403" s="4">
        <f>(H1403*I1403)</f>
        <v>16900</v>
      </c>
      <c r="U1403" s="4">
        <f>(H1403*(I1403-1))</f>
        <v>0</v>
      </c>
      <c r="V1403" s="0" t="str">
        <f>INDEX('Account executives'!$B$2:$B$25,MATCH(C1403,'Account executives'!$A$2:$A$25,0))</f>
        <v>amer_west</v>
      </c>
      <c r="W1403" s="0" t="str">
        <f>INDEX('Account executives'!$C$2:$C$25,MATCH(C1403,'Account executives'!$A$2:$A$25,0))</f>
        <v>smb</v>
      </c>
      <c r="X1403" s="0" t="str">
        <f>SUBSTITUTE(LOWER(INDEX('Periods'!$G$2:$G$22,MATCH(N1403,'Periods'!$A$2:$A$22,0)))," ","_")</f>
        <v>q3_2026</v>
      </c>
    </row>
    <row r="1404">
      <c r="A1404" s="0" t="inlineStr">
        <is>
          <t xml:space="preserve">o1403</t>
        </is>
      </c>
      <c r="B1404" s="0" t="inlineStr">
        <is>
          <t xml:space="preserve">a0397</t>
        </is>
      </c>
      <c r="C1404" s="0" t="inlineStr">
        <is>
          <t xml:space="preserve">r18</t>
        </is>
      </c>
      <c r="D1404" s="0" t="inlineStr">
        <is>
          <t xml:space="preserve">s_emea_in</t>
        </is>
      </c>
      <c r="E1404" s="0" t="inlineStr">
        <is>
          <t xml:space="preserve">paid</t>
        </is>
      </c>
      <c r="F1404" s="0" t="inlineStr">
        <is>
          <t xml:space="preserve">closed_won</t>
        </is>
      </c>
      <c r="G1404" s="4">
        <v>1</v>
      </c>
      <c r="H1404" s="4">
        <v>21700</v>
      </c>
      <c r="I1404" s="4">
        <v>1</v>
      </c>
      <c r="J1404" s="4">
        <v>1</v>
      </c>
      <c r="K1404" s="16">
        <v>45922</v>
      </c>
      <c r="L1404" s="16">
        <v>45955</v>
      </c>
      <c r="M1404" s="0" t="inlineStr">
        <is>
          <t xml:space="preserve">sep25</t>
        </is>
      </c>
      <c r="N1404" s="0" t="inlineStr">
        <is>
          <t xml:space="preserve">oct25</t>
        </is>
      </c>
      <c r="O1404" s="4">
        <v>33</v>
      </c>
      <c r="P1404" s="4">
        <v>1</v>
      </c>
      <c r="Q1404" s="4">
        <v>0</v>
      </c>
      <c r="R1404" s="4">
        <v>0</v>
      </c>
      <c r="S1404" s="4">
        <f>(H1404*INDEX('Stages'!$D$2:$D$7,MATCH(F1404,'Stages'!$A$2:$A$7,0)))</f>
        <v>21700</v>
      </c>
      <c r="T1404" s="4">
        <f>(H1404*I1404)</f>
        <v>21700</v>
      </c>
      <c r="U1404" s="4">
        <f>(H1404*(I1404-1))</f>
        <v>0</v>
      </c>
      <c r="V1404" s="0" t="str">
        <f>INDEX('Account executives'!$B$2:$B$25,MATCH(C1404,'Account executives'!$A$2:$A$25,0))</f>
        <v>emea</v>
      </c>
      <c r="W1404" s="0" t="str">
        <f>INDEX('Account executives'!$C$2:$C$25,MATCH(C1404,'Account executives'!$A$2:$A$25,0))</f>
        <v>smb</v>
      </c>
      <c r="X1404" s="0" t="str">
        <f>SUBSTITUTE(LOWER(INDEX('Periods'!$G$2:$G$22,MATCH(N1404,'Periods'!$A$2:$A$22,0)))," ","_")</f>
        <v>q4_2025</v>
      </c>
    </row>
    <row r="1405">
      <c r="A1405" s="0" t="inlineStr">
        <is>
          <t xml:space="preserve">o1404</t>
        </is>
      </c>
      <c r="B1405" s="0" t="inlineStr">
        <is>
          <t xml:space="preserve">a0142</t>
        </is>
      </c>
      <c r="C1405" s="0" t="inlineStr">
        <is>
          <t xml:space="preserve">r24</t>
        </is>
      </c>
      <c r="D1405" s="0" t="inlineStr">
        <is>
          <t xml:space="preserve">s_apac_in</t>
        </is>
      </c>
      <c r="E1405" s="0" t="inlineStr">
        <is>
          <t xml:space="preserve">inbound</t>
        </is>
      </c>
      <c r="F1405" s="0" t="inlineStr">
        <is>
          <t xml:space="preserve">closed_lost</t>
        </is>
      </c>
      <c r="G1405" s="4">
        <v>0</v>
      </c>
      <c r="H1405" s="4">
        <v>8800</v>
      </c>
      <c r="I1405" s="4">
        <v>1</v>
      </c>
      <c r="J1405" s="4">
        <v>1</v>
      </c>
      <c r="K1405" s="16">
        <v>45799</v>
      </c>
      <c r="L1405" s="16">
        <v>45823</v>
      </c>
      <c r="M1405" s="0" t="inlineStr">
        <is>
          <t xml:space="preserve">may25</t>
        </is>
      </c>
      <c r="N1405" s="0" t="inlineStr">
        <is>
          <t xml:space="preserve">jun25</t>
        </is>
      </c>
      <c r="O1405" s="4">
        <v>24</v>
      </c>
      <c r="P1405" s="4">
        <v>0</v>
      </c>
      <c r="Q1405" s="4">
        <v>1</v>
      </c>
      <c r="R1405" s="4">
        <v>0</v>
      </c>
      <c r="S1405" s="4">
        <f>(H1405*INDEX('Stages'!$D$2:$D$7,MATCH(F1405,'Stages'!$A$2:$A$7,0)))</f>
        <v>0</v>
      </c>
      <c r="T1405" s="4">
        <f>(H1405*I1405)</f>
        <v>8800</v>
      </c>
      <c r="U1405" s="4">
        <f>(H1405*(I1405-1))</f>
        <v>0</v>
      </c>
      <c r="V1405" s="0" t="str">
        <f>INDEX('Account executives'!$B$2:$B$25,MATCH(C1405,'Account executives'!$A$2:$A$25,0))</f>
        <v>apac</v>
      </c>
      <c r="W1405" s="0" t="str">
        <f>INDEX('Account executives'!$C$2:$C$25,MATCH(C1405,'Account executives'!$A$2:$A$25,0))</f>
        <v>smb</v>
      </c>
      <c r="X1405" s="0" t="str">
        <f>SUBSTITUTE(LOWER(INDEX('Periods'!$G$2:$G$22,MATCH(N1405,'Periods'!$A$2:$A$22,0)))," ","_")</f>
        <v>q2_2025</v>
      </c>
    </row>
    <row r="1406">
      <c r="A1406" s="0" t="inlineStr">
        <is>
          <t xml:space="preserve">o1405</t>
        </is>
      </c>
      <c r="B1406" s="0" t="inlineStr">
        <is>
          <t xml:space="preserve">a0374</t>
        </is>
      </c>
      <c r="C1406" s="0" t="inlineStr">
        <is>
          <t xml:space="preserve">r11</t>
        </is>
      </c>
      <c r="D1406" s="0"/>
      <c r="E1406" s="0" t="inlineStr">
        <is>
          <t xml:space="preserve">partner</t>
        </is>
      </c>
      <c r="F1406" s="0" t="inlineStr">
        <is>
          <t xml:space="preserve">closed_lost</t>
        </is>
      </c>
      <c r="G1406" s="4">
        <v>0</v>
      </c>
      <c r="H1406" s="4">
        <v>9400</v>
      </c>
      <c r="I1406" s="4">
        <v>1</v>
      </c>
      <c r="J1406" s="4">
        <v>0</v>
      </c>
      <c r="K1406" s="16">
        <v>45948</v>
      </c>
      <c r="L1406" s="16">
        <v>45959</v>
      </c>
      <c r="M1406" s="0" t="inlineStr">
        <is>
          <t xml:space="preserve">oct25</t>
        </is>
      </c>
      <c r="N1406" s="0" t="inlineStr">
        <is>
          <t xml:space="preserve">oct25</t>
        </is>
      </c>
      <c r="O1406" s="4">
        <v>11</v>
      </c>
      <c r="P1406" s="4">
        <v>0</v>
      </c>
      <c r="Q1406" s="4">
        <v>1</v>
      </c>
      <c r="R1406" s="4">
        <v>0</v>
      </c>
      <c r="S1406" s="4">
        <f>(H1406*INDEX('Stages'!$D$2:$D$7,MATCH(F1406,'Stages'!$A$2:$A$7,0)))</f>
        <v>0</v>
      </c>
      <c r="T1406" s="4">
        <f>(H1406*I1406)</f>
        <v>9400</v>
      </c>
      <c r="U1406" s="4">
        <f>(H1406*(I1406-1))</f>
        <v>0</v>
      </c>
      <c r="V1406" s="0" t="str">
        <f>INDEX('Account executives'!$B$2:$B$25,MATCH(C1406,'Account executives'!$A$2:$A$25,0))</f>
        <v>amer_west</v>
      </c>
      <c r="W1406" s="0" t="str">
        <f>INDEX('Account executives'!$C$2:$C$25,MATCH(C1406,'Account executives'!$A$2:$A$25,0))</f>
        <v>smb</v>
      </c>
      <c r="X1406" s="0" t="str">
        <f>SUBSTITUTE(LOWER(INDEX('Periods'!$G$2:$G$22,MATCH(N1406,'Periods'!$A$2:$A$22,0)))," ","_")</f>
        <v>q4_2025</v>
      </c>
    </row>
    <row r="1407">
      <c r="A1407" s="0" t="inlineStr">
        <is>
          <t xml:space="preserve">o1406</t>
        </is>
      </c>
      <c r="B1407" s="0" t="inlineStr">
        <is>
          <t xml:space="preserve">a0013</t>
        </is>
      </c>
      <c r="C1407" s="0" t="inlineStr">
        <is>
          <t xml:space="preserve">r04</t>
        </is>
      </c>
      <c r="D1407" s="0"/>
      <c r="E1407" s="0" t="inlineStr">
        <is>
          <t xml:space="preserve">partner</t>
        </is>
      </c>
      <c r="F1407" s="0" t="inlineStr">
        <is>
          <t xml:space="preserve">closed_lost</t>
        </is>
      </c>
      <c r="G1407" s="4">
        <v>1</v>
      </c>
      <c r="H1407" s="4">
        <v>56500</v>
      </c>
      <c r="I1407" s="4">
        <v>1</v>
      </c>
      <c r="J1407" s="4">
        <v>0</v>
      </c>
      <c r="K1407" s="16">
        <v>45766</v>
      </c>
      <c r="L1407" s="16">
        <v>45824</v>
      </c>
      <c r="M1407" s="0" t="inlineStr">
        <is>
          <t xml:space="preserve">apr25</t>
        </is>
      </c>
      <c r="N1407" s="0" t="inlineStr">
        <is>
          <t xml:space="preserve">jun25</t>
        </is>
      </c>
      <c r="O1407" s="4">
        <v>58</v>
      </c>
      <c r="P1407" s="4">
        <v>0</v>
      </c>
      <c r="Q1407" s="4">
        <v>1</v>
      </c>
      <c r="R1407" s="4">
        <v>0</v>
      </c>
      <c r="S1407" s="4">
        <f>(H1407*INDEX('Stages'!$D$2:$D$7,MATCH(F1407,'Stages'!$A$2:$A$7,0)))</f>
        <v>0</v>
      </c>
      <c r="T1407" s="4">
        <f>(H1407*I1407)</f>
        <v>56500</v>
      </c>
      <c r="U1407" s="4">
        <f>(H1407*(I1407-1))</f>
        <v>0</v>
      </c>
      <c r="V1407" s="0" t="str">
        <f>INDEX('Account executives'!$B$2:$B$25,MATCH(C1407,'Account executives'!$A$2:$A$25,0))</f>
        <v>amer_east</v>
      </c>
      <c r="W1407" s="0" t="str">
        <f>INDEX('Account executives'!$C$2:$C$25,MATCH(C1407,'Account executives'!$A$2:$A$25,0))</f>
        <v>mid_market</v>
      </c>
      <c r="X1407" s="0" t="str">
        <f>SUBSTITUTE(LOWER(INDEX('Periods'!$G$2:$G$22,MATCH(N1407,'Periods'!$A$2:$A$22,0)))," ","_")</f>
        <v>q2_2025</v>
      </c>
    </row>
    <row r="1408">
      <c r="A1408" s="0" t="inlineStr">
        <is>
          <t xml:space="preserve">o1407</t>
        </is>
      </c>
      <c r="B1408" s="0" t="inlineStr">
        <is>
          <t xml:space="preserve">a0250</t>
        </is>
      </c>
      <c r="C1408" s="0" t="inlineStr">
        <is>
          <t xml:space="preserve">r04</t>
        </is>
      </c>
      <c r="D1408" s="0" t="inlineStr">
        <is>
          <t xml:space="preserve">s_amer_east_out</t>
        </is>
      </c>
      <c r="E1408" s="0" t="inlineStr">
        <is>
          <t xml:space="preserve">outbound</t>
        </is>
      </c>
      <c r="F1408" s="0" t="inlineStr">
        <is>
          <t xml:space="preserve">closed_lost</t>
        </is>
      </c>
      <c r="G1408" s="4">
        <v>1</v>
      </c>
      <c r="H1408" s="4">
        <v>89200</v>
      </c>
      <c r="I1408" s="4">
        <v>1</v>
      </c>
      <c r="J1408" s="4">
        <v>0</v>
      </c>
      <c r="K1408" s="16">
        <v>45855</v>
      </c>
      <c r="L1408" s="16">
        <v>45938</v>
      </c>
      <c r="M1408" s="0" t="inlineStr">
        <is>
          <t xml:space="preserve">jul25</t>
        </is>
      </c>
      <c r="N1408" s="0" t="inlineStr">
        <is>
          <t xml:space="preserve">oct25</t>
        </is>
      </c>
      <c r="O1408" s="4">
        <v>83</v>
      </c>
      <c r="P1408" s="4">
        <v>0</v>
      </c>
      <c r="Q1408" s="4">
        <v>1</v>
      </c>
      <c r="R1408" s="4">
        <v>0</v>
      </c>
      <c r="S1408" s="4">
        <f>(H1408*INDEX('Stages'!$D$2:$D$7,MATCH(F1408,'Stages'!$A$2:$A$7,0)))</f>
        <v>0</v>
      </c>
      <c r="T1408" s="4">
        <f>(H1408*I1408)</f>
        <v>89200</v>
      </c>
      <c r="U1408" s="4">
        <f>(H1408*(I1408-1))</f>
        <v>0</v>
      </c>
      <c r="V1408" s="0" t="str">
        <f>INDEX('Account executives'!$B$2:$B$25,MATCH(C1408,'Account executives'!$A$2:$A$25,0))</f>
        <v>amer_east</v>
      </c>
      <c r="W1408" s="0" t="str">
        <f>INDEX('Account executives'!$C$2:$C$25,MATCH(C1408,'Account executives'!$A$2:$A$25,0))</f>
        <v>mid_market</v>
      </c>
      <c r="X1408" s="0" t="str">
        <f>SUBSTITUTE(LOWER(INDEX('Periods'!$G$2:$G$22,MATCH(N1408,'Periods'!$A$2:$A$22,0)))," ","_")</f>
        <v>q4_2025</v>
      </c>
    </row>
    <row r="1409">
      <c r="A1409" s="0" t="inlineStr">
        <is>
          <t xml:space="preserve">o1408</t>
        </is>
      </c>
      <c r="B1409" s="0" t="inlineStr">
        <is>
          <t xml:space="preserve">a0604</t>
        </is>
      </c>
      <c r="C1409" s="0" t="inlineStr">
        <is>
          <t xml:space="preserve">r24</t>
        </is>
      </c>
      <c r="D1409" s="0" t="inlineStr">
        <is>
          <t xml:space="preserve">s_apac_out</t>
        </is>
      </c>
      <c r="E1409" s="0" t="inlineStr">
        <is>
          <t xml:space="preserve">outbound</t>
        </is>
      </c>
      <c r="F1409" s="0" t="inlineStr">
        <is>
          <t xml:space="preserve">negotiation</t>
        </is>
      </c>
      <c r="G1409" s="4">
        <v>0</v>
      </c>
      <c r="H1409" s="4">
        <v>6800</v>
      </c>
      <c r="I1409" s="4">
        <v>1</v>
      </c>
      <c r="J1409" s="4">
        <v>0</v>
      </c>
      <c r="K1409" s="16">
        <v>46245</v>
      </c>
      <c r="L1409" s="16">
        <v>46293</v>
      </c>
      <c r="M1409" s="0" t="inlineStr">
        <is>
          <t xml:space="preserve">aug26</t>
        </is>
      </c>
      <c r="N1409" s="0" t="inlineStr">
        <is>
          <t xml:space="preserve">sep26</t>
        </is>
      </c>
      <c r="O1409" s="4">
        <v>40</v>
      </c>
      <c r="P1409" s="4">
        <v>0</v>
      </c>
      <c r="Q1409" s="4">
        <v>0</v>
      </c>
      <c r="R1409" s="4">
        <v>1</v>
      </c>
      <c r="S1409" s="4">
        <f>(H1409*INDEX('Stages'!$D$2:$D$7,MATCH(F1409,'Stages'!$A$2:$A$7,0)))</f>
        <v>5100</v>
      </c>
      <c r="T1409" s="4">
        <f>(H1409*I1409)</f>
        <v>6800</v>
      </c>
      <c r="U1409" s="4">
        <f>(H1409*(I1409-1))</f>
        <v>0</v>
      </c>
      <c r="V1409" s="0" t="str">
        <f>INDEX('Account executives'!$B$2:$B$25,MATCH(C1409,'Account executives'!$A$2:$A$25,0))</f>
        <v>apac</v>
      </c>
      <c r="W1409" s="0" t="str">
        <f>INDEX('Account executives'!$C$2:$C$25,MATCH(C1409,'Account executives'!$A$2:$A$25,0))</f>
        <v>smb</v>
      </c>
      <c r="X1409" s="0" t="str">
        <f>SUBSTITUTE(LOWER(INDEX('Periods'!$G$2:$G$22,MATCH(N1409,'Periods'!$A$2:$A$22,0)))," ","_")</f>
        <v>q3_2026</v>
      </c>
    </row>
    <row r="1410">
      <c r="A1410" s="0" t="inlineStr">
        <is>
          <t xml:space="preserve">o1409</t>
        </is>
      </c>
      <c r="B1410" s="0" t="inlineStr">
        <is>
          <t xml:space="preserve">a0050</t>
        </is>
      </c>
      <c r="C1410" s="0" t="inlineStr">
        <is>
          <t xml:space="preserve">r16</t>
        </is>
      </c>
      <c r="D1410" s="0"/>
      <c r="E1410" s="0" t="inlineStr">
        <is>
          <t xml:space="preserve">events</t>
        </is>
      </c>
      <c r="F1410" s="0" t="inlineStr">
        <is>
          <t xml:space="preserve">closed_lost</t>
        </is>
      </c>
      <c r="G1410" s="4">
        <v>0</v>
      </c>
      <c r="H1410" s="4">
        <v>14700</v>
      </c>
      <c r="I1410" s="4">
        <v>1</v>
      </c>
      <c r="J1410" s="4">
        <v>1</v>
      </c>
      <c r="K1410" s="16">
        <v>46189</v>
      </c>
      <c r="L1410" s="16">
        <v>46214</v>
      </c>
      <c r="M1410" s="0" t="inlineStr">
        <is>
          <t xml:space="preserve">jun26</t>
        </is>
      </c>
      <c r="N1410" s="0" t="inlineStr">
        <is>
          <t xml:space="preserve">jul26</t>
        </is>
      </c>
      <c r="O1410" s="4">
        <v>25</v>
      </c>
      <c r="P1410" s="4">
        <v>0</v>
      </c>
      <c r="Q1410" s="4">
        <v>1</v>
      </c>
      <c r="R1410" s="4">
        <v>0</v>
      </c>
      <c r="S1410" s="4">
        <f>(H1410*INDEX('Stages'!$D$2:$D$7,MATCH(F1410,'Stages'!$A$2:$A$7,0)))</f>
        <v>0</v>
      </c>
      <c r="T1410" s="4">
        <f>(H1410*I1410)</f>
        <v>14700</v>
      </c>
      <c r="U1410" s="4">
        <f>(H1410*(I1410-1))</f>
        <v>0</v>
      </c>
      <c r="V1410" s="0" t="str">
        <f>INDEX('Account executives'!$B$2:$B$25,MATCH(C1410,'Account executives'!$A$2:$A$25,0))</f>
        <v>emea</v>
      </c>
      <c r="W1410" s="0" t="str">
        <f>INDEX('Account executives'!$C$2:$C$25,MATCH(C1410,'Account executives'!$A$2:$A$25,0))</f>
        <v>mid_market</v>
      </c>
      <c r="X1410" s="0" t="str">
        <f>SUBSTITUTE(LOWER(INDEX('Periods'!$G$2:$G$22,MATCH(N1410,'Periods'!$A$2:$A$22,0)))," ","_")</f>
        <v>q3_2026</v>
      </c>
    </row>
    <row r="1411">
      <c r="A1411" s="0" t="inlineStr">
        <is>
          <t xml:space="preserve">o1410</t>
        </is>
      </c>
      <c r="B1411" s="0" t="inlineStr">
        <is>
          <t xml:space="preserve">a0728</t>
        </is>
      </c>
      <c r="C1411" s="0" t="inlineStr">
        <is>
          <t xml:space="preserve">r05</t>
        </is>
      </c>
      <c r="D1411" s="0" t="inlineStr">
        <is>
          <t xml:space="preserve">s_amer_east_in</t>
        </is>
      </c>
      <c r="E1411" s="0" t="inlineStr">
        <is>
          <t xml:space="preserve">inbound</t>
        </is>
      </c>
      <c r="F1411" s="0" t="inlineStr">
        <is>
          <t xml:space="preserve">closed_won</t>
        </is>
      </c>
      <c r="G1411" s="4">
        <v>1</v>
      </c>
      <c r="H1411" s="4">
        <v>12600</v>
      </c>
      <c r="I1411" s="4">
        <v>1</v>
      </c>
      <c r="J1411" s="4">
        <v>0</v>
      </c>
      <c r="K1411" s="16">
        <v>46083</v>
      </c>
      <c r="L1411" s="16">
        <v>46105</v>
      </c>
      <c r="M1411" s="0" t="inlineStr">
        <is>
          <t xml:space="preserve">mar26</t>
        </is>
      </c>
      <c r="N1411" s="0" t="inlineStr">
        <is>
          <t xml:space="preserve">mar26</t>
        </is>
      </c>
      <c r="O1411" s="4">
        <v>22</v>
      </c>
      <c r="P1411" s="4">
        <v>1</v>
      </c>
      <c r="Q1411" s="4">
        <v>0</v>
      </c>
      <c r="R1411" s="4">
        <v>0</v>
      </c>
      <c r="S1411" s="4">
        <f>(H1411*INDEX('Stages'!$D$2:$D$7,MATCH(F1411,'Stages'!$A$2:$A$7,0)))</f>
        <v>12600</v>
      </c>
      <c r="T1411" s="4">
        <f>(H1411*I1411)</f>
        <v>12600</v>
      </c>
      <c r="U1411" s="4">
        <f>(H1411*(I1411-1))</f>
        <v>0</v>
      </c>
      <c r="V1411" s="0" t="str">
        <f>INDEX('Account executives'!$B$2:$B$25,MATCH(C1411,'Account executives'!$A$2:$A$25,0))</f>
        <v>amer_east</v>
      </c>
      <c r="W1411" s="0" t="str">
        <f>INDEX('Account executives'!$C$2:$C$25,MATCH(C1411,'Account executives'!$A$2:$A$25,0))</f>
        <v>smb</v>
      </c>
      <c r="X1411" s="0" t="str">
        <f>SUBSTITUTE(LOWER(INDEX('Periods'!$G$2:$G$22,MATCH(N1411,'Periods'!$A$2:$A$22,0)))," ","_")</f>
        <v>q1_2026</v>
      </c>
    </row>
    <row r="1412">
      <c r="A1412" s="0" t="inlineStr">
        <is>
          <t xml:space="preserve">o1411</t>
        </is>
      </c>
      <c r="B1412" s="0" t="inlineStr">
        <is>
          <t xml:space="preserve">a0665</t>
        </is>
      </c>
      <c r="C1412" s="0" t="inlineStr">
        <is>
          <t xml:space="preserve">r01</t>
        </is>
      </c>
      <c r="D1412" s="0"/>
      <c r="E1412" s="0" t="inlineStr">
        <is>
          <t xml:space="preserve">events</t>
        </is>
      </c>
      <c r="F1412" s="0" t="inlineStr">
        <is>
          <t xml:space="preserve">closed_lost</t>
        </is>
      </c>
      <c r="G1412" s="4">
        <v>1</v>
      </c>
      <c r="H1412" s="4">
        <v>67400</v>
      </c>
      <c r="I1412" s="4">
        <v>2</v>
      </c>
      <c r="J1412" s="4">
        <v>0</v>
      </c>
      <c r="K1412" s="16">
        <v>46057</v>
      </c>
      <c r="L1412" s="16">
        <v>46141</v>
      </c>
      <c r="M1412" s="0" t="inlineStr">
        <is>
          <t xml:space="preserve">feb26</t>
        </is>
      </c>
      <c r="N1412" s="0" t="inlineStr">
        <is>
          <t xml:space="preserve">apr26</t>
        </is>
      </c>
      <c r="O1412" s="4">
        <v>84</v>
      </c>
      <c r="P1412" s="4">
        <v>0</v>
      </c>
      <c r="Q1412" s="4">
        <v>1</v>
      </c>
      <c r="R1412" s="4">
        <v>0</v>
      </c>
      <c r="S1412" s="4">
        <f>(H1412*INDEX('Stages'!$D$2:$D$7,MATCH(F1412,'Stages'!$A$2:$A$7,0)))</f>
        <v>0</v>
      </c>
      <c r="T1412" s="4">
        <f>(H1412*I1412)</f>
        <v>134800</v>
      </c>
      <c r="U1412" s="4">
        <f>(H1412*(I1412-1))</f>
        <v>67400</v>
      </c>
      <c r="V1412" s="0" t="str">
        <f>INDEX('Account executives'!$B$2:$B$25,MATCH(C1412,'Account executives'!$A$2:$A$25,0))</f>
        <v>amer_east</v>
      </c>
      <c r="W1412" s="0" t="str">
        <f>INDEX('Account executives'!$C$2:$C$25,MATCH(C1412,'Account executives'!$A$2:$A$25,0))</f>
        <v>enterprise</v>
      </c>
      <c r="X1412" s="0" t="str">
        <f>SUBSTITUTE(LOWER(INDEX('Periods'!$G$2:$G$22,MATCH(N1412,'Periods'!$A$2:$A$22,0)))," ","_")</f>
        <v>q2_2026</v>
      </c>
    </row>
    <row r="1413">
      <c r="A1413" s="0" t="inlineStr">
        <is>
          <t xml:space="preserve">o1412</t>
        </is>
      </c>
      <c r="B1413" s="0" t="inlineStr">
        <is>
          <t xml:space="preserve">a0845</t>
        </is>
      </c>
      <c r="C1413" s="0" t="inlineStr">
        <is>
          <t xml:space="preserve">r07</t>
        </is>
      </c>
      <c r="D1413" s="0" t="inlineStr">
        <is>
          <t xml:space="preserve">s_amer_west_in</t>
        </is>
      </c>
      <c r="E1413" s="0" t="inlineStr">
        <is>
          <t xml:space="preserve">inbound</t>
        </is>
      </c>
      <c r="F1413" s="0" t="inlineStr">
        <is>
          <t xml:space="preserve">negotiation</t>
        </is>
      </c>
      <c r="G1413" s="4">
        <v>1</v>
      </c>
      <c r="H1413" s="4">
        <v>110000</v>
      </c>
      <c r="I1413" s="4">
        <v>2</v>
      </c>
      <c r="J1413" s="4">
        <v>0</v>
      </c>
      <c r="K1413" s="16">
        <v>46129</v>
      </c>
      <c r="L1413" s="16">
        <v>46303</v>
      </c>
      <c r="M1413" s="0" t="inlineStr">
        <is>
          <t xml:space="preserve">apr26</t>
        </is>
      </c>
      <c r="N1413" s="0" t="inlineStr">
        <is>
          <t xml:space="preserve">oct26</t>
        </is>
      </c>
      <c r="O1413" s="4">
        <v>162</v>
      </c>
      <c r="P1413" s="4">
        <v>0</v>
      </c>
      <c r="Q1413" s="4">
        <v>0</v>
      </c>
      <c r="R1413" s="4">
        <v>1</v>
      </c>
      <c r="S1413" s="4">
        <f>(H1413*INDEX('Stages'!$D$2:$D$7,MATCH(F1413,'Stages'!$A$2:$A$7,0)))</f>
        <v>82500</v>
      </c>
      <c r="T1413" s="4">
        <f>(H1413*I1413)</f>
        <v>220000</v>
      </c>
      <c r="U1413" s="4">
        <f>(H1413*(I1413-1))</f>
        <v>110000</v>
      </c>
      <c r="V1413" s="0" t="str">
        <f>INDEX('Account executives'!$B$2:$B$25,MATCH(C1413,'Account executives'!$A$2:$A$25,0))</f>
        <v>amer_west</v>
      </c>
      <c r="W1413" s="0" t="str">
        <f>INDEX('Account executives'!$C$2:$C$25,MATCH(C1413,'Account executives'!$A$2:$A$25,0))</f>
        <v>enterprise</v>
      </c>
      <c r="X1413" s="0" t="str">
        <f>SUBSTITUTE(LOWER(INDEX('Periods'!$G$2:$G$22,MATCH(N1413,'Periods'!$A$2:$A$22,0)))," ","_")</f>
        <v>q4_2026</v>
      </c>
    </row>
    <row r="1414">
      <c r="A1414" s="0" t="inlineStr">
        <is>
          <t xml:space="preserve">o1413</t>
        </is>
      </c>
      <c r="B1414" s="0" t="inlineStr">
        <is>
          <t xml:space="preserve">a0862</t>
        </is>
      </c>
      <c r="C1414" s="0" t="inlineStr">
        <is>
          <t xml:space="preserve">r18</t>
        </is>
      </c>
      <c r="D1414" s="0" t="inlineStr">
        <is>
          <t xml:space="preserve">s_emea_in</t>
        </is>
      </c>
      <c r="E1414" s="0" t="inlineStr">
        <is>
          <t xml:space="preserve">inbound</t>
        </is>
      </c>
      <c r="F1414" s="0" t="inlineStr">
        <is>
          <t xml:space="preserve">closed_lost</t>
        </is>
      </c>
      <c r="G1414" s="4">
        <v>1</v>
      </c>
      <c r="H1414" s="4">
        <v>5600</v>
      </c>
      <c r="I1414" s="4">
        <v>1</v>
      </c>
      <c r="J1414" s="4">
        <v>1</v>
      </c>
      <c r="K1414" s="16">
        <v>46115</v>
      </c>
      <c r="L1414" s="16">
        <v>46157</v>
      </c>
      <c r="M1414" s="0" t="inlineStr">
        <is>
          <t xml:space="preserve">apr26</t>
        </is>
      </c>
      <c r="N1414" s="0" t="inlineStr">
        <is>
          <t xml:space="preserve">may26</t>
        </is>
      </c>
      <c r="O1414" s="4">
        <v>42</v>
      </c>
      <c r="P1414" s="4">
        <v>0</v>
      </c>
      <c r="Q1414" s="4">
        <v>1</v>
      </c>
      <c r="R1414" s="4">
        <v>0</v>
      </c>
      <c r="S1414" s="4">
        <f>(H1414*INDEX('Stages'!$D$2:$D$7,MATCH(F1414,'Stages'!$A$2:$A$7,0)))</f>
        <v>0</v>
      </c>
      <c r="T1414" s="4">
        <f>(H1414*I1414)</f>
        <v>5600</v>
      </c>
      <c r="U1414" s="4">
        <f>(H1414*(I1414-1))</f>
        <v>0</v>
      </c>
      <c r="V1414" s="0" t="str">
        <f>INDEX('Account executives'!$B$2:$B$25,MATCH(C1414,'Account executives'!$A$2:$A$25,0))</f>
        <v>emea</v>
      </c>
      <c r="W1414" s="0" t="str">
        <f>INDEX('Account executives'!$C$2:$C$25,MATCH(C1414,'Account executives'!$A$2:$A$25,0))</f>
        <v>smb</v>
      </c>
      <c r="X1414" s="0" t="str">
        <f>SUBSTITUTE(LOWER(INDEX('Periods'!$G$2:$G$22,MATCH(N1414,'Periods'!$A$2:$A$22,0)))," ","_")</f>
        <v>q2_2026</v>
      </c>
    </row>
    <row r="1415">
      <c r="A1415" s="0" t="inlineStr">
        <is>
          <t xml:space="preserve">o1414</t>
        </is>
      </c>
      <c r="B1415" s="0" t="inlineStr">
        <is>
          <t xml:space="preserve">a0599</t>
        </is>
      </c>
      <c r="C1415" s="0" t="inlineStr">
        <is>
          <t xml:space="preserve">r24</t>
        </is>
      </c>
      <c r="D1415" s="0" t="inlineStr">
        <is>
          <t xml:space="preserve">s_apac_in</t>
        </is>
      </c>
      <c r="E1415" s="0" t="inlineStr">
        <is>
          <t xml:space="preserve">paid</t>
        </is>
      </c>
      <c r="F1415" s="0" t="inlineStr">
        <is>
          <t xml:space="preserve">closed_lost</t>
        </is>
      </c>
      <c r="G1415" s="4">
        <v>1</v>
      </c>
      <c r="H1415" s="4">
        <v>19000</v>
      </c>
      <c r="I1415" s="4">
        <v>1</v>
      </c>
      <c r="J1415" s="4">
        <v>0</v>
      </c>
      <c r="K1415" s="16">
        <v>46016</v>
      </c>
      <c r="L1415" s="16">
        <v>46109</v>
      </c>
      <c r="M1415" s="0" t="inlineStr">
        <is>
          <t xml:space="preserve">dec25</t>
        </is>
      </c>
      <c r="N1415" s="0" t="inlineStr">
        <is>
          <t xml:space="preserve">mar26</t>
        </is>
      </c>
      <c r="O1415" s="4">
        <v>93</v>
      </c>
      <c r="P1415" s="4">
        <v>0</v>
      </c>
      <c r="Q1415" s="4">
        <v>1</v>
      </c>
      <c r="R1415" s="4">
        <v>0</v>
      </c>
      <c r="S1415" s="4">
        <f>(H1415*INDEX('Stages'!$D$2:$D$7,MATCH(F1415,'Stages'!$A$2:$A$7,0)))</f>
        <v>0</v>
      </c>
      <c r="T1415" s="4">
        <f>(H1415*I1415)</f>
        <v>19000</v>
      </c>
      <c r="U1415" s="4">
        <f>(H1415*(I1415-1))</f>
        <v>0</v>
      </c>
      <c r="V1415" s="0" t="str">
        <f>INDEX('Account executives'!$B$2:$B$25,MATCH(C1415,'Account executives'!$A$2:$A$25,0))</f>
        <v>apac</v>
      </c>
      <c r="W1415" s="0" t="str">
        <f>INDEX('Account executives'!$C$2:$C$25,MATCH(C1415,'Account executives'!$A$2:$A$25,0))</f>
        <v>smb</v>
      </c>
      <c r="X1415" s="0" t="str">
        <f>SUBSTITUTE(LOWER(INDEX('Periods'!$G$2:$G$22,MATCH(N1415,'Periods'!$A$2:$A$22,0)))," ","_")</f>
        <v>q1_2026</v>
      </c>
    </row>
    <row r="1416">
      <c r="A1416" s="0" t="inlineStr">
        <is>
          <t xml:space="preserve">o1415</t>
        </is>
      </c>
      <c r="B1416" s="0" t="inlineStr">
        <is>
          <t xml:space="preserve">a0984</t>
        </is>
      </c>
      <c r="C1416" s="0" t="inlineStr">
        <is>
          <t xml:space="preserve">r08</t>
        </is>
      </c>
      <c r="D1416" s="0" t="inlineStr">
        <is>
          <t xml:space="preserve">s_amer_west_in</t>
        </is>
      </c>
      <c r="E1416" s="0" t="inlineStr">
        <is>
          <t xml:space="preserve">inbound</t>
        </is>
      </c>
      <c r="F1416" s="0" t="inlineStr">
        <is>
          <t xml:space="preserve">evaluation</t>
        </is>
      </c>
      <c r="G1416" s="4">
        <v>1</v>
      </c>
      <c r="H1416" s="4">
        <v>116700</v>
      </c>
      <c r="I1416" s="4">
        <v>2</v>
      </c>
      <c r="J1416" s="4">
        <v>0</v>
      </c>
      <c r="K1416" s="16">
        <v>46190</v>
      </c>
      <c r="L1416" s="16">
        <v>46293</v>
      </c>
      <c r="M1416" s="0" t="inlineStr">
        <is>
          <t xml:space="preserve">jun26</t>
        </is>
      </c>
      <c r="N1416" s="0" t="inlineStr">
        <is>
          <t xml:space="preserve">sep26</t>
        </is>
      </c>
      <c r="O1416" s="4">
        <v>125</v>
      </c>
      <c r="P1416" s="4">
        <v>0</v>
      </c>
      <c r="Q1416" s="4">
        <v>0</v>
      </c>
      <c r="R1416" s="4">
        <v>1</v>
      </c>
      <c r="S1416" s="4">
        <f>(H1416*INDEX('Stages'!$D$2:$D$7,MATCH(F1416,'Stages'!$A$2:$A$7,0)))</f>
        <v>29175</v>
      </c>
      <c r="T1416" s="4">
        <f>(H1416*I1416)</f>
        <v>233400</v>
      </c>
      <c r="U1416" s="4">
        <f>(H1416*(I1416-1))</f>
        <v>116700</v>
      </c>
      <c r="V1416" s="0" t="str">
        <f>INDEX('Account executives'!$B$2:$B$25,MATCH(C1416,'Account executives'!$A$2:$A$25,0))</f>
        <v>amer_west</v>
      </c>
      <c r="W1416" s="0" t="str">
        <f>INDEX('Account executives'!$C$2:$C$25,MATCH(C1416,'Account executives'!$A$2:$A$25,0))</f>
        <v>enterprise</v>
      </c>
      <c r="X1416" s="0" t="str">
        <f>SUBSTITUTE(LOWER(INDEX('Periods'!$G$2:$G$22,MATCH(N1416,'Periods'!$A$2:$A$22,0)))," ","_")</f>
        <v>q3_2026</v>
      </c>
    </row>
    <row r="1417">
      <c r="A1417" s="0" t="inlineStr">
        <is>
          <t xml:space="preserve">o1416</t>
        </is>
      </c>
      <c r="B1417" s="0" t="inlineStr">
        <is>
          <t xml:space="preserve">a0562</t>
        </is>
      </c>
      <c r="C1417" s="0" t="inlineStr">
        <is>
          <t xml:space="preserve">r12</t>
        </is>
      </c>
      <c r="D1417" s="0"/>
      <c r="E1417" s="0" t="inlineStr">
        <is>
          <t xml:space="preserve">partner</t>
        </is>
      </c>
      <c r="F1417" s="0" t="inlineStr">
        <is>
          <t xml:space="preserve">closed_lost</t>
        </is>
      </c>
      <c r="G1417" s="4">
        <v>0</v>
      </c>
      <c r="H1417" s="4">
        <v>2900</v>
      </c>
      <c r="I1417" s="4">
        <v>1</v>
      </c>
      <c r="J1417" s="4">
        <v>0</v>
      </c>
      <c r="K1417" s="16">
        <v>46070</v>
      </c>
      <c r="L1417" s="16">
        <v>46088</v>
      </c>
      <c r="M1417" s="0" t="inlineStr">
        <is>
          <t xml:space="preserve">feb26</t>
        </is>
      </c>
      <c r="N1417" s="0" t="inlineStr">
        <is>
          <t xml:space="preserve">mar26</t>
        </is>
      </c>
      <c r="O1417" s="4">
        <v>18</v>
      </c>
      <c r="P1417" s="4">
        <v>0</v>
      </c>
      <c r="Q1417" s="4">
        <v>1</v>
      </c>
      <c r="R1417" s="4">
        <v>0</v>
      </c>
      <c r="S1417" s="4">
        <f>(H1417*INDEX('Stages'!$D$2:$D$7,MATCH(F1417,'Stages'!$A$2:$A$7,0)))</f>
        <v>0</v>
      </c>
      <c r="T1417" s="4">
        <f>(H1417*I1417)</f>
        <v>2900</v>
      </c>
      <c r="U1417" s="4">
        <f>(H1417*(I1417-1))</f>
        <v>0</v>
      </c>
      <c r="V1417" s="0" t="str">
        <f>INDEX('Account executives'!$B$2:$B$25,MATCH(C1417,'Account executives'!$A$2:$A$25,0))</f>
        <v>amer_west</v>
      </c>
      <c r="W1417" s="0" t="str">
        <f>INDEX('Account executives'!$C$2:$C$25,MATCH(C1417,'Account executives'!$A$2:$A$25,0))</f>
        <v>smb</v>
      </c>
      <c r="X1417" s="0" t="str">
        <f>SUBSTITUTE(LOWER(INDEX('Periods'!$G$2:$G$22,MATCH(N1417,'Periods'!$A$2:$A$22,0)))," ","_")</f>
        <v>q1_2026</v>
      </c>
    </row>
    <row r="1418">
      <c r="A1418" s="0" t="inlineStr">
        <is>
          <t xml:space="preserve">o1417</t>
        </is>
      </c>
      <c r="B1418" s="0" t="inlineStr">
        <is>
          <t xml:space="preserve">a0313</t>
        </is>
      </c>
      <c r="C1418" s="0" t="inlineStr">
        <is>
          <t xml:space="preserve">r03</t>
        </is>
      </c>
      <c r="D1418" s="0" t="inlineStr">
        <is>
          <t xml:space="preserve">s_amer_east_in</t>
        </is>
      </c>
      <c r="E1418" s="0" t="inlineStr">
        <is>
          <t xml:space="preserve">inbound</t>
        </is>
      </c>
      <c r="F1418" s="0" t="inlineStr">
        <is>
          <t xml:space="preserve">closed_won</t>
        </is>
      </c>
      <c r="G1418" s="4">
        <v>1</v>
      </c>
      <c r="H1418" s="4">
        <v>26300</v>
      </c>
      <c r="I1418" s="4">
        <v>1</v>
      </c>
      <c r="J1418" s="4">
        <v>1</v>
      </c>
      <c r="K1418" s="16">
        <v>45889</v>
      </c>
      <c r="L1418" s="16">
        <v>46019</v>
      </c>
      <c r="M1418" s="0" t="inlineStr">
        <is>
          <t xml:space="preserve">aug25</t>
        </is>
      </c>
      <c r="N1418" s="0" t="inlineStr">
        <is>
          <t xml:space="preserve">dec25</t>
        </is>
      </c>
      <c r="O1418" s="4">
        <v>130</v>
      </c>
      <c r="P1418" s="4">
        <v>1</v>
      </c>
      <c r="Q1418" s="4">
        <v>0</v>
      </c>
      <c r="R1418" s="4">
        <v>0</v>
      </c>
      <c r="S1418" s="4">
        <f>(H1418*INDEX('Stages'!$D$2:$D$7,MATCH(F1418,'Stages'!$A$2:$A$7,0)))</f>
        <v>26300</v>
      </c>
      <c r="T1418" s="4">
        <f>(H1418*I1418)</f>
        <v>26300</v>
      </c>
      <c r="U1418" s="4">
        <f>(H1418*(I1418-1))</f>
        <v>0</v>
      </c>
      <c r="V1418" s="0" t="str">
        <f>INDEX('Account executives'!$B$2:$B$25,MATCH(C1418,'Account executives'!$A$2:$A$25,0))</f>
        <v>amer_east</v>
      </c>
      <c r="W1418" s="0" t="str">
        <f>INDEX('Account executives'!$C$2:$C$25,MATCH(C1418,'Account executives'!$A$2:$A$25,0))</f>
        <v>mid_market</v>
      </c>
      <c r="X1418" s="0" t="str">
        <f>SUBSTITUTE(LOWER(INDEX('Periods'!$G$2:$G$22,MATCH(N1418,'Periods'!$A$2:$A$22,0)))," ","_")</f>
        <v>q4_2025</v>
      </c>
    </row>
    <row r="1419">
      <c r="A1419" s="0" t="inlineStr">
        <is>
          <t xml:space="preserve">o1418</t>
        </is>
      </c>
      <c r="B1419" s="0" t="inlineStr">
        <is>
          <t xml:space="preserve">a0901</t>
        </is>
      </c>
      <c r="C1419" s="0" t="inlineStr">
        <is>
          <t xml:space="preserve">r01</t>
        </is>
      </c>
      <c r="D1419" s="0"/>
      <c r="E1419" s="0" t="inlineStr">
        <is>
          <t xml:space="preserve">events</t>
        </is>
      </c>
      <c r="F1419" s="0" t="inlineStr">
        <is>
          <t xml:space="preserve">closed_lost</t>
        </is>
      </c>
      <c r="G1419" s="4">
        <v>1</v>
      </c>
      <c r="H1419" s="4">
        <v>71700</v>
      </c>
      <c r="I1419" s="4">
        <v>2</v>
      </c>
      <c r="J1419" s="4">
        <v>0</v>
      </c>
      <c r="K1419" s="16">
        <v>46158</v>
      </c>
      <c r="L1419" s="16">
        <v>46210</v>
      </c>
      <c r="M1419" s="0" t="inlineStr">
        <is>
          <t xml:space="preserve">may26</t>
        </is>
      </c>
      <c r="N1419" s="0" t="inlineStr">
        <is>
          <t xml:space="preserve">jul26</t>
        </is>
      </c>
      <c r="O1419" s="4">
        <v>52</v>
      </c>
      <c r="P1419" s="4">
        <v>0</v>
      </c>
      <c r="Q1419" s="4">
        <v>1</v>
      </c>
      <c r="R1419" s="4">
        <v>0</v>
      </c>
      <c r="S1419" s="4">
        <f>(H1419*INDEX('Stages'!$D$2:$D$7,MATCH(F1419,'Stages'!$A$2:$A$7,0)))</f>
        <v>0</v>
      </c>
      <c r="T1419" s="4">
        <f>(H1419*I1419)</f>
        <v>143400</v>
      </c>
      <c r="U1419" s="4">
        <f>(H1419*(I1419-1))</f>
        <v>71700</v>
      </c>
      <c r="V1419" s="0" t="str">
        <f>INDEX('Account executives'!$B$2:$B$25,MATCH(C1419,'Account executives'!$A$2:$A$25,0))</f>
        <v>amer_east</v>
      </c>
      <c r="W1419" s="0" t="str">
        <f>INDEX('Account executives'!$C$2:$C$25,MATCH(C1419,'Account executives'!$A$2:$A$25,0))</f>
        <v>enterprise</v>
      </c>
      <c r="X1419" s="0" t="str">
        <f>SUBSTITUTE(LOWER(INDEX('Periods'!$G$2:$G$22,MATCH(N1419,'Periods'!$A$2:$A$22,0)))," ","_")</f>
        <v>q3_2026</v>
      </c>
    </row>
    <row r="1420">
      <c r="A1420" s="0" t="inlineStr">
        <is>
          <t xml:space="preserve">o1419</t>
        </is>
      </c>
      <c r="B1420" s="0" t="inlineStr">
        <is>
          <t xml:space="preserve">a0603</t>
        </is>
      </c>
      <c r="C1420" s="0" t="inlineStr">
        <is>
          <t xml:space="preserve">r24</t>
        </is>
      </c>
      <c r="D1420" s="0"/>
      <c r="E1420" s="0" t="inlineStr">
        <is>
          <t xml:space="preserve">referral</t>
        </is>
      </c>
      <c r="F1420" s="0" t="inlineStr">
        <is>
          <t xml:space="preserve">closed_lost</t>
        </is>
      </c>
      <c r="G1420" s="4">
        <v>1</v>
      </c>
      <c r="H1420" s="4">
        <v>11600</v>
      </c>
      <c r="I1420" s="4">
        <v>1</v>
      </c>
      <c r="J1420" s="4">
        <v>0</v>
      </c>
      <c r="K1420" s="16">
        <v>46002</v>
      </c>
      <c r="L1420" s="16">
        <v>46028</v>
      </c>
      <c r="M1420" s="0" t="inlineStr">
        <is>
          <t xml:space="preserve">dec25</t>
        </is>
      </c>
      <c r="N1420" s="0" t="inlineStr">
        <is>
          <t xml:space="preserve">jan26</t>
        </is>
      </c>
      <c r="O1420" s="4">
        <v>26</v>
      </c>
      <c r="P1420" s="4">
        <v>0</v>
      </c>
      <c r="Q1420" s="4">
        <v>1</v>
      </c>
      <c r="R1420" s="4">
        <v>0</v>
      </c>
      <c r="S1420" s="4">
        <f>(H1420*INDEX('Stages'!$D$2:$D$7,MATCH(F1420,'Stages'!$A$2:$A$7,0)))</f>
        <v>0</v>
      </c>
      <c r="T1420" s="4">
        <f>(H1420*I1420)</f>
        <v>11600</v>
      </c>
      <c r="U1420" s="4">
        <f>(H1420*(I1420-1))</f>
        <v>0</v>
      </c>
      <c r="V1420" s="0" t="str">
        <f>INDEX('Account executives'!$B$2:$B$25,MATCH(C1420,'Account executives'!$A$2:$A$25,0))</f>
        <v>apac</v>
      </c>
      <c r="W1420" s="0" t="str">
        <f>INDEX('Account executives'!$C$2:$C$25,MATCH(C1420,'Account executives'!$A$2:$A$25,0))</f>
        <v>smb</v>
      </c>
      <c r="X1420" s="0" t="str">
        <f>SUBSTITUTE(LOWER(INDEX('Periods'!$G$2:$G$22,MATCH(N1420,'Periods'!$A$2:$A$22,0)))," ","_")</f>
        <v>q1_2026</v>
      </c>
    </row>
    <row r="1421">
      <c r="A1421" s="0" t="inlineStr">
        <is>
          <t xml:space="preserve">o1420</t>
        </is>
      </c>
      <c r="B1421" s="0" t="inlineStr">
        <is>
          <t xml:space="preserve">a0963</t>
        </is>
      </c>
      <c r="C1421" s="0" t="inlineStr">
        <is>
          <t xml:space="preserve">r06</t>
        </is>
      </c>
      <c r="D1421" s="0" t="inlineStr">
        <is>
          <t xml:space="preserve">s_amer_east_in</t>
        </is>
      </c>
      <c r="E1421" s="0" t="inlineStr">
        <is>
          <t xml:space="preserve">paid</t>
        </is>
      </c>
      <c r="F1421" s="0" t="inlineStr">
        <is>
          <t xml:space="preserve">closed_lost</t>
        </is>
      </c>
      <c r="G1421" s="4">
        <v>1</v>
      </c>
      <c r="H1421" s="4">
        <v>38000</v>
      </c>
      <c r="I1421" s="4">
        <v>1</v>
      </c>
      <c r="J1421" s="4">
        <v>0</v>
      </c>
      <c r="K1421" s="16">
        <v>46197</v>
      </c>
      <c r="L1421" s="16">
        <v>46228</v>
      </c>
      <c r="M1421" s="0" t="inlineStr">
        <is>
          <t xml:space="preserve">jun26</t>
        </is>
      </c>
      <c r="N1421" s="0" t="inlineStr">
        <is>
          <t xml:space="preserve">jul26</t>
        </is>
      </c>
      <c r="O1421" s="4">
        <v>31</v>
      </c>
      <c r="P1421" s="4">
        <v>0</v>
      </c>
      <c r="Q1421" s="4">
        <v>1</v>
      </c>
      <c r="R1421" s="4">
        <v>0</v>
      </c>
      <c r="S1421" s="4">
        <f>(H1421*INDEX('Stages'!$D$2:$D$7,MATCH(F1421,'Stages'!$A$2:$A$7,0)))</f>
        <v>0</v>
      </c>
      <c r="T1421" s="4">
        <f>(H1421*I1421)</f>
        <v>38000</v>
      </c>
      <c r="U1421" s="4">
        <f>(H1421*(I1421-1))</f>
        <v>0</v>
      </c>
      <c r="V1421" s="0" t="str">
        <f>INDEX('Account executives'!$B$2:$B$25,MATCH(C1421,'Account executives'!$A$2:$A$25,0))</f>
        <v>amer_east</v>
      </c>
      <c r="W1421" s="0" t="str">
        <f>INDEX('Account executives'!$C$2:$C$25,MATCH(C1421,'Account executives'!$A$2:$A$25,0))</f>
        <v>smb</v>
      </c>
      <c r="X1421" s="0" t="str">
        <f>SUBSTITUTE(LOWER(INDEX('Periods'!$G$2:$G$22,MATCH(N1421,'Periods'!$A$2:$A$22,0)))," ","_")</f>
        <v>q3_2026</v>
      </c>
    </row>
    <row r="1422">
      <c r="A1422" s="0" t="inlineStr">
        <is>
          <t xml:space="preserve">o1421</t>
        </is>
      </c>
      <c r="B1422" s="0" t="inlineStr">
        <is>
          <t xml:space="preserve">a0067</t>
        </is>
      </c>
      <c r="C1422" s="0" t="inlineStr">
        <is>
          <t xml:space="preserve">r06</t>
        </is>
      </c>
      <c r="D1422" s="0"/>
      <c r="E1422" s="0" t="inlineStr">
        <is>
          <t xml:space="preserve">referral</t>
        </is>
      </c>
      <c r="F1422" s="0" t="inlineStr">
        <is>
          <t xml:space="preserve">closed_won</t>
        </is>
      </c>
      <c r="G1422" s="4">
        <v>0</v>
      </c>
      <c r="H1422" s="4">
        <v>5500</v>
      </c>
      <c r="I1422" s="4">
        <v>1</v>
      </c>
      <c r="J1422" s="4">
        <v>0</v>
      </c>
      <c r="K1422" s="16">
        <v>46219</v>
      </c>
      <c r="L1422" s="16">
        <v>46237</v>
      </c>
      <c r="M1422" s="0" t="inlineStr">
        <is>
          <t xml:space="preserve">jul26</t>
        </is>
      </c>
      <c r="N1422" s="0" t="inlineStr">
        <is>
          <t xml:space="preserve">aug26</t>
        </is>
      </c>
      <c r="O1422" s="4">
        <v>18</v>
      </c>
      <c r="P1422" s="4">
        <v>1</v>
      </c>
      <c r="Q1422" s="4">
        <v>0</v>
      </c>
      <c r="R1422" s="4">
        <v>0</v>
      </c>
      <c r="S1422" s="4">
        <f>(H1422*INDEX('Stages'!$D$2:$D$7,MATCH(F1422,'Stages'!$A$2:$A$7,0)))</f>
        <v>5500</v>
      </c>
      <c r="T1422" s="4">
        <f>(H1422*I1422)</f>
        <v>5500</v>
      </c>
      <c r="U1422" s="4">
        <f>(H1422*(I1422-1))</f>
        <v>0</v>
      </c>
      <c r="V1422" s="0" t="str">
        <f>INDEX('Account executives'!$B$2:$B$25,MATCH(C1422,'Account executives'!$A$2:$A$25,0))</f>
        <v>amer_east</v>
      </c>
      <c r="W1422" s="0" t="str">
        <f>INDEX('Account executives'!$C$2:$C$25,MATCH(C1422,'Account executives'!$A$2:$A$25,0))</f>
        <v>smb</v>
      </c>
      <c r="X1422" s="0" t="str">
        <f>SUBSTITUTE(LOWER(INDEX('Periods'!$G$2:$G$22,MATCH(N1422,'Periods'!$A$2:$A$22,0)))," ","_")</f>
        <v>q3_2026</v>
      </c>
    </row>
    <row r="1423">
      <c r="A1423" s="0" t="inlineStr">
        <is>
          <t xml:space="preserve">o1422</t>
        </is>
      </c>
      <c r="B1423" s="0" t="inlineStr">
        <is>
          <t xml:space="preserve">a0114</t>
        </is>
      </c>
      <c r="C1423" s="0" t="inlineStr">
        <is>
          <t xml:space="preserve">r13</t>
        </is>
      </c>
      <c r="D1423" s="0"/>
      <c r="E1423" s="0" t="inlineStr">
        <is>
          <t xml:space="preserve">partner</t>
        </is>
      </c>
      <c r="F1423" s="0" t="inlineStr">
        <is>
          <t xml:space="preserve">closed_won</t>
        </is>
      </c>
      <c r="G1423" s="4">
        <v>0</v>
      </c>
      <c r="H1423" s="4">
        <v>49900</v>
      </c>
      <c r="I1423" s="4">
        <v>2</v>
      </c>
      <c r="J1423" s="4">
        <v>1</v>
      </c>
      <c r="K1423" s="16">
        <v>45789</v>
      </c>
      <c r="L1423" s="16">
        <v>45917</v>
      </c>
      <c r="M1423" s="0" t="inlineStr">
        <is>
          <t xml:space="preserve">may25</t>
        </is>
      </c>
      <c r="N1423" s="0" t="inlineStr">
        <is>
          <t xml:space="preserve">sep25</t>
        </is>
      </c>
      <c r="O1423" s="4">
        <v>128</v>
      </c>
      <c r="P1423" s="4">
        <v>1</v>
      </c>
      <c r="Q1423" s="4">
        <v>0</v>
      </c>
      <c r="R1423" s="4">
        <v>0</v>
      </c>
      <c r="S1423" s="4">
        <f>(H1423*INDEX('Stages'!$D$2:$D$7,MATCH(F1423,'Stages'!$A$2:$A$7,0)))</f>
        <v>49900</v>
      </c>
      <c r="T1423" s="4">
        <f>(H1423*I1423)</f>
        <v>99800</v>
      </c>
      <c r="U1423" s="4">
        <f>(H1423*(I1423-1))</f>
        <v>49900</v>
      </c>
      <c r="V1423" s="0" t="str">
        <f>INDEX('Account executives'!$B$2:$B$25,MATCH(C1423,'Account executives'!$A$2:$A$25,0))</f>
        <v>emea</v>
      </c>
      <c r="W1423" s="0" t="str">
        <f>INDEX('Account executives'!$C$2:$C$25,MATCH(C1423,'Account executives'!$A$2:$A$25,0))</f>
        <v>enterprise</v>
      </c>
      <c r="X1423" s="0" t="str">
        <f>SUBSTITUTE(LOWER(INDEX('Periods'!$G$2:$G$22,MATCH(N1423,'Periods'!$A$2:$A$22,0)))," ","_")</f>
        <v>q3_2025</v>
      </c>
    </row>
    <row r="1424">
      <c r="A1424" s="0" t="inlineStr">
        <is>
          <t xml:space="preserve">o1423</t>
        </is>
      </c>
      <c r="B1424" s="0" t="inlineStr">
        <is>
          <t xml:space="preserve">a0370</t>
        </is>
      </c>
      <c r="C1424" s="0" t="inlineStr">
        <is>
          <t xml:space="preserve">r03</t>
        </is>
      </c>
      <c r="D1424" s="0"/>
      <c r="E1424" s="0" t="inlineStr">
        <is>
          <t xml:space="preserve">partner</t>
        </is>
      </c>
      <c r="F1424" s="0" t="inlineStr">
        <is>
          <t xml:space="preserve">closed_lost</t>
        </is>
      </c>
      <c r="G1424" s="4">
        <v>1</v>
      </c>
      <c r="H1424" s="4">
        <v>69600</v>
      </c>
      <c r="I1424" s="4">
        <v>1</v>
      </c>
      <c r="J1424" s="4">
        <v>1</v>
      </c>
      <c r="K1424" s="16">
        <v>45920</v>
      </c>
      <c r="L1424" s="16">
        <v>45951</v>
      </c>
      <c r="M1424" s="0" t="inlineStr">
        <is>
          <t xml:space="preserve">sep25</t>
        </is>
      </c>
      <c r="N1424" s="0" t="inlineStr">
        <is>
          <t xml:space="preserve">oct25</t>
        </is>
      </c>
      <c r="O1424" s="4">
        <v>31</v>
      </c>
      <c r="P1424" s="4">
        <v>0</v>
      </c>
      <c r="Q1424" s="4">
        <v>1</v>
      </c>
      <c r="R1424" s="4">
        <v>0</v>
      </c>
      <c r="S1424" s="4">
        <f>(H1424*INDEX('Stages'!$D$2:$D$7,MATCH(F1424,'Stages'!$A$2:$A$7,0)))</f>
        <v>0</v>
      </c>
      <c r="T1424" s="4">
        <f>(H1424*I1424)</f>
        <v>69600</v>
      </c>
      <c r="U1424" s="4">
        <f>(H1424*(I1424-1))</f>
        <v>0</v>
      </c>
      <c r="V1424" s="0" t="str">
        <f>INDEX('Account executives'!$B$2:$B$25,MATCH(C1424,'Account executives'!$A$2:$A$25,0))</f>
        <v>amer_east</v>
      </c>
      <c r="W1424" s="0" t="str">
        <f>INDEX('Account executives'!$C$2:$C$25,MATCH(C1424,'Account executives'!$A$2:$A$25,0))</f>
        <v>mid_market</v>
      </c>
      <c r="X1424" s="0" t="str">
        <f>SUBSTITUTE(LOWER(INDEX('Periods'!$G$2:$G$22,MATCH(N1424,'Periods'!$A$2:$A$22,0)))," ","_")</f>
        <v>q4_2025</v>
      </c>
    </row>
    <row r="1425">
      <c r="A1425" s="0" t="inlineStr">
        <is>
          <t xml:space="preserve">o1424</t>
        </is>
      </c>
      <c r="B1425" s="0" t="inlineStr">
        <is>
          <t xml:space="preserve">a0579</t>
        </is>
      </c>
      <c r="C1425" s="0" t="inlineStr">
        <is>
          <t xml:space="preserve">r12</t>
        </is>
      </c>
      <c r="D1425" s="0"/>
      <c r="E1425" s="0" t="inlineStr">
        <is>
          <t xml:space="preserve">referral</t>
        </is>
      </c>
      <c r="F1425" s="0" t="inlineStr">
        <is>
          <t xml:space="preserve">closed_lost</t>
        </is>
      </c>
      <c r="G1425" s="4">
        <v>1</v>
      </c>
      <c r="H1425" s="4">
        <v>7400</v>
      </c>
      <c r="I1425" s="4">
        <v>1</v>
      </c>
      <c r="J1425" s="4">
        <v>1</v>
      </c>
      <c r="K1425" s="16">
        <v>45994</v>
      </c>
      <c r="L1425" s="16">
        <v>46015</v>
      </c>
      <c r="M1425" s="0" t="inlineStr">
        <is>
          <t xml:space="preserve">dec25</t>
        </is>
      </c>
      <c r="N1425" s="0" t="inlineStr">
        <is>
          <t xml:space="preserve">dec25</t>
        </is>
      </c>
      <c r="O1425" s="4">
        <v>21</v>
      </c>
      <c r="P1425" s="4">
        <v>0</v>
      </c>
      <c r="Q1425" s="4">
        <v>1</v>
      </c>
      <c r="R1425" s="4">
        <v>0</v>
      </c>
      <c r="S1425" s="4">
        <f>(H1425*INDEX('Stages'!$D$2:$D$7,MATCH(F1425,'Stages'!$A$2:$A$7,0)))</f>
        <v>0</v>
      </c>
      <c r="T1425" s="4">
        <f>(H1425*I1425)</f>
        <v>7400</v>
      </c>
      <c r="U1425" s="4">
        <f>(H1425*(I1425-1))</f>
        <v>0</v>
      </c>
      <c r="V1425" s="0" t="str">
        <f>INDEX('Account executives'!$B$2:$B$25,MATCH(C1425,'Account executives'!$A$2:$A$25,0))</f>
        <v>amer_west</v>
      </c>
      <c r="W1425" s="0" t="str">
        <f>INDEX('Account executives'!$C$2:$C$25,MATCH(C1425,'Account executives'!$A$2:$A$25,0))</f>
        <v>smb</v>
      </c>
      <c r="X1425" s="0" t="str">
        <f>SUBSTITUTE(LOWER(INDEX('Periods'!$G$2:$G$22,MATCH(N1425,'Periods'!$A$2:$A$22,0)))," ","_")</f>
        <v>q4_2025</v>
      </c>
    </row>
    <row r="1426">
      <c r="A1426" s="0" t="inlineStr">
        <is>
          <t xml:space="preserve">o1425</t>
        </is>
      </c>
      <c r="B1426" s="0" t="inlineStr">
        <is>
          <t xml:space="preserve">a0248</t>
        </is>
      </c>
      <c r="C1426" s="0" t="inlineStr">
        <is>
          <t xml:space="preserve">r04</t>
        </is>
      </c>
      <c r="D1426" s="0" t="inlineStr">
        <is>
          <t xml:space="preserve">s_amer_east_out</t>
        </is>
      </c>
      <c r="E1426" s="0" t="inlineStr">
        <is>
          <t xml:space="preserve">outbound</t>
        </is>
      </c>
      <c r="F1426" s="0" t="inlineStr">
        <is>
          <t xml:space="preserve">closed_won</t>
        </is>
      </c>
      <c r="G1426" s="4">
        <v>0</v>
      </c>
      <c r="H1426" s="4">
        <v>23600</v>
      </c>
      <c r="I1426" s="4">
        <v>1</v>
      </c>
      <c r="J1426" s="4">
        <v>0</v>
      </c>
      <c r="K1426" s="16">
        <v>45903</v>
      </c>
      <c r="L1426" s="16">
        <v>45955</v>
      </c>
      <c r="M1426" s="0" t="inlineStr">
        <is>
          <t xml:space="preserve">sep25</t>
        </is>
      </c>
      <c r="N1426" s="0" t="inlineStr">
        <is>
          <t xml:space="preserve">oct25</t>
        </is>
      </c>
      <c r="O1426" s="4">
        <v>52</v>
      </c>
      <c r="P1426" s="4">
        <v>1</v>
      </c>
      <c r="Q1426" s="4">
        <v>0</v>
      </c>
      <c r="R1426" s="4">
        <v>0</v>
      </c>
      <c r="S1426" s="4">
        <f>(H1426*INDEX('Stages'!$D$2:$D$7,MATCH(F1426,'Stages'!$A$2:$A$7,0)))</f>
        <v>23600</v>
      </c>
      <c r="T1426" s="4">
        <f>(H1426*I1426)</f>
        <v>23600</v>
      </c>
      <c r="U1426" s="4">
        <f>(H1426*(I1426-1))</f>
        <v>0</v>
      </c>
      <c r="V1426" s="0" t="str">
        <f>INDEX('Account executives'!$B$2:$B$25,MATCH(C1426,'Account executives'!$A$2:$A$25,0))</f>
        <v>amer_east</v>
      </c>
      <c r="W1426" s="0" t="str">
        <f>INDEX('Account executives'!$C$2:$C$25,MATCH(C1426,'Account executives'!$A$2:$A$25,0))</f>
        <v>mid_market</v>
      </c>
      <c r="X1426" s="0" t="str">
        <f>SUBSTITUTE(LOWER(INDEX('Periods'!$G$2:$G$22,MATCH(N1426,'Periods'!$A$2:$A$22,0)))," ","_")</f>
        <v>q4_2025</v>
      </c>
    </row>
    <row r="1427">
      <c r="A1427" s="0" t="inlineStr">
        <is>
          <t xml:space="preserve">o1426</t>
        </is>
      </c>
      <c r="B1427" s="0" t="inlineStr">
        <is>
          <t xml:space="preserve">a1072</t>
        </is>
      </c>
      <c r="C1427" s="0" t="inlineStr">
        <is>
          <t xml:space="preserve">r05</t>
        </is>
      </c>
      <c r="D1427" s="0" t="inlineStr">
        <is>
          <t xml:space="preserve">s_amer_east_in</t>
        </is>
      </c>
      <c r="E1427" s="0" t="inlineStr">
        <is>
          <t xml:space="preserve">paid</t>
        </is>
      </c>
      <c r="F1427" s="0" t="inlineStr">
        <is>
          <t xml:space="preserve">closed_lost</t>
        </is>
      </c>
      <c r="G1427" s="4">
        <v>1</v>
      </c>
      <c r="H1427" s="4">
        <v>8100</v>
      </c>
      <c r="I1427" s="4">
        <v>2</v>
      </c>
      <c r="J1427" s="4">
        <v>0</v>
      </c>
      <c r="K1427" s="16">
        <v>46206</v>
      </c>
      <c r="L1427" s="16">
        <v>46220</v>
      </c>
      <c r="M1427" s="0" t="inlineStr">
        <is>
          <t xml:space="preserve">jul26</t>
        </is>
      </c>
      <c r="N1427" s="0" t="inlineStr">
        <is>
          <t xml:space="preserve">jul26</t>
        </is>
      </c>
      <c r="O1427" s="4">
        <v>14</v>
      </c>
      <c r="P1427" s="4">
        <v>0</v>
      </c>
      <c r="Q1427" s="4">
        <v>1</v>
      </c>
      <c r="R1427" s="4">
        <v>0</v>
      </c>
      <c r="S1427" s="4">
        <f>(H1427*INDEX('Stages'!$D$2:$D$7,MATCH(F1427,'Stages'!$A$2:$A$7,0)))</f>
        <v>0</v>
      </c>
      <c r="T1427" s="4">
        <f>(H1427*I1427)</f>
        <v>16200</v>
      </c>
      <c r="U1427" s="4">
        <f>(H1427*(I1427-1))</f>
        <v>8100</v>
      </c>
      <c r="V1427" s="0" t="str">
        <f>INDEX('Account executives'!$B$2:$B$25,MATCH(C1427,'Account executives'!$A$2:$A$25,0))</f>
        <v>amer_east</v>
      </c>
      <c r="W1427" s="0" t="str">
        <f>INDEX('Account executives'!$C$2:$C$25,MATCH(C1427,'Account executives'!$A$2:$A$25,0))</f>
        <v>smb</v>
      </c>
      <c r="X1427" s="0" t="str">
        <f>SUBSTITUTE(LOWER(INDEX('Periods'!$G$2:$G$22,MATCH(N1427,'Periods'!$A$2:$A$22,0)))," ","_")</f>
        <v>q3_2026</v>
      </c>
    </row>
    <row r="1428">
      <c r="A1428" s="0" t="inlineStr">
        <is>
          <t xml:space="preserve">o1427</t>
        </is>
      </c>
      <c r="B1428" s="0" t="inlineStr">
        <is>
          <t xml:space="preserve">a0718</t>
        </is>
      </c>
      <c r="C1428" s="0" t="inlineStr">
        <is>
          <t xml:space="preserve">r19</t>
        </is>
      </c>
      <c r="D1428" s="0" t="inlineStr">
        <is>
          <t xml:space="preserve">s_apac_out</t>
        </is>
      </c>
      <c r="E1428" s="0" t="inlineStr">
        <is>
          <t xml:space="preserve">outbound</t>
        </is>
      </c>
      <c r="F1428" s="0" t="inlineStr">
        <is>
          <t xml:space="preserve">closed_lost</t>
        </is>
      </c>
      <c r="G1428" s="4">
        <v>1</v>
      </c>
      <c r="H1428" s="4">
        <v>107800</v>
      </c>
      <c r="I1428" s="4">
        <v>1</v>
      </c>
      <c r="J1428" s="4">
        <v>1</v>
      </c>
      <c r="K1428" s="16">
        <v>46071</v>
      </c>
      <c r="L1428" s="16">
        <v>46221</v>
      </c>
      <c r="M1428" s="0" t="inlineStr">
        <is>
          <t xml:space="preserve">feb26</t>
        </is>
      </c>
      <c r="N1428" s="0" t="inlineStr">
        <is>
          <t xml:space="preserve">jul26</t>
        </is>
      </c>
      <c r="O1428" s="4">
        <v>150</v>
      </c>
      <c r="P1428" s="4">
        <v>0</v>
      </c>
      <c r="Q1428" s="4">
        <v>1</v>
      </c>
      <c r="R1428" s="4">
        <v>0</v>
      </c>
      <c r="S1428" s="4">
        <f>(H1428*INDEX('Stages'!$D$2:$D$7,MATCH(F1428,'Stages'!$A$2:$A$7,0)))</f>
        <v>0</v>
      </c>
      <c r="T1428" s="4">
        <f>(H1428*I1428)</f>
        <v>107800</v>
      </c>
      <c r="U1428" s="4">
        <f>(H1428*(I1428-1))</f>
        <v>0</v>
      </c>
      <c r="V1428" s="0" t="str">
        <f>INDEX('Account executives'!$B$2:$B$25,MATCH(C1428,'Account executives'!$A$2:$A$25,0))</f>
        <v>apac</v>
      </c>
      <c r="W1428" s="0" t="str">
        <f>INDEX('Account executives'!$C$2:$C$25,MATCH(C1428,'Account executives'!$A$2:$A$25,0))</f>
        <v>enterprise</v>
      </c>
      <c r="X1428" s="0" t="str">
        <f>SUBSTITUTE(LOWER(INDEX('Periods'!$G$2:$G$22,MATCH(N1428,'Periods'!$A$2:$A$22,0)))," ","_")</f>
        <v>q3_2026</v>
      </c>
    </row>
    <row r="1429">
      <c r="A1429" s="0" t="inlineStr">
        <is>
          <t xml:space="preserve">o1428</t>
        </is>
      </c>
      <c r="B1429" s="0" t="inlineStr">
        <is>
          <t xml:space="preserve">a0150</t>
        </is>
      </c>
      <c r="C1429" s="0" t="inlineStr">
        <is>
          <t xml:space="preserve">r19</t>
        </is>
      </c>
      <c r="D1429" s="0" t="inlineStr">
        <is>
          <t xml:space="preserve">s_apac_out</t>
        </is>
      </c>
      <c r="E1429" s="0" t="inlineStr">
        <is>
          <t xml:space="preserve">outbound</t>
        </is>
      </c>
      <c r="F1429" s="0" t="inlineStr">
        <is>
          <t xml:space="preserve">discovery</t>
        </is>
      </c>
      <c r="G1429" s="4">
        <v>0</v>
      </c>
      <c r="H1429" s="4">
        <v>37400</v>
      </c>
      <c r="I1429" s="4">
        <v>2</v>
      </c>
      <c r="J1429" s="4">
        <v>0</v>
      </c>
      <c r="K1429" s="16">
        <v>46185</v>
      </c>
      <c r="L1429" s="16">
        <v>46317</v>
      </c>
      <c r="M1429" s="0" t="inlineStr">
        <is>
          <t xml:space="preserve">jun26</t>
        </is>
      </c>
      <c r="N1429" s="0" t="inlineStr">
        <is>
          <t xml:space="preserve">oct26</t>
        </is>
      </c>
      <c r="O1429" s="4">
        <v>199</v>
      </c>
      <c r="P1429" s="4">
        <v>0</v>
      </c>
      <c r="Q1429" s="4">
        <v>0</v>
      </c>
      <c r="R1429" s="4">
        <v>1</v>
      </c>
      <c r="S1429" s="4">
        <f>(H1429*INDEX('Stages'!$D$2:$D$7,MATCH(F1429,'Stages'!$A$2:$A$7,0)))</f>
        <v>3740</v>
      </c>
      <c r="T1429" s="4">
        <f>(H1429*I1429)</f>
        <v>74800</v>
      </c>
      <c r="U1429" s="4">
        <f>(H1429*(I1429-1))</f>
        <v>37400</v>
      </c>
      <c r="V1429" s="0" t="str">
        <f>INDEX('Account executives'!$B$2:$B$25,MATCH(C1429,'Account executives'!$A$2:$A$25,0))</f>
        <v>apac</v>
      </c>
      <c r="W1429" s="0" t="str">
        <f>INDEX('Account executives'!$C$2:$C$25,MATCH(C1429,'Account executives'!$A$2:$A$25,0))</f>
        <v>enterprise</v>
      </c>
      <c r="X1429" s="0" t="str">
        <f>SUBSTITUTE(LOWER(INDEX('Periods'!$G$2:$G$22,MATCH(N1429,'Periods'!$A$2:$A$22,0)))," ","_")</f>
        <v>q4_2026</v>
      </c>
    </row>
    <row r="1430">
      <c r="A1430" s="0" t="inlineStr">
        <is>
          <t xml:space="preserve">o1429</t>
        </is>
      </c>
      <c r="B1430" s="0" t="inlineStr">
        <is>
          <t xml:space="preserve">a0373</t>
        </is>
      </c>
      <c r="C1430" s="0" t="inlineStr">
        <is>
          <t xml:space="preserve">r12</t>
        </is>
      </c>
      <c r="D1430" s="0" t="inlineStr">
        <is>
          <t xml:space="preserve">s_amer_west_in</t>
        </is>
      </c>
      <c r="E1430" s="0" t="inlineStr">
        <is>
          <t xml:space="preserve">inbound</t>
        </is>
      </c>
      <c r="F1430" s="0" t="inlineStr">
        <is>
          <t xml:space="preserve">closed_won</t>
        </is>
      </c>
      <c r="G1430" s="4">
        <v>1</v>
      </c>
      <c r="H1430" s="4">
        <v>15800</v>
      </c>
      <c r="I1430" s="4">
        <v>1</v>
      </c>
      <c r="J1430" s="4">
        <v>0</v>
      </c>
      <c r="K1430" s="16">
        <v>45919</v>
      </c>
      <c r="L1430" s="16">
        <v>45954</v>
      </c>
      <c r="M1430" s="0" t="inlineStr">
        <is>
          <t xml:space="preserve">sep25</t>
        </is>
      </c>
      <c r="N1430" s="0" t="inlineStr">
        <is>
          <t xml:space="preserve">oct25</t>
        </is>
      </c>
      <c r="O1430" s="4">
        <v>35</v>
      </c>
      <c r="P1430" s="4">
        <v>1</v>
      </c>
      <c r="Q1430" s="4">
        <v>0</v>
      </c>
      <c r="R1430" s="4">
        <v>0</v>
      </c>
      <c r="S1430" s="4">
        <f>(H1430*INDEX('Stages'!$D$2:$D$7,MATCH(F1430,'Stages'!$A$2:$A$7,0)))</f>
        <v>15800</v>
      </c>
      <c r="T1430" s="4">
        <f>(H1430*I1430)</f>
        <v>15800</v>
      </c>
      <c r="U1430" s="4">
        <f>(H1430*(I1430-1))</f>
        <v>0</v>
      </c>
      <c r="V1430" s="0" t="str">
        <f>INDEX('Account executives'!$B$2:$B$25,MATCH(C1430,'Account executives'!$A$2:$A$25,0))</f>
        <v>amer_west</v>
      </c>
      <c r="W1430" s="0" t="str">
        <f>INDEX('Account executives'!$C$2:$C$25,MATCH(C1430,'Account executives'!$A$2:$A$25,0))</f>
        <v>smb</v>
      </c>
      <c r="X1430" s="0" t="str">
        <f>SUBSTITUTE(LOWER(INDEX('Periods'!$G$2:$G$22,MATCH(N1430,'Periods'!$A$2:$A$22,0)))," ","_")</f>
        <v>q4_2025</v>
      </c>
    </row>
    <row r="1431">
      <c r="A1431" s="0" t="inlineStr">
        <is>
          <t xml:space="preserve">o1430</t>
        </is>
      </c>
      <c r="B1431" s="0" t="inlineStr">
        <is>
          <t xml:space="preserve">a0899</t>
        </is>
      </c>
      <c r="C1431" s="0" t="inlineStr">
        <is>
          <t xml:space="preserve">r01</t>
        </is>
      </c>
      <c r="D1431" s="0" t="inlineStr">
        <is>
          <t xml:space="preserve">s_amer_east_in</t>
        </is>
      </c>
      <c r="E1431" s="0" t="inlineStr">
        <is>
          <t xml:space="preserve">paid</t>
        </is>
      </c>
      <c r="F1431" s="0" t="inlineStr">
        <is>
          <t xml:space="preserve">closed_won</t>
        </is>
      </c>
      <c r="G1431" s="4">
        <v>1</v>
      </c>
      <c r="H1431" s="4">
        <v>37300</v>
      </c>
      <c r="I1431" s="4">
        <v>1</v>
      </c>
      <c r="J1431" s="4">
        <v>0</v>
      </c>
      <c r="K1431" s="16">
        <v>46162</v>
      </c>
      <c r="L1431" s="16">
        <v>46241</v>
      </c>
      <c r="M1431" s="0" t="inlineStr">
        <is>
          <t xml:space="preserve">may26</t>
        </is>
      </c>
      <c r="N1431" s="0" t="inlineStr">
        <is>
          <t xml:space="preserve">aug26</t>
        </is>
      </c>
      <c r="O1431" s="4">
        <v>79</v>
      </c>
      <c r="P1431" s="4">
        <v>1</v>
      </c>
      <c r="Q1431" s="4">
        <v>0</v>
      </c>
      <c r="R1431" s="4">
        <v>0</v>
      </c>
      <c r="S1431" s="4">
        <f>(H1431*INDEX('Stages'!$D$2:$D$7,MATCH(F1431,'Stages'!$A$2:$A$7,0)))</f>
        <v>37300</v>
      </c>
      <c r="T1431" s="4">
        <f>(H1431*I1431)</f>
        <v>37300</v>
      </c>
      <c r="U1431" s="4">
        <f>(H1431*(I1431-1))</f>
        <v>0</v>
      </c>
      <c r="V1431" s="0" t="str">
        <f>INDEX('Account executives'!$B$2:$B$25,MATCH(C1431,'Account executives'!$A$2:$A$25,0))</f>
        <v>amer_east</v>
      </c>
      <c r="W1431" s="0" t="str">
        <f>INDEX('Account executives'!$C$2:$C$25,MATCH(C1431,'Account executives'!$A$2:$A$25,0))</f>
        <v>enterprise</v>
      </c>
      <c r="X1431" s="0" t="str">
        <f>SUBSTITUTE(LOWER(INDEX('Periods'!$G$2:$G$22,MATCH(N1431,'Periods'!$A$2:$A$22,0)))," ","_")</f>
        <v>q3_2026</v>
      </c>
    </row>
    <row r="1432">
      <c r="A1432" s="0" t="inlineStr">
        <is>
          <t xml:space="preserve">o1431</t>
        </is>
      </c>
      <c r="B1432" s="0" t="inlineStr">
        <is>
          <t xml:space="preserve">a1037</t>
        </is>
      </c>
      <c r="C1432" s="0" t="inlineStr">
        <is>
          <t xml:space="preserve">r20</t>
        </is>
      </c>
      <c r="D1432" s="0" t="inlineStr">
        <is>
          <t xml:space="preserve">s_apac_in</t>
        </is>
      </c>
      <c r="E1432" s="0" t="inlineStr">
        <is>
          <t xml:space="preserve">inbound</t>
        </is>
      </c>
      <c r="F1432" s="0" t="inlineStr">
        <is>
          <t xml:space="preserve">evaluation</t>
        </is>
      </c>
      <c r="G1432" s="4">
        <v>1</v>
      </c>
      <c r="H1432" s="4">
        <v>410500</v>
      </c>
      <c r="I1432" s="4">
        <v>3</v>
      </c>
      <c r="J1432" s="4">
        <v>0</v>
      </c>
      <c r="K1432" s="16">
        <v>46200</v>
      </c>
      <c r="L1432" s="16">
        <v>46371</v>
      </c>
      <c r="M1432" s="0" t="inlineStr">
        <is>
          <t xml:space="preserve">jun26</t>
        </is>
      </c>
      <c r="N1432" s="0" t="inlineStr">
        <is>
          <t xml:space="preserve">dec26</t>
        </is>
      </c>
      <c r="O1432" s="4">
        <v>184</v>
      </c>
      <c r="P1432" s="4">
        <v>0</v>
      </c>
      <c r="Q1432" s="4">
        <v>0</v>
      </c>
      <c r="R1432" s="4">
        <v>1</v>
      </c>
      <c r="S1432" s="4">
        <f>(H1432*INDEX('Stages'!$D$2:$D$7,MATCH(F1432,'Stages'!$A$2:$A$7,0)))</f>
        <v>102625</v>
      </c>
      <c r="T1432" s="4">
        <f>(H1432*I1432)</f>
        <v>1231500</v>
      </c>
      <c r="U1432" s="4">
        <f>(H1432*(I1432-1))</f>
        <v>821000</v>
      </c>
      <c r="V1432" s="0" t="str">
        <f>INDEX('Account executives'!$B$2:$B$25,MATCH(C1432,'Account executives'!$A$2:$A$25,0))</f>
        <v>apac</v>
      </c>
      <c r="W1432" s="0" t="str">
        <f>INDEX('Account executives'!$C$2:$C$25,MATCH(C1432,'Account executives'!$A$2:$A$25,0))</f>
        <v>enterprise</v>
      </c>
      <c r="X1432" s="0" t="str">
        <f>SUBSTITUTE(LOWER(INDEX('Periods'!$G$2:$G$22,MATCH(N1432,'Periods'!$A$2:$A$22,0)))," ","_")</f>
        <v>q4_2026</v>
      </c>
    </row>
    <row r="1433">
      <c r="A1433" s="0" t="inlineStr">
        <is>
          <t xml:space="preserve">o1432</t>
        </is>
      </c>
      <c r="B1433" s="0" t="inlineStr">
        <is>
          <t xml:space="preserve">a0096</t>
        </is>
      </c>
      <c r="C1433" s="0" t="inlineStr">
        <is>
          <t xml:space="preserve">r12</t>
        </is>
      </c>
      <c r="D1433" s="0" t="inlineStr">
        <is>
          <t xml:space="preserve">s_amer_west_in</t>
        </is>
      </c>
      <c r="E1433" s="0" t="inlineStr">
        <is>
          <t xml:space="preserve">paid</t>
        </is>
      </c>
      <c r="F1433" s="0" t="inlineStr">
        <is>
          <t xml:space="preserve">closed_lost</t>
        </is>
      </c>
      <c r="G1433" s="4">
        <v>1</v>
      </c>
      <c r="H1433" s="4">
        <v>18000</v>
      </c>
      <c r="I1433" s="4">
        <v>1</v>
      </c>
      <c r="J1433" s="4">
        <v>0</v>
      </c>
      <c r="K1433" s="16">
        <v>45789</v>
      </c>
      <c r="L1433" s="16">
        <v>45812</v>
      </c>
      <c r="M1433" s="0" t="inlineStr">
        <is>
          <t xml:space="preserve">may25</t>
        </is>
      </c>
      <c r="N1433" s="0" t="inlineStr">
        <is>
          <t xml:space="preserve">jun25</t>
        </is>
      </c>
      <c r="O1433" s="4">
        <v>23</v>
      </c>
      <c r="P1433" s="4">
        <v>0</v>
      </c>
      <c r="Q1433" s="4">
        <v>1</v>
      </c>
      <c r="R1433" s="4">
        <v>0</v>
      </c>
      <c r="S1433" s="4">
        <f>(H1433*INDEX('Stages'!$D$2:$D$7,MATCH(F1433,'Stages'!$A$2:$A$7,0)))</f>
        <v>0</v>
      </c>
      <c r="T1433" s="4">
        <f>(H1433*I1433)</f>
        <v>18000</v>
      </c>
      <c r="U1433" s="4">
        <f>(H1433*(I1433-1))</f>
        <v>0</v>
      </c>
      <c r="V1433" s="0" t="str">
        <f>INDEX('Account executives'!$B$2:$B$25,MATCH(C1433,'Account executives'!$A$2:$A$25,0))</f>
        <v>amer_west</v>
      </c>
      <c r="W1433" s="0" t="str">
        <f>INDEX('Account executives'!$C$2:$C$25,MATCH(C1433,'Account executives'!$A$2:$A$25,0))</f>
        <v>smb</v>
      </c>
      <c r="X1433" s="0" t="str">
        <f>SUBSTITUTE(LOWER(INDEX('Periods'!$G$2:$G$22,MATCH(N1433,'Periods'!$A$2:$A$22,0)))," ","_")</f>
        <v>q2_2025</v>
      </c>
    </row>
    <row r="1434">
      <c r="A1434" s="0" t="inlineStr">
        <is>
          <t xml:space="preserve">o1433</t>
        </is>
      </c>
      <c r="B1434" s="0" t="inlineStr">
        <is>
          <t xml:space="preserve">a0228</t>
        </is>
      </c>
      <c r="C1434" s="0" t="inlineStr">
        <is>
          <t xml:space="preserve">r22</t>
        </is>
      </c>
      <c r="D1434" s="0" t="inlineStr">
        <is>
          <t xml:space="preserve">s_apac_out</t>
        </is>
      </c>
      <c r="E1434" s="0" t="inlineStr">
        <is>
          <t xml:space="preserve">outbound</t>
        </is>
      </c>
      <c r="F1434" s="0" t="inlineStr">
        <is>
          <t xml:space="preserve">closed_lost</t>
        </is>
      </c>
      <c r="G1434" s="4">
        <v>0</v>
      </c>
      <c r="H1434" s="4">
        <v>45900</v>
      </c>
      <c r="I1434" s="4">
        <v>1</v>
      </c>
      <c r="J1434" s="4">
        <v>0</v>
      </c>
      <c r="K1434" s="16">
        <v>46035</v>
      </c>
      <c r="L1434" s="16">
        <v>46074</v>
      </c>
      <c r="M1434" s="0" t="inlineStr">
        <is>
          <t xml:space="preserve">jan26</t>
        </is>
      </c>
      <c r="N1434" s="0" t="inlineStr">
        <is>
          <t xml:space="preserve">feb26</t>
        </is>
      </c>
      <c r="O1434" s="4">
        <v>39</v>
      </c>
      <c r="P1434" s="4">
        <v>0</v>
      </c>
      <c r="Q1434" s="4">
        <v>1</v>
      </c>
      <c r="R1434" s="4">
        <v>0</v>
      </c>
      <c r="S1434" s="4">
        <f>(H1434*INDEX('Stages'!$D$2:$D$7,MATCH(F1434,'Stages'!$A$2:$A$7,0)))</f>
        <v>0</v>
      </c>
      <c r="T1434" s="4">
        <f>(H1434*I1434)</f>
        <v>45900</v>
      </c>
      <c r="U1434" s="4">
        <f>(H1434*(I1434-1))</f>
        <v>0</v>
      </c>
      <c r="V1434" s="0" t="str">
        <f>INDEX('Account executives'!$B$2:$B$25,MATCH(C1434,'Account executives'!$A$2:$A$25,0))</f>
        <v>apac</v>
      </c>
      <c r="W1434" s="0" t="str">
        <f>INDEX('Account executives'!$C$2:$C$25,MATCH(C1434,'Account executives'!$A$2:$A$25,0))</f>
        <v>mid_market</v>
      </c>
      <c r="X1434" s="0" t="str">
        <f>SUBSTITUTE(LOWER(INDEX('Periods'!$G$2:$G$22,MATCH(N1434,'Periods'!$A$2:$A$22,0)))," ","_")</f>
        <v>q1_2026</v>
      </c>
    </row>
    <row r="1435">
      <c r="A1435" s="0" t="inlineStr">
        <is>
          <t xml:space="preserve">o1434</t>
        </is>
      </c>
      <c r="B1435" s="0" t="inlineStr">
        <is>
          <t xml:space="preserve">a0261</t>
        </is>
      </c>
      <c r="C1435" s="0" t="inlineStr">
        <is>
          <t xml:space="preserve">r11</t>
        </is>
      </c>
      <c r="D1435" s="0" t="inlineStr">
        <is>
          <t xml:space="preserve">s_amer_west_out</t>
        </is>
      </c>
      <c r="E1435" s="0" t="inlineStr">
        <is>
          <t xml:space="preserve">outbound</t>
        </is>
      </c>
      <c r="F1435" s="0" t="inlineStr">
        <is>
          <t xml:space="preserve">closed_lost</t>
        </is>
      </c>
      <c r="G1435" s="4">
        <v>0</v>
      </c>
      <c r="H1435" s="4">
        <v>4500</v>
      </c>
      <c r="I1435" s="4">
        <v>1</v>
      </c>
      <c r="J1435" s="4">
        <v>0</v>
      </c>
      <c r="K1435" s="16">
        <v>46127</v>
      </c>
      <c r="L1435" s="16">
        <v>46201</v>
      </c>
      <c r="M1435" s="0" t="inlineStr">
        <is>
          <t xml:space="preserve">apr26</t>
        </is>
      </c>
      <c r="N1435" s="0" t="inlineStr">
        <is>
          <t xml:space="preserve">jun26</t>
        </is>
      </c>
      <c r="O1435" s="4">
        <v>74</v>
      </c>
      <c r="P1435" s="4">
        <v>0</v>
      </c>
      <c r="Q1435" s="4">
        <v>1</v>
      </c>
      <c r="R1435" s="4">
        <v>0</v>
      </c>
      <c r="S1435" s="4">
        <f>(H1435*INDEX('Stages'!$D$2:$D$7,MATCH(F1435,'Stages'!$A$2:$A$7,0)))</f>
        <v>0</v>
      </c>
      <c r="T1435" s="4">
        <f>(H1435*I1435)</f>
        <v>4500</v>
      </c>
      <c r="U1435" s="4">
        <f>(H1435*(I1435-1))</f>
        <v>0</v>
      </c>
      <c r="V1435" s="0" t="str">
        <f>INDEX('Account executives'!$B$2:$B$25,MATCH(C1435,'Account executives'!$A$2:$A$25,0))</f>
        <v>amer_west</v>
      </c>
      <c r="W1435" s="0" t="str">
        <f>INDEX('Account executives'!$C$2:$C$25,MATCH(C1435,'Account executives'!$A$2:$A$25,0))</f>
        <v>smb</v>
      </c>
      <c r="X1435" s="0" t="str">
        <f>SUBSTITUTE(LOWER(INDEX('Periods'!$G$2:$G$22,MATCH(N1435,'Periods'!$A$2:$A$22,0)))," ","_")</f>
        <v>q2_2026</v>
      </c>
    </row>
    <row r="1436">
      <c r="A1436" s="0" t="inlineStr">
        <is>
          <t xml:space="preserve">o1435</t>
        </is>
      </c>
      <c r="B1436" s="0" t="inlineStr">
        <is>
          <t xml:space="preserve">a0675</t>
        </is>
      </c>
      <c r="C1436" s="0" t="inlineStr">
        <is>
          <t xml:space="preserve">r07</t>
        </is>
      </c>
      <c r="D1436" s="0" t="inlineStr">
        <is>
          <t xml:space="preserve">s_amer_west_out</t>
        </is>
      </c>
      <c r="E1436" s="0" t="inlineStr">
        <is>
          <t xml:space="preserve">outbound</t>
        </is>
      </c>
      <c r="F1436" s="0" t="inlineStr">
        <is>
          <t xml:space="preserve">proposal</t>
        </is>
      </c>
      <c r="G1436" s="4">
        <v>0</v>
      </c>
      <c r="H1436" s="4">
        <v>230300</v>
      </c>
      <c r="I1436" s="4">
        <v>2</v>
      </c>
      <c r="J1436" s="4">
        <v>0</v>
      </c>
      <c r="K1436" s="16">
        <v>46164</v>
      </c>
      <c r="L1436" s="16">
        <v>46293</v>
      </c>
      <c r="M1436" s="0" t="inlineStr">
        <is>
          <t xml:space="preserve">may26</t>
        </is>
      </c>
      <c r="N1436" s="0" t="inlineStr">
        <is>
          <t xml:space="preserve">sep26</t>
        </is>
      </c>
      <c r="O1436" s="4">
        <v>168</v>
      </c>
      <c r="P1436" s="4">
        <v>0</v>
      </c>
      <c r="Q1436" s="4">
        <v>0</v>
      </c>
      <c r="R1436" s="4">
        <v>1</v>
      </c>
      <c r="S1436" s="4">
        <f>(H1436*INDEX('Stages'!$D$2:$D$7,MATCH(F1436,'Stages'!$A$2:$A$7,0)))</f>
        <v>115150</v>
      </c>
      <c r="T1436" s="4">
        <f>(H1436*I1436)</f>
        <v>460600</v>
      </c>
      <c r="U1436" s="4">
        <f>(H1436*(I1436-1))</f>
        <v>230300</v>
      </c>
      <c r="V1436" s="0" t="str">
        <f>INDEX('Account executives'!$B$2:$B$25,MATCH(C1436,'Account executives'!$A$2:$A$25,0))</f>
        <v>amer_west</v>
      </c>
      <c r="W1436" s="0" t="str">
        <f>INDEX('Account executives'!$C$2:$C$25,MATCH(C1436,'Account executives'!$A$2:$A$25,0))</f>
        <v>enterprise</v>
      </c>
      <c r="X1436" s="0" t="str">
        <f>SUBSTITUTE(LOWER(INDEX('Periods'!$G$2:$G$22,MATCH(N1436,'Periods'!$A$2:$A$22,0)))," ","_")</f>
        <v>q3_2026</v>
      </c>
    </row>
    <row r="1437">
      <c r="A1437" s="0" t="inlineStr">
        <is>
          <t xml:space="preserve">o1436</t>
        </is>
      </c>
      <c r="B1437" s="0" t="inlineStr">
        <is>
          <t xml:space="preserve">a0536</t>
        </is>
      </c>
      <c r="C1437" s="0" t="inlineStr">
        <is>
          <t xml:space="preserve">r03</t>
        </is>
      </c>
      <c r="D1437" s="0" t="inlineStr">
        <is>
          <t xml:space="preserve">s_amer_east_in</t>
        </is>
      </c>
      <c r="E1437" s="0" t="inlineStr">
        <is>
          <t xml:space="preserve">inbound</t>
        </is>
      </c>
      <c r="F1437" s="0" t="inlineStr">
        <is>
          <t xml:space="preserve">closed_won</t>
        </is>
      </c>
      <c r="G1437" s="4">
        <v>1</v>
      </c>
      <c r="H1437" s="4">
        <v>63500</v>
      </c>
      <c r="I1437" s="4">
        <v>1</v>
      </c>
      <c r="J1437" s="4">
        <v>0</v>
      </c>
      <c r="K1437" s="16">
        <v>45993</v>
      </c>
      <c r="L1437" s="16">
        <v>46018</v>
      </c>
      <c r="M1437" s="0" t="inlineStr">
        <is>
          <t xml:space="preserve">dec25</t>
        </is>
      </c>
      <c r="N1437" s="0" t="inlineStr">
        <is>
          <t xml:space="preserve">dec25</t>
        </is>
      </c>
      <c r="O1437" s="4">
        <v>25</v>
      </c>
      <c r="P1437" s="4">
        <v>1</v>
      </c>
      <c r="Q1437" s="4">
        <v>0</v>
      </c>
      <c r="R1437" s="4">
        <v>0</v>
      </c>
      <c r="S1437" s="4">
        <f>(H1437*INDEX('Stages'!$D$2:$D$7,MATCH(F1437,'Stages'!$A$2:$A$7,0)))</f>
        <v>63500</v>
      </c>
      <c r="T1437" s="4">
        <f>(H1437*I1437)</f>
        <v>63500</v>
      </c>
      <c r="U1437" s="4">
        <f>(H1437*(I1437-1))</f>
        <v>0</v>
      </c>
      <c r="V1437" s="0" t="str">
        <f>INDEX('Account executives'!$B$2:$B$25,MATCH(C1437,'Account executives'!$A$2:$A$25,0))</f>
        <v>amer_east</v>
      </c>
      <c r="W1437" s="0" t="str">
        <f>INDEX('Account executives'!$C$2:$C$25,MATCH(C1437,'Account executives'!$A$2:$A$25,0))</f>
        <v>mid_market</v>
      </c>
      <c r="X1437" s="0" t="str">
        <f>SUBSTITUTE(LOWER(INDEX('Periods'!$G$2:$G$22,MATCH(N1437,'Periods'!$A$2:$A$22,0)))," ","_")</f>
        <v>q4_2025</v>
      </c>
    </row>
    <row r="1438">
      <c r="A1438" s="0" t="inlineStr">
        <is>
          <t xml:space="preserve">o1437</t>
        </is>
      </c>
      <c r="B1438" s="0" t="inlineStr">
        <is>
          <t xml:space="preserve">a0016</t>
        </is>
      </c>
      <c r="C1438" s="0" t="inlineStr">
        <is>
          <t xml:space="preserve">r05</t>
        </is>
      </c>
      <c r="D1438" s="0"/>
      <c r="E1438" s="0" t="inlineStr">
        <is>
          <t xml:space="preserve">partner</t>
        </is>
      </c>
      <c r="F1438" s="0" t="inlineStr">
        <is>
          <t xml:space="preserve">closed_lost</t>
        </is>
      </c>
      <c r="G1438" s="4">
        <v>1</v>
      </c>
      <c r="H1438" s="4">
        <v>25200</v>
      </c>
      <c r="I1438" s="4">
        <v>1</v>
      </c>
      <c r="J1438" s="4">
        <v>0</v>
      </c>
      <c r="K1438" s="16">
        <v>45774</v>
      </c>
      <c r="L1438" s="16">
        <v>45794</v>
      </c>
      <c r="M1438" s="0" t="inlineStr">
        <is>
          <t xml:space="preserve">apr25</t>
        </is>
      </c>
      <c r="N1438" s="0" t="inlineStr">
        <is>
          <t xml:space="preserve">may25</t>
        </is>
      </c>
      <c r="O1438" s="4">
        <v>20</v>
      </c>
      <c r="P1438" s="4">
        <v>0</v>
      </c>
      <c r="Q1438" s="4">
        <v>1</v>
      </c>
      <c r="R1438" s="4">
        <v>0</v>
      </c>
      <c r="S1438" s="4">
        <f>(H1438*INDEX('Stages'!$D$2:$D$7,MATCH(F1438,'Stages'!$A$2:$A$7,0)))</f>
        <v>0</v>
      </c>
      <c r="T1438" s="4">
        <f>(H1438*I1438)</f>
        <v>25200</v>
      </c>
      <c r="U1438" s="4">
        <f>(H1438*(I1438-1))</f>
        <v>0</v>
      </c>
      <c r="V1438" s="0" t="str">
        <f>INDEX('Account executives'!$B$2:$B$25,MATCH(C1438,'Account executives'!$A$2:$A$25,0))</f>
        <v>amer_east</v>
      </c>
      <c r="W1438" s="0" t="str">
        <f>INDEX('Account executives'!$C$2:$C$25,MATCH(C1438,'Account executives'!$A$2:$A$25,0))</f>
        <v>smb</v>
      </c>
      <c r="X1438" s="0" t="str">
        <f>SUBSTITUTE(LOWER(INDEX('Periods'!$G$2:$G$22,MATCH(N1438,'Periods'!$A$2:$A$22,0)))," ","_")</f>
        <v>q2_2025</v>
      </c>
    </row>
    <row r="1439">
      <c r="A1439" s="0" t="inlineStr">
        <is>
          <t xml:space="preserve">o1438</t>
        </is>
      </c>
      <c r="B1439" s="0" t="inlineStr">
        <is>
          <t xml:space="preserve">a0005</t>
        </is>
      </c>
      <c r="C1439" s="0" t="inlineStr">
        <is>
          <t xml:space="preserve">r06</t>
        </is>
      </c>
      <c r="D1439" s="0"/>
      <c r="E1439" s="0" t="inlineStr">
        <is>
          <t xml:space="preserve">events</t>
        </is>
      </c>
      <c r="F1439" s="0" t="inlineStr">
        <is>
          <t xml:space="preserve">closed_lost</t>
        </is>
      </c>
      <c r="G1439" s="4">
        <v>0</v>
      </c>
      <c r="H1439" s="4">
        <v>15200</v>
      </c>
      <c r="I1439" s="4">
        <v>3</v>
      </c>
      <c r="J1439" s="4">
        <v>0</v>
      </c>
      <c r="K1439" s="16">
        <v>45819</v>
      </c>
      <c r="L1439" s="16">
        <v>45840</v>
      </c>
      <c r="M1439" s="0" t="inlineStr">
        <is>
          <t xml:space="preserve">jun25</t>
        </is>
      </c>
      <c r="N1439" s="0" t="inlineStr">
        <is>
          <t xml:space="preserve">jul25</t>
        </is>
      </c>
      <c r="O1439" s="4">
        <v>21</v>
      </c>
      <c r="P1439" s="4">
        <v>0</v>
      </c>
      <c r="Q1439" s="4">
        <v>1</v>
      </c>
      <c r="R1439" s="4">
        <v>0</v>
      </c>
      <c r="S1439" s="4">
        <f>(H1439*INDEX('Stages'!$D$2:$D$7,MATCH(F1439,'Stages'!$A$2:$A$7,0)))</f>
        <v>0</v>
      </c>
      <c r="T1439" s="4">
        <f>(H1439*I1439)</f>
        <v>45600</v>
      </c>
      <c r="U1439" s="4">
        <f>(H1439*(I1439-1))</f>
        <v>30400</v>
      </c>
      <c r="V1439" s="0" t="str">
        <f>INDEX('Account executives'!$B$2:$B$25,MATCH(C1439,'Account executives'!$A$2:$A$25,0))</f>
        <v>amer_east</v>
      </c>
      <c r="W1439" s="0" t="str">
        <f>INDEX('Account executives'!$C$2:$C$25,MATCH(C1439,'Account executives'!$A$2:$A$25,0))</f>
        <v>smb</v>
      </c>
      <c r="X1439" s="0" t="str">
        <f>SUBSTITUTE(LOWER(INDEX('Periods'!$G$2:$G$22,MATCH(N1439,'Periods'!$A$2:$A$22,0)))," ","_")</f>
        <v>q3_2025</v>
      </c>
    </row>
    <row r="1440">
      <c r="A1440" s="0" t="inlineStr">
        <is>
          <t xml:space="preserve">o1439</t>
        </is>
      </c>
      <c r="B1440" s="0" t="inlineStr">
        <is>
          <t xml:space="preserve">a0011</t>
        </is>
      </c>
      <c r="C1440" s="0" t="inlineStr">
        <is>
          <t xml:space="preserve">r04</t>
        </is>
      </c>
      <c r="D1440" s="0" t="inlineStr">
        <is>
          <t xml:space="preserve">s_amer_east_in</t>
        </is>
      </c>
      <c r="E1440" s="0" t="inlineStr">
        <is>
          <t xml:space="preserve">inbound</t>
        </is>
      </c>
      <c r="F1440" s="0" t="inlineStr">
        <is>
          <t xml:space="preserve">closed_lost</t>
        </is>
      </c>
      <c r="G1440" s="4">
        <v>0</v>
      </c>
      <c r="H1440" s="4">
        <v>22800</v>
      </c>
      <c r="I1440" s="4">
        <v>1</v>
      </c>
      <c r="J1440" s="4">
        <v>0</v>
      </c>
      <c r="K1440" s="16">
        <v>45779</v>
      </c>
      <c r="L1440" s="16">
        <v>45805</v>
      </c>
      <c r="M1440" s="0" t="inlineStr">
        <is>
          <t xml:space="preserve">may25</t>
        </is>
      </c>
      <c r="N1440" s="0" t="inlineStr">
        <is>
          <t xml:space="preserve">may25</t>
        </is>
      </c>
      <c r="O1440" s="4">
        <v>26</v>
      </c>
      <c r="P1440" s="4">
        <v>0</v>
      </c>
      <c r="Q1440" s="4">
        <v>1</v>
      </c>
      <c r="R1440" s="4">
        <v>0</v>
      </c>
      <c r="S1440" s="4">
        <f>(H1440*INDEX('Stages'!$D$2:$D$7,MATCH(F1440,'Stages'!$A$2:$A$7,0)))</f>
        <v>0</v>
      </c>
      <c r="T1440" s="4">
        <f>(H1440*I1440)</f>
        <v>22800</v>
      </c>
      <c r="U1440" s="4">
        <f>(H1440*(I1440-1))</f>
        <v>0</v>
      </c>
      <c r="V1440" s="0" t="str">
        <f>INDEX('Account executives'!$B$2:$B$25,MATCH(C1440,'Account executives'!$A$2:$A$25,0))</f>
        <v>amer_east</v>
      </c>
      <c r="W1440" s="0" t="str">
        <f>INDEX('Account executives'!$C$2:$C$25,MATCH(C1440,'Account executives'!$A$2:$A$25,0))</f>
        <v>mid_market</v>
      </c>
      <c r="X1440" s="0" t="str">
        <f>SUBSTITUTE(LOWER(INDEX('Periods'!$G$2:$G$22,MATCH(N1440,'Periods'!$A$2:$A$22,0)))," ","_")</f>
        <v>q2_2025</v>
      </c>
    </row>
    <row r="1441">
      <c r="A1441" s="0" t="inlineStr">
        <is>
          <t xml:space="preserve">o1440</t>
        </is>
      </c>
      <c r="B1441" s="0" t="inlineStr">
        <is>
          <t xml:space="preserve">a0507</t>
        </is>
      </c>
      <c r="C1441" s="0" t="inlineStr">
        <is>
          <t xml:space="preserve">r09</t>
        </is>
      </c>
      <c r="D1441" s="0" t="inlineStr">
        <is>
          <t xml:space="preserve">s_amer_west_out</t>
        </is>
      </c>
      <c r="E1441" s="0" t="inlineStr">
        <is>
          <t xml:space="preserve">outbound</t>
        </is>
      </c>
      <c r="F1441" s="0" t="inlineStr">
        <is>
          <t xml:space="preserve">closed_lost</t>
        </is>
      </c>
      <c r="G1441" s="4">
        <v>1</v>
      </c>
      <c r="H1441" s="4">
        <v>24400</v>
      </c>
      <c r="I1441" s="4">
        <v>1</v>
      </c>
      <c r="J1441" s="4">
        <v>0</v>
      </c>
      <c r="K1441" s="16">
        <v>45987</v>
      </c>
      <c r="L1441" s="16">
        <v>46109</v>
      </c>
      <c r="M1441" s="0" t="inlineStr">
        <is>
          <t xml:space="preserve">nov25</t>
        </is>
      </c>
      <c r="N1441" s="0" t="inlineStr">
        <is>
          <t xml:space="preserve">mar26</t>
        </is>
      </c>
      <c r="O1441" s="4">
        <v>122</v>
      </c>
      <c r="P1441" s="4">
        <v>0</v>
      </c>
      <c r="Q1441" s="4">
        <v>1</v>
      </c>
      <c r="R1441" s="4">
        <v>0</v>
      </c>
      <c r="S1441" s="4">
        <f>(H1441*INDEX('Stages'!$D$2:$D$7,MATCH(F1441,'Stages'!$A$2:$A$7,0)))</f>
        <v>0</v>
      </c>
      <c r="T1441" s="4">
        <f>(H1441*I1441)</f>
        <v>24400</v>
      </c>
      <c r="U1441" s="4">
        <f>(H1441*(I1441-1))</f>
        <v>0</v>
      </c>
      <c r="V1441" s="0" t="str">
        <f>INDEX('Account executives'!$B$2:$B$25,MATCH(C1441,'Account executives'!$A$2:$A$25,0))</f>
        <v>amer_west</v>
      </c>
      <c r="W1441" s="0" t="str">
        <f>INDEX('Account executives'!$C$2:$C$25,MATCH(C1441,'Account executives'!$A$2:$A$25,0))</f>
        <v>mid_market</v>
      </c>
      <c r="X1441" s="0" t="str">
        <f>SUBSTITUTE(LOWER(INDEX('Periods'!$G$2:$G$22,MATCH(N1441,'Periods'!$A$2:$A$22,0)))," ","_")</f>
        <v>q1_2026</v>
      </c>
    </row>
    <row r="1442">
      <c r="A1442" s="0" t="inlineStr">
        <is>
          <t xml:space="preserve">o1441</t>
        </is>
      </c>
      <c r="B1442" s="0" t="inlineStr">
        <is>
          <t xml:space="preserve">a0556</t>
        </is>
      </c>
      <c r="C1442" s="0" t="inlineStr">
        <is>
          <t xml:space="preserve">r05</t>
        </is>
      </c>
      <c r="D1442" s="0"/>
      <c r="E1442" s="0" t="inlineStr">
        <is>
          <t xml:space="preserve">referral</t>
        </is>
      </c>
      <c r="F1442" s="0" t="inlineStr">
        <is>
          <t xml:space="preserve">closed_won</t>
        </is>
      </c>
      <c r="G1442" s="4">
        <v>1</v>
      </c>
      <c r="H1442" s="4">
        <v>22100</v>
      </c>
      <c r="I1442" s="4">
        <v>1</v>
      </c>
      <c r="J1442" s="4">
        <v>1</v>
      </c>
      <c r="K1442" s="16">
        <v>46013</v>
      </c>
      <c r="L1442" s="16">
        <v>46057</v>
      </c>
      <c r="M1442" s="0" t="inlineStr">
        <is>
          <t xml:space="preserve">dec25</t>
        </is>
      </c>
      <c r="N1442" s="0" t="inlineStr">
        <is>
          <t xml:space="preserve">feb26</t>
        </is>
      </c>
      <c r="O1442" s="4">
        <v>44</v>
      </c>
      <c r="P1442" s="4">
        <v>1</v>
      </c>
      <c r="Q1442" s="4">
        <v>0</v>
      </c>
      <c r="R1442" s="4">
        <v>0</v>
      </c>
      <c r="S1442" s="4">
        <f>(H1442*INDEX('Stages'!$D$2:$D$7,MATCH(F1442,'Stages'!$A$2:$A$7,0)))</f>
        <v>22100</v>
      </c>
      <c r="T1442" s="4">
        <f>(H1442*I1442)</f>
        <v>22100</v>
      </c>
      <c r="U1442" s="4">
        <f>(H1442*(I1442-1))</f>
        <v>0</v>
      </c>
      <c r="V1442" s="0" t="str">
        <f>INDEX('Account executives'!$B$2:$B$25,MATCH(C1442,'Account executives'!$A$2:$A$25,0))</f>
        <v>amer_east</v>
      </c>
      <c r="W1442" s="0" t="str">
        <f>INDEX('Account executives'!$C$2:$C$25,MATCH(C1442,'Account executives'!$A$2:$A$25,0))</f>
        <v>smb</v>
      </c>
      <c r="X1442" s="0" t="str">
        <f>SUBSTITUTE(LOWER(INDEX('Periods'!$G$2:$G$22,MATCH(N1442,'Periods'!$A$2:$A$22,0)))," ","_")</f>
        <v>q1_2026</v>
      </c>
    </row>
    <row r="1443">
      <c r="A1443" s="0" t="inlineStr">
        <is>
          <t xml:space="preserve">o1442</t>
        </is>
      </c>
      <c r="B1443" s="0" t="inlineStr">
        <is>
          <t xml:space="preserve">a0279</t>
        </is>
      </c>
      <c r="C1443" s="0" t="inlineStr">
        <is>
          <t xml:space="preserve">r17</t>
        </is>
      </c>
      <c r="D1443" s="0" t="inlineStr">
        <is>
          <t xml:space="preserve">s_emea_in</t>
        </is>
      </c>
      <c r="E1443" s="0" t="inlineStr">
        <is>
          <t xml:space="preserve">paid</t>
        </is>
      </c>
      <c r="F1443" s="0" t="inlineStr">
        <is>
          <t xml:space="preserve">closed_lost</t>
        </is>
      </c>
      <c r="G1443" s="4">
        <v>0</v>
      </c>
      <c r="H1443" s="4">
        <v>7100</v>
      </c>
      <c r="I1443" s="4">
        <v>1</v>
      </c>
      <c r="J1443" s="4">
        <v>0</v>
      </c>
      <c r="K1443" s="16">
        <v>45882</v>
      </c>
      <c r="L1443" s="16">
        <v>45911</v>
      </c>
      <c r="M1443" s="0" t="inlineStr">
        <is>
          <t xml:space="preserve">aug25</t>
        </is>
      </c>
      <c r="N1443" s="0" t="inlineStr">
        <is>
          <t xml:space="preserve">sep25</t>
        </is>
      </c>
      <c r="O1443" s="4">
        <v>29</v>
      </c>
      <c r="P1443" s="4">
        <v>0</v>
      </c>
      <c r="Q1443" s="4">
        <v>1</v>
      </c>
      <c r="R1443" s="4">
        <v>0</v>
      </c>
      <c r="S1443" s="4">
        <f>(H1443*INDEX('Stages'!$D$2:$D$7,MATCH(F1443,'Stages'!$A$2:$A$7,0)))</f>
        <v>0</v>
      </c>
      <c r="T1443" s="4">
        <f>(H1443*I1443)</f>
        <v>7100</v>
      </c>
      <c r="U1443" s="4">
        <f>(H1443*(I1443-1))</f>
        <v>0</v>
      </c>
      <c r="V1443" s="0" t="str">
        <f>INDEX('Account executives'!$B$2:$B$25,MATCH(C1443,'Account executives'!$A$2:$A$25,0))</f>
        <v>emea</v>
      </c>
      <c r="W1443" s="0" t="str">
        <f>INDEX('Account executives'!$C$2:$C$25,MATCH(C1443,'Account executives'!$A$2:$A$25,0))</f>
        <v>smb</v>
      </c>
      <c r="X1443" s="0" t="str">
        <f>SUBSTITUTE(LOWER(INDEX('Periods'!$G$2:$G$22,MATCH(N1443,'Periods'!$A$2:$A$22,0)))," ","_")</f>
        <v>q3_2025</v>
      </c>
    </row>
    <row r="1444">
      <c r="A1444" s="0" t="inlineStr">
        <is>
          <t xml:space="preserve">o1443</t>
        </is>
      </c>
      <c r="B1444" s="0" t="inlineStr">
        <is>
          <t xml:space="preserve">a1180</t>
        </is>
      </c>
      <c r="C1444" s="0" t="inlineStr">
        <is>
          <t xml:space="preserve">r17</t>
        </is>
      </c>
      <c r="D1444" s="0" t="inlineStr">
        <is>
          <t xml:space="preserve">s_emea_in</t>
        </is>
      </c>
      <c r="E1444" s="0" t="inlineStr">
        <is>
          <t xml:space="preserve">inbound</t>
        </is>
      </c>
      <c r="F1444" s="0" t="inlineStr">
        <is>
          <t xml:space="preserve">closed_won</t>
        </is>
      </c>
      <c r="G1444" s="4">
        <v>1</v>
      </c>
      <c r="H1444" s="4">
        <v>18700</v>
      </c>
      <c r="I1444" s="4">
        <v>1</v>
      </c>
      <c r="J1444" s="4">
        <v>0</v>
      </c>
      <c r="K1444" s="16">
        <v>46242</v>
      </c>
      <c r="L1444" s="16">
        <v>46269</v>
      </c>
      <c r="M1444" s="0" t="inlineStr">
        <is>
          <t xml:space="preserve">aug26</t>
        </is>
      </c>
      <c r="N1444" s="0" t="inlineStr">
        <is>
          <t xml:space="preserve">sep26</t>
        </is>
      </c>
      <c r="O1444" s="4">
        <v>27</v>
      </c>
      <c r="P1444" s="4">
        <v>1</v>
      </c>
      <c r="Q1444" s="4">
        <v>0</v>
      </c>
      <c r="R1444" s="4">
        <v>0</v>
      </c>
      <c r="S1444" s="4">
        <f>(H1444*INDEX('Stages'!$D$2:$D$7,MATCH(F1444,'Stages'!$A$2:$A$7,0)))</f>
        <v>18700</v>
      </c>
      <c r="T1444" s="4">
        <f>(H1444*I1444)</f>
        <v>18700</v>
      </c>
      <c r="U1444" s="4">
        <f>(H1444*(I1444-1))</f>
        <v>0</v>
      </c>
      <c r="V1444" s="0" t="str">
        <f>INDEX('Account executives'!$B$2:$B$25,MATCH(C1444,'Account executives'!$A$2:$A$25,0))</f>
        <v>emea</v>
      </c>
      <c r="W1444" s="0" t="str">
        <f>INDEX('Account executives'!$C$2:$C$25,MATCH(C1444,'Account executives'!$A$2:$A$25,0))</f>
        <v>smb</v>
      </c>
      <c r="X1444" s="0" t="str">
        <f>SUBSTITUTE(LOWER(INDEX('Periods'!$G$2:$G$22,MATCH(N1444,'Periods'!$A$2:$A$22,0)))," ","_")</f>
        <v>q3_2026</v>
      </c>
    </row>
    <row r="1445">
      <c r="A1445" s="0" t="inlineStr">
        <is>
          <t xml:space="preserve">o1444</t>
        </is>
      </c>
      <c r="B1445" s="0" t="inlineStr">
        <is>
          <t xml:space="preserve">a1134</t>
        </is>
      </c>
      <c r="C1445" s="0" t="inlineStr">
        <is>
          <t xml:space="preserve">r24</t>
        </is>
      </c>
      <c r="D1445" s="0" t="inlineStr">
        <is>
          <t xml:space="preserve">s_apac_in</t>
        </is>
      </c>
      <c r="E1445" s="0" t="inlineStr">
        <is>
          <t xml:space="preserve">inbound</t>
        </is>
      </c>
      <c r="F1445" s="0" t="inlineStr">
        <is>
          <t xml:space="preserve">closed_lost</t>
        </is>
      </c>
      <c r="G1445" s="4">
        <v>1</v>
      </c>
      <c r="H1445" s="4">
        <v>29300</v>
      </c>
      <c r="I1445" s="4">
        <v>1</v>
      </c>
      <c r="J1445" s="4">
        <v>0</v>
      </c>
      <c r="K1445" s="16">
        <v>46215</v>
      </c>
      <c r="L1445" s="16">
        <v>46239</v>
      </c>
      <c r="M1445" s="0" t="inlineStr">
        <is>
          <t xml:space="preserve">jul26</t>
        </is>
      </c>
      <c r="N1445" s="0" t="inlineStr">
        <is>
          <t xml:space="preserve">aug26</t>
        </is>
      </c>
      <c r="O1445" s="4">
        <v>24</v>
      </c>
      <c r="P1445" s="4">
        <v>0</v>
      </c>
      <c r="Q1445" s="4">
        <v>1</v>
      </c>
      <c r="R1445" s="4">
        <v>0</v>
      </c>
      <c r="S1445" s="4">
        <f>(H1445*INDEX('Stages'!$D$2:$D$7,MATCH(F1445,'Stages'!$A$2:$A$7,0)))</f>
        <v>0</v>
      </c>
      <c r="T1445" s="4">
        <f>(H1445*I1445)</f>
        <v>29300</v>
      </c>
      <c r="U1445" s="4">
        <f>(H1445*(I1445-1))</f>
        <v>0</v>
      </c>
      <c r="V1445" s="0" t="str">
        <f>INDEX('Account executives'!$B$2:$B$25,MATCH(C1445,'Account executives'!$A$2:$A$25,0))</f>
        <v>apac</v>
      </c>
      <c r="W1445" s="0" t="str">
        <f>INDEX('Account executives'!$C$2:$C$25,MATCH(C1445,'Account executives'!$A$2:$A$25,0))</f>
        <v>smb</v>
      </c>
      <c r="X1445" s="0" t="str">
        <f>SUBSTITUTE(LOWER(INDEX('Periods'!$G$2:$G$22,MATCH(N1445,'Periods'!$A$2:$A$22,0)))," ","_")</f>
        <v>q3_2026</v>
      </c>
    </row>
    <row r="1446">
      <c r="A1446" s="0" t="inlineStr">
        <is>
          <t xml:space="preserve">o1445</t>
        </is>
      </c>
      <c r="B1446" s="0" t="inlineStr">
        <is>
          <t xml:space="preserve">a0161</t>
        </is>
      </c>
      <c r="C1446" s="0" t="inlineStr">
        <is>
          <t xml:space="preserve">r04</t>
        </is>
      </c>
      <c r="D1446" s="0" t="inlineStr">
        <is>
          <t xml:space="preserve">s_amer_east_in</t>
        </is>
      </c>
      <c r="E1446" s="0" t="inlineStr">
        <is>
          <t xml:space="preserve">inbound</t>
        </is>
      </c>
      <c r="F1446" s="0" t="inlineStr">
        <is>
          <t xml:space="preserve">closed_lost</t>
        </is>
      </c>
      <c r="G1446" s="4">
        <v>1</v>
      </c>
      <c r="H1446" s="4">
        <v>27300</v>
      </c>
      <c r="I1446" s="4">
        <v>1</v>
      </c>
      <c r="J1446" s="4">
        <v>1</v>
      </c>
      <c r="K1446" s="16">
        <v>45812</v>
      </c>
      <c r="L1446" s="16">
        <v>45870</v>
      </c>
      <c r="M1446" s="0" t="inlineStr">
        <is>
          <t xml:space="preserve">jun25</t>
        </is>
      </c>
      <c r="N1446" s="0" t="inlineStr">
        <is>
          <t xml:space="preserve">aug25</t>
        </is>
      </c>
      <c r="O1446" s="4">
        <v>58</v>
      </c>
      <c r="P1446" s="4">
        <v>0</v>
      </c>
      <c r="Q1446" s="4">
        <v>1</v>
      </c>
      <c r="R1446" s="4">
        <v>0</v>
      </c>
      <c r="S1446" s="4">
        <f>(H1446*INDEX('Stages'!$D$2:$D$7,MATCH(F1446,'Stages'!$A$2:$A$7,0)))</f>
        <v>0</v>
      </c>
      <c r="T1446" s="4">
        <f>(H1446*I1446)</f>
        <v>27300</v>
      </c>
      <c r="U1446" s="4">
        <f>(H1446*(I1446-1))</f>
        <v>0</v>
      </c>
      <c r="V1446" s="0" t="str">
        <f>INDEX('Account executives'!$B$2:$B$25,MATCH(C1446,'Account executives'!$A$2:$A$25,0))</f>
        <v>amer_east</v>
      </c>
      <c r="W1446" s="0" t="str">
        <f>INDEX('Account executives'!$C$2:$C$25,MATCH(C1446,'Account executives'!$A$2:$A$25,0))</f>
        <v>mid_market</v>
      </c>
      <c r="X1446" s="0" t="str">
        <f>SUBSTITUTE(LOWER(INDEX('Periods'!$G$2:$G$22,MATCH(N1446,'Periods'!$A$2:$A$22,0)))," ","_")</f>
        <v>q3_2025</v>
      </c>
    </row>
    <row r="1447">
      <c r="A1447" s="0" t="inlineStr">
        <is>
          <t xml:space="preserve">o1446</t>
        </is>
      </c>
      <c r="B1447" s="0" t="inlineStr">
        <is>
          <t xml:space="preserve">a1197</t>
        </is>
      </c>
      <c r="C1447" s="0" t="inlineStr">
        <is>
          <t xml:space="preserve">r19</t>
        </is>
      </c>
      <c r="D1447" s="0" t="inlineStr">
        <is>
          <t xml:space="preserve">s_apac_in</t>
        </is>
      </c>
      <c r="E1447" s="0" t="inlineStr">
        <is>
          <t xml:space="preserve">inbound</t>
        </is>
      </c>
      <c r="F1447" s="0" t="inlineStr">
        <is>
          <t xml:space="preserve">discovery</t>
        </is>
      </c>
      <c r="G1447" s="4">
        <v>1</v>
      </c>
      <c r="H1447" s="4">
        <v>151200</v>
      </c>
      <c r="I1447" s="4">
        <v>1</v>
      </c>
      <c r="J1447" s="4">
        <v>0</v>
      </c>
      <c r="K1447" s="16">
        <v>46252</v>
      </c>
      <c r="L1447" s="16">
        <v>46326</v>
      </c>
      <c r="M1447" s="0" t="inlineStr">
        <is>
          <t xml:space="preserve">aug26</t>
        </is>
      </c>
      <c r="N1447" s="0" t="inlineStr">
        <is>
          <t xml:space="preserve">oct26</t>
        </is>
      </c>
      <c r="O1447" s="4">
        <v>119</v>
      </c>
      <c r="P1447" s="4">
        <v>0</v>
      </c>
      <c r="Q1447" s="4">
        <v>0</v>
      </c>
      <c r="R1447" s="4">
        <v>1</v>
      </c>
      <c r="S1447" s="4">
        <f>(H1447*INDEX('Stages'!$D$2:$D$7,MATCH(F1447,'Stages'!$A$2:$A$7,0)))</f>
        <v>15120</v>
      </c>
      <c r="T1447" s="4">
        <f>(H1447*I1447)</f>
        <v>151200</v>
      </c>
      <c r="U1447" s="4">
        <f>(H1447*(I1447-1))</f>
        <v>0</v>
      </c>
      <c r="V1447" s="0" t="str">
        <f>INDEX('Account executives'!$B$2:$B$25,MATCH(C1447,'Account executives'!$A$2:$A$25,0))</f>
        <v>apac</v>
      </c>
      <c r="W1447" s="0" t="str">
        <f>INDEX('Account executives'!$C$2:$C$25,MATCH(C1447,'Account executives'!$A$2:$A$25,0))</f>
        <v>enterprise</v>
      </c>
      <c r="X1447" s="0" t="str">
        <f>SUBSTITUTE(LOWER(INDEX('Periods'!$G$2:$G$22,MATCH(N1447,'Periods'!$A$2:$A$22,0)))," ","_")</f>
        <v>q4_2026</v>
      </c>
    </row>
    <row r="1448">
      <c r="A1448" s="0" t="inlineStr">
        <is>
          <t xml:space="preserve">o1447</t>
        </is>
      </c>
      <c r="B1448" s="0" t="inlineStr">
        <is>
          <t xml:space="preserve">a0297</t>
        </is>
      </c>
      <c r="C1448" s="0" t="inlineStr">
        <is>
          <t xml:space="preserve">r21</t>
        </is>
      </c>
      <c r="D1448" s="0" t="inlineStr">
        <is>
          <t xml:space="preserve">s_apac_in</t>
        </is>
      </c>
      <c r="E1448" s="0" t="inlineStr">
        <is>
          <t xml:space="preserve">inbound</t>
        </is>
      </c>
      <c r="F1448" s="0" t="inlineStr">
        <is>
          <t xml:space="preserve">closed_lost</t>
        </is>
      </c>
      <c r="G1448" s="4">
        <v>1</v>
      </c>
      <c r="H1448" s="4">
        <v>44900</v>
      </c>
      <c r="I1448" s="4">
        <v>1</v>
      </c>
      <c r="J1448" s="4">
        <v>1</v>
      </c>
      <c r="K1448" s="16">
        <v>45862</v>
      </c>
      <c r="L1448" s="16">
        <v>45916</v>
      </c>
      <c r="M1448" s="0" t="inlineStr">
        <is>
          <t xml:space="preserve">jul25</t>
        </is>
      </c>
      <c r="N1448" s="0" t="inlineStr">
        <is>
          <t xml:space="preserve">sep25</t>
        </is>
      </c>
      <c r="O1448" s="4">
        <v>54</v>
      </c>
      <c r="P1448" s="4">
        <v>0</v>
      </c>
      <c r="Q1448" s="4">
        <v>1</v>
      </c>
      <c r="R1448" s="4">
        <v>0</v>
      </c>
      <c r="S1448" s="4">
        <f>(H1448*INDEX('Stages'!$D$2:$D$7,MATCH(F1448,'Stages'!$A$2:$A$7,0)))</f>
        <v>0</v>
      </c>
      <c r="T1448" s="4">
        <f>(H1448*I1448)</f>
        <v>44900</v>
      </c>
      <c r="U1448" s="4">
        <f>(H1448*(I1448-1))</f>
        <v>0</v>
      </c>
      <c r="V1448" s="0" t="str">
        <f>INDEX('Account executives'!$B$2:$B$25,MATCH(C1448,'Account executives'!$A$2:$A$25,0))</f>
        <v>apac</v>
      </c>
      <c r="W1448" s="0" t="str">
        <f>INDEX('Account executives'!$C$2:$C$25,MATCH(C1448,'Account executives'!$A$2:$A$25,0))</f>
        <v>mid_market</v>
      </c>
      <c r="X1448" s="0" t="str">
        <f>SUBSTITUTE(LOWER(INDEX('Periods'!$G$2:$G$22,MATCH(N1448,'Periods'!$A$2:$A$22,0)))," ","_")</f>
        <v>q3_2025</v>
      </c>
    </row>
    <row r="1449">
      <c r="A1449" s="0" t="inlineStr">
        <is>
          <t xml:space="preserve">o1448</t>
        </is>
      </c>
      <c r="B1449" s="0" t="inlineStr">
        <is>
          <t xml:space="preserve">a0468</t>
        </is>
      </c>
      <c r="C1449" s="0" t="inlineStr">
        <is>
          <t xml:space="preserve">r24</t>
        </is>
      </c>
      <c r="D1449" s="0" t="inlineStr">
        <is>
          <t xml:space="preserve">s_apac_out</t>
        </is>
      </c>
      <c r="E1449" s="0" t="inlineStr">
        <is>
          <t xml:space="preserve">outbound</t>
        </is>
      </c>
      <c r="F1449" s="0" t="inlineStr">
        <is>
          <t xml:space="preserve">closed_lost</t>
        </is>
      </c>
      <c r="G1449" s="4">
        <v>0</v>
      </c>
      <c r="H1449" s="4">
        <v>4000</v>
      </c>
      <c r="I1449" s="4">
        <v>2</v>
      </c>
      <c r="J1449" s="4">
        <v>0</v>
      </c>
      <c r="K1449" s="16">
        <v>46016</v>
      </c>
      <c r="L1449" s="16">
        <v>46023</v>
      </c>
      <c r="M1449" s="0" t="inlineStr">
        <is>
          <t xml:space="preserve">dec25</t>
        </is>
      </c>
      <c r="N1449" s="0" t="inlineStr">
        <is>
          <t xml:space="preserve">jan26</t>
        </is>
      </c>
      <c r="O1449" s="4">
        <v>7</v>
      </c>
      <c r="P1449" s="4">
        <v>0</v>
      </c>
      <c r="Q1449" s="4">
        <v>1</v>
      </c>
      <c r="R1449" s="4">
        <v>0</v>
      </c>
      <c r="S1449" s="4">
        <f>(H1449*INDEX('Stages'!$D$2:$D$7,MATCH(F1449,'Stages'!$A$2:$A$7,0)))</f>
        <v>0</v>
      </c>
      <c r="T1449" s="4">
        <f>(H1449*I1449)</f>
        <v>8000</v>
      </c>
      <c r="U1449" s="4">
        <f>(H1449*(I1449-1))</f>
        <v>4000</v>
      </c>
      <c r="V1449" s="0" t="str">
        <f>INDEX('Account executives'!$B$2:$B$25,MATCH(C1449,'Account executives'!$A$2:$A$25,0))</f>
        <v>apac</v>
      </c>
      <c r="W1449" s="0" t="str">
        <f>INDEX('Account executives'!$C$2:$C$25,MATCH(C1449,'Account executives'!$A$2:$A$25,0))</f>
        <v>smb</v>
      </c>
      <c r="X1449" s="0" t="str">
        <f>SUBSTITUTE(LOWER(INDEX('Periods'!$G$2:$G$22,MATCH(N1449,'Periods'!$A$2:$A$22,0)))," ","_")</f>
        <v>q1_2026</v>
      </c>
    </row>
    <row r="1450">
      <c r="A1450" s="0" t="inlineStr">
        <is>
          <t xml:space="preserve">o1449</t>
        </is>
      </c>
      <c r="B1450" s="0" t="inlineStr">
        <is>
          <t xml:space="preserve">a0690</t>
        </is>
      </c>
      <c r="C1450" s="0" t="inlineStr">
        <is>
          <t xml:space="preserve">r07</t>
        </is>
      </c>
      <c r="D1450" s="0" t="inlineStr">
        <is>
          <t xml:space="preserve">s_amer_west_out</t>
        </is>
      </c>
      <c r="E1450" s="0" t="inlineStr">
        <is>
          <t xml:space="preserve">outbound</t>
        </is>
      </c>
      <c r="F1450" s="0" t="inlineStr">
        <is>
          <t xml:space="preserve">closed_lost</t>
        </is>
      </c>
      <c r="G1450" s="4">
        <v>1</v>
      </c>
      <c r="H1450" s="4">
        <v>243800</v>
      </c>
      <c r="I1450" s="4">
        <v>3</v>
      </c>
      <c r="J1450" s="4">
        <v>1</v>
      </c>
      <c r="K1450" s="16">
        <v>46072</v>
      </c>
      <c r="L1450" s="16">
        <v>46170</v>
      </c>
      <c r="M1450" s="0" t="inlineStr">
        <is>
          <t xml:space="preserve">feb26</t>
        </is>
      </c>
      <c r="N1450" s="0" t="inlineStr">
        <is>
          <t xml:space="preserve">may26</t>
        </is>
      </c>
      <c r="O1450" s="4">
        <v>98</v>
      </c>
      <c r="P1450" s="4">
        <v>0</v>
      </c>
      <c r="Q1450" s="4">
        <v>1</v>
      </c>
      <c r="R1450" s="4">
        <v>0</v>
      </c>
      <c r="S1450" s="4">
        <f>(H1450*INDEX('Stages'!$D$2:$D$7,MATCH(F1450,'Stages'!$A$2:$A$7,0)))</f>
        <v>0</v>
      </c>
      <c r="T1450" s="4">
        <f>(H1450*I1450)</f>
        <v>731400</v>
      </c>
      <c r="U1450" s="4">
        <f>(H1450*(I1450-1))</f>
        <v>487600</v>
      </c>
      <c r="V1450" s="0" t="str">
        <f>INDEX('Account executives'!$B$2:$B$25,MATCH(C1450,'Account executives'!$A$2:$A$25,0))</f>
        <v>amer_west</v>
      </c>
      <c r="W1450" s="0" t="str">
        <f>INDEX('Account executives'!$C$2:$C$25,MATCH(C1450,'Account executives'!$A$2:$A$25,0))</f>
        <v>enterprise</v>
      </c>
      <c r="X1450" s="0" t="str">
        <f>SUBSTITUTE(LOWER(INDEX('Periods'!$G$2:$G$22,MATCH(N1450,'Periods'!$A$2:$A$22,0)))," ","_")</f>
        <v>q2_2026</v>
      </c>
    </row>
    <row r="1451">
      <c r="A1451" s="0" t="inlineStr">
        <is>
          <t xml:space="preserve">o1450</t>
        </is>
      </c>
      <c r="B1451" s="0" t="inlineStr">
        <is>
          <t xml:space="preserve">a0007</t>
        </is>
      </c>
      <c r="C1451" s="0" t="inlineStr">
        <is>
          <t xml:space="preserve">r04</t>
        </is>
      </c>
      <c r="D1451" s="0"/>
      <c r="E1451" s="0" t="inlineStr">
        <is>
          <t xml:space="preserve">events</t>
        </is>
      </c>
      <c r="F1451" s="0" t="inlineStr">
        <is>
          <t xml:space="preserve">closed_won</t>
        </is>
      </c>
      <c r="G1451" s="4">
        <v>0</v>
      </c>
      <c r="H1451" s="4">
        <v>12300</v>
      </c>
      <c r="I1451" s="4">
        <v>2</v>
      </c>
      <c r="J1451" s="4">
        <v>0</v>
      </c>
      <c r="K1451" s="16">
        <v>45885</v>
      </c>
      <c r="L1451" s="16">
        <v>45940</v>
      </c>
      <c r="M1451" s="0" t="inlineStr">
        <is>
          <t xml:space="preserve">aug25</t>
        </is>
      </c>
      <c r="N1451" s="0" t="inlineStr">
        <is>
          <t xml:space="preserve">oct25</t>
        </is>
      </c>
      <c r="O1451" s="4">
        <v>55</v>
      </c>
      <c r="P1451" s="4">
        <v>1</v>
      </c>
      <c r="Q1451" s="4">
        <v>0</v>
      </c>
      <c r="R1451" s="4">
        <v>0</v>
      </c>
      <c r="S1451" s="4">
        <f>(H1451*INDEX('Stages'!$D$2:$D$7,MATCH(F1451,'Stages'!$A$2:$A$7,0)))</f>
        <v>12300</v>
      </c>
      <c r="T1451" s="4">
        <f>(H1451*I1451)</f>
        <v>24600</v>
      </c>
      <c r="U1451" s="4">
        <f>(H1451*(I1451-1))</f>
        <v>12300</v>
      </c>
      <c r="V1451" s="0" t="str">
        <f>INDEX('Account executives'!$B$2:$B$25,MATCH(C1451,'Account executives'!$A$2:$A$25,0))</f>
        <v>amer_east</v>
      </c>
      <c r="W1451" s="0" t="str">
        <f>INDEX('Account executives'!$C$2:$C$25,MATCH(C1451,'Account executives'!$A$2:$A$25,0))</f>
        <v>mid_market</v>
      </c>
      <c r="X1451" s="0" t="str">
        <f>SUBSTITUTE(LOWER(INDEX('Periods'!$G$2:$G$22,MATCH(N1451,'Periods'!$A$2:$A$22,0)))," ","_")</f>
        <v>q4_2025</v>
      </c>
    </row>
    <row r="1452">
      <c r="A1452" s="0" t="inlineStr">
        <is>
          <t xml:space="preserve">o1451</t>
        </is>
      </c>
      <c r="B1452" s="0" t="inlineStr">
        <is>
          <t xml:space="preserve">a1023</t>
        </is>
      </c>
      <c r="C1452" s="0" t="inlineStr">
        <is>
          <t xml:space="preserve">r17</t>
        </is>
      </c>
      <c r="D1452" s="0" t="inlineStr">
        <is>
          <t xml:space="preserve">s_emea_in</t>
        </is>
      </c>
      <c r="E1452" s="0" t="inlineStr">
        <is>
          <t xml:space="preserve">paid</t>
        </is>
      </c>
      <c r="F1452" s="0" t="inlineStr">
        <is>
          <t xml:space="preserve">closed_won</t>
        </is>
      </c>
      <c r="G1452" s="4">
        <v>0</v>
      </c>
      <c r="H1452" s="4">
        <v>7400</v>
      </c>
      <c r="I1452" s="4">
        <v>1</v>
      </c>
      <c r="J1452" s="4">
        <v>0</v>
      </c>
      <c r="K1452" s="16">
        <v>46246</v>
      </c>
      <c r="L1452" s="16">
        <v>46263</v>
      </c>
      <c r="M1452" s="0" t="inlineStr">
        <is>
          <t xml:space="preserve">aug26</t>
        </is>
      </c>
      <c r="N1452" s="0" t="inlineStr">
        <is>
          <t xml:space="preserve">aug26</t>
        </is>
      </c>
      <c r="O1452" s="4">
        <v>17</v>
      </c>
      <c r="P1452" s="4">
        <v>1</v>
      </c>
      <c r="Q1452" s="4">
        <v>0</v>
      </c>
      <c r="R1452" s="4">
        <v>0</v>
      </c>
      <c r="S1452" s="4">
        <f>(H1452*INDEX('Stages'!$D$2:$D$7,MATCH(F1452,'Stages'!$A$2:$A$7,0)))</f>
        <v>7400</v>
      </c>
      <c r="T1452" s="4">
        <f>(H1452*I1452)</f>
        <v>7400</v>
      </c>
      <c r="U1452" s="4">
        <f>(H1452*(I1452-1))</f>
        <v>0</v>
      </c>
      <c r="V1452" s="0" t="str">
        <f>INDEX('Account executives'!$B$2:$B$25,MATCH(C1452,'Account executives'!$A$2:$A$25,0))</f>
        <v>emea</v>
      </c>
      <c r="W1452" s="0" t="str">
        <f>INDEX('Account executives'!$C$2:$C$25,MATCH(C1452,'Account executives'!$A$2:$A$25,0))</f>
        <v>smb</v>
      </c>
      <c r="X1452" s="0" t="str">
        <f>SUBSTITUTE(LOWER(INDEX('Periods'!$G$2:$G$22,MATCH(N1452,'Periods'!$A$2:$A$22,0)))," ","_")</f>
        <v>q3_2026</v>
      </c>
    </row>
    <row r="1453">
      <c r="A1453" s="0" t="inlineStr">
        <is>
          <t xml:space="preserve">o1452</t>
        </is>
      </c>
      <c r="B1453" s="0" t="inlineStr">
        <is>
          <t xml:space="preserve">a0420</t>
        </is>
      </c>
      <c r="C1453" s="0" t="inlineStr">
        <is>
          <t xml:space="preserve">r05</t>
        </is>
      </c>
      <c r="D1453" s="0"/>
      <c r="E1453" s="0" t="inlineStr">
        <is>
          <t xml:space="preserve">events</t>
        </is>
      </c>
      <c r="F1453" s="0" t="inlineStr">
        <is>
          <t xml:space="preserve">closed_lost</t>
        </is>
      </c>
      <c r="G1453" s="4">
        <v>0</v>
      </c>
      <c r="H1453" s="4">
        <v>2600</v>
      </c>
      <c r="I1453" s="4">
        <v>1</v>
      </c>
      <c r="J1453" s="4">
        <v>1</v>
      </c>
      <c r="K1453" s="16">
        <v>45943</v>
      </c>
      <c r="L1453" s="16">
        <v>45978</v>
      </c>
      <c r="M1453" s="0" t="inlineStr">
        <is>
          <t xml:space="preserve">oct25</t>
        </is>
      </c>
      <c r="N1453" s="0" t="inlineStr">
        <is>
          <t xml:space="preserve">nov25</t>
        </is>
      </c>
      <c r="O1453" s="4">
        <v>35</v>
      </c>
      <c r="P1453" s="4">
        <v>0</v>
      </c>
      <c r="Q1453" s="4">
        <v>1</v>
      </c>
      <c r="R1453" s="4">
        <v>0</v>
      </c>
      <c r="S1453" s="4">
        <f>(H1453*INDEX('Stages'!$D$2:$D$7,MATCH(F1453,'Stages'!$A$2:$A$7,0)))</f>
        <v>0</v>
      </c>
      <c r="T1453" s="4">
        <f>(H1453*I1453)</f>
        <v>2600</v>
      </c>
      <c r="U1453" s="4">
        <f>(H1453*(I1453-1))</f>
        <v>0</v>
      </c>
      <c r="V1453" s="0" t="str">
        <f>INDEX('Account executives'!$B$2:$B$25,MATCH(C1453,'Account executives'!$A$2:$A$25,0))</f>
        <v>amer_east</v>
      </c>
      <c r="W1453" s="0" t="str">
        <f>INDEX('Account executives'!$C$2:$C$25,MATCH(C1453,'Account executives'!$A$2:$A$25,0))</f>
        <v>smb</v>
      </c>
      <c r="X1453" s="0" t="str">
        <f>SUBSTITUTE(LOWER(INDEX('Periods'!$G$2:$G$22,MATCH(N1453,'Periods'!$A$2:$A$22,0)))," ","_")</f>
        <v>q4_2025</v>
      </c>
    </row>
    <row r="1454">
      <c r="A1454" s="0" t="inlineStr">
        <is>
          <t xml:space="preserve">o1453</t>
        </is>
      </c>
      <c r="B1454" s="0" t="inlineStr">
        <is>
          <t xml:space="preserve">a1112</t>
        </is>
      </c>
      <c r="C1454" s="0" t="inlineStr">
        <is>
          <t xml:space="preserve">r08</t>
        </is>
      </c>
      <c r="D1454" s="0"/>
      <c r="E1454" s="0" t="inlineStr">
        <is>
          <t xml:space="preserve">referral</t>
        </is>
      </c>
      <c r="F1454" s="0" t="inlineStr">
        <is>
          <t xml:space="preserve">proposal</t>
        </is>
      </c>
      <c r="G1454" s="4">
        <v>1</v>
      </c>
      <c r="H1454" s="4">
        <v>136300</v>
      </c>
      <c r="I1454" s="4">
        <v>3</v>
      </c>
      <c r="J1454" s="4">
        <v>0</v>
      </c>
      <c r="K1454" s="16">
        <v>46225</v>
      </c>
      <c r="L1454" s="16">
        <v>46293</v>
      </c>
      <c r="M1454" s="0" t="inlineStr">
        <is>
          <t xml:space="preserve">jul26</t>
        </is>
      </c>
      <c r="N1454" s="0" t="inlineStr">
        <is>
          <t xml:space="preserve">sep26</t>
        </is>
      </c>
      <c r="O1454" s="4">
        <v>69</v>
      </c>
      <c r="P1454" s="4">
        <v>0</v>
      </c>
      <c r="Q1454" s="4">
        <v>0</v>
      </c>
      <c r="R1454" s="4">
        <v>1</v>
      </c>
      <c r="S1454" s="4">
        <f>(H1454*INDEX('Stages'!$D$2:$D$7,MATCH(F1454,'Stages'!$A$2:$A$7,0)))</f>
        <v>68150</v>
      </c>
      <c r="T1454" s="4">
        <f>(H1454*I1454)</f>
        <v>408900</v>
      </c>
      <c r="U1454" s="4">
        <f>(H1454*(I1454-1))</f>
        <v>272600</v>
      </c>
      <c r="V1454" s="0" t="str">
        <f>INDEX('Account executives'!$B$2:$B$25,MATCH(C1454,'Account executives'!$A$2:$A$25,0))</f>
        <v>amer_west</v>
      </c>
      <c r="W1454" s="0" t="str">
        <f>INDEX('Account executives'!$C$2:$C$25,MATCH(C1454,'Account executives'!$A$2:$A$25,0))</f>
        <v>enterprise</v>
      </c>
      <c r="X1454" s="0" t="str">
        <f>SUBSTITUTE(LOWER(INDEX('Periods'!$G$2:$G$22,MATCH(N1454,'Periods'!$A$2:$A$22,0)))," ","_")</f>
        <v>q3_2026</v>
      </c>
    </row>
    <row r="1455">
      <c r="A1455" s="0" t="inlineStr">
        <is>
          <t xml:space="preserve">o1454</t>
        </is>
      </c>
      <c r="B1455" s="0" t="inlineStr">
        <is>
          <t xml:space="preserve">a0231</t>
        </is>
      </c>
      <c r="C1455" s="0" t="inlineStr">
        <is>
          <t xml:space="preserve">r24</t>
        </is>
      </c>
      <c r="D1455" s="0" t="inlineStr">
        <is>
          <t xml:space="preserve">s_apac_in</t>
        </is>
      </c>
      <c r="E1455" s="0" t="inlineStr">
        <is>
          <t xml:space="preserve">inbound</t>
        </is>
      </c>
      <c r="F1455" s="0" t="inlineStr">
        <is>
          <t xml:space="preserve">closed_won</t>
        </is>
      </c>
      <c r="G1455" s="4">
        <v>0</v>
      </c>
      <c r="H1455" s="4">
        <v>5400</v>
      </c>
      <c r="I1455" s="4">
        <v>1</v>
      </c>
      <c r="J1455" s="4">
        <v>0</v>
      </c>
      <c r="K1455" s="16">
        <v>45862</v>
      </c>
      <c r="L1455" s="16">
        <v>45928</v>
      </c>
      <c r="M1455" s="0" t="inlineStr">
        <is>
          <t xml:space="preserve">jul25</t>
        </is>
      </c>
      <c r="N1455" s="0" t="inlineStr">
        <is>
          <t xml:space="preserve">sep25</t>
        </is>
      </c>
      <c r="O1455" s="4">
        <v>66</v>
      </c>
      <c r="P1455" s="4">
        <v>1</v>
      </c>
      <c r="Q1455" s="4">
        <v>0</v>
      </c>
      <c r="R1455" s="4">
        <v>0</v>
      </c>
      <c r="S1455" s="4">
        <f>(H1455*INDEX('Stages'!$D$2:$D$7,MATCH(F1455,'Stages'!$A$2:$A$7,0)))</f>
        <v>5400</v>
      </c>
      <c r="T1455" s="4">
        <f>(H1455*I1455)</f>
        <v>5400</v>
      </c>
      <c r="U1455" s="4">
        <f>(H1455*(I1455-1))</f>
        <v>0</v>
      </c>
      <c r="V1455" s="0" t="str">
        <f>INDEX('Account executives'!$B$2:$B$25,MATCH(C1455,'Account executives'!$A$2:$A$25,0))</f>
        <v>apac</v>
      </c>
      <c r="W1455" s="0" t="str">
        <f>INDEX('Account executives'!$C$2:$C$25,MATCH(C1455,'Account executives'!$A$2:$A$25,0))</f>
        <v>smb</v>
      </c>
      <c r="X1455" s="0" t="str">
        <f>SUBSTITUTE(LOWER(INDEX('Periods'!$G$2:$G$22,MATCH(N1455,'Periods'!$A$2:$A$22,0)))," ","_")</f>
        <v>q3_2025</v>
      </c>
    </row>
    <row r="1456">
      <c r="A1456" s="0" t="inlineStr">
        <is>
          <t xml:space="preserve">o1455</t>
        </is>
      </c>
      <c r="B1456" s="0" t="inlineStr">
        <is>
          <t xml:space="preserve">a0097</t>
        </is>
      </c>
      <c r="C1456" s="0" t="inlineStr">
        <is>
          <t xml:space="preserve">r09</t>
        </is>
      </c>
      <c r="D1456" s="0" t="inlineStr">
        <is>
          <t xml:space="preserve">s_amer_west_in</t>
        </is>
      </c>
      <c r="E1456" s="0" t="inlineStr">
        <is>
          <t xml:space="preserve">inbound</t>
        </is>
      </c>
      <c r="F1456" s="0" t="inlineStr">
        <is>
          <t xml:space="preserve">closed_lost</t>
        </is>
      </c>
      <c r="G1456" s="4">
        <v>0</v>
      </c>
      <c r="H1456" s="4">
        <v>26300</v>
      </c>
      <c r="I1456" s="4">
        <v>1</v>
      </c>
      <c r="J1456" s="4">
        <v>1</v>
      </c>
      <c r="K1456" s="16">
        <v>46123</v>
      </c>
      <c r="L1456" s="16">
        <v>46200</v>
      </c>
      <c r="M1456" s="0" t="inlineStr">
        <is>
          <t xml:space="preserve">apr26</t>
        </is>
      </c>
      <c r="N1456" s="0" t="inlineStr">
        <is>
          <t xml:space="preserve">jun26</t>
        </is>
      </c>
      <c r="O1456" s="4">
        <v>77</v>
      </c>
      <c r="P1456" s="4">
        <v>0</v>
      </c>
      <c r="Q1456" s="4">
        <v>1</v>
      </c>
      <c r="R1456" s="4">
        <v>0</v>
      </c>
      <c r="S1456" s="4">
        <f>(H1456*INDEX('Stages'!$D$2:$D$7,MATCH(F1456,'Stages'!$A$2:$A$7,0)))</f>
        <v>0</v>
      </c>
      <c r="T1456" s="4">
        <f>(H1456*I1456)</f>
        <v>26300</v>
      </c>
      <c r="U1456" s="4">
        <f>(H1456*(I1456-1))</f>
        <v>0</v>
      </c>
      <c r="V1456" s="0" t="str">
        <f>INDEX('Account executives'!$B$2:$B$25,MATCH(C1456,'Account executives'!$A$2:$A$25,0))</f>
        <v>amer_west</v>
      </c>
      <c r="W1456" s="0" t="str">
        <f>INDEX('Account executives'!$C$2:$C$25,MATCH(C1456,'Account executives'!$A$2:$A$25,0))</f>
        <v>mid_market</v>
      </c>
      <c r="X1456" s="0" t="str">
        <f>SUBSTITUTE(LOWER(INDEX('Periods'!$G$2:$G$22,MATCH(N1456,'Periods'!$A$2:$A$22,0)))," ","_")</f>
        <v>q2_2026</v>
      </c>
    </row>
    <row r="1457">
      <c r="A1457" s="0" t="inlineStr">
        <is>
          <t xml:space="preserve">o1456</t>
        </is>
      </c>
      <c r="B1457" s="0" t="inlineStr">
        <is>
          <t xml:space="preserve">a0847</t>
        </is>
      </c>
      <c r="C1457" s="0" t="inlineStr">
        <is>
          <t xml:space="preserve">r09</t>
        </is>
      </c>
      <c r="D1457" s="0" t="inlineStr">
        <is>
          <t xml:space="preserve">s_amer_west_in</t>
        </is>
      </c>
      <c r="E1457" s="0" t="inlineStr">
        <is>
          <t xml:space="preserve">inbound</t>
        </is>
      </c>
      <c r="F1457" s="0" t="inlineStr">
        <is>
          <t xml:space="preserve">closed_lost</t>
        </is>
      </c>
      <c r="G1457" s="4">
        <v>0</v>
      </c>
      <c r="H1457" s="4">
        <v>77500</v>
      </c>
      <c r="I1457" s="4">
        <v>2</v>
      </c>
      <c r="J1457" s="4">
        <v>0</v>
      </c>
      <c r="K1457" s="16">
        <v>46169</v>
      </c>
      <c r="L1457" s="16">
        <v>46186</v>
      </c>
      <c r="M1457" s="0" t="inlineStr">
        <is>
          <t xml:space="preserve">may26</t>
        </is>
      </c>
      <c r="N1457" s="0" t="inlineStr">
        <is>
          <t xml:space="preserve">jun26</t>
        </is>
      </c>
      <c r="O1457" s="4">
        <v>17</v>
      </c>
      <c r="P1457" s="4">
        <v>0</v>
      </c>
      <c r="Q1457" s="4">
        <v>1</v>
      </c>
      <c r="R1457" s="4">
        <v>0</v>
      </c>
      <c r="S1457" s="4">
        <f>(H1457*INDEX('Stages'!$D$2:$D$7,MATCH(F1457,'Stages'!$A$2:$A$7,0)))</f>
        <v>0</v>
      </c>
      <c r="T1457" s="4">
        <f>(H1457*I1457)</f>
        <v>155000</v>
      </c>
      <c r="U1457" s="4">
        <f>(H1457*(I1457-1))</f>
        <v>77500</v>
      </c>
      <c r="V1457" s="0" t="str">
        <f>INDEX('Account executives'!$B$2:$B$25,MATCH(C1457,'Account executives'!$A$2:$A$25,0))</f>
        <v>amer_west</v>
      </c>
      <c r="W1457" s="0" t="str">
        <f>INDEX('Account executives'!$C$2:$C$25,MATCH(C1457,'Account executives'!$A$2:$A$25,0))</f>
        <v>mid_market</v>
      </c>
      <c r="X1457" s="0" t="str">
        <f>SUBSTITUTE(LOWER(INDEX('Periods'!$G$2:$G$22,MATCH(N1457,'Periods'!$A$2:$A$22,0)))," ","_")</f>
        <v>q2_2026</v>
      </c>
    </row>
    <row r="1458">
      <c r="A1458" s="0" t="inlineStr">
        <is>
          <t xml:space="preserve">o1457</t>
        </is>
      </c>
      <c r="B1458" s="0" t="inlineStr">
        <is>
          <t xml:space="preserve">a0256</t>
        </is>
      </c>
      <c r="C1458" s="0" t="inlineStr">
        <is>
          <t xml:space="preserve">r11</t>
        </is>
      </c>
      <c r="D1458" s="0"/>
      <c r="E1458" s="0" t="inlineStr">
        <is>
          <t xml:space="preserve">partner</t>
        </is>
      </c>
      <c r="F1458" s="0" t="inlineStr">
        <is>
          <t xml:space="preserve">closed_won</t>
        </is>
      </c>
      <c r="G1458" s="4">
        <v>0</v>
      </c>
      <c r="H1458" s="4">
        <v>3500</v>
      </c>
      <c r="I1458" s="4">
        <v>1</v>
      </c>
      <c r="J1458" s="4">
        <v>0</v>
      </c>
      <c r="K1458" s="16">
        <v>45845</v>
      </c>
      <c r="L1458" s="16">
        <v>45877</v>
      </c>
      <c r="M1458" s="0" t="inlineStr">
        <is>
          <t xml:space="preserve">jul25</t>
        </is>
      </c>
      <c r="N1458" s="0" t="inlineStr">
        <is>
          <t xml:space="preserve">aug25</t>
        </is>
      </c>
      <c r="O1458" s="4">
        <v>32</v>
      </c>
      <c r="P1458" s="4">
        <v>1</v>
      </c>
      <c r="Q1458" s="4">
        <v>0</v>
      </c>
      <c r="R1458" s="4">
        <v>0</v>
      </c>
      <c r="S1458" s="4">
        <f>(H1458*INDEX('Stages'!$D$2:$D$7,MATCH(F1458,'Stages'!$A$2:$A$7,0)))</f>
        <v>3500</v>
      </c>
      <c r="T1458" s="4">
        <f>(H1458*I1458)</f>
        <v>3500</v>
      </c>
      <c r="U1458" s="4">
        <f>(H1458*(I1458-1))</f>
        <v>0</v>
      </c>
      <c r="V1458" s="0" t="str">
        <f>INDEX('Account executives'!$B$2:$B$25,MATCH(C1458,'Account executives'!$A$2:$A$25,0))</f>
        <v>amer_west</v>
      </c>
      <c r="W1458" s="0" t="str">
        <f>INDEX('Account executives'!$C$2:$C$25,MATCH(C1458,'Account executives'!$A$2:$A$25,0))</f>
        <v>smb</v>
      </c>
      <c r="X1458" s="0" t="str">
        <f>SUBSTITUTE(LOWER(INDEX('Periods'!$G$2:$G$22,MATCH(N1458,'Periods'!$A$2:$A$22,0)))," ","_")</f>
        <v>q3_2025</v>
      </c>
    </row>
    <row r="1459">
      <c r="A1459" s="0" t="inlineStr">
        <is>
          <t xml:space="preserve">o1458</t>
        </is>
      </c>
      <c r="B1459" s="0" t="inlineStr">
        <is>
          <t xml:space="preserve">a0232</t>
        </is>
      </c>
      <c r="C1459" s="0" t="inlineStr">
        <is>
          <t xml:space="preserve">r05</t>
        </is>
      </c>
      <c r="D1459" s="0" t="inlineStr">
        <is>
          <t xml:space="preserve">s_amer_east_in</t>
        </is>
      </c>
      <c r="E1459" s="0" t="inlineStr">
        <is>
          <t xml:space="preserve">inbound</t>
        </is>
      </c>
      <c r="F1459" s="0" t="inlineStr">
        <is>
          <t xml:space="preserve">closed_won</t>
        </is>
      </c>
      <c r="G1459" s="4">
        <v>0</v>
      </c>
      <c r="H1459" s="4">
        <v>3200</v>
      </c>
      <c r="I1459" s="4">
        <v>1</v>
      </c>
      <c r="J1459" s="4">
        <v>0</v>
      </c>
      <c r="K1459" s="16">
        <v>45992</v>
      </c>
      <c r="L1459" s="16">
        <v>46002</v>
      </c>
      <c r="M1459" s="0" t="inlineStr">
        <is>
          <t xml:space="preserve">dec25</t>
        </is>
      </c>
      <c r="N1459" s="0" t="inlineStr">
        <is>
          <t xml:space="preserve">dec25</t>
        </is>
      </c>
      <c r="O1459" s="4">
        <v>10</v>
      </c>
      <c r="P1459" s="4">
        <v>1</v>
      </c>
      <c r="Q1459" s="4">
        <v>0</v>
      </c>
      <c r="R1459" s="4">
        <v>0</v>
      </c>
      <c r="S1459" s="4">
        <f>(H1459*INDEX('Stages'!$D$2:$D$7,MATCH(F1459,'Stages'!$A$2:$A$7,0)))</f>
        <v>3200</v>
      </c>
      <c r="T1459" s="4">
        <f>(H1459*I1459)</f>
        <v>3200</v>
      </c>
      <c r="U1459" s="4">
        <f>(H1459*(I1459-1))</f>
        <v>0</v>
      </c>
      <c r="V1459" s="0" t="str">
        <f>INDEX('Account executives'!$B$2:$B$25,MATCH(C1459,'Account executives'!$A$2:$A$25,0))</f>
        <v>amer_east</v>
      </c>
      <c r="W1459" s="0" t="str">
        <f>INDEX('Account executives'!$C$2:$C$25,MATCH(C1459,'Account executives'!$A$2:$A$25,0))</f>
        <v>smb</v>
      </c>
      <c r="X1459" s="0" t="str">
        <f>SUBSTITUTE(LOWER(INDEX('Periods'!$G$2:$G$22,MATCH(N1459,'Periods'!$A$2:$A$22,0)))," ","_")</f>
        <v>q4_2025</v>
      </c>
    </row>
    <row r="1460">
      <c r="A1460" s="0" t="inlineStr">
        <is>
          <t xml:space="preserve">o1459</t>
        </is>
      </c>
      <c r="B1460" s="0" t="inlineStr">
        <is>
          <t xml:space="preserve">a0219</t>
        </is>
      </c>
      <c r="C1460" s="0" t="inlineStr">
        <is>
          <t xml:space="preserve">r18</t>
        </is>
      </c>
      <c r="D1460" s="0" t="inlineStr">
        <is>
          <t xml:space="preserve">s_emea_out</t>
        </is>
      </c>
      <c r="E1460" s="0" t="inlineStr">
        <is>
          <t xml:space="preserve">outbound</t>
        </is>
      </c>
      <c r="F1460" s="0" t="inlineStr">
        <is>
          <t xml:space="preserve">closed_lost</t>
        </is>
      </c>
      <c r="G1460" s="4">
        <v>1</v>
      </c>
      <c r="H1460" s="4">
        <v>17800</v>
      </c>
      <c r="I1460" s="4">
        <v>1</v>
      </c>
      <c r="J1460" s="4">
        <v>0</v>
      </c>
      <c r="K1460" s="16">
        <v>45826</v>
      </c>
      <c r="L1460" s="16">
        <v>45848</v>
      </c>
      <c r="M1460" s="0" t="inlineStr">
        <is>
          <t xml:space="preserve">jun25</t>
        </is>
      </c>
      <c r="N1460" s="0" t="inlineStr">
        <is>
          <t xml:space="preserve">jul25</t>
        </is>
      </c>
      <c r="O1460" s="4">
        <v>22</v>
      </c>
      <c r="P1460" s="4">
        <v>0</v>
      </c>
      <c r="Q1460" s="4">
        <v>1</v>
      </c>
      <c r="R1460" s="4">
        <v>0</v>
      </c>
      <c r="S1460" s="4">
        <f>(H1460*INDEX('Stages'!$D$2:$D$7,MATCH(F1460,'Stages'!$A$2:$A$7,0)))</f>
        <v>0</v>
      </c>
      <c r="T1460" s="4">
        <f>(H1460*I1460)</f>
        <v>17800</v>
      </c>
      <c r="U1460" s="4">
        <f>(H1460*(I1460-1))</f>
        <v>0</v>
      </c>
      <c r="V1460" s="0" t="str">
        <f>INDEX('Account executives'!$B$2:$B$25,MATCH(C1460,'Account executives'!$A$2:$A$25,0))</f>
        <v>emea</v>
      </c>
      <c r="W1460" s="0" t="str">
        <f>INDEX('Account executives'!$C$2:$C$25,MATCH(C1460,'Account executives'!$A$2:$A$25,0))</f>
        <v>smb</v>
      </c>
      <c r="X1460" s="0" t="str">
        <f>SUBSTITUTE(LOWER(INDEX('Periods'!$G$2:$G$22,MATCH(N1460,'Periods'!$A$2:$A$22,0)))," ","_")</f>
        <v>q3_2025</v>
      </c>
    </row>
    <row r="1461">
      <c r="A1461" s="0" t="inlineStr">
        <is>
          <t xml:space="preserve">o1460</t>
        </is>
      </c>
      <c r="B1461" s="0" t="inlineStr">
        <is>
          <t xml:space="preserve">a0479</t>
        </is>
      </c>
      <c r="C1461" s="0" t="inlineStr">
        <is>
          <t xml:space="preserve">r05</t>
        </is>
      </c>
      <c r="D1461" s="0" t="inlineStr">
        <is>
          <t xml:space="preserve">s_amer_east_in</t>
        </is>
      </c>
      <c r="E1461" s="0" t="inlineStr">
        <is>
          <t xml:space="preserve">paid</t>
        </is>
      </c>
      <c r="F1461" s="0" t="inlineStr">
        <is>
          <t xml:space="preserve">closed_lost</t>
        </is>
      </c>
      <c r="G1461" s="4">
        <v>0</v>
      </c>
      <c r="H1461" s="4">
        <v>2800</v>
      </c>
      <c r="I1461" s="4">
        <v>1</v>
      </c>
      <c r="J1461" s="4">
        <v>0</v>
      </c>
      <c r="K1461" s="16">
        <v>46087</v>
      </c>
      <c r="L1461" s="16">
        <v>46123</v>
      </c>
      <c r="M1461" s="0" t="inlineStr">
        <is>
          <t xml:space="preserve">mar26</t>
        </is>
      </c>
      <c r="N1461" s="0" t="inlineStr">
        <is>
          <t xml:space="preserve">apr26</t>
        </is>
      </c>
      <c r="O1461" s="4">
        <v>36</v>
      </c>
      <c r="P1461" s="4">
        <v>0</v>
      </c>
      <c r="Q1461" s="4">
        <v>1</v>
      </c>
      <c r="R1461" s="4">
        <v>0</v>
      </c>
      <c r="S1461" s="4">
        <f>(H1461*INDEX('Stages'!$D$2:$D$7,MATCH(F1461,'Stages'!$A$2:$A$7,0)))</f>
        <v>0</v>
      </c>
      <c r="T1461" s="4">
        <f>(H1461*I1461)</f>
        <v>2800</v>
      </c>
      <c r="U1461" s="4">
        <f>(H1461*(I1461-1))</f>
        <v>0</v>
      </c>
      <c r="V1461" s="0" t="str">
        <f>INDEX('Account executives'!$B$2:$B$25,MATCH(C1461,'Account executives'!$A$2:$A$25,0))</f>
        <v>amer_east</v>
      </c>
      <c r="W1461" s="0" t="str">
        <f>INDEX('Account executives'!$C$2:$C$25,MATCH(C1461,'Account executives'!$A$2:$A$25,0))</f>
        <v>smb</v>
      </c>
      <c r="X1461" s="0" t="str">
        <f>SUBSTITUTE(LOWER(INDEX('Periods'!$G$2:$G$22,MATCH(N1461,'Periods'!$A$2:$A$22,0)))," ","_")</f>
        <v>q2_2026</v>
      </c>
    </row>
    <row r="1462">
      <c r="A1462" s="0" t="inlineStr">
        <is>
          <t xml:space="preserve">o1461</t>
        </is>
      </c>
      <c r="B1462" s="0" t="inlineStr">
        <is>
          <t xml:space="preserve">a0890</t>
        </is>
      </c>
      <c r="C1462" s="0" t="inlineStr">
        <is>
          <t xml:space="preserve">r01</t>
        </is>
      </c>
      <c r="D1462" s="0" t="inlineStr">
        <is>
          <t xml:space="preserve">s_amer_east_in</t>
        </is>
      </c>
      <c r="E1462" s="0" t="inlineStr">
        <is>
          <t xml:space="preserve">inbound</t>
        </is>
      </c>
      <c r="F1462" s="0" t="inlineStr">
        <is>
          <t xml:space="preserve">closed_lost</t>
        </is>
      </c>
      <c r="G1462" s="4">
        <v>1</v>
      </c>
      <c r="H1462" s="4">
        <v>168000</v>
      </c>
      <c r="I1462" s="4">
        <v>2</v>
      </c>
      <c r="J1462" s="4">
        <v>0</v>
      </c>
      <c r="K1462" s="16">
        <v>46148</v>
      </c>
      <c r="L1462" s="16">
        <v>46231</v>
      </c>
      <c r="M1462" s="0" t="inlineStr">
        <is>
          <t xml:space="preserve">may26</t>
        </is>
      </c>
      <c r="N1462" s="0" t="inlineStr">
        <is>
          <t xml:space="preserve">jul26</t>
        </is>
      </c>
      <c r="O1462" s="4">
        <v>83</v>
      </c>
      <c r="P1462" s="4">
        <v>0</v>
      </c>
      <c r="Q1462" s="4">
        <v>1</v>
      </c>
      <c r="R1462" s="4">
        <v>0</v>
      </c>
      <c r="S1462" s="4">
        <f>(H1462*INDEX('Stages'!$D$2:$D$7,MATCH(F1462,'Stages'!$A$2:$A$7,0)))</f>
        <v>0</v>
      </c>
      <c r="T1462" s="4">
        <f>(H1462*I1462)</f>
        <v>336000</v>
      </c>
      <c r="U1462" s="4">
        <f>(H1462*(I1462-1))</f>
        <v>168000</v>
      </c>
      <c r="V1462" s="0" t="str">
        <f>INDEX('Account executives'!$B$2:$B$25,MATCH(C1462,'Account executives'!$A$2:$A$25,0))</f>
        <v>amer_east</v>
      </c>
      <c r="W1462" s="0" t="str">
        <f>INDEX('Account executives'!$C$2:$C$25,MATCH(C1462,'Account executives'!$A$2:$A$25,0))</f>
        <v>enterprise</v>
      </c>
      <c r="X1462" s="0" t="str">
        <f>SUBSTITUTE(LOWER(INDEX('Periods'!$G$2:$G$22,MATCH(N1462,'Periods'!$A$2:$A$22,0)))," ","_")</f>
        <v>q3_2026</v>
      </c>
    </row>
    <row r="1463">
      <c r="A1463" s="0" t="inlineStr">
        <is>
          <t xml:space="preserve">o1462</t>
        </is>
      </c>
      <c r="B1463" s="0" t="inlineStr">
        <is>
          <t xml:space="preserve">a0743</t>
        </is>
      </c>
      <c r="C1463" s="0" t="inlineStr">
        <is>
          <t xml:space="preserve">r01</t>
        </is>
      </c>
      <c r="D1463" s="0"/>
      <c r="E1463" s="0" t="inlineStr">
        <is>
          <t xml:space="preserve">events</t>
        </is>
      </c>
      <c r="F1463" s="0" t="inlineStr">
        <is>
          <t xml:space="preserve">closed_lost</t>
        </is>
      </c>
      <c r="G1463" s="4">
        <v>1</v>
      </c>
      <c r="H1463" s="4">
        <v>361100</v>
      </c>
      <c r="I1463" s="4">
        <v>2</v>
      </c>
      <c r="J1463" s="4">
        <v>0</v>
      </c>
      <c r="K1463" s="16">
        <v>46082</v>
      </c>
      <c r="L1463" s="16">
        <v>46165</v>
      </c>
      <c r="M1463" s="0" t="inlineStr">
        <is>
          <t xml:space="preserve">mar26</t>
        </is>
      </c>
      <c r="N1463" s="0" t="inlineStr">
        <is>
          <t xml:space="preserve">may26</t>
        </is>
      </c>
      <c r="O1463" s="4">
        <v>83</v>
      </c>
      <c r="P1463" s="4">
        <v>0</v>
      </c>
      <c r="Q1463" s="4">
        <v>1</v>
      </c>
      <c r="R1463" s="4">
        <v>0</v>
      </c>
      <c r="S1463" s="4">
        <f>(H1463*INDEX('Stages'!$D$2:$D$7,MATCH(F1463,'Stages'!$A$2:$A$7,0)))</f>
        <v>0</v>
      </c>
      <c r="T1463" s="4">
        <f>(H1463*I1463)</f>
        <v>722200</v>
      </c>
      <c r="U1463" s="4">
        <f>(H1463*(I1463-1))</f>
        <v>361100</v>
      </c>
      <c r="V1463" s="0" t="str">
        <f>INDEX('Account executives'!$B$2:$B$25,MATCH(C1463,'Account executives'!$A$2:$A$25,0))</f>
        <v>amer_east</v>
      </c>
      <c r="W1463" s="0" t="str">
        <f>INDEX('Account executives'!$C$2:$C$25,MATCH(C1463,'Account executives'!$A$2:$A$25,0))</f>
        <v>enterprise</v>
      </c>
      <c r="X1463" s="0" t="str">
        <f>SUBSTITUTE(LOWER(INDEX('Periods'!$G$2:$G$22,MATCH(N1463,'Periods'!$A$2:$A$22,0)))," ","_")</f>
        <v>q2_2026</v>
      </c>
    </row>
    <row r="1464">
      <c r="A1464" s="0" t="inlineStr">
        <is>
          <t xml:space="preserve">o1463</t>
        </is>
      </c>
      <c r="B1464" s="0" t="inlineStr">
        <is>
          <t xml:space="preserve">a0827</t>
        </is>
      </c>
      <c r="C1464" s="0" t="inlineStr">
        <is>
          <t xml:space="preserve">r06</t>
        </is>
      </c>
      <c r="D1464" s="0" t="inlineStr">
        <is>
          <t xml:space="preserve">s_amer_east_in</t>
        </is>
      </c>
      <c r="E1464" s="0" t="inlineStr">
        <is>
          <t xml:space="preserve">paid</t>
        </is>
      </c>
      <c r="F1464" s="0" t="inlineStr">
        <is>
          <t xml:space="preserve">closed_lost</t>
        </is>
      </c>
      <c r="G1464" s="4">
        <v>1</v>
      </c>
      <c r="H1464" s="4">
        <v>2700</v>
      </c>
      <c r="I1464" s="4">
        <v>1</v>
      </c>
      <c r="J1464" s="4">
        <v>0</v>
      </c>
      <c r="K1464" s="16">
        <v>46140</v>
      </c>
      <c r="L1464" s="16">
        <v>46165</v>
      </c>
      <c r="M1464" s="0" t="inlineStr">
        <is>
          <t xml:space="preserve">apr26</t>
        </is>
      </c>
      <c r="N1464" s="0" t="inlineStr">
        <is>
          <t xml:space="preserve">may26</t>
        </is>
      </c>
      <c r="O1464" s="4">
        <v>25</v>
      </c>
      <c r="P1464" s="4">
        <v>0</v>
      </c>
      <c r="Q1464" s="4">
        <v>1</v>
      </c>
      <c r="R1464" s="4">
        <v>0</v>
      </c>
      <c r="S1464" s="4">
        <f>(H1464*INDEX('Stages'!$D$2:$D$7,MATCH(F1464,'Stages'!$A$2:$A$7,0)))</f>
        <v>0</v>
      </c>
      <c r="T1464" s="4">
        <f>(H1464*I1464)</f>
        <v>2700</v>
      </c>
      <c r="U1464" s="4">
        <f>(H1464*(I1464-1))</f>
        <v>0</v>
      </c>
      <c r="V1464" s="0" t="str">
        <f>INDEX('Account executives'!$B$2:$B$25,MATCH(C1464,'Account executives'!$A$2:$A$25,0))</f>
        <v>amer_east</v>
      </c>
      <c r="W1464" s="0" t="str">
        <f>INDEX('Account executives'!$C$2:$C$25,MATCH(C1464,'Account executives'!$A$2:$A$25,0))</f>
        <v>smb</v>
      </c>
      <c r="X1464" s="0" t="str">
        <f>SUBSTITUTE(LOWER(INDEX('Periods'!$G$2:$G$22,MATCH(N1464,'Periods'!$A$2:$A$22,0)))," ","_")</f>
        <v>q2_2026</v>
      </c>
    </row>
    <row r="1465">
      <c r="A1465" s="0" t="inlineStr">
        <is>
          <t xml:space="preserve">o1464</t>
        </is>
      </c>
      <c r="B1465" s="0" t="inlineStr">
        <is>
          <t xml:space="preserve">a1213</t>
        </is>
      </c>
      <c r="C1465" s="0" t="inlineStr">
        <is>
          <t xml:space="preserve">r03</t>
        </is>
      </c>
      <c r="D1465" s="0" t="inlineStr">
        <is>
          <t xml:space="preserve">s_amer_east_in</t>
        </is>
      </c>
      <c r="E1465" s="0" t="inlineStr">
        <is>
          <t xml:space="preserve">inbound</t>
        </is>
      </c>
      <c r="F1465" s="0" t="inlineStr">
        <is>
          <t xml:space="preserve">discovery</t>
        </is>
      </c>
      <c r="G1465" s="4">
        <v>1</v>
      </c>
      <c r="H1465" s="4">
        <v>36000</v>
      </c>
      <c r="I1465" s="4">
        <v>1</v>
      </c>
      <c r="J1465" s="4">
        <v>0</v>
      </c>
      <c r="K1465" s="16">
        <v>46268</v>
      </c>
      <c r="L1465" s="16">
        <v>46325</v>
      </c>
      <c r="M1465" s="0" t="inlineStr">
        <is>
          <t xml:space="preserve">sep26</t>
        </is>
      </c>
      <c r="N1465" s="0" t="inlineStr">
        <is>
          <t xml:space="preserve">oct26</t>
        </is>
      </c>
      <c r="O1465" s="4">
        <v>61</v>
      </c>
      <c r="P1465" s="4">
        <v>0</v>
      </c>
      <c r="Q1465" s="4">
        <v>0</v>
      </c>
      <c r="R1465" s="4">
        <v>1</v>
      </c>
      <c r="S1465" s="4">
        <f>(H1465*INDEX('Stages'!$D$2:$D$7,MATCH(F1465,'Stages'!$A$2:$A$7,0)))</f>
        <v>3600</v>
      </c>
      <c r="T1465" s="4">
        <f>(H1465*I1465)</f>
        <v>36000</v>
      </c>
      <c r="U1465" s="4">
        <f>(H1465*(I1465-1))</f>
        <v>0</v>
      </c>
      <c r="V1465" s="0" t="str">
        <f>INDEX('Account executives'!$B$2:$B$25,MATCH(C1465,'Account executives'!$A$2:$A$25,0))</f>
        <v>amer_east</v>
      </c>
      <c r="W1465" s="0" t="str">
        <f>INDEX('Account executives'!$C$2:$C$25,MATCH(C1465,'Account executives'!$A$2:$A$25,0))</f>
        <v>mid_market</v>
      </c>
      <c r="X1465" s="0" t="str">
        <f>SUBSTITUTE(LOWER(INDEX('Periods'!$G$2:$G$22,MATCH(N1465,'Periods'!$A$2:$A$22,0)))," ","_")</f>
        <v>q4_2026</v>
      </c>
    </row>
    <row r="1466">
      <c r="A1466" s="0" t="inlineStr">
        <is>
          <t xml:space="preserve">o1465</t>
        </is>
      </c>
      <c r="B1466" s="0" t="inlineStr">
        <is>
          <t xml:space="preserve">a0412</t>
        </is>
      </c>
      <c r="C1466" s="0" t="inlineStr">
        <is>
          <t xml:space="preserve">r22</t>
        </is>
      </c>
      <c r="D1466" s="0" t="inlineStr">
        <is>
          <t xml:space="preserve">s_apac_out</t>
        </is>
      </c>
      <c r="E1466" s="0" t="inlineStr">
        <is>
          <t xml:space="preserve">outbound</t>
        </is>
      </c>
      <c r="F1466" s="0" t="inlineStr">
        <is>
          <t xml:space="preserve">closed_won</t>
        </is>
      </c>
      <c r="G1466" s="4">
        <v>1</v>
      </c>
      <c r="H1466" s="4">
        <v>32000</v>
      </c>
      <c r="I1466" s="4">
        <v>3</v>
      </c>
      <c r="J1466" s="4">
        <v>0</v>
      </c>
      <c r="K1466" s="16">
        <v>45907</v>
      </c>
      <c r="L1466" s="16">
        <v>45954</v>
      </c>
      <c r="M1466" s="0" t="inlineStr">
        <is>
          <t xml:space="preserve">sep25</t>
        </is>
      </c>
      <c r="N1466" s="0" t="inlineStr">
        <is>
          <t xml:space="preserve">oct25</t>
        </is>
      </c>
      <c r="O1466" s="4">
        <v>47</v>
      </c>
      <c r="P1466" s="4">
        <v>1</v>
      </c>
      <c r="Q1466" s="4">
        <v>0</v>
      </c>
      <c r="R1466" s="4">
        <v>0</v>
      </c>
      <c r="S1466" s="4">
        <f>(H1466*INDEX('Stages'!$D$2:$D$7,MATCH(F1466,'Stages'!$A$2:$A$7,0)))</f>
        <v>32000</v>
      </c>
      <c r="T1466" s="4">
        <f>(H1466*I1466)</f>
        <v>96000</v>
      </c>
      <c r="U1466" s="4">
        <f>(H1466*(I1466-1))</f>
        <v>64000</v>
      </c>
      <c r="V1466" s="0" t="str">
        <f>INDEX('Account executives'!$B$2:$B$25,MATCH(C1466,'Account executives'!$A$2:$A$25,0))</f>
        <v>apac</v>
      </c>
      <c r="W1466" s="0" t="str">
        <f>INDEX('Account executives'!$C$2:$C$25,MATCH(C1466,'Account executives'!$A$2:$A$25,0))</f>
        <v>mid_market</v>
      </c>
      <c r="X1466" s="0" t="str">
        <f>SUBSTITUTE(LOWER(INDEX('Periods'!$G$2:$G$22,MATCH(N1466,'Periods'!$A$2:$A$22,0)))," ","_")</f>
        <v>q4_2025</v>
      </c>
    </row>
    <row r="1467">
      <c r="A1467" s="0" t="inlineStr">
        <is>
          <t xml:space="preserve">o1466</t>
        </is>
      </c>
      <c r="B1467" s="0" t="inlineStr">
        <is>
          <t xml:space="preserve">a1206</t>
        </is>
      </c>
      <c r="C1467" s="0" t="inlineStr">
        <is>
          <t xml:space="preserve">r20</t>
        </is>
      </c>
      <c r="D1467" s="0" t="inlineStr">
        <is>
          <t xml:space="preserve">s_apac_out</t>
        </is>
      </c>
      <c r="E1467" s="0" t="inlineStr">
        <is>
          <t xml:space="preserve">outbound</t>
        </is>
      </c>
      <c r="F1467" s="0" t="inlineStr">
        <is>
          <t xml:space="preserve">evaluation</t>
        </is>
      </c>
      <c r="G1467" s="4">
        <v>1</v>
      </c>
      <c r="H1467" s="4">
        <v>176700</v>
      </c>
      <c r="I1467" s="4">
        <v>2</v>
      </c>
      <c r="J1467" s="4">
        <v>0</v>
      </c>
      <c r="K1467" s="16">
        <v>46252</v>
      </c>
      <c r="L1467" s="16">
        <v>46371</v>
      </c>
      <c r="M1467" s="0" t="inlineStr">
        <is>
          <t xml:space="preserve">aug26</t>
        </is>
      </c>
      <c r="N1467" s="0" t="inlineStr">
        <is>
          <t xml:space="preserve">dec26</t>
        </is>
      </c>
      <c r="O1467" s="4">
        <v>56</v>
      </c>
      <c r="P1467" s="4">
        <v>0</v>
      </c>
      <c r="Q1467" s="4">
        <v>0</v>
      </c>
      <c r="R1467" s="4">
        <v>1</v>
      </c>
      <c r="S1467" s="4">
        <f>(H1467*INDEX('Stages'!$D$2:$D$7,MATCH(F1467,'Stages'!$A$2:$A$7,0)))</f>
        <v>44175</v>
      </c>
      <c r="T1467" s="4">
        <f>(H1467*I1467)</f>
        <v>353400</v>
      </c>
      <c r="U1467" s="4">
        <f>(H1467*(I1467-1))</f>
        <v>176700</v>
      </c>
      <c r="V1467" s="0" t="str">
        <f>INDEX('Account executives'!$B$2:$B$25,MATCH(C1467,'Account executives'!$A$2:$A$25,0))</f>
        <v>apac</v>
      </c>
      <c r="W1467" s="0" t="str">
        <f>INDEX('Account executives'!$C$2:$C$25,MATCH(C1467,'Account executives'!$A$2:$A$25,0))</f>
        <v>enterprise</v>
      </c>
      <c r="X1467" s="0" t="str">
        <f>SUBSTITUTE(LOWER(INDEX('Periods'!$G$2:$G$22,MATCH(N1467,'Periods'!$A$2:$A$22,0)))," ","_")</f>
        <v>q4_2026</v>
      </c>
    </row>
    <row r="1468">
      <c r="A1468" s="0" t="inlineStr">
        <is>
          <t xml:space="preserve">o1467</t>
        </is>
      </c>
      <c r="B1468" s="0" t="inlineStr">
        <is>
          <t xml:space="preserve">a0200</t>
        </is>
      </c>
      <c r="C1468" s="0" t="inlineStr">
        <is>
          <t xml:space="preserve">r09</t>
        </is>
      </c>
      <c r="D1468" s="0" t="inlineStr">
        <is>
          <t xml:space="preserve">s_amer_west_in</t>
        </is>
      </c>
      <c r="E1468" s="0" t="inlineStr">
        <is>
          <t xml:space="preserve">inbound</t>
        </is>
      </c>
      <c r="F1468" s="0" t="inlineStr">
        <is>
          <t xml:space="preserve">closed_lost</t>
        </is>
      </c>
      <c r="G1468" s="4">
        <v>0</v>
      </c>
      <c r="H1468" s="4">
        <v>41700</v>
      </c>
      <c r="I1468" s="4">
        <v>1</v>
      </c>
      <c r="J1468" s="4">
        <v>0</v>
      </c>
      <c r="K1468" s="16">
        <v>45841</v>
      </c>
      <c r="L1468" s="16">
        <v>45914</v>
      </c>
      <c r="M1468" s="0" t="inlineStr">
        <is>
          <t xml:space="preserve">jul25</t>
        </is>
      </c>
      <c r="N1468" s="0" t="inlineStr">
        <is>
          <t xml:space="preserve">sep25</t>
        </is>
      </c>
      <c r="O1468" s="4">
        <v>73</v>
      </c>
      <c r="P1468" s="4">
        <v>0</v>
      </c>
      <c r="Q1468" s="4">
        <v>1</v>
      </c>
      <c r="R1468" s="4">
        <v>0</v>
      </c>
      <c r="S1468" s="4">
        <f>(H1468*INDEX('Stages'!$D$2:$D$7,MATCH(F1468,'Stages'!$A$2:$A$7,0)))</f>
        <v>0</v>
      </c>
      <c r="T1468" s="4">
        <f>(H1468*I1468)</f>
        <v>41700</v>
      </c>
      <c r="U1468" s="4">
        <f>(H1468*(I1468-1))</f>
        <v>0</v>
      </c>
      <c r="V1468" s="0" t="str">
        <f>INDEX('Account executives'!$B$2:$B$25,MATCH(C1468,'Account executives'!$A$2:$A$25,0))</f>
        <v>amer_west</v>
      </c>
      <c r="W1468" s="0" t="str">
        <f>INDEX('Account executives'!$C$2:$C$25,MATCH(C1468,'Account executives'!$A$2:$A$25,0))</f>
        <v>mid_market</v>
      </c>
      <c r="X1468" s="0" t="str">
        <f>SUBSTITUTE(LOWER(INDEX('Periods'!$G$2:$G$22,MATCH(N1468,'Periods'!$A$2:$A$22,0)))," ","_")</f>
        <v>q3_2025</v>
      </c>
    </row>
    <row r="1469">
      <c r="A1469" s="0" t="inlineStr">
        <is>
          <t xml:space="preserve">o1468</t>
        </is>
      </c>
      <c r="B1469" s="0" t="inlineStr">
        <is>
          <t xml:space="preserve">a0101</t>
        </is>
      </c>
      <c r="C1469" s="0" t="inlineStr">
        <is>
          <t xml:space="preserve">r12</t>
        </is>
      </c>
      <c r="D1469" s="0"/>
      <c r="E1469" s="0" t="inlineStr">
        <is>
          <t xml:space="preserve">events</t>
        </is>
      </c>
      <c r="F1469" s="0" t="inlineStr">
        <is>
          <t xml:space="preserve">closed_lost</t>
        </is>
      </c>
      <c r="G1469" s="4">
        <v>1</v>
      </c>
      <c r="H1469" s="4">
        <v>59400</v>
      </c>
      <c r="I1469" s="4">
        <v>1</v>
      </c>
      <c r="J1469" s="4">
        <v>1</v>
      </c>
      <c r="K1469" s="16">
        <v>45793</v>
      </c>
      <c r="L1469" s="16">
        <v>45825</v>
      </c>
      <c r="M1469" s="0" t="inlineStr">
        <is>
          <t xml:space="preserve">may25</t>
        </is>
      </c>
      <c r="N1469" s="0" t="inlineStr">
        <is>
          <t xml:space="preserve">jun25</t>
        </is>
      </c>
      <c r="O1469" s="4">
        <v>32</v>
      </c>
      <c r="P1469" s="4">
        <v>0</v>
      </c>
      <c r="Q1469" s="4">
        <v>1</v>
      </c>
      <c r="R1469" s="4">
        <v>0</v>
      </c>
      <c r="S1469" s="4">
        <f>(H1469*INDEX('Stages'!$D$2:$D$7,MATCH(F1469,'Stages'!$A$2:$A$7,0)))</f>
        <v>0</v>
      </c>
      <c r="T1469" s="4">
        <f>(H1469*I1469)</f>
        <v>59400</v>
      </c>
      <c r="U1469" s="4">
        <f>(H1469*(I1469-1))</f>
        <v>0</v>
      </c>
      <c r="V1469" s="0" t="str">
        <f>INDEX('Account executives'!$B$2:$B$25,MATCH(C1469,'Account executives'!$A$2:$A$25,0))</f>
        <v>amer_west</v>
      </c>
      <c r="W1469" s="0" t="str">
        <f>INDEX('Account executives'!$C$2:$C$25,MATCH(C1469,'Account executives'!$A$2:$A$25,0))</f>
        <v>smb</v>
      </c>
      <c r="X1469" s="0" t="str">
        <f>SUBSTITUTE(LOWER(INDEX('Periods'!$G$2:$G$22,MATCH(N1469,'Periods'!$A$2:$A$22,0)))," ","_")</f>
        <v>q2_2025</v>
      </c>
    </row>
    <row r="1470">
      <c r="A1470" s="0" t="inlineStr">
        <is>
          <t xml:space="preserve">o1469</t>
        </is>
      </c>
      <c r="B1470" s="0" t="inlineStr">
        <is>
          <t xml:space="preserve">a0055</t>
        </is>
      </c>
      <c r="C1470" s="0" t="inlineStr">
        <is>
          <t xml:space="preserve">r16</t>
        </is>
      </c>
      <c r="D1470" s="0"/>
      <c r="E1470" s="0" t="inlineStr">
        <is>
          <t xml:space="preserve">referral</t>
        </is>
      </c>
      <c r="F1470" s="0" t="inlineStr">
        <is>
          <t xml:space="preserve">closed_lost</t>
        </is>
      </c>
      <c r="G1470" s="4">
        <v>1</v>
      </c>
      <c r="H1470" s="4">
        <v>108700</v>
      </c>
      <c r="I1470" s="4">
        <v>3</v>
      </c>
      <c r="J1470" s="4">
        <v>1</v>
      </c>
      <c r="K1470" s="16">
        <v>45769</v>
      </c>
      <c r="L1470" s="16">
        <v>45841</v>
      </c>
      <c r="M1470" s="0" t="inlineStr">
        <is>
          <t xml:space="preserve">apr25</t>
        </is>
      </c>
      <c r="N1470" s="0" t="inlineStr">
        <is>
          <t xml:space="preserve">jul25</t>
        </is>
      </c>
      <c r="O1470" s="4">
        <v>72</v>
      </c>
      <c r="P1470" s="4">
        <v>0</v>
      </c>
      <c r="Q1470" s="4">
        <v>1</v>
      </c>
      <c r="R1470" s="4">
        <v>0</v>
      </c>
      <c r="S1470" s="4">
        <f>(H1470*INDEX('Stages'!$D$2:$D$7,MATCH(F1470,'Stages'!$A$2:$A$7,0)))</f>
        <v>0</v>
      </c>
      <c r="T1470" s="4">
        <f>(H1470*I1470)</f>
        <v>326100</v>
      </c>
      <c r="U1470" s="4">
        <f>(H1470*(I1470-1))</f>
        <v>217400</v>
      </c>
      <c r="V1470" s="0" t="str">
        <f>INDEX('Account executives'!$B$2:$B$25,MATCH(C1470,'Account executives'!$A$2:$A$25,0))</f>
        <v>emea</v>
      </c>
      <c r="W1470" s="0" t="str">
        <f>INDEX('Account executives'!$C$2:$C$25,MATCH(C1470,'Account executives'!$A$2:$A$25,0))</f>
        <v>mid_market</v>
      </c>
      <c r="X1470" s="0" t="str">
        <f>SUBSTITUTE(LOWER(INDEX('Periods'!$G$2:$G$22,MATCH(N1470,'Periods'!$A$2:$A$22,0)))," ","_")</f>
        <v>q3_2025</v>
      </c>
    </row>
    <row r="1471">
      <c r="A1471" s="0" t="inlineStr">
        <is>
          <t xml:space="preserve">o1470</t>
        </is>
      </c>
      <c r="B1471" s="0" t="inlineStr">
        <is>
          <t xml:space="preserve">a0513</t>
        </is>
      </c>
      <c r="C1471" s="0" t="inlineStr">
        <is>
          <t xml:space="preserve">r16</t>
        </is>
      </c>
      <c r="D1471" s="0" t="inlineStr">
        <is>
          <t xml:space="preserve">s_emea_in</t>
        </is>
      </c>
      <c r="E1471" s="0" t="inlineStr">
        <is>
          <t xml:space="preserve">inbound</t>
        </is>
      </c>
      <c r="F1471" s="0" t="inlineStr">
        <is>
          <t xml:space="preserve">closed_won</t>
        </is>
      </c>
      <c r="G1471" s="4">
        <v>1</v>
      </c>
      <c r="H1471" s="4">
        <v>50200</v>
      </c>
      <c r="I1471" s="4">
        <v>1</v>
      </c>
      <c r="J1471" s="4">
        <v>0</v>
      </c>
      <c r="K1471" s="16">
        <v>45980</v>
      </c>
      <c r="L1471" s="16">
        <v>46025</v>
      </c>
      <c r="M1471" s="0" t="inlineStr">
        <is>
          <t xml:space="preserve">nov25</t>
        </is>
      </c>
      <c r="N1471" s="0" t="inlineStr">
        <is>
          <t xml:space="preserve">jan26</t>
        </is>
      </c>
      <c r="O1471" s="4">
        <v>45</v>
      </c>
      <c r="P1471" s="4">
        <v>1</v>
      </c>
      <c r="Q1471" s="4">
        <v>0</v>
      </c>
      <c r="R1471" s="4">
        <v>0</v>
      </c>
      <c r="S1471" s="4">
        <f>(H1471*INDEX('Stages'!$D$2:$D$7,MATCH(F1471,'Stages'!$A$2:$A$7,0)))</f>
        <v>50200</v>
      </c>
      <c r="T1471" s="4">
        <f>(H1471*I1471)</f>
        <v>50200</v>
      </c>
      <c r="U1471" s="4">
        <f>(H1471*(I1471-1))</f>
        <v>0</v>
      </c>
      <c r="V1471" s="0" t="str">
        <f>INDEX('Account executives'!$B$2:$B$25,MATCH(C1471,'Account executives'!$A$2:$A$25,0))</f>
        <v>emea</v>
      </c>
      <c r="W1471" s="0" t="str">
        <f>INDEX('Account executives'!$C$2:$C$25,MATCH(C1471,'Account executives'!$A$2:$A$25,0))</f>
        <v>mid_market</v>
      </c>
      <c r="X1471" s="0" t="str">
        <f>SUBSTITUTE(LOWER(INDEX('Periods'!$G$2:$G$22,MATCH(N1471,'Periods'!$A$2:$A$22,0)))," ","_")</f>
        <v>q1_2026</v>
      </c>
    </row>
    <row r="1472">
      <c r="A1472" s="0" t="inlineStr">
        <is>
          <t xml:space="preserve">o1471</t>
        </is>
      </c>
      <c r="B1472" s="0" t="inlineStr">
        <is>
          <t xml:space="preserve">a0390</t>
        </is>
      </c>
      <c r="C1472" s="0" t="inlineStr">
        <is>
          <t xml:space="preserve">r09</t>
        </is>
      </c>
      <c r="D1472" s="0"/>
      <c r="E1472" s="0" t="inlineStr">
        <is>
          <t xml:space="preserve">referral</t>
        </is>
      </c>
      <c r="F1472" s="0" t="inlineStr">
        <is>
          <t xml:space="preserve">closed_lost</t>
        </is>
      </c>
      <c r="G1472" s="4">
        <v>1</v>
      </c>
      <c r="H1472" s="4">
        <v>36900</v>
      </c>
      <c r="I1472" s="4">
        <v>1</v>
      </c>
      <c r="J1472" s="4">
        <v>1</v>
      </c>
      <c r="K1472" s="16">
        <v>45909</v>
      </c>
      <c r="L1472" s="16">
        <v>45954</v>
      </c>
      <c r="M1472" s="0" t="inlineStr">
        <is>
          <t xml:space="preserve">sep25</t>
        </is>
      </c>
      <c r="N1472" s="0" t="inlineStr">
        <is>
          <t xml:space="preserve">oct25</t>
        </is>
      </c>
      <c r="O1472" s="4">
        <v>45</v>
      </c>
      <c r="P1472" s="4">
        <v>0</v>
      </c>
      <c r="Q1472" s="4">
        <v>1</v>
      </c>
      <c r="R1472" s="4">
        <v>0</v>
      </c>
      <c r="S1472" s="4">
        <f>(H1472*INDEX('Stages'!$D$2:$D$7,MATCH(F1472,'Stages'!$A$2:$A$7,0)))</f>
        <v>0</v>
      </c>
      <c r="T1472" s="4">
        <f>(H1472*I1472)</f>
        <v>36900</v>
      </c>
      <c r="U1472" s="4">
        <f>(H1472*(I1472-1))</f>
        <v>0</v>
      </c>
      <c r="V1472" s="0" t="str">
        <f>INDEX('Account executives'!$B$2:$B$25,MATCH(C1472,'Account executives'!$A$2:$A$25,0))</f>
        <v>amer_west</v>
      </c>
      <c r="W1472" s="0" t="str">
        <f>INDEX('Account executives'!$C$2:$C$25,MATCH(C1472,'Account executives'!$A$2:$A$25,0))</f>
        <v>mid_market</v>
      </c>
      <c r="X1472" s="0" t="str">
        <f>SUBSTITUTE(LOWER(INDEX('Periods'!$G$2:$G$22,MATCH(N1472,'Periods'!$A$2:$A$22,0)))," ","_")</f>
        <v>q4_2025</v>
      </c>
    </row>
    <row r="1473">
      <c r="A1473" s="0" t="inlineStr">
        <is>
          <t xml:space="preserve">o1472</t>
        </is>
      </c>
      <c r="B1473" s="0" t="inlineStr">
        <is>
          <t xml:space="preserve">a0620</t>
        </is>
      </c>
      <c r="C1473" s="0" t="inlineStr">
        <is>
          <t xml:space="preserve">r09</t>
        </is>
      </c>
      <c r="D1473" s="0" t="inlineStr">
        <is>
          <t xml:space="preserve">s_amer_west_in</t>
        </is>
      </c>
      <c r="E1473" s="0" t="inlineStr">
        <is>
          <t xml:space="preserve">inbound</t>
        </is>
      </c>
      <c r="F1473" s="0" t="inlineStr">
        <is>
          <t xml:space="preserve">closed_won</t>
        </is>
      </c>
      <c r="G1473" s="4">
        <v>1</v>
      </c>
      <c r="H1473" s="4">
        <v>37000</v>
      </c>
      <c r="I1473" s="4">
        <v>2</v>
      </c>
      <c r="J1473" s="4">
        <v>0</v>
      </c>
      <c r="K1473" s="16">
        <v>46047</v>
      </c>
      <c r="L1473" s="16">
        <v>46101</v>
      </c>
      <c r="M1473" s="0" t="inlineStr">
        <is>
          <t xml:space="preserve">jan26</t>
        </is>
      </c>
      <c r="N1473" s="0" t="inlineStr">
        <is>
          <t xml:space="preserve">mar26</t>
        </is>
      </c>
      <c r="O1473" s="4">
        <v>54</v>
      </c>
      <c r="P1473" s="4">
        <v>1</v>
      </c>
      <c r="Q1473" s="4">
        <v>0</v>
      </c>
      <c r="R1473" s="4">
        <v>0</v>
      </c>
      <c r="S1473" s="4">
        <f>(H1473*INDEX('Stages'!$D$2:$D$7,MATCH(F1473,'Stages'!$A$2:$A$7,0)))</f>
        <v>37000</v>
      </c>
      <c r="T1473" s="4">
        <f>(H1473*I1473)</f>
        <v>74000</v>
      </c>
      <c r="U1473" s="4">
        <f>(H1473*(I1473-1))</f>
        <v>37000</v>
      </c>
      <c r="V1473" s="0" t="str">
        <f>INDEX('Account executives'!$B$2:$B$25,MATCH(C1473,'Account executives'!$A$2:$A$25,0))</f>
        <v>amer_west</v>
      </c>
      <c r="W1473" s="0" t="str">
        <f>INDEX('Account executives'!$C$2:$C$25,MATCH(C1473,'Account executives'!$A$2:$A$25,0))</f>
        <v>mid_market</v>
      </c>
      <c r="X1473" s="0" t="str">
        <f>SUBSTITUTE(LOWER(INDEX('Periods'!$G$2:$G$22,MATCH(N1473,'Periods'!$A$2:$A$22,0)))," ","_")</f>
        <v>q1_2026</v>
      </c>
    </row>
    <row r="1474">
      <c r="A1474" s="0" t="inlineStr">
        <is>
          <t xml:space="preserve">o1473</t>
        </is>
      </c>
      <c r="B1474" s="0" t="inlineStr">
        <is>
          <t xml:space="preserve">a0197</t>
        </is>
      </c>
      <c r="C1474" s="0" t="inlineStr">
        <is>
          <t xml:space="preserve">r11</t>
        </is>
      </c>
      <c r="D1474" s="0"/>
      <c r="E1474" s="0" t="inlineStr">
        <is>
          <t xml:space="preserve">partner</t>
        </is>
      </c>
      <c r="F1474" s="0" t="inlineStr">
        <is>
          <t xml:space="preserve">closed_won</t>
        </is>
      </c>
      <c r="G1474" s="4">
        <v>1</v>
      </c>
      <c r="H1474" s="4">
        <v>12200</v>
      </c>
      <c r="I1474" s="4">
        <v>1</v>
      </c>
      <c r="J1474" s="4">
        <v>0</v>
      </c>
      <c r="K1474" s="16">
        <v>45809</v>
      </c>
      <c r="L1474" s="16">
        <v>45833</v>
      </c>
      <c r="M1474" s="0" t="inlineStr">
        <is>
          <t xml:space="preserve">jun25</t>
        </is>
      </c>
      <c r="N1474" s="0" t="inlineStr">
        <is>
          <t xml:space="preserve">jun25</t>
        </is>
      </c>
      <c r="O1474" s="4">
        <v>24</v>
      </c>
      <c r="P1474" s="4">
        <v>1</v>
      </c>
      <c r="Q1474" s="4">
        <v>0</v>
      </c>
      <c r="R1474" s="4">
        <v>0</v>
      </c>
      <c r="S1474" s="4">
        <f>(H1474*INDEX('Stages'!$D$2:$D$7,MATCH(F1474,'Stages'!$A$2:$A$7,0)))</f>
        <v>12200</v>
      </c>
      <c r="T1474" s="4">
        <f>(H1474*I1474)</f>
        <v>12200</v>
      </c>
      <c r="U1474" s="4">
        <f>(H1474*(I1474-1))</f>
        <v>0</v>
      </c>
      <c r="V1474" s="0" t="str">
        <f>INDEX('Account executives'!$B$2:$B$25,MATCH(C1474,'Account executives'!$A$2:$A$25,0))</f>
        <v>amer_west</v>
      </c>
      <c r="W1474" s="0" t="str">
        <f>INDEX('Account executives'!$C$2:$C$25,MATCH(C1474,'Account executives'!$A$2:$A$25,0))</f>
        <v>smb</v>
      </c>
      <c r="X1474" s="0" t="str">
        <f>SUBSTITUTE(LOWER(INDEX('Periods'!$G$2:$G$22,MATCH(N1474,'Periods'!$A$2:$A$22,0)))," ","_")</f>
        <v>q2_2025</v>
      </c>
    </row>
    <row r="1475">
      <c r="A1475" s="0" t="inlineStr">
        <is>
          <t xml:space="preserve">o1474</t>
        </is>
      </c>
      <c r="B1475" s="0" t="inlineStr">
        <is>
          <t xml:space="preserve">a0258</t>
        </is>
      </c>
      <c r="C1475" s="0" t="inlineStr">
        <is>
          <t xml:space="preserve">r12</t>
        </is>
      </c>
      <c r="D1475" s="0" t="inlineStr">
        <is>
          <t xml:space="preserve">s_amer_west_in</t>
        </is>
      </c>
      <c r="E1475" s="0" t="inlineStr">
        <is>
          <t xml:space="preserve">inbound</t>
        </is>
      </c>
      <c r="F1475" s="0" t="inlineStr">
        <is>
          <t xml:space="preserve">closed_lost</t>
        </is>
      </c>
      <c r="G1475" s="4">
        <v>1</v>
      </c>
      <c r="H1475" s="4">
        <v>31000</v>
      </c>
      <c r="I1475" s="4">
        <v>2</v>
      </c>
      <c r="J1475" s="4">
        <v>0</v>
      </c>
      <c r="K1475" s="16">
        <v>45864</v>
      </c>
      <c r="L1475" s="16">
        <v>45928</v>
      </c>
      <c r="M1475" s="0" t="inlineStr">
        <is>
          <t xml:space="preserve">jul25</t>
        </is>
      </c>
      <c r="N1475" s="0" t="inlineStr">
        <is>
          <t xml:space="preserve">sep25</t>
        </is>
      </c>
      <c r="O1475" s="4">
        <v>64</v>
      </c>
      <c r="P1475" s="4">
        <v>0</v>
      </c>
      <c r="Q1475" s="4">
        <v>1</v>
      </c>
      <c r="R1475" s="4">
        <v>0</v>
      </c>
      <c r="S1475" s="4">
        <f>(H1475*INDEX('Stages'!$D$2:$D$7,MATCH(F1475,'Stages'!$A$2:$A$7,0)))</f>
        <v>0</v>
      </c>
      <c r="T1475" s="4">
        <f>(H1475*I1475)</f>
        <v>62000</v>
      </c>
      <c r="U1475" s="4">
        <f>(H1475*(I1475-1))</f>
        <v>31000</v>
      </c>
      <c r="V1475" s="0" t="str">
        <f>INDEX('Account executives'!$B$2:$B$25,MATCH(C1475,'Account executives'!$A$2:$A$25,0))</f>
        <v>amer_west</v>
      </c>
      <c r="W1475" s="0" t="str">
        <f>INDEX('Account executives'!$C$2:$C$25,MATCH(C1475,'Account executives'!$A$2:$A$25,0))</f>
        <v>smb</v>
      </c>
      <c r="X1475" s="0" t="str">
        <f>SUBSTITUTE(LOWER(INDEX('Periods'!$G$2:$G$22,MATCH(N1475,'Periods'!$A$2:$A$22,0)))," ","_")</f>
        <v>q3_2025</v>
      </c>
    </row>
    <row r="1476">
      <c r="A1476" s="0" t="inlineStr">
        <is>
          <t xml:space="preserve">o1475</t>
        </is>
      </c>
      <c r="B1476" s="0" t="inlineStr">
        <is>
          <t xml:space="preserve">a0440</t>
        </is>
      </c>
      <c r="C1476" s="0" t="inlineStr">
        <is>
          <t xml:space="preserve">r12</t>
        </is>
      </c>
      <c r="D1476" s="0" t="inlineStr">
        <is>
          <t xml:space="preserve">s_amer_west_in</t>
        </is>
      </c>
      <c r="E1476" s="0" t="inlineStr">
        <is>
          <t xml:space="preserve">inbound</t>
        </is>
      </c>
      <c r="F1476" s="0" t="inlineStr">
        <is>
          <t xml:space="preserve">discovery</t>
        </is>
      </c>
      <c r="G1476" s="4">
        <v>0</v>
      </c>
      <c r="H1476" s="4">
        <v>4200</v>
      </c>
      <c r="I1476" s="4">
        <v>2</v>
      </c>
      <c r="J1476" s="4">
        <v>0</v>
      </c>
      <c r="K1476" s="16">
        <v>46280</v>
      </c>
      <c r="L1476" s="16">
        <v>46301</v>
      </c>
      <c r="M1476" s="0" t="inlineStr">
        <is>
          <t xml:space="preserve">sep26</t>
        </is>
      </c>
      <c r="N1476" s="0" t="inlineStr">
        <is>
          <t xml:space="preserve">oct26</t>
        </is>
      </c>
      <c r="O1476" s="4">
        <v>29</v>
      </c>
      <c r="P1476" s="4">
        <v>0</v>
      </c>
      <c r="Q1476" s="4">
        <v>0</v>
      </c>
      <c r="R1476" s="4">
        <v>1</v>
      </c>
      <c r="S1476" s="4">
        <f>(H1476*INDEX('Stages'!$D$2:$D$7,MATCH(F1476,'Stages'!$A$2:$A$7,0)))</f>
        <v>420</v>
      </c>
      <c r="T1476" s="4">
        <f>(H1476*I1476)</f>
        <v>8400</v>
      </c>
      <c r="U1476" s="4">
        <f>(H1476*(I1476-1))</f>
        <v>4200</v>
      </c>
      <c r="V1476" s="0" t="str">
        <f>INDEX('Account executives'!$B$2:$B$25,MATCH(C1476,'Account executives'!$A$2:$A$25,0))</f>
        <v>amer_west</v>
      </c>
      <c r="W1476" s="0" t="str">
        <f>INDEX('Account executives'!$C$2:$C$25,MATCH(C1476,'Account executives'!$A$2:$A$25,0))</f>
        <v>smb</v>
      </c>
      <c r="X1476" s="0" t="str">
        <f>SUBSTITUTE(LOWER(INDEX('Periods'!$G$2:$G$22,MATCH(N1476,'Periods'!$A$2:$A$22,0)))," ","_")</f>
        <v>q4_2026</v>
      </c>
    </row>
    <row r="1477">
      <c r="A1477" s="0" t="inlineStr">
        <is>
          <t xml:space="preserve">o1476</t>
        </is>
      </c>
      <c r="B1477" s="0" t="inlineStr">
        <is>
          <t xml:space="preserve">a0326</t>
        </is>
      </c>
      <c r="C1477" s="0" t="inlineStr">
        <is>
          <t xml:space="preserve">r11</t>
        </is>
      </c>
      <c r="D1477" s="0" t="inlineStr">
        <is>
          <t xml:space="preserve">s_amer_west_in</t>
        </is>
      </c>
      <c r="E1477" s="0" t="inlineStr">
        <is>
          <t xml:space="preserve">inbound</t>
        </is>
      </c>
      <c r="F1477" s="0" t="inlineStr">
        <is>
          <t xml:space="preserve">closed_won</t>
        </is>
      </c>
      <c r="G1477" s="4">
        <v>1</v>
      </c>
      <c r="H1477" s="4">
        <v>11800</v>
      </c>
      <c r="I1477" s="4">
        <v>1</v>
      </c>
      <c r="J1477" s="4">
        <v>0</v>
      </c>
      <c r="K1477" s="16">
        <v>45882</v>
      </c>
      <c r="L1477" s="16">
        <v>45913</v>
      </c>
      <c r="M1477" s="0" t="inlineStr">
        <is>
          <t xml:space="preserve">aug25</t>
        </is>
      </c>
      <c r="N1477" s="0" t="inlineStr">
        <is>
          <t xml:space="preserve">sep25</t>
        </is>
      </c>
      <c r="O1477" s="4">
        <v>31</v>
      </c>
      <c r="P1477" s="4">
        <v>1</v>
      </c>
      <c r="Q1477" s="4">
        <v>0</v>
      </c>
      <c r="R1477" s="4">
        <v>0</v>
      </c>
      <c r="S1477" s="4">
        <f>(H1477*INDEX('Stages'!$D$2:$D$7,MATCH(F1477,'Stages'!$A$2:$A$7,0)))</f>
        <v>11800</v>
      </c>
      <c r="T1477" s="4">
        <f>(H1477*I1477)</f>
        <v>11800</v>
      </c>
      <c r="U1477" s="4">
        <f>(H1477*(I1477-1))</f>
        <v>0</v>
      </c>
      <c r="V1477" s="0" t="str">
        <f>INDEX('Account executives'!$B$2:$B$25,MATCH(C1477,'Account executives'!$A$2:$A$25,0))</f>
        <v>amer_west</v>
      </c>
      <c r="W1477" s="0" t="str">
        <f>INDEX('Account executives'!$C$2:$C$25,MATCH(C1477,'Account executives'!$A$2:$A$25,0))</f>
        <v>smb</v>
      </c>
      <c r="X1477" s="0" t="str">
        <f>SUBSTITUTE(LOWER(INDEX('Periods'!$G$2:$G$22,MATCH(N1477,'Periods'!$A$2:$A$22,0)))," ","_")</f>
        <v>q3_2025</v>
      </c>
    </row>
    <row r="1478">
      <c r="A1478" s="0" t="inlineStr">
        <is>
          <t xml:space="preserve">o1477</t>
        </is>
      </c>
      <c r="B1478" s="0" t="inlineStr">
        <is>
          <t xml:space="preserve">a0260</t>
        </is>
      </c>
      <c r="C1478" s="0" t="inlineStr">
        <is>
          <t xml:space="preserve">r12</t>
        </is>
      </c>
      <c r="D1478" s="0" t="inlineStr">
        <is>
          <t xml:space="preserve">s_amer_west_in</t>
        </is>
      </c>
      <c r="E1478" s="0" t="inlineStr">
        <is>
          <t xml:space="preserve">inbound</t>
        </is>
      </c>
      <c r="F1478" s="0" t="inlineStr">
        <is>
          <t xml:space="preserve">closed_lost</t>
        </is>
      </c>
      <c r="G1478" s="4">
        <v>0</v>
      </c>
      <c r="H1478" s="4">
        <v>5800</v>
      </c>
      <c r="I1478" s="4">
        <v>1</v>
      </c>
      <c r="J1478" s="4">
        <v>0</v>
      </c>
      <c r="K1478" s="16">
        <v>45927</v>
      </c>
      <c r="L1478" s="16">
        <v>45950</v>
      </c>
      <c r="M1478" s="0" t="inlineStr">
        <is>
          <t xml:space="preserve">sep25</t>
        </is>
      </c>
      <c r="N1478" s="0" t="inlineStr">
        <is>
          <t xml:space="preserve">oct25</t>
        </is>
      </c>
      <c r="O1478" s="4">
        <v>23</v>
      </c>
      <c r="P1478" s="4">
        <v>0</v>
      </c>
      <c r="Q1478" s="4">
        <v>1</v>
      </c>
      <c r="R1478" s="4">
        <v>0</v>
      </c>
      <c r="S1478" s="4">
        <f>(H1478*INDEX('Stages'!$D$2:$D$7,MATCH(F1478,'Stages'!$A$2:$A$7,0)))</f>
        <v>0</v>
      </c>
      <c r="T1478" s="4">
        <f>(H1478*I1478)</f>
        <v>5800</v>
      </c>
      <c r="U1478" s="4">
        <f>(H1478*(I1478-1))</f>
        <v>0</v>
      </c>
      <c r="V1478" s="0" t="str">
        <f>INDEX('Account executives'!$B$2:$B$25,MATCH(C1478,'Account executives'!$A$2:$A$25,0))</f>
        <v>amer_west</v>
      </c>
      <c r="W1478" s="0" t="str">
        <f>INDEX('Account executives'!$C$2:$C$25,MATCH(C1478,'Account executives'!$A$2:$A$25,0))</f>
        <v>smb</v>
      </c>
      <c r="X1478" s="0" t="str">
        <f>SUBSTITUTE(LOWER(INDEX('Periods'!$G$2:$G$22,MATCH(N1478,'Periods'!$A$2:$A$22,0)))," ","_")</f>
        <v>q4_2025</v>
      </c>
    </row>
    <row r="1479">
      <c r="A1479" s="0" t="inlineStr">
        <is>
          <t xml:space="preserve">o1478</t>
        </is>
      </c>
      <c r="B1479" s="0" t="inlineStr">
        <is>
          <t xml:space="preserve">a0856</t>
        </is>
      </c>
      <c r="C1479" s="0" t="inlineStr">
        <is>
          <t xml:space="preserve">r18</t>
        </is>
      </c>
      <c r="D1479" s="0" t="inlineStr">
        <is>
          <t xml:space="preserve">s_emea_in</t>
        </is>
      </c>
      <c r="E1479" s="0" t="inlineStr">
        <is>
          <t xml:space="preserve">inbound</t>
        </is>
      </c>
      <c r="F1479" s="0" t="inlineStr">
        <is>
          <t xml:space="preserve">closed_lost</t>
        </is>
      </c>
      <c r="G1479" s="4">
        <v>1</v>
      </c>
      <c r="H1479" s="4">
        <v>12800</v>
      </c>
      <c r="I1479" s="4">
        <v>1</v>
      </c>
      <c r="J1479" s="4">
        <v>0</v>
      </c>
      <c r="K1479" s="16">
        <v>46131</v>
      </c>
      <c r="L1479" s="16">
        <v>46201</v>
      </c>
      <c r="M1479" s="0" t="inlineStr">
        <is>
          <t xml:space="preserve">apr26</t>
        </is>
      </c>
      <c r="N1479" s="0" t="inlineStr">
        <is>
          <t xml:space="preserve">jun26</t>
        </is>
      </c>
      <c r="O1479" s="4">
        <v>70</v>
      </c>
      <c r="P1479" s="4">
        <v>0</v>
      </c>
      <c r="Q1479" s="4">
        <v>1</v>
      </c>
      <c r="R1479" s="4">
        <v>0</v>
      </c>
      <c r="S1479" s="4">
        <f>(H1479*INDEX('Stages'!$D$2:$D$7,MATCH(F1479,'Stages'!$A$2:$A$7,0)))</f>
        <v>0</v>
      </c>
      <c r="T1479" s="4">
        <f>(H1479*I1479)</f>
        <v>12800</v>
      </c>
      <c r="U1479" s="4">
        <f>(H1479*(I1479-1))</f>
        <v>0</v>
      </c>
      <c r="V1479" s="0" t="str">
        <f>INDEX('Account executives'!$B$2:$B$25,MATCH(C1479,'Account executives'!$A$2:$A$25,0))</f>
        <v>emea</v>
      </c>
      <c r="W1479" s="0" t="str">
        <f>INDEX('Account executives'!$C$2:$C$25,MATCH(C1479,'Account executives'!$A$2:$A$25,0))</f>
        <v>smb</v>
      </c>
      <c r="X1479" s="0" t="str">
        <f>SUBSTITUTE(LOWER(INDEX('Periods'!$G$2:$G$22,MATCH(N1479,'Periods'!$A$2:$A$22,0)))," ","_")</f>
        <v>q2_2026</v>
      </c>
    </row>
    <row r="1480">
      <c r="A1480" s="0" t="inlineStr">
        <is>
          <t xml:space="preserve">o1479</t>
        </is>
      </c>
      <c r="B1480" s="0" t="inlineStr">
        <is>
          <t xml:space="preserve">a0782</t>
        </is>
      </c>
      <c r="C1480" s="0" t="inlineStr">
        <is>
          <t xml:space="preserve">r18</t>
        </is>
      </c>
      <c r="D1480" s="0"/>
      <c r="E1480" s="0" t="inlineStr">
        <is>
          <t xml:space="preserve">events</t>
        </is>
      </c>
      <c r="F1480" s="0" t="inlineStr">
        <is>
          <t xml:space="preserve">closed_lost</t>
        </is>
      </c>
      <c r="G1480" s="4">
        <v>1</v>
      </c>
      <c r="H1480" s="4">
        <v>8300</v>
      </c>
      <c r="I1480" s="4">
        <v>1</v>
      </c>
      <c r="J1480" s="4">
        <v>1</v>
      </c>
      <c r="K1480" s="16">
        <v>46094</v>
      </c>
      <c r="L1480" s="16">
        <v>46137</v>
      </c>
      <c r="M1480" s="0" t="inlineStr">
        <is>
          <t xml:space="preserve">mar26</t>
        </is>
      </c>
      <c r="N1480" s="0" t="inlineStr">
        <is>
          <t xml:space="preserve">apr26</t>
        </is>
      </c>
      <c r="O1480" s="4">
        <v>43</v>
      </c>
      <c r="P1480" s="4">
        <v>0</v>
      </c>
      <c r="Q1480" s="4">
        <v>1</v>
      </c>
      <c r="R1480" s="4">
        <v>0</v>
      </c>
      <c r="S1480" s="4">
        <f>(H1480*INDEX('Stages'!$D$2:$D$7,MATCH(F1480,'Stages'!$A$2:$A$7,0)))</f>
        <v>0</v>
      </c>
      <c r="T1480" s="4">
        <f>(H1480*I1480)</f>
        <v>8300</v>
      </c>
      <c r="U1480" s="4">
        <f>(H1480*(I1480-1))</f>
        <v>0</v>
      </c>
      <c r="V1480" s="0" t="str">
        <f>INDEX('Account executives'!$B$2:$B$25,MATCH(C1480,'Account executives'!$A$2:$A$25,0))</f>
        <v>emea</v>
      </c>
      <c r="W1480" s="0" t="str">
        <f>INDEX('Account executives'!$C$2:$C$25,MATCH(C1480,'Account executives'!$A$2:$A$25,0))</f>
        <v>smb</v>
      </c>
      <c r="X1480" s="0" t="str">
        <f>SUBSTITUTE(LOWER(INDEX('Periods'!$G$2:$G$22,MATCH(N1480,'Periods'!$A$2:$A$22,0)))," ","_")</f>
        <v>q2_2026</v>
      </c>
    </row>
    <row r="1481">
      <c r="A1481" s="0" t="inlineStr">
        <is>
          <t xml:space="preserve">o1480</t>
        </is>
      </c>
      <c r="B1481" s="0" t="inlineStr">
        <is>
          <t xml:space="preserve">a0712</t>
        </is>
      </c>
      <c r="C1481" s="0" t="inlineStr">
        <is>
          <t xml:space="preserve">r21</t>
        </is>
      </c>
      <c r="D1481" s="0" t="inlineStr">
        <is>
          <t xml:space="preserve">s_apac_in</t>
        </is>
      </c>
      <c r="E1481" s="0" t="inlineStr">
        <is>
          <t xml:space="preserve">inbound</t>
        </is>
      </c>
      <c r="F1481" s="0" t="inlineStr">
        <is>
          <t xml:space="preserve">closed_lost</t>
        </is>
      </c>
      <c r="G1481" s="4">
        <v>1</v>
      </c>
      <c r="H1481" s="4">
        <v>32100</v>
      </c>
      <c r="I1481" s="4">
        <v>1</v>
      </c>
      <c r="J1481" s="4">
        <v>1</v>
      </c>
      <c r="K1481" s="16">
        <v>46076</v>
      </c>
      <c r="L1481" s="16">
        <v>46119</v>
      </c>
      <c r="M1481" s="0" t="inlineStr">
        <is>
          <t xml:space="preserve">feb26</t>
        </is>
      </c>
      <c r="N1481" s="0" t="inlineStr">
        <is>
          <t xml:space="preserve">apr26</t>
        </is>
      </c>
      <c r="O1481" s="4">
        <v>43</v>
      </c>
      <c r="P1481" s="4">
        <v>0</v>
      </c>
      <c r="Q1481" s="4">
        <v>1</v>
      </c>
      <c r="R1481" s="4">
        <v>0</v>
      </c>
      <c r="S1481" s="4">
        <f>(H1481*INDEX('Stages'!$D$2:$D$7,MATCH(F1481,'Stages'!$A$2:$A$7,0)))</f>
        <v>0</v>
      </c>
      <c r="T1481" s="4">
        <f>(H1481*I1481)</f>
        <v>32100</v>
      </c>
      <c r="U1481" s="4">
        <f>(H1481*(I1481-1))</f>
        <v>0</v>
      </c>
      <c r="V1481" s="0" t="str">
        <f>INDEX('Account executives'!$B$2:$B$25,MATCH(C1481,'Account executives'!$A$2:$A$25,0))</f>
        <v>apac</v>
      </c>
      <c r="W1481" s="0" t="str">
        <f>INDEX('Account executives'!$C$2:$C$25,MATCH(C1481,'Account executives'!$A$2:$A$25,0))</f>
        <v>mid_market</v>
      </c>
      <c r="X1481" s="0" t="str">
        <f>SUBSTITUTE(LOWER(INDEX('Periods'!$G$2:$G$22,MATCH(N1481,'Periods'!$A$2:$A$22,0)))," ","_")</f>
        <v>q2_2026</v>
      </c>
    </row>
    <row r="1482">
      <c r="A1482" s="0" t="inlineStr">
        <is>
          <t xml:space="preserve">o1481</t>
        </is>
      </c>
      <c r="B1482" s="0" t="inlineStr">
        <is>
          <t xml:space="preserve">a0502</t>
        </is>
      </c>
      <c r="C1482" s="0" t="inlineStr">
        <is>
          <t xml:space="preserve">r09</t>
        </is>
      </c>
      <c r="D1482" s="0" t="inlineStr">
        <is>
          <t xml:space="preserve">s_amer_west_in</t>
        </is>
      </c>
      <c r="E1482" s="0" t="inlineStr">
        <is>
          <t xml:space="preserve">paid</t>
        </is>
      </c>
      <c r="F1482" s="0" t="inlineStr">
        <is>
          <t xml:space="preserve">closed_lost</t>
        </is>
      </c>
      <c r="G1482" s="4">
        <v>0</v>
      </c>
      <c r="H1482" s="4">
        <v>27400</v>
      </c>
      <c r="I1482" s="4">
        <v>1</v>
      </c>
      <c r="J1482" s="4">
        <v>0</v>
      </c>
      <c r="K1482" s="16">
        <v>46194</v>
      </c>
      <c r="L1482" s="16">
        <v>46248</v>
      </c>
      <c r="M1482" s="0" t="inlineStr">
        <is>
          <t xml:space="preserve">jun26</t>
        </is>
      </c>
      <c r="N1482" s="0" t="inlineStr">
        <is>
          <t xml:space="preserve">aug26</t>
        </is>
      </c>
      <c r="O1482" s="4">
        <v>54</v>
      </c>
      <c r="P1482" s="4">
        <v>0</v>
      </c>
      <c r="Q1482" s="4">
        <v>1</v>
      </c>
      <c r="R1482" s="4">
        <v>0</v>
      </c>
      <c r="S1482" s="4">
        <f>(H1482*INDEX('Stages'!$D$2:$D$7,MATCH(F1482,'Stages'!$A$2:$A$7,0)))</f>
        <v>0</v>
      </c>
      <c r="T1482" s="4">
        <f>(H1482*I1482)</f>
        <v>27400</v>
      </c>
      <c r="U1482" s="4">
        <f>(H1482*(I1482-1))</f>
        <v>0</v>
      </c>
      <c r="V1482" s="0" t="str">
        <f>INDEX('Account executives'!$B$2:$B$25,MATCH(C1482,'Account executives'!$A$2:$A$25,0))</f>
        <v>amer_west</v>
      </c>
      <c r="W1482" s="0" t="str">
        <f>INDEX('Account executives'!$C$2:$C$25,MATCH(C1482,'Account executives'!$A$2:$A$25,0))</f>
        <v>mid_market</v>
      </c>
      <c r="X1482" s="0" t="str">
        <f>SUBSTITUTE(LOWER(INDEX('Periods'!$G$2:$G$22,MATCH(N1482,'Periods'!$A$2:$A$22,0)))," ","_")</f>
        <v>q3_2026</v>
      </c>
    </row>
    <row r="1483">
      <c r="A1483" s="0" t="inlineStr">
        <is>
          <t xml:space="preserve">o1482</t>
        </is>
      </c>
      <c r="B1483" s="0" t="inlineStr">
        <is>
          <t xml:space="preserve">a0354</t>
        </is>
      </c>
      <c r="C1483" s="0" t="inlineStr">
        <is>
          <t xml:space="preserve">r21</t>
        </is>
      </c>
      <c r="D1483" s="0" t="inlineStr">
        <is>
          <t xml:space="preserve">s_apac_in</t>
        </is>
      </c>
      <c r="E1483" s="0" t="inlineStr">
        <is>
          <t xml:space="preserve">inbound</t>
        </is>
      </c>
      <c r="F1483" s="0" t="inlineStr">
        <is>
          <t xml:space="preserve">proposal</t>
        </is>
      </c>
      <c r="G1483" s="4">
        <v>0</v>
      </c>
      <c r="H1483" s="4">
        <v>22000</v>
      </c>
      <c r="I1483" s="4">
        <v>1</v>
      </c>
      <c r="J1483" s="4">
        <v>1</v>
      </c>
      <c r="K1483" s="16">
        <v>46236</v>
      </c>
      <c r="L1483" s="16">
        <v>46318</v>
      </c>
      <c r="M1483" s="0" t="inlineStr">
        <is>
          <t xml:space="preserve">aug26</t>
        </is>
      </c>
      <c r="N1483" s="0" t="inlineStr">
        <is>
          <t xml:space="preserve">oct26</t>
        </is>
      </c>
      <c r="O1483" s="4">
        <v>55</v>
      </c>
      <c r="P1483" s="4">
        <v>0</v>
      </c>
      <c r="Q1483" s="4">
        <v>0</v>
      </c>
      <c r="R1483" s="4">
        <v>1</v>
      </c>
      <c r="S1483" s="4">
        <f>(H1483*INDEX('Stages'!$D$2:$D$7,MATCH(F1483,'Stages'!$A$2:$A$7,0)))</f>
        <v>11000</v>
      </c>
      <c r="T1483" s="4">
        <f>(H1483*I1483)</f>
        <v>22000</v>
      </c>
      <c r="U1483" s="4">
        <f>(H1483*(I1483-1))</f>
        <v>0</v>
      </c>
      <c r="V1483" s="0" t="str">
        <f>INDEX('Account executives'!$B$2:$B$25,MATCH(C1483,'Account executives'!$A$2:$A$25,0))</f>
        <v>apac</v>
      </c>
      <c r="W1483" s="0" t="str">
        <f>INDEX('Account executives'!$C$2:$C$25,MATCH(C1483,'Account executives'!$A$2:$A$25,0))</f>
        <v>mid_market</v>
      </c>
      <c r="X1483" s="0" t="str">
        <f>SUBSTITUTE(LOWER(INDEX('Periods'!$G$2:$G$22,MATCH(N1483,'Periods'!$A$2:$A$22,0)))," ","_")</f>
        <v>q4_2026</v>
      </c>
    </row>
    <row r="1484">
      <c r="A1484" s="0" t="inlineStr">
        <is>
          <t xml:space="preserve">o1483</t>
        </is>
      </c>
      <c r="B1484" s="0" t="inlineStr">
        <is>
          <t xml:space="preserve">a0194</t>
        </is>
      </c>
      <c r="C1484" s="0" t="inlineStr">
        <is>
          <t xml:space="preserve">r09</t>
        </is>
      </c>
      <c r="D1484" s="0"/>
      <c r="E1484" s="0" t="inlineStr">
        <is>
          <t xml:space="preserve">events</t>
        </is>
      </c>
      <c r="F1484" s="0" t="inlineStr">
        <is>
          <t xml:space="preserve">closed_lost</t>
        </is>
      </c>
      <c r="G1484" s="4">
        <v>1</v>
      </c>
      <c r="H1484" s="4">
        <v>163000</v>
      </c>
      <c r="I1484" s="4">
        <v>1</v>
      </c>
      <c r="J1484" s="4">
        <v>0</v>
      </c>
      <c r="K1484" s="16">
        <v>45819</v>
      </c>
      <c r="L1484" s="16">
        <v>45917</v>
      </c>
      <c r="M1484" s="0" t="inlineStr">
        <is>
          <t xml:space="preserve">jun25</t>
        </is>
      </c>
      <c r="N1484" s="0" t="inlineStr">
        <is>
          <t xml:space="preserve">sep25</t>
        </is>
      </c>
      <c r="O1484" s="4">
        <v>98</v>
      </c>
      <c r="P1484" s="4">
        <v>0</v>
      </c>
      <c r="Q1484" s="4">
        <v>1</v>
      </c>
      <c r="R1484" s="4">
        <v>0</v>
      </c>
      <c r="S1484" s="4">
        <f>(H1484*INDEX('Stages'!$D$2:$D$7,MATCH(F1484,'Stages'!$A$2:$A$7,0)))</f>
        <v>0</v>
      </c>
      <c r="T1484" s="4">
        <f>(H1484*I1484)</f>
        <v>163000</v>
      </c>
      <c r="U1484" s="4">
        <f>(H1484*(I1484-1))</f>
        <v>0</v>
      </c>
      <c r="V1484" s="0" t="str">
        <f>INDEX('Account executives'!$B$2:$B$25,MATCH(C1484,'Account executives'!$A$2:$A$25,0))</f>
        <v>amer_west</v>
      </c>
      <c r="W1484" s="0" t="str">
        <f>INDEX('Account executives'!$C$2:$C$25,MATCH(C1484,'Account executives'!$A$2:$A$25,0))</f>
        <v>mid_market</v>
      </c>
      <c r="X1484" s="0" t="str">
        <f>SUBSTITUTE(LOWER(INDEX('Periods'!$G$2:$G$22,MATCH(N1484,'Periods'!$A$2:$A$22,0)))," ","_")</f>
        <v>q3_2025</v>
      </c>
    </row>
    <row r="1485">
      <c r="A1485" s="0" t="inlineStr">
        <is>
          <t xml:space="preserve">o1484</t>
        </is>
      </c>
      <c r="B1485" s="0" t="inlineStr">
        <is>
          <t xml:space="preserve">a0584</t>
        </is>
      </c>
      <c r="C1485" s="0" t="inlineStr">
        <is>
          <t xml:space="preserve">r13</t>
        </is>
      </c>
      <c r="D1485" s="0" t="inlineStr">
        <is>
          <t xml:space="preserve">s_emea_in</t>
        </is>
      </c>
      <c r="E1485" s="0" t="inlineStr">
        <is>
          <t xml:space="preserve">inbound</t>
        </is>
      </c>
      <c r="F1485" s="0" t="inlineStr">
        <is>
          <t xml:space="preserve">closed_won</t>
        </is>
      </c>
      <c r="G1485" s="4">
        <v>1</v>
      </c>
      <c r="H1485" s="4">
        <v>84900</v>
      </c>
      <c r="I1485" s="4">
        <v>3</v>
      </c>
      <c r="J1485" s="4">
        <v>1</v>
      </c>
      <c r="K1485" s="16">
        <v>46004</v>
      </c>
      <c r="L1485" s="16">
        <v>46201</v>
      </c>
      <c r="M1485" s="0" t="inlineStr">
        <is>
          <t xml:space="preserve">dec25</t>
        </is>
      </c>
      <c r="N1485" s="0" t="inlineStr">
        <is>
          <t xml:space="preserve">jun26</t>
        </is>
      </c>
      <c r="O1485" s="4">
        <v>197</v>
      </c>
      <c r="P1485" s="4">
        <v>1</v>
      </c>
      <c r="Q1485" s="4">
        <v>0</v>
      </c>
      <c r="R1485" s="4">
        <v>0</v>
      </c>
      <c r="S1485" s="4">
        <f>(H1485*INDEX('Stages'!$D$2:$D$7,MATCH(F1485,'Stages'!$A$2:$A$7,0)))</f>
        <v>84900</v>
      </c>
      <c r="T1485" s="4">
        <f>(H1485*I1485)</f>
        <v>254700</v>
      </c>
      <c r="U1485" s="4">
        <f>(H1485*(I1485-1))</f>
        <v>169800</v>
      </c>
      <c r="V1485" s="0" t="str">
        <f>INDEX('Account executives'!$B$2:$B$25,MATCH(C1485,'Account executives'!$A$2:$A$25,0))</f>
        <v>emea</v>
      </c>
      <c r="W1485" s="0" t="str">
        <f>INDEX('Account executives'!$C$2:$C$25,MATCH(C1485,'Account executives'!$A$2:$A$25,0))</f>
        <v>enterprise</v>
      </c>
      <c r="X1485" s="0" t="str">
        <f>SUBSTITUTE(LOWER(INDEX('Periods'!$G$2:$G$22,MATCH(N1485,'Periods'!$A$2:$A$22,0)))," ","_")</f>
        <v>q2_2026</v>
      </c>
    </row>
    <row r="1486">
      <c r="A1486" s="0" t="inlineStr">
        <is>
          <t xml:space="preserve">o1485</t>
        </is>
      </c>
      <c r="B1486" s="0" t="inlineStr">
        <is>
          <t xml:space="preserve">a0256</t>
        </is>
      </c>
      <c r="C1486" s="0" t="inlineStr">
        <is>
          <t xml:space="preserve">r11</t>
        </is>
      </c>
      <c r="D1486" s="0" t="inlineStr">
        <is>
          <t xml:space="preserve">s_amer_west_in</t>
        </is>
      </c>
      <c r="E1486" s="0" t="inlineStr">
        <is>
          <t xml:space="preserve">inbound</t>
        </is>
      </c>
      <c r="F1486" s="0" t="inlineStr">
        <is>
          <t xml:space="preserve">closed_won</t>
        </is>
      </c>
      <c r="G1486" s="4">
        <v>0</v>
      </c>
      <c r="H1486" s="4">
        <v>4500</v>
      </c>
      <c r="I1486" s="4">
        <v>1</v>
      </c>
      <c r="J1486" s="4">
        <v>0</v>
      </c>
      <c r="K1486" s="16">
        <v>45846</v>
      </c>
      <c r="L1486" s="16">
        <v>45879</v>
      </c>
      <c r="M1486" s="0" t="inlineStr">
        <is>
          <t xml:space="preserve">jul25</t>
        </is>
      </c>
      <c r="N1486" s="0" t="inlineStr">
        <is>
          <t xml:space="preserve">aug25</t>
        </is>
      </c>
      <c r="O1486" s="4">
        <v>33</v>
      </c>
      <c r="P1486" s="4">
        <v>1</v>
      </c>
      <c r="Q1486" s="4">
        <v>0</v>
      </c>
      <c r="R1486" s="4">
        <v>0</v>
      </c>
      <c r="S1486" s="4">
        <f>(H1486*INDEX('Stages'!$D$2:$D$7,MATCH(F1486,'Stages'!$A$2:$A$7,0)))</f>
        <v>4500</v>
      </c>
      <c r="T1486" s="4">
        <f>(H1486*I1486)</f>
        <v>4500</v>
      </c>
      <c r="U1486" s="4">
        <f>(H1486*(I1486-1))</f>
        <v>0</v>
      </c>
      <c r="V1486" s="0" t="str">
        <f>INDEX('Account executives'!$B$2:$B$25,MATCH(C1486,'Account executives'!$A$2:$A$25,0))</f>
        <v>amer_west</v>
      </c>
      <c r="W1486" s="0" t="str">
        <f>INDEX('Account executives'!$C$2:$C$25,MATCH(C1486,'Account executives'!$A$2:$A$25,0))</f>
        <v>smb</v>
      </c>
      <c r="X1486" s="0" t="str">
        <f>SUBSTITUTE(LOWER(INDEX('Periods'!$G$2:$G$22,MATCH(N1486,'Periods'!$A$2:$A$22,0)))," ","_")</f>
        <v>q3_2025</v>
      </c>
    </row>
    <row r="1487">
      <c r="A1487" s="0" t="inlineStr">
        <is>
          <t xml:space="preserve">o1486</t>
        </is>
      </c>
      <c r="B1487" s="0" t="inlineStr">
        <is>
          <t xml:space="preserve">a1143</t>
        </is>
      </c>
      <c r="C1487" s="0" t="inlineStr">
        <is>
          <t xml:space="preserve">r03</t>
        </is>
      </c>
      <c r="D1487" s="0" t="inlineStr">
        <is>
          <t xml:space="preserve">s_amer_east_in</t>
        </is>
      </c>
      <c r="E1487" s="0" t="inlineStr">
        <is>
          <t xml:space="preserve">inbound</t>
        </is>
      </c>
      <c r="F1487" s="0" t="inlineStr">
        <is>
          <t xml:space="preserve">proposal</t>
        </is>
      </c>
      <c r="G1487" s="4">
        <v>1</v>
      </c>
      <c r="H1487" s="4">
        <v>47100</v>
      </c>
      <c r="I1487" s="4">
        <v>1</v>
      </c>
      <c r="J1487" s="4">
        <v>0</v>
      </c>
      <c r="K1487" s="16">
        <v>46243</v>
      </c>
      <c r="L1487" s="16">
        <v>46371</v>
      </c>
      <c r="M1487" s="0" t="inlineStr">
        <is>
          <t xml:space="preserve">aug26</t>
        </is>
      </c>
      <c r="N1487" s="0" t="inlineStr">
        <is>
          <t xml:space="preserve">dec26</t>
        </is>
      </c>
      <c r="O1487" s="4">
        <v>42</v>
      </c>
      <c r="P1487" s="4">
        <v>0</v>
      </c>
      <c r="Q1487" s="4">
        <v>0</v>
      </c>
      <c r="R1487" s="4">
        <v>1</v>
      </c>
      <c r="S1487" s="4">
        <f>(H1487*INDEX('Stages'!$D$2:$D$7,MATCH(F1487,'Stages'!$A$2:$A$7,0)))</f>
        <v>23550</v>
      </c>
      <c r="T1487" s="4">
        <f>(H1487*I1487)</f>
        <v>47100</v>
      </c>
      <c r="U1487" s="4">
        <f>(H1487*(I1487-1))</f>
        <v>0</v>
      </c>
      <c r="V1487" s="0" t="str">
        <f>INDEX('Account executives'!$B$2:$B$25,MATCH(C1487,'Account executives'!$A$2:$A$25,0))</f>
        <v>amer_east</v>
      </c>
      <c r="W1487" s="0" t="str">
        <f>INDEX('Account executives'!$C$2:$C$25,MATCH(C1487,'Account executives'!$A$2:$A$25,0))</f>
        <v>mid_market</v>
      </c>
      <c r="X1487" s="0" t="str">
        <f>SUBSTITUTE(LOWER(INDEX('Periods'!$G$2:$G$22,MATCH(N1487,'Periods'!$A$2:$A$22,0)))," ","_")</f>
        <v>q4_2026</v>
      </c>
    </row>
    <row r="1488">
      <c r="A1488" s="0" t="inlineStr">
        <is>
          <t xml:space="preserve">o1487</t>
        </is>
      </c>
      <c r="B1488" s="0" t="inlineStr">
        <is>
          <t xml:space="preserve">a0873</t>
        </is>
      </c>
      <c r="C1488" s="0" t="inlineStr">
        <is>
          <t xml:space="preserve">r16</t>
        </is>
      </c>
      <c r="D1488" s="0" t="inlineStr">
        <is>
          <t xml:space="preserve">s_emea_out</t>
        </is>
      </c>
      <c r="E1488" s="0" t="inlineStr">
        <is>
          <t xml:space="preserve">outbound</t>
        </is>
      </c>
      <c r="F1488" s="0" t="inlineStr">
        <is>
          <t xml:space="preserve">closed_lost</t>
        </is>
      </c>
      <c r="G1488" s="4">
        <v>1</v>
      </c>
      <c r="H1488" s="4">
        <v>66800</v>
      </c>
      <c r="I1488" s="4">
        <v>2</v>
      </c>
      <c r="J1488" s="4">
        <v>1</v>
      </c>
      <c r="K1488" s="16">
        <v>46129</v>
      </c>
      <c r="L1488" s="16">
        <v>46201</v>
      </c>
      <c r="M1488" s="0" t="inlineStr">
        <is>
          <t xml:space="preserve">apr26</t>
        </is>
      </c>
      <c r="N1488" s="0" t="inlineStr">
        <is>
          <t xml:space="preserve">jun26</t>
        </is>
      </c>
      <c r="O1488" s="4">
        <v>72</v>
      </c>
      <c r="P1488" s="4">
        <v>0</v>
      </c>
      <c r="Q1488" s="4">
        <v>1</v>
      </c>
      <c r="R1488" s="4">
        <v>0</v>
      </c>
      <c r="S1488" s="4">
        <f>(H1488*INDEX('Stages'!$D$2:$D$7,MATCH(F1488,'Stages'!$A$2:$A$7,0)))</f>
        <v>0</v>
      </c>
      <c r="T1488" s="4">
        <f>(H1488*I1488)</f>
        <v>133600</v>
      </c>
      <c r="U1488" s="4">
        <f>(H1488*(I1488-1))</f>
        <v>66800</v>
      </c>
      <c r="V1488" s="0" t="str">
        <f>INDEX('Account executives'!$B$2:$B$25,MATCH(C1488,'Account executives'!$A$2:$A$25,0))</f>
        <v>emea</v>
      </c>
      <c r="W1488" s="0" t="str">
        <f>INDEX('Account executives'!$C$2:$C$25,MATCH(C1488,'Account executives'!$A$2:$A$25,0))</f>
        <v>mid_market</v>
      </c>
      <c r="X1488" s="0" t="str">
        <f>SUBSTITUTE(LOWER(INDEX('Periods'!$G$2:$G$22,MATCH(N1488,'Periods'!$A$2:$A$22,0)))," ","_")</f>
        <v>q2_2026</v>
      </c>
    </row>
    <row r="1489">
      <c r="A1489" s="0" t="inlineStr">
        <is>
          <t xml:space="preserve">o1488</t>
        </is>
      </c>
      <c r="B1489" s="0" t="inlineStr">
        <is>
          <t xml:space="preserve">a0005</t>
        </is>
      </c>
      <c r="C1489" s="0" t="inlineStr">
        <is>
          <t xml:space="preserve">r05</t>
        </is>
      </c>
      <c r="D1489" s="0" t="inlineStr">
        <is>
          <t xml:space="preserve">s_amer_east_in</t>
        </is>
      </c>
      <c r="E1489" s="0" t="inlineStr">
        <is>
          <t xml:space="preserve">paid</t>
        </is>
      </c>
      <c r="F1489" s="0" t="inlineStr">
        <is>
          <t xml:space="preserve">closed_won</t>
        </is>
      </c>
      <c r="G1489" s="4">
        <v>0</v>
      </c>
      <c r="H1489" s="4">
        <v>7200</v>
      </c>
      <c r="I1489" s="4">
        <v>1</v>
      </c>
      <c r="J1489" s="4">
        <v>1</v>
      </c>
      <c r="K1489" s="16">
        <v>45765</v>
      </c>
      <c r="L1489" s="16">
        <v>45801</v>
      </c>
      <c r="M1489" s="0" t="inlineStr">
        <is>
          <t xml:space="preserve">apr25</t>
        </is>
      </c>
      <c r="N1489" s="0" t="inlineStr">
        <is>
          <t xml:space="preserve">may25</t>
        </is>
      </c>
      <c r="O1489" s="4">
        <v>36</v>
      </c>
      <c r="P1489" s="4">
        <v>1</v>
      </c>
      <c r="Q1489" s="4">
        <v>0</v>
      </c>
      <c r="R1489" s="4">
        <v>0</v>
      </c>
      <c r="S1489" s="4">
        <f>(H1489*INDEX('Stages'!$D$2:$D$7,MATCH(F1489,'Stages'!$A$2:$A$7,0)))</f>
        <v>7200</v>
      </c>
      <c r="T1489" s="4">
        <f>(H1489*I1489)</f>
        <v>7200</v>
      </c>
      <c r="U1489" s="4">
        <f>(H1489*(I1489-1))</f>
        <v>0</v>
      </c>
      <c r="V1489" s="0" t="str">
        <f>INDEX('Account executives'!$B$2:$B$25,MATCH(C1489,'Account executives'!$A$2:$A$25,0))</f>
        <v>amer_east</v>
      </c>
      <c r="W1489" s="0" t="str">
        <f>INDEX('Account executives'!$C$2:$C$25,MATCH(C1489,'Account executives'!$A$2:$A$25,0))</f>
        <v>smb</v>
      </c>
      <c r="X1489" s="0" t="str">
        <f>SUBSTITUTE(LOWER(INDEX('Periods'!$G$2:$G$22,MATCH(N1489,'Periods'!$A$2:$A$22,0)))," ","_")</f>
        <v>q2_2025</v>
      </c>
    </row>
    <row r="1490">
      <c r="A1490" s="0" t="inlineStr">
        <is>
          <t xml:space="preserve">o1489</t>
        </is>
      </c>
      <c r="B1490" s="0" t="inlineStr">
        <is>
          <t xml:space="preserve">a1056</t>
        </is>
      </c>
      <c r="C1490" s="0" t="inlineStr">
        <is>
          <t xml:space="preserve">r20</t>
        </is>
      </c>
      <c r="D1490" s="0" t="inlineStr">
        <is>
          <t xml:space="preserve">s_apac_out</t>
        </is>
      </c>
      <c r="E1490" s="0" t="inlineStr">
        <is>
          <t xml:space="preserve">outbound</t>
        </is>
      </c>
      <c r="F1490" s="0" t="inlineStr">
        <is>
          <t xml:space="preserve">closed_lost</t>
        </is>
      </c>
      <c r="G1490" s="4">
        <v>1</v>
      </c>
      <c r="H1490" s="4">
        <v>167200</v>
      </c>
      <c r="I1490" s="4">
        <v>1</v>
      </c>
      <c r="J1490" s="4">
        <v>0</v>
      </c>
      <c r="K1490" s="16">
        <v>46197</v>
      </c>
      <c r="L1490" s="16">
        <v>46256</v>
      </c>
      <c r="M1490" s="0" t="inlineStr">
        <is>
          <t xml:space="preserve">jun26</t>
        </is>
      </c>
      <c r="N1490" s="0" t="inlineStr">
        <is>
          <t xml:space="preserve">aug26</t>
        </is>
      </c>
      <c r="O1490" s="4">
        <v>59</v>
      </c>
      <c r="P1490" s="4">
        <v>0</v>
      </c>
      <c r="Q1490" s="4">
        <v>1</v>
      </c>
      <c r="R1490" s="4">
        <v>0</v>
      </c>
      <c r="S1490" s="4">
        <f>(H1490*INDEX('Stages'!$D$2:$D$7,MATCH(F1490,'Stages'!$A$2:$A$7,0)))</f>
        <v>0</v>
      </c>
      <c r="T1490" s="4">
        <f>(H1490*I1490)</f>
        <v>167200</v>
      </c>
      <c r="U1490" s="4">
        <f>(H1490*(I1490-1))</f>
        <v>0</v>
      </c>
      <c r="V1490" s="0" t="str">
        <f>INDEX('Account executives'!$B$2:$B$25,MATCH(C1490,'Account executives'!$A$2:$A$25,0))</f>
        <v>apac</v>
      </c>
      <c r="W1490" s="0" t="str">
        <f>INDEX('Account executives'!$C$2:$C$25,MATCH(C1490,'Account executives'!$A$2:$A$25,0))</f>
        <v>enterprise</v>
      </c>
      <c r="X1490" s="0" t="str">
        <f>SUBSTITUTE(LOWER(INDEX('Periods'!$G$2:$G$22,MATCH(N1490,'Periods'!$A$2:$A$22,0)))," ","_")</f>
        <v>q3_2026</v>
      </c>
    </row>
    <row r="1491">
      <c r="A1491" s="0" t="inlineStr">
        <is>
          <t xml:space="preserve">o1490</t>
        </is>
      </c>
      <c r="B1491" s="0" t="inlineStr">
        <is>
          <t xml:space="preserve">a0198</t>
        </is>
      </c>
      <c r="C1491" s="0" t="inlineStr">
        <is>
          <t xml:space="preserve">r09</t>
        </is>
      </c>
      <c r="D1491" s="0"/>
      <c r="E1491" s="0" t="inlineStr">
        <is>
          <t xml:space="preserve">partner</t>
        </is>
      </c>
      <c r="F1491" s="0" t="inlineStr">
        <is>
          <t xml:space="preserve">closed_lost</t>
        </is>
      </c>
      <c r="G1491" s="4">
        <v>1</v>
      </c>
      <c r="H1491" s="4">
        <v>70400</v>
      </c>
      <c r="I1491" s="4">
        <v>2</v>
      </c>
      <c r="J1491" s="4">
        <v>0</v>
      </c>
      <c r="K1491" s="16">
        <v>45817</v>
      </c>
      <c r="L1491" s="16">
        <v>45874</v>
      </c>
      <c r="M1491" s="0" t="inlineStr">
        <is>
          <t xml:space="preserve">jun25</t>
        </is>
      </c>
      <c r="N1491" s="0" t="inlineStr">
        <is>
          <t xml:space="preserve">aug25</t>
        </is>
      </c>
      <c r="O1491" s="4">
        <v>57</v>
      </c>
      <c r="P1491" s="4">
        <v>0</v>
      </c>
      <c r="Q1491" s="4">
        <v>1</v>
      </c>
      <c r="R1491" s="4">
        <v>0</v>
      </c>
      <c r="S1491" s="4">
        <f>(H1491*INDEX('Stages'!$D$2:$D$7,MATCH(F1491,'Stages'!$A$2:$A$7,0)))</f>
        <v>0</v>
      </c>
      <c r="T1491" s="4">
        <f>(H1491*I1491)</f>
        <v>140800</v>
      </c>
      <c r="U1491" s="4">
        <f>(H1491*(I1491-1))</f>
        <v>70400</v>
      </c>
      <c r="V1491" s="0" t="str">
        <f>INDEX('Account executives'!$B$2:$B$25,MATCH(C1491,'Account executives'!$A$2:$A$25,0))</f>
        <v>amer_west</v>
      </c>
      <c r="W1491" s="0" t="str">
        <f>INDEX('Account executives'!$C$2:$C$25,MATCH(C1491,'Account executives'!$A$2:$A$25,0))</f>
        <v>mid_market</v>
      </c>
      <c r="X1491" s="0" t="str">
        <f>SUBSTITUTE(LOWER(INDEX('Periods'!$G$2:$G$22,MATCH(N1491,'Periods'!$A$2:$A$22,0)))," ","_")</f>
        <v>q3_2025</v>
      </c>
    </row>
    <row r="1492">
      <c r="A1492" s="0" t="inlineStr">
        <is>
          <t xml:space="preserve">o1491</t>
        </is>
      </c>
      <c r="B1492" s="0" t="inlineStr">
        <is>
          <t xml:space="preserve">a0768</t>
        </is>
      </c>
      <c r="C1492" s="0" t="inlineStr">
        <is>
          <t xml:space="preserve">r08</t>
        </is>
      </c>
      <c r="D1492" s="0" t="inlineStr">
        <is>
          <t xml:space="preserve">s_amer_west_out</t>
        </is>
      </c>
      <c r="E1492" s="0" t="inlineStr">
        <is>
          <t xml:space="preserve">outbound</t>
        </is>
      </c>
      <c r="F1492" s="0" t="inlineStr">
        <is>
          <t xml:space="preserve">closed_won</t>
        </is>
      </c>
      <c r="G1492" s="4">
        <v>1</v>
      </c>
      <c r="H1492" s="4">
        <v>210500</v>
      </c>
      <c r="I1492" s="4">
        <v>3</v>
      </c>
      <c r="J1492" s="4">
        <v>1</v>
      </c>
      <c r="K1492" s="16">
        <v>46091</v>
      </c>
      <c r="L1492" s="16">
        <v>46186</v>
      </c>
      <c r="M1492" s="0" t="inlineStr">
        <is>
          <t xml:space="preserve">mar26</t>
        </is>
      </c>
      <c r="N1492" s="0" t="inlineStr">
        <is>
          <t xml:space="preserve">jun26</t>
        </is>
      </c>
      <c r="O1492" s="4">
        <v>95</v>
      </c>
      <c r="P1492" s="4">
        <v>1</v>
      </c>
      <c r="Q1492" s="4">
        <v>0</v>
      </c>
      <c r="R1492" s="4">
        <v>0</v>
      </c>
      <c r="S1492" s="4">
        <f>(H1492*INDEX('Stages'!$D$2:$D$7,MATCH(F1492,'Stages'!$A$2:$A$7,0)))</f>
        <v>210500</v>
      </c>
      <c r="T1492" s="4">
        <f>(H1492*I1492)</f>
        <v>631500</v>
      </c>
      <c r="U1492" s="4">
        <f>(H1492*(I1492-1))</f>
        <v>421000</v>
      </c>
      <c r="V1492" s="0" t="str">
        <f>INDEX('Account executives'!$B$2:$B$25,MATCH(C1492,'Account executives'!$A$2:$A$25,0))</f>
        <v>amer_west</v>
      </c>
      <c r="W1492" s="0" t="str">
        <f>INDEX('Account executives'!$C$2:$C$25,MATCH(C1492,'Account executives'!$A$2:$A$25,0))</f>
        <v>enterprise</v>
      </c>
      <c r="X1492" s="0" t="str">
        <f>SUBSTITUTE(LOWER(INDEX('Periods'!$G$2:$G$22,MATCH(N1492,'Periods'!$A$2:$A$22,0)))," ","_")</f>
        <v>q2_2026</v>
      </c>
    </row>
    <row r="1493">
      <c r="A1493" s="0" t="inlineStr">
        <is>
          <t xml:space="preserve">o1492</t>
        </is>
      </c>
      <c r="B1493" s="0" t="inlineStr">
        <is>
          <t xml:space="preserve">a0740</t>
        </is>
      </c>
      <c r="C1493" s="0" t="inlineStr">
        <is>
          <t xml:space="preserve">r05</t>
        </is>
      </c>
      <c r="D1493" s="0" t="inlineStr">
        <is>
          <t xml:space="preserve">s_amer_east_in</t>
        </is>
      </c>
      <c r="E1493" s="0" t="inlineStr">
        <is>
          <t xml:space="preserve">paid</t>
        </is>
      </c>
      <c r="F1493" s="0" t="inlineStr">
        <is>
          <t xml:space="preserve">closed_won</t>
        </is>
      </c>
      <c r="G1493" s="4">
        <v>0</v>
      </c>
      <c r="H1493" s="4">
        <v>3100</v>
      </c>
      <c r="I1493" s="4">
        <v>1</v>
      </c>
      <c r="J1493" s="4">
        <v>0</v>
      </c>
      <c r="K1493" s="16">
        <v>46187</v>
      </c>
      <c r="L1493" s="16">
        <v>46217</v>
      </c>
      <c r="M1493" s="0" t="inlineStr">
        <is>
          <t xml:space="preserve">jun26</t>
        </is>
      </c>
      <c r="N1493" s="0" t="inlineStr">
        <is>
          <t xml:space="preserve">jul26</t>
        </is>
      </c>
      <c r="O1493" s="4">
        <v>30</v>
      </c>
      <c r="P1493" s="4">
        <v>1</v>
      </c>
      <c r="Q1493" s="4">
        <v>0</v>
      </c>
      <c r="R1493" s="4">
        <v>0</v>
      </c>
      <c r="S1493" s="4">
        <f>(H1493*INDEX('Stages'!$D$2:$D$7,MATCH(F1493,'Stages'!$A$2:$A$7,0)))</f>
        <v>3100</v>
      </c>
      <c r="T1493" s="4">
        <f>(H1493*I1493)</f>
        <v>3100</v>
      </c>
      <c r="U1493" s="4">
        <f>(H1493*(I1493-1))</f>
        <v>0</v>
      </c>
      <c r="V1493" s="0" t="str">
        <f>INDEX('Account executives'!$B$2:$B$25,MATCH(C1493,'Account executives'!$A$2:$A$25,0))</f>
        <v>amer_east</v>
      </c>
      <c r="W1493" s="0" t="str">
        <f>INDEX('Account executives'!$C$2:$C$25,MATCH(C1493,'Account executives'!$A$2:$A$25,0))</f>
        <v>smb</v>
      </c>
      <c r="X1493" s="0" t="str">
        <f>SUBSTITUTE(LOWER(INDEX('Periods'!$G$2:$G$22,MATCH(N1493,'Periods'!$A$2:$A$22,0)))," ","_")</f>
        <v>q3_2026</v>
      </c>
    </row>
    <row r="1494">
      <c r="A1494" s="0" t="inlineStr">
        <is>
          <t xml:space="preserve">o1493</t>
        </is>
      </c>
      <c r="B1494" s="0" t="inlineStr">
        <is>
          <t xml:space="preserve">a0455</t>
        </is>
      </c>
      <c r="C1494" s="0" t="inlineStr">
        <is>
          <t xml:space="preserve">r15</t>
        </is>
      </c>
      <c r="D1494" s="0"/>
      <c r="E1494" s="0" t="inlineStr">
        <is>
          <t xml:space="preserve">events</t>
        </is>
      </c>
      <c r="F1494" s="0" t="inlineStr">
        <is>
          <t xml:space="preserve">closed_lost</t>
        </is>
      </c>
      <c r="G1494" s="4">
        <v>1</v>
      </c>
      <c r="H1494" s="4">
        <v>85200</v>
      </c>
      <c r="I1494" s="4">
        <v>1</v>
      </c>
      <c r="J1494" s="4">
        <v>0</v>
      </c>
      <c r="K1494" s="16">
        <v>45956</v>
      </c>
      <c r="L1494" s="16">
        <v>45998</v>
      </c>
      <c r="M1494" s="0" t="inlineStr">
        <is>
          <t xml:space="preserve">oct25</t>
        </is>
      </c>
      <c r="N1494" s="0" t="inlineStr">
        <is>
          <t xml:space="preserve">dec25</t>
        </is>
      </c>
      <c r="O1494" s="4">
        <v>42</v>
      </c>
      <c r="P1494" s="4">
        <v>0</v>
      </c>
      <c r="Q1494" s="4">
        <v>1</v>
      </c>
      <c r="R1494" s="4">
        <v>0</v>
      </c>
      <c r="S1494" s="4">
        <f>(H1494*INDEX('Stages'!$D$2:$D$7,MATCH(F1494,'Stages'!$A$2:$A$7,0)))</f>
        <v>0</v>
      </c>
      <c r="T1494" s="4">
        <f>(H1494*I1494)</f>
        <v>85200</v>
      </c>
      <c r="U1494" s="4">
        <f>(H1494*(I1494-1))</f>
        <v>0</v>
      </c>
      <c r="V1494" s="0" t="str">
        <f>INDEX('Account executives'!$B$2:$B$25,MATCH(C1494,'Account executives'!$A$2:$A$25,0))</f>
        <v>emea</v>
      </c>
      <c r="W1494" s="0" t="str">
        <f>INDEX('Account executives'!$C$2:$C$25,MATCH(C1494,'Account executives'!$A$2:$A$25,0))</f>
        <v>mid_market</v>
      </c>
      <c r="X1494" s="0" t="str">
        <f>SUBSTITUTE(LOWER(INDEX('Periods'!$G$2:$G$22,MATCH(N1494,'Periods'!$A$2:$A$22,0)))," ","_")</f>
        <v>q4_2025</v>
      </c>
    </row>
    <row r="1495">
      <c r="A1495" s="0" t="inlineStr">
        <is>
          <t xml:space="preserve">o1494</t>
        </is>
      </c>
      <c r="B1495" s="0" t="inlineStr">
        <is>
          <t xml:space="preserve">a0053</t>
        </is>
      </c>
      <c r="C1495" s="0" t="inlineStr">
        <is>
          <t xml:space="preserve">r16</t>
        </is>
      </c>
      <c r="D1495" s="0"/>
      <c r="E1495" s="0" t="inlineStr">
        <is>
          <t xml:space="preserve">referral</t>
        </is>
      </c>
      <c r="F1495" s="0" t="inlineStr">
        <is>
          <t xml:space="preserve">closed_lost</t>
        </is>
      </c>
      <c r="G1495" s="4">
        <v>1</v>
      </c>
      <c r="H1495" s="4">
        <v>23100</v>
      </c>
      <c r="I1495" s="4">
        <v>2</v>
      </c>
      <c r="J1495" s="4">
        <v>0</v>
      </c>
      <c r="K1495" s="16">
        <v>45774</v>
      </c>
      <c r="L1495" s="16">
        <v>45822</v>
      </c>
      <c r="M1495" s="0" t="inlineStr">
        <is>
          <t xml:space="preserve">apr25</t>
        </is>
      </c>
      <c r="N1495" s="0" t="inlineStr">
        <is>
          <t xml:space="preserve">jun25</t>
        </is>
      </c>
      <c r="O1495" s="4">
        <v>48</v>
      </c>
      <c r="P1495" s="4">
        <v>0</v>
      </c>
      <c r="Q1495" s="4">
        <v>1</v>
      </c>
      <c r="R1495" s="4">
        <v>0</v>
      </c>
      <c r="S1495" s="4">
        <f>(H1495*INDEX('Stages'!$D$2:$D$7,MATCH(F1495,'Stages'!$A$2:$A$7,0)))</f>
        <v>0</v>
      </c>
      <c r="T1495" s="4">
        <f>(H1495*I1495)</f>
        <v>46200</v>
      </c>
      <c r="U1495" s="4">
        <f>(H1495*(I1495-1))</f>
        <v>23100</v>
      </c>
      <c r="V1495" s="0" t="str">
        <f>INDEX('Account executives'!$B$2:$B$25,MATCH(C1495,'Account executives'!$A$2:$A$25,0))</f>
        <v>emea</v>
      </c>
      <c r="W1495" s="0" t="str">
        <f>INDEX('Account executives'!$C$2:$C$25,MATCH(C1495,'Account executives'!$A$2:$A$25,0))</f>
        <v>mid_market</v>
      </c>
      <c r="X1495" s="0" t="str">
        <f>SUBSTITUTE(LOWER(INDEX('Periods'!$G$2:$G$22,MATCH(N1495,'Periods'!$A$2:$A$22,0)))," ","_")</f>
        <v>q2_2025</v>
      </c>
    </row>
    <row r="1496">
      <c r="A1496" s="0" t="inlineStr">
        <is>
          <t xml:space="preserve">o1495</t>
        </is>
      </c>
      <c r="B1496" s="0" t="inlineStr">
        <is>
          <t xml:space="preserve">a0372</t>
        </is>
      </c>
      <c r="C1496" s="0" t="inlineStr">
        <is>
          <t xml:space="preserve">r01</t>
        </is>
      </c>
      <c r="D1496" s="0"/>
      <c r="E1496" s="0" t="inlineStr">
        <is>
          <t xml:space="preserve">referral</t>
        </is>
      </c>
      <c r="F1496" s="0" t="inlineStr">
        <is>
          <t xml:space="preserve">closed_won</t>
        </is>
      </c>
      <c r="G1496" s="4">
        <v>1</v>
      </c>
      <c r="H1496" s="4">
        <v>94300</v>
      </c>
      <c r="I1496" s="4">
        <v>2</v>
      </c>
      <c r="J1496" s="4">
        <v>0</v>
      </c>
      <c r="K1496" s="16">
        <v>45919</v>
      </c>
      <c r="L1496" s="16">
        <v>45979</v>
      </c>
      <c r="M1496" s="0" t="inlineStr">
        <is>
          <t xml:space="preserve">sep25</t>
        </is>
      </c>
      <c r="N1496" s="0" t="inlineStr">
        <is>
          <t xml:space="preserve">nov25</t>
        </is>
      </c>
      <c r="O1496" s="4">
        <v>60</v>
      </c>
      <c r="P1496" s="4">
        <v>1</v>
      </c>
      <c r="Q1496" s="4">
        <v>0</v>
      </c>
      <c r="R1496" s="4">
        <v>0</v>
      </c>
      <c r="S1496" s="4">
        <f>(H1496*INDEX('Stages'!$D$2:$D$7,MATCH(F1496,'Stages'!$A$2:$A$7,0)))</f>
        <v>94300</v>
      </c>
      <c r="T1496" s="4">
        <f>(H1496*I1496)</f>
        <v>188600</v>
      </c>
      <c r="U1496" s="4">
        <f>(H1496*(I1496-1))</f>
        <v>94300</v>
      </c>
      <c r="V1496" s="0" t="str">
        <f>INDEX('Account executives'!$B$2:$B$25,MATCH(C1496,'Account executives'!$A$2:$A$25,0))</f>
        <v>amer_east</v>
      </c>
      <c r="W1496" s="0" t="str">
        <f>INDEX('Account executives'!$C$2:$C$25,MATCH(C1496,'Account executives'!$A$2:$A$25,0))</f>
        <v>enterprise</v>
      </c>
      <c r="X1496" s="0" t="str">
        <f>SUBSTITUTE(LOWER(INDEX('Periods'!$G$2:$G$22,MATCH(N1496,'Periods'!$A$2:$A$22,0)))," ","_")</f>
        <v>q4_2025</v>
      </c>
    </row>
    <row r="1497">
      <c r="A1497" s="0" t="inlineStr">
        <is>
          <t xml:space="preserve">o1496</t>
        </is>
      </c>
      <c r="B1497" s="0" t="inlineStr">
        <is>
          <t xml:space="preserve">a0189</t>
        </is>
      </c>
      <c r="C1497" s="0" t="inlineStr">
        <is>
          <t xml:space="preserve">r09</t>
        </is>
      </c>
      <c r="D1497" s="0" t="inlineStr">
        <is>
          <t xml:space="preserve">s_amer_west_in</t>
        </is>
      </c>
      <c r="E1497" s="0" t="inlineStr">
        <is>
          <t xml:space="preserve">inbound</t>
        </is>
      </c>
      <c r="F1497" s="0" t="inlineStr">
        <is>
          <t xml:space="preserve">closed_lost</t>
        </is>
      </c>
      <c r="G1497" s="4">
        <v>1</v>
      </c>
      <c r="H1497" s="4">
        <v>52500</v>
      </c>
      <c r="I1497" s="4">
        <v>1</v>
      </c>
      <c r="J1497" s="4">
        <v>0</v>
      </c>
      <c r="K1497" s="16">
        <v>45822</v>
      </c>
      <c r="L1497" s="16">
        <v>45888</v>
      </c>
      <c r="M1497" s="0" t="inlineStr">
        <is>
          <t xml:space="preserve">jun25</t>
        </is>
      </c>
      <c r="N1497" s="0" t="inlineStr">
        <is>
          <t xml:space="preserve">aug25</t>
        </is>
      </c>
      <c r="O1497" s="4">
        <v>66</v>
      </c>
      <c r="P1497" s="4">
        <v>0</v>
      </c>
      <c r="Q1497" s="4">
        <v>1</v>
      </c>
      <c r="R1497" s="4">
        <v>0</v>
      </c>
      <c r="S1497" s="4">
        <f>(H1497*INDEX('Stages'!$D$2:$D$7,MATCH(F1497,'Stages'!$A$2:$A$7,0)))</f>
        <v>0</v>
      </c>
      <c r="T1497" s="4">
        <f>(H1497*I1497)</f>
        <v>52500</v>
      </c>
      <c r="U1497" s="4">
        <f>(H1497*(I1497-1))</f>
        <v>0</v>
      </c>
      <c r="V1497" s="0" t="str">
        <f>INDEX('Account executives'!$B$2:$B$25,MATCH(C1497,'Account executives'!$A$2:$A$25,0))</f>
        <v>amer_west</v>
      </c>
      <c r="W1497" s="0" t="str">
        <f>INDEX('Account executives'!$C$2:$C$25,MATCH(C1497,'Account executives'!$A$2:$A$25,0))</f>
        <v>mid_market</v>
      </c>
      <c r="X1497" s="0" t="str">
        <f>SUBSTITUTE(LOWER(INDEX('Periods'!$G$2:$G$22,MATCH(N1497,'Periods'!$A$2:$A$22,0)))," ","_")</f>
        <v>q3_2025</v>
      </c>
    </row>
    <row r="1498">
      <c r="A1498" s="0" t="inlineStr">
        <is>
          <t xml:space="preserve">o1497</t>
        </is>
      </c>
      <c r="B1498" s="0" t="inlineStr">
        <is>
          <t xml:space="preserve">a0383</t>
        </is>
      </c>
      <c r="C1498" s="0" t="inlineStr">
        <is>
          <t xml:space="preserve">r12</t>
        </is>
      </c>
      <c r="D1498" s="0" t="inlineStr">
        <is>
          <t xml:space="preserve">s_amer_west_out</t>
        </is>
      </c>
      <c r="E1498" s="0" t="inlineStr">
        <is>
          <t xml:space="preserve">outbound</t>
        </is>
      </c>
      <c r="F1498" s="0" t="inlineStr">
        <is>
          <t xml:space="preserve">closed_lost</t>
        </is>
      </c>
      <c r="G1498" s="4">
        <v>0</v>
      </c>
      <c r="H1498" s="4">
        <v>6800</v>
      </c>
      <c r="I1498" s="4">
        <v>1</v>
      </c>
      <c r="J1498" s="4">
        <v>0</v>
      </c>
      <c r="K1498" s="16">
        <v>45903</v>
      </c>
      <c r="L1498" s="16">
        <v>45920</v>
      </c>
      <c r="M1498" s="0" t="inlineStr">
        <is>
          <t xml:space="preserve">sep25</t>
        </is>
      </c>
      <c r="N1498" s="0" t="inlineStr">
        <is>
          <t xml:space="preserve">sep25</t>
        </is>
      </c>
      <c r="O1498" s="4">
        <v>17</v>
      </c>
      <c r="P1498" s="4">
        <v>0</v>
      </c>
      <c r="Q1498" s="4">
        <v>1</v>
      </c>
      <c r="R1498" s="4">
        <v>0</v>
      </c>
      <c r="S1498" s="4">
        <f>(H1498*INDEX('Stages'!$D$2:$D$7,MATCH(F1498,'Stages'!$A$2:$A$7,0)))</f>
        <v>0</v>
      </c>
      <c r="T1498" s="4">
        <f>(H1498*I1498)</f>
        <v>6800</v>
      </c>
      <c r="U1498" s="4">
        <f>(H1498*(I1498-1))</f>
        <v>0</v>
      </c>
      <c r="V1498" s="0" t="str">
        <f>INDEX('Account executives'!$B$2:$B$25,MATCH(C1498,'Account executives'!$A$2:$A$25,0))</f>
        <v>amer_west</v>
      </c>
      <c r="W1498" s="0" t="str">
        <f>INDEX('Account executives'!$C$2:$C$25,MATCH(C1498,'Account executives'!$A$2:$A$25,0))</f>
        <v>smb</v>
      </c>
      <c r="X1498" s="0" t="str">
        <f>SUBSTITUTE(LOWER(INDEX('Periods'!$G$2:$G$22,MATCH(N1498,'Periods'!$A$2:$A$22,0)))," ","_")</f>
        <v>q3_2025</v>
      </c>
    </row>
    <row r="1499">
      <c r="A1499" s="0" t="inlineStr">
        <is>
          <t xml:space="preserve">o1498</t>
        </is>
      </c>
      <c r="B1499" s="0" t="inlineStr">
        <is>
          <t xml:space="preserve">a0428</t>
        </is>
      </c>
      <c r="C1499" s="0" t="inlineStr">
        <is>
          <t xml:space="preserve">r11</t>
        </is>
      </c>
      <c r="D1499" s="0"/>
      <c r="E1499" s="0" t="inlineStr">
        <is>
          <t xml:space="preserve">events</t>
        </is>
      </c>
      <c r="F1499" s="0" t="inlineStr">
        <is>
          <t xml:space="preserve">closed_lost</t>
        </is>
      </c>
      <c r="G1499" s="4">
        <v>0</v>
      </c>
      <c r="H1499" s="4">
        <v>5400</v>
      </c>
      <c r="I1499" s="4">
        <v>1</v>
      </c>
      <c r="J1499" s="4">
        <v>1</v>
      </c>
      <c r="K1499" s="16">
        <v>45952</v>
      </c>
      <c r="L1499" s="16">
        <v>46019</v>
      </c>
      <c r="M1499" s="0" t="inlineStr">
        <is>
          <t xml:space="preserve">oct25</t>
        </is>
      </c>
      <c r="N1499" s="0" t="inlineStr">
        <is>
          <t xml:space="preserve">dec25</t>
        </is>
      </c>
      <c r="O1499" s="4">
        <v>67</v>
      </c>
      <c r="P1499" s="4">
        <v>0</v>
      </c>
      <c r="Q1499" s="4">
        <v>1</v>
      </c>
      <c r="R1499" s="4">
        <v>0</v>
      </c>
      <c r="S1499" s="4">
        <f>(H1499*INDEX('Stages'!$D$2:$D$7,MATCH(F1499,'Stages'!$A$2:$A$7,0)))</f>
        <v>0</v>
      </c>
      <c r="T1499" s="4">
        <f>(H1499*I1499)</f>
        <v>5400</v>
      </c>
      <c r="U1499" s="4">
        <f>(H1499*(I1499-1))</f>
        <v>0</v>
      </c>
      <c r="V1499" s="0" t="str">
        <f>INDEX('Account executives'!$B$2:$B$25,MATCH(C1499,'Account executives'!$A$2:$A$25,0))</f>
        <v>amer_west</v>
      </c>
      <c r="W1499" s="0" t="str">
        <f>INDEX('Account executives'!$C$2:$C$25,MATCH(C1499,'Account executives'!$A$2:$A$25,0))</f>
        <v>smb</v>
      </c>
      <c r="X1499" s="0" t="str">
        <f>SUBSTITUTE(LOWER(INDEX('Periods'!$G$2:$G$22,MATCH(N1499,'Periods'!$A$2:$A$22,0)))," ","_")</f>
        <v>q4_2025</v>
      </c>
    </row>
    <row r="1500">
      <c r="A1500" s="0" t="inlineStr">
        <is>
          <t xml:space="preserve">o1499</t>
        </is>
      </c>
      <c r="B1500" s="0" t="inlineStr">
        <is>
          <t xml:space="preserve">a0640</t>
        </is>
      </c>
      <c r="C1500" s="0" t="inlineStr">
        <is>
          <t xml:space="preserve">r13</t>
        </is>
      </c>
      <c r="D1500" s="0" t="inlineStr">
        <is>
          <t xml:space="preserve">s_emea_in</t>
        </is>
      </c>
      <c r="E1500" s="0" t="inlineStr">
        <is>
          <t xml:space="preserve">inbound</t>
        </is>
      </c>
      <c r="F1500" s="0" t="inlineStr">
        <is>
          <t xml:space="preserve">closed_won</t>
        </is>
      </c>
      <c r="G1500" s="4">
        <v>1</v>
      </c>
      <c r="H1500" s="4">
        <v>76500</v>
      </c>
      <c r="I1500" s="4">
        <v>1</v>
      </c>
      <c r="J1500" s="4">
        <v>0</v>
      </c>
      <c r="K1500" s="16">
        <v>46024</v>
      </c>
      <c r="L1500" s="16">
        <v>46135</v>
      </c>
      <c r="M1500" s="0" t="inlineStr">
        <is>
          <t xml:space="preserve">jan26</t>
        </is>
      </c>
      <c r="N1500" s="0" t="inlineStr">
        <is>
          <t xml:space="preserve">apr26</t>
        </is>
      </c>
      <c r="O1500" s="4">
        <v>111</v>
      </c>
      <c r="P1500" s="4">
        <v>1</v>
      </c>
      <c r="Q1500" s="4">
        <v>0</v>
      </c>
      <c r="R1500" s="4">
        <v>0</v>
      </c>
      <c r="S1500" s="4">
        <f>(H1500*INDEX('Stages'!$D$2:$D$7,MATCH(F1500,'Stages'!$A$2:$A$7,0)))</f>
        <v>76500</v>
      </c>
      <c r="T1500" s="4">
        <f>(H1500*I1500)</f>
        <v>76500</v>
      </c>
      <c r="U1500" s="4">
        <f>(H1500*(I1500-1))</f>
        <v>0</v>
      </c>
      <c r="V1500" s="0" t="str">
        <f>INDEX('Account executives'!$B$2:$B$25,MATCH(C1500,'Account executives'!$A$2:$A$25,0))</f>
        <v>emea</v>
      </c>
      <c r="W1500" s="0" t="str">
        <f>INDEX('Account executives'!$C$2:$C$25,MATCH(C1500,'Account executives'!$A$2:$A$25,0))</f>
        <v>enterprise</v>
      </c>
      <c r="X1500" s="0" t="str">
        <f>SUBSTITUTE(LOWER(INDEX('Periods'!$G$2:$G$22,MATCH(N1500,'Periods'!$A$2:$A$22,0)))," ","_")</f>
        <v>q2_2026</v>
      </c>
    </row>
    <row r="1501">
      <c r="A1501" s="0" t="inlineStr">
        <is>
          <t xml:space="preserve">o1500</t>
        </is>
      </c>
      <c r="B1501" s="0" t="inlineStr">
        <is>
          <t xml:space="preserve">a0667</t>
        </is>
      </c>
      <c r="C1501" s="0" t="inlineStr">
        <is>
          <t xml:space="preserve">r03</t>
        </is>
      </c>
      <c r="D1501" s="0"/>
      <c r="E1501" s="0" t="inlineStr">
        <is>
          <t xml:space="preserve">partner</t>
        </is>
      </c>
      <c r="F1501" s="0" t="inlineStr">
        <is>
          <t xml:space="preserve">closed_lost</t>
        </is>
      </c>
      <c r="G1501" s="4">
        <v>1</v>
      </c>
      <c r="H1501" s="4">
        <v>50800</v>
      </c>
      <c r="I1501" s="4">
        <v>1</v>
      </c>
      <c r="J1501" s="4">
        <v>1</v>
      </c>
      <c r="K1501" s="16">
        <v>46067</v>
      </c>
      <c r="L1501" s="16">
        <v>46201</v>
      </c>
      <c r="M1501" s="0" t="inlineStr">
        <is>
          <t xml:space="preserve">feb26</t>
        </is>
      </c>
      <c r="N1501" s="0" t="inlineStr">
        <is>
          <t xml:space="preserve">jun26</t>
        </is>
      </c>
      <c r="O1501" s="4">
        <v>134</v>
      </c>
      <c r="P1501" s="4">
        <v>0</v>
      </c>
      <c r="Q1501" s="4">
        <v>1</v>
      </c>
      <c r="R1501" s="4">
        <v>0</v>
      </c>
      <c r="S1501" s="4">
        <f>(H1501*INDEX('Stages'!$D$2:$D$7,MATCH(F1501,'Stages'!$A$2:$A$7,0)))</f>
        <v>0</v>
      </c>
      <c r="T1501" s="4">
        <f>(H1501*I1501)</f>
        <v>50800</v>
      </c>
      <c r="U1501" s="4">
        <f>(H1501*(I1501-1))</f>
        <v>0</v>
      </c>
      <c r="V1501" s="0" t="str">
        <f>INDEX('Account executives'!$B$2:$B$25,MATCH(C1501,'Account executives'!$A$2:$A$25,0))</f>
        <v>amer_east</v>
      </c>
      <c r="W1501" s="0" t="str">
        <f>INDEX('Account executives'!$C$2:$C$25,MATCH(C1501,'Account executives'!$A$2:$A$25,0))</f>
        <v>mid_market</v>
      </c>
      <c r="X1501" s="0" t="str">
        <f>SUBSTITUTE(LOWER(INDEX('Periods'!$G$2:$G$22,MATCH(N1501,'Periods'!$A$2:$A$22,0)))," ","_")</f>
        <v>q2_2026</v>
      </c>
    </row>
    <row r="1502">
      <c r="A1502" s="0" t="inlineStr">
        <is>
          <t xml:space="preserve">o1501</t>
        </is>
      </c>
      <c r="B1502" s="0" t="inlineStr">
        <is>
          <t xml:space="preserve">a0345</t>
        </is>
      </c>
      <c r="C1502" s="0" t="inlineStr">
        <is>
          <t xml:space="preserve">r18</t>
        </is>
      </c>
      <c r="D1502" s="0" t="inlineStr">
        <is>
          <t xml:space="preserve">s_emea_out</t>
        </is>
      </c>
      <c r="E1502" s="0" t="inlineStr">
        <is>
          <t xml:space="preserve">outbound</t>
        </is>
      </c>
      <c r="F1502" s="0" t="inlineStr">
        <is>
          <t xml:space="preserve">closed_won</t>
        </is>
      </c>
      <c r="G1502" s="4">
        <v>1</v>
      </c>
      <c r="H1502" s="4">
        <v>15300</v>
      </c>
      <c r="I1502" s="4">
        <v>1</v>
      </c>
      <c r="J1502" s="4">
        <v>0</v>
      </c>
      <c r="K1502" s="16">
        <v>45879</v>
      </c>
      <c r="L1502" s="16">
        <v>45903</v>
      </c>
      <c r="M1502" s="0" t="inlineStr">
        <is>
          <t xml:space="preserve">aug25</t>
        </is>
      </c>
      <c r="N1502" s="0" t="inlineStr">
        <is>
          <t xml:space="preserve">sep25</t>
        </is>
      </c>
      <c r="O1502" s="4">
        <v>24</v>
      </c>
      <c r="P1502" s="4">
        <v>1</v>
      </c>
      <c r="Q1502" s="4">
        <v>0</v>
      </c>
      <c r="R1502" s="4">
        <v>0</v>
      </c>
      <c r="S1502" s="4">
        <f>(H1502*INDEX('Stages'!$D$2:$D$7,MATCH(F1502,'Stages'!$A$2:$A$7,0)))</f>
        <v>15300</v>
      </c>
      <c r="T1502" s="4">
        <f>(H1502*I1502)</f>
        <v>15300</v>
      </c>
      <c r="U1502" s="4">
        <f>(H1502*(I1502-1))</f>
        <v>0</v>
      </c>
      <c r="V1502" s="0" t="str">
        <f>INDEX('Account executives'!$B$2:$B$25,MATCH(C1502,'Account executives'!$A$2:$A$25,0))</f>
        <v>emea</v>
      </c>
      <c r="W1502" s="0" t="str">
        <f>INDEX('Account executives'!$C$2:$C$25,MATCH(C1502,'Account executives'!$A$2:$A$25,0))</f>
        <v>smb</v>
      </c>
      <c r="X1502" s="0" t="str">
        <f>SUBSTITUTE(LOWER(INDEX('Periods'!$G$2:$G$22,MATCH(N1502,'Periods'!$A$2:$A$22,0)))," ","_")</f>
        <v>q3_2025</v>
      </c>
    </row>
    <row r="1503">
      <c r="A1503" s="0" t="inlineStr">
        <is>
          <t xml:space="preserve">o1502</t>
        </is>
      </c>
      <c r="B1503" s="0" t="inlineStr">
        <is>
          <t xml:space="preserve">a0005</t>
        </is>
      </c>
      <c r="C1503" s="0" t="inlineStr">
        <is>
          <t xml:space="preserve">r06</t>
        </is>
      </c>
      <c r="D1503" s="0" t="inlineStr">
        <is>
          <t xml:space="preserve">s_amer_east_in</t>
        </is>
      </c>
      <c r="E1503" s="0" t="inlineStr">
        <is>
          <t xml:space="preserve">paid</t>
        </is>
      </c>
      <c r="F1503" s="0" t="inlineStr">
        <is>
          <t xml:space="preserve">closed_lost</t>
        </is>
      </c>
      <c r="G1503" s="4">
        <v>0</v>
      </c>
      <c r="H1503" s="4">
        <v>10400</v>
      </c>
      <c r="I1503" s="4">
        <v>1</v>
      </c>
      <c r="J1503" s="4">
        <v>0</v>
      </c>
      <c r="K1503" s="16">
        <v>45834</v>
      </c>
      <c r="L1503" s="16">
        <v>45876</v>
      </c>
      <c r="M1503" s="0" t="inlineStr">
        <is>
          <t xml:space="preserve">jun25</t>
        </is>
      </c>
      <c r="N1503" s="0" t="inlineStr">
        <is>
          <t xml:space="preserve">aug25</t>
        </is>
      </c>
      <c r="O1503" s="4">
        <v>42</v>
      </c>
      <c r="P1503" s="4">
        <v>0</v>
      </c>
      <c r="Q1503" s="4">
        <v>1</v>
      </c>
      <c r="R1503" s="4">
        <v>0</v>
      </c>
      <c r="S1503" s="4">
        <f>(H1503*INDEX('Stages'!$D$2:$D$7,MATCH(F1503,'Stages'!$A$2:$A$7,0)))</f>
        <v>0</v>
      </c>
      <c r="T1503" s="4">
        <f>(H1503*I1503)</f>
        <v>10400</v>
      </c>
      <c r="U1503" s="4">
        <f>(H1503*(I1503-1))</f>
        <v>0</v>
      </c>
      <c r="V1503" s="0" t="str">
        <f>INDEX('Account executives'!$B$2:$B$25,MATCH(C1503,'Account executives'!$A$2:$A$25,0))</f>
        <v>amer_east</v>
      </c>
      <c r="W1503" s="0" t="str">
        <f>INDEX('Account executives'!$C$2:$C$25,MATCH(C1503,'Account executives'!$A$2:$A$25,0))</f>
        <v>smb</v>
      </c>
      <c r="X1503" s="0" t="str">
        <f>SUBSTITUTE(LOWER(INDEX('Periods'!$G$2:$G$22,MATCH(N1503,'Periods'!$A$2:$A$22,0)))," ","_")</f>
        <v>q3_2025</v>
      </c>
    </row>
    <row r="1504">
      <c r="A1504" s="0" t="inlineStr">
        <is>
          <t xml:space="preserve">o1503</t>
        </is>
      </c>
      <c r="B1504" s="0" t="inlineStr">
        <is>
          <t xml:space="preserve">a0032</t>
        </is>
      </c>
      <c r="C1504" s="0" t="inlineStr">
        <is>
          <t xml:space="preserve">r08</t>
        </is>
      </c>
      <c r="D1504" s="0"/>
      <c r="E1504" s="0" t="inlineStr">
        <is>
          <t xml:space="preserve">events</t>
        </is>
      </c>
      <c r="F1504" s="0" t="inlineStr">
        <is>
          <t xml:space="preserve">closed_lost</t>
        </is>
      </c>
      <c r="G1504" s="4">
        <v>1</v>
      </c>
      <c r="H1504" s="4">
        <v>190800</v>
      </c>
      <c r="I1504" s="4">
        <v>3</v>
      </c>
      <c r="J1504" s="4">
        <v>0</v>
      </c>
      <c r="K1504" s="16">
        <v>45759</v>
      </c>
      <c r="L1504" s="16">
        <v>45841</v>
      </c>
      <c r="M1504" s="0" t="inlineStr">
        <is>
          <t xml:space="preserve">apr25</t>
        </is>
      </c>
      <c r="N1504" s="0" t="inlineStr">
        <is>
          <t xml:space="preserve">jul25</t>
        </is>
      </c>
      <c r="O1504" s="4">
        <v>82</v>
      </c>
      <c r="P1504" s="4">
        <v>0</v>
      </c>
      <c r="Q1504" s="4">
        <v>1</v>
      </c>
      <c r="R1504" s="4">
        <v>0</v>
      </c>
      <c r="S1504" s="4">
        <f>(H1504*INDEX('Stages'!$D$2:$D$7,MATCH(F1504,'Stages'!$A$2:$A$7,0)))</f>
        <v>0</v>
      </c>
      <c r="T1504" s="4">
        <f>(H1504*I1504)</f>
        <v>572400</v>
      </c>
      <c r="U1504" s="4">
        <f>(H1504*(I1504-1))</f>
        <v>381600</v>
      </c>
      <c r="V1504" s="0" t="str">
        <f>INDEX('Account executives'!$B$2:$B$25,MATCH(C1504,'Account executives'!$A$2:$A$25,0))</f>
        <v>amer_west</v>
      </c>
      <c r="W1504" s="0" t="str">
        <f>INDEX('Account executives'!$C$2:$C$25,MATCH(C1504,'Account executives'!$A$2:$A$25,0))</f>
        <v>enterprise</v>
      </c>
      <c r="X1504" s="0" t="str">
        <f>SUBSTITUTE(LOWER(INDEX('Periods'!$G$2:$G$22,MATCH(N1504,'Periods'!$A$2:$A$22,0)))," ","_")</f>
        <v>q3_2025</v>
      </c>
    </row>
    <row r="1505">
      <c r="A1505" s="0" t="inlineStr">
        <is>
          <t xml:space="preserve">o1504</t>
        </is>
      </c>
      <c r="B1505" s="0" t="inlineStr">
        <is>
          <t xml:space="preserve">a0164</t>
        </is>
      </c>
      <c r="C1505" s="0" t="inlineStr">
        <is>
          <t xml:space="preserve">r05</t>
        </is>
      </c>
      <c r="D1505" s="0" t="inlineStr">
        <is>
          <t xml:space="preserve">s_amer_east_in</t>
        </is>
      </c>
      <c r="E1505" s="0" t="inlineStr">
        <is>
          <t xml:space="preserve">inbound</t>
        </is>
      </c>
      <c r="F1505" s="0" t="inlineStr">
        <is>
          <t xml:space="preserve">closed_won</t>
        </is>
      </c>
      <c r="G1505" s="4">
        <v>0</v>
      </c>
      <c r="H1505" s="4">
        <v>5700</v>
      </c>
      <c r="I1505" s="4">
        <v>1</v>
      </c>
      <c r="J1505" s="4">
        <v>0</v>
      </c>
      <c r="K1505" s="16">
        <v>45821</v>
      </c>
      <c r="L1505" s="16">
        <v>45851</v>
      </c>
      <c r="M1505" s="0" t="inlineStr">
        <is>
          <t xml:space="preserve">jun25</t>
        </is>
      </c>
      <c r="N1505" s="0" t="inlineStr">
        <is>
          <t xml:space="preserve">jul25</t>
        </is>
      </c>
      <c r="O1505" s="4">
        <v>30</v>
      </c>
      <c r="P1505" s="4">
        <v>1</v>
      </c>
      <c r="Q1505" s="4">
        <v>0</v>
      </c>
      <c r="R1505" s="4">
        <v>0</v>
      </c>
      <c r="S1505" s="4">
        <f>(H1505*INDEX('Stages'!$D$2:$D$7,MATCH(F1505,'Stages'!$A$2:$A$7,0)))</f>
        <v>5700</v>
      </c>
      <c r="T1505" s="4">
        <f>(H1505*I1505)</f>
        <v>5700</v>
      </c>
      <c r="U1505" s="4">
        <f>(H1505*(I1505-1))</f>
        <v>0</v>
      </c>
      <c r="V1505" s="0" t="str">
        <f>INDEX('Account executives'!$B$2:$B$25,MATCH(C1505,'Account executives'!$A$2:$A$25,0))</f>
        <v>amer_east</v>
      </c>
      <c r="W1505" s="0" t="str">
        <f>INDEX('Account executives'!$C$2:$C$25,MATCH(C1505,'Account executives'!$A$2:$A$25,0))</f>
        <v>smb</v>
      </c>
      <c r="X1505" s="0" t="str">
        <f>SUBSTITUTE(LOWER(INDEX('Periods'!$G$2:$G$22,MATCH(N1505,'Periods'!$A$2:$A$22,0)))," ","_")</f>
        <v>q3_2025</v>
      </c>
    </row>
    <row r="1506">
      <c r="A1506" s="0" t="inlineStr">
        <is>
          <t xml:space="preserve">o1505</t>
        </is>
      </c>
      <c r="B1506" s="0" t="inlineStr">
        <is>
          <t xml:space="preserve">a0660</t>
        </is>
      </c>
      <c r="C1506" s="0" t="inlineStr">
        <is>
          <t xml:space="preserve">r01</t>
        </is>
      </c>
      <c r="D1506" s="0" t="inlineStr">
        <is>
          <t xml:space="preserve">s_amer_east_in</t>
        </is>
      </c>
      <c r="E1506" s="0" t="inlineStr">
        <is>
          <t xml:space="preserve">inbound</t>
        </is>
      </c>
      <c r="F1506" s="0" t="inlineStr">
        <is>
          <t xml:space="preserve">closed_won</t>
        </is>
      </c>
      <c r="G1506" s="4">
        <v>1</v>
      </c>
      <c r="H1506" s="4">
        <v>102700</v>
      </c>
      <c r="I1506" s="4">
        <v>2</v>
      </c>
      <c r="J1506" s="4">
        <v>1</v>
      </c>
      <c r="K1506" s="16">
        <v>46075</v>
      </c>
      <c r="L1506" s="16">
        <v>46192</v>
      </c>
      <c r="M1506" s="0" t="inlineStr">
        <is>
          <t xml:space="preserve">feb26</t>
        </is>
      </c>
      <c r="N1506" s="0" t="inlineStr">
        <is>
          <t xml:space="preserve">jun26</t>
        </is>
      </c>
      <c r="O1506" s="4">
        <v>117</v>
      </c>
      <c r="P1506" s="4">
        <v>1</v>
      </c>
      <c r="Q1506" s="4">
        <v>0</v>
      </c>
      <c r="R1506" s="4">
        <v>0</v>
      </c>
      <c r="S1506" s="4">
        <f>(H1506*INDEX('Stages'!$D$2:$D$7,MATCH(F1506,'Stages'!$A$2:$A$7,0)))</f>
        <v>102700</v>
      </c>
      <c r="T1506" s="4">
        <f>(H1506*I1506)</f>
        <v>205400</v>
      </c>
      <c r="U1506" s="4">
        <f>(H1506*(I1506-1))</f>
        <v>102700</v>
      </c>
      <c r="V1506" s="0" t="str">
        <f>INDEX('Account executives'!$B$2:$B$25,MATCH(C1506,'Account executives'!$A$2:$A$25,0))</f>
        <v>amer_east</v>
      </c>
      <c r="W1506" s="0" t="str">
        <f>INDEX('Account executives'!$C$2:$C$25,MATCH(C1506,'Account executives'!$A$2:$A$25,0))</f>
        <v>enterprise</v>
      </c>
      <c r="X1506" s="0" t="str">
        <f>SUBSTITUTE(LOWER(INDEX('Periods'!$G$2:$G$22,MATCH(N1506,'Periods'!$A$2:$A$22,0)))," ","_")</f>
        <v>q2_2026</v>
      </c>
    </row>
    <row r="1507">
      <c r="A1507" s="0" t="inlineStr">
        <is>
          <t xml:space="preserve">o1506</t>
        </is>
      </c>
      <c r="B1507" s="0" t="inlineStr">
        <is>
          <t xml:space="preserve">a0033</t>
        </is>
      </c>
      <c r="C1507" s="0" t="inlineStr">
        <is>
          <t xml:space="preserve">r09</t>
        </is>
      </c>
      <c r="D1507" s="0" t="inlineStr">
        <is>
          <t xml:space="preserve">s_amer_west_out</t>
        </is>
      </c>
      <c r="E1507" s="0" t="inlineStr">
        <is>
          <t xml:space="preserve">outbound</t>
        </is>
      </c>
      <c r="F1507" s="0" t="inlineStr">
        <is>
          <t xml:space="preserve">closed_lost</t>
        </is>
      </c>
      <c r="G1507" s="4">
        <v>0</v>
      </c>
      <c r="H1507" s="4">
        <v>39900</v>
      </c>
      <c r="I1507" s="4">
        <v>1</v>
      </c>
      <c r="J1507" s="4">
        <v>0</v>
      </c>
      <c r="K1507" s="16">
        <v>45969</v>
      </c>
      <c r="L1507" s="16">
        <v>46016</v>
      </c>
      <c r="M1507" s="0" t="inlineStr">
        <is>
          <t xml:space="preserve">nov25</t>
        </is>
      </c>
      <c r="N1507" s="0" t="inlineStr">
        <is>
          <t xml:space="preserve">dec25</t>
        </is>
      </c>
      <c r="O1507" s="4">
        <v>47</v>
      </c>
      <c r="P1507" s="4">
        <v>0</v>
      </c>
      <c r="Q1507" s="4">
        <v>1</v>
      </c>
      <c r="R1507" s="4">
        <v>0</v>
      </c>
      <c r="S1507" s="4">
        <f>(H1507*INDEX('Stages'!$D$2:$D$7,MATCH(F1507,'Stages'!$A$2:$A$7,0)))</f>
        <v>0</v>
      </c>
      <c r="T1507" s="4">
        <f>(H1507*I1507)</f>
        <v>39900</v>
      </c>
      <c r="U1507" s="4">
        <f>(H1507*(I1507-1))</f>
        <v>0</v>
      </c>
      <c r="V1507" s="0" t="str">
        <f>INDEX('Account executives'!$B$2:$B$25,MATCH(C1507,'Account executives'!$A$2:$A$25,0))</f>
        <v>amer_west</v>
      </c>
      <c r="W1507" s="0" t="str">
        <f>INDEX('Account executives'!$C$2:$C$25,MATCH(C1507,'Account executives'!$A$2:$A$25,0))</f>
        <v>mid_market</v>
      </c>
      <c r="X1507" s="0" t="str">
        <f>SUBSTITUTE(LOWER(INDEX('Periods'!$G$2:$G$22,MATCH(N1507,'Periods'!$A$2:$A$22,0)))," ","_")</f>
        <v>q4_2025</v>
      </c>
    </row>
    <row r="1508">
      <c r="A1508" s="0" t="inlineStr">
        <is>
          <t xml:space="preserve">o1507</t>
        </is>
      </c>
      <c r="B1508" s="0" t="inlineStr">
        <is>
          <t xml:space="preserve">a0209</t>
        </is>
      </c>
      <c r="C1508" s="0" t="inlineStr">
        <is>
          <t xml:space="preserve">r15</t>
        </is>
      </c>
      <c r="D1508" s="0" t="inlineStr">
        <is>
          <t xml:space="preserve">s_emea_in</t>
        </is>
      </c>
      <c r="E1508" s="0" t="inlineStr">
        <is>
          <t xml:space="preserve">inbound</t>
        </is>
      </c>
      <c r="F1508" s="0" t="inlineStr">
        <is>
          <t xml:space="preserve">closed_lost</t>
        </is>
      </c>
      <c r="G1508" s="4">
        <v>1</v>
      </c>
      <c r="H1508" s="4">
        <v>19700</v>
      </c>
      <c r="I1508" s="4">
        <v>1</v>
      </c>
      <c r="J1508" s="4">
        <v>0</v>
      </c>
      <c r="K1508" s="16">
        <v>45815</v>
      </c>
      <c r="L1508" s="16">
        <v>45891</v>
      </c>
      <c r="M1508" s="0" t="inlineStr">
        <is>
          <t xml:space="preserve">jun25</t>
        </is>
      </c>
      <c r="N1508" s="0" t="inlineStr">
        <is>
          <t xml:space="preserve">aug25</t>
        </is>
      </c>
      <c r="O1508" s="4">
        <v>76</v>
      </c>
      <c r="P1508" s="4">
        <v>0</v>
      </c>
      <c r="Q1508" s="4">
        <v>1</v>
      </c>
      <c r="R1508" s="4">
        <v>0</v>
      </c>
      <c r="S1508" s="4">
        <f>(H1508*INDEX('Stages'!$D$2:$D$7,MATCH(F1508,'Stages'!$A$2:$A$7,0)))</f>
        <v>0</v>
      </c>
      <c r="T1508" s="4">
        <f>(H1508*I1508)</f>
        <v>19700</v>
      </c>
      <c r="U1508" s="4">
        <f>(H1508*(I1508-1))</f>
        <v>0</v>
      </c>
      <c r="V1508" s="0" t="str">
        <f>INDEX('Account executives'!$B$2:$B$25,MATCH(C1508,'Account executives'!$A$2:$A$25,0))</f>
        <v>emea</v>
      </c>
      <c r="W1508" s="0" t="str">
        <f>INDEX('Account executives'!$C$2:$C$25,MATCH(C1508,'Account executives'!$A$2:$A$25,0))</f>
        <v>mid_market</v>
      </c>
      <c r="X1508" s="0" t="str">
        <f>SUBSTITUTE(LOWER(INDEX('Periods'!$G$2:$G$22,MATCH(N1508,'Periods'!$A$2:$A$22,0)))," ","_")</f>
        <v>q3_2025</v>
      </c>
    </row>
    <row r="1509">
      <c r="A1509" s="0" t="inlineStr">
        <is>
          <t xml:space="preserve">o1508</t>
        </is>
      </c>
      <c r="B1509" s="0" t="inlineStr">
        <is>
          <t xml:space="preserve">a0166</t>
        </is>
      </c>
      <c r="C1509" s="0" t="inlineStr">
        <is>
          <t xml:space="preserve">r05</t>
        </is>
      </c>
      <c r="D1509" s="0" t="inlineStr">
        <is>
          <t xml:space="preserve">s_amer_east_in</t>
        </is>
      </c>
      <c r="E1509" s="0" t="inlineStr">
        <is>
          <t xml:space="preserve">inbound</t>
        </is>
      </c>
      <c r="F1509" s="0" t="inlineStr">
        <is>
          <t xml:space="preserve">closed_lost</t>
        </is>
      </c>
      <c r="G1509" s="4">
        <v>1</v>
      </c>
      <c r="H1509" s="4">
        <v>30400</v>
      </c>
      <c r="I1509" s="4">
        <v>1</v>
      </c>
      <c r="J1509" s="4">
        <v>1</v>
      </c>
      <c r="K1509" s="16">
        <v>45827</v>
      </c>
      <c r="L1509" s="16">
        <v>45863</v>
      </c>
      <c r="M1509" s="0" t="inlineStr">
        <is>
          <t xml:space="preserve">jun25</t>
        </is>
      </c>
      <c r="N1509" s="0" t="inlineStr">
        <is>
          <t xml:space="preserve">jul25</t>
        </is>
      </c>
      <c r="O1509" s="4">
        <v>36</v>
      </c>
      <c r="P1509" s="4">
        <v>0</v>
      </c>
      <c r="Q1509" s="4">
        <v>1</v>
      </c>
      <c r="R1509" s="4">
        <v>0</v>
      </c>
      <c r="S1509" s="4">
        <f>(H1509*INDEX('Stages'!$D$2:$D$7,MATCH(F1509,'Stages'!$A$2:$A$7,0)))</f>
        <v>0</v>
      </c>
      <c r="T1509" s="4">
        <f>(H1509*I1509)</f>
        <v>30400</v>
      </c>
      <c r="U1509" s="4">
        <f>(H1509*(I1509-1))</f>
        <v>0</v>
      </c>
      <c r="V1509" s="0" t="str">
        <f>INDEX('Account executives'!$B$2:$B$25,MATCH(C1509,'Account executives'!$A$2:$A$25,0))</f>
        <v>amer_east</v>
      </c>
      <c r="W1509" s="0" t="str">
        <f>INDEX('Account executives'!$C$2:$C$25,MATCH(C1509,'Account executives'!$A$2:$A$25,0))</f>
        <v>smb</v>
      </c>
      <c r="X1509" s="0" t="str">
        <f>SUBSTITUTE(LOWER(INDEX('Periods'!$G$2:$G$22,MATCH(N1509,'Periods'!$A$2:$A$22,0)))," ","_")</f>
        <v>q3_2025</v>
      </c>
    </row>
    <row r="1510">
      <c r="A1510" s="0" t="inlineStr">
        <is>
          <t xml:space="preserve">o1509</t>
        </is>
      </c>
      <c r="B1510" s="0" t="inlineStr">
        <is>
          <t xml:space="preserve">a0046</t>
        </is>
      </c>
      <c r="C1510" s="0" t="inlineStr">
        <is>
          <t xml:space="preserve">r17</t>
        </is>
      </c>
      <c r="D1510" s="0"/>
      <c r="E1510" s="0" t="inlineStr">
        <is>
          <t xml:space="preserve">events</t>
        </is>
      </c>
      <c r="F1510" s="0" t="inlineStr">
        <is>
          <t xml:space="preserve">closed_won</t>
        </is>
      </c>
      <c r="G1510" s="4">
        <v>0</v>
      </c>
      <c r="H1510" s="4">
        <v>3400</v>
      </c>
      <c r="I1510" s="4">
        <v>1</v>
      </c>
      <c r="J1510" s="4">
        <v>1</v>
      </c>
      <c r="K1510" s="16">
        <v>45946</v>
      </c>
      <c r="L1510" s="16">
        <v>46019</v>
      </c>
      <c r="M1510" s="0" t="inlineStr">
        <is>
          <t xml:space="preserve">oct25</t>
        </is>
      </c>
      <c r="N1510" s="0" t="inlineStr">
        <is>
          <t xml:space="preserve">dec25</t>
        </is>
      </c>
      <c r="O1510" s="4">
        <v>73</v>
      </c>
      <c r="P1510" s="4">
        <v>1</v>
      </c>
      <c r="Q1510" s="4">
        <v>0</v>
      </c>
      <c r="R1510" s="4">
        <v>0</v>
      </c>
      <c r="S1510" s="4">
        <f>(H1510*INDEX('Stages'!$D$2:$D$7,MATCH(F1510,'Stages'!$A$2:$A$7,0)))</f>
        <v>3400</v>
      </c>
      <c r="T1510" s="4">
        <f>(H1510*I1510)</f>
        <v>3400</v>
      </c>
      <c r="U1510" s="4">
        <f>(H1510*(I1510-1))</f>
        <v>0</v>
      </c>
      <c r="V1510" s="0" t="str">
        <f>INDEX('Account executives'!$B$2:$B$25,MATCH(C1510,'Account executives'!$A$2:$A$25,0))</f>
        <v>emea</v>
      </c>
      <c r="W1510" s="0" t="str">
        <f>INDEX('Account executives'!$C$2:$C$25,MATCH(C1510,'Account executives'!$A$2:$A$25,0))</f>
        <v>smb</v>
      </c>
      <c r="X1510" s="0" t="str">
        <f>SUBSTITUTE(LOWER(INDEX('Periods'!$G$2:$G$22,MATCH(N1510,'Periods'!$A$2:$A$22,0)))," ","_")</f>
        <v>q4_2025</v>
      </c>
    </row>
    <row r="1511">
      <c r="A1511" s="0" t="inlineStr">
        <is>
          <t xml:space="preserve">o1510</t>
        </is>
      </c>
      <c r="B1511" s="0" t="inlineStr">
        <is>
          <t xml:space="preserve">a1006</t>
        </is>
      </c>
      <c r="C1511" s="0" t="inlineStr">
        <is>
          <t xml:space="preserve">r11</t>
        </is>
      </c>
      <c r="D1511" s="0" t="inlineStr">
        <is>
          <t xml:space="preserve">s_amer_west_out</t>
        </is>
      </c>
      <c r="E1511" s="0" t="inlineStr">
        <is>
          <t xml:space="preserve">outbound</t>
        </is>
      </c>
      <c r="F1511" s="0" t="inlineStr">
        <is>
          <t xml:space="preserve">closed_won</t>
        </is>
      </c>
      <c r="G1511" s="4">
        <v>1</v>
      </c>
      <c r="H1511" s="4">
        <v>18800</v>
      </c>
      <c r="I1511" s="4">
        <v>1</v>
      </c>
      <c r="J1511" s="4">
        <v>0</v>
      </c>
      <c r="K1511" s="16">
        <v>46194</v>
      </c>
      <c r="L1511" s="16">
        <v>46208</v>
      </c>
      <c r="M1511" s="0" t="inlineStr">
        <is>
          <t xml:space="preserve">jun26</t>
        </is>
      </c>
      <c r="N1511" s="0" t="inlineStr">
        <is>
          <t xml:space="preserve">jul26</t>
        </is>
      </c>
      <c r="O1511" s="4">
        <v>14</v>
      </c>
      <c r="P1511" s="4">
        <v>1</v>
      </c>
      <c r="Q1511" s="4">
        <v>0</v>
      </c>
      <c r="R1511" s="4">
        <v>0</v>
      </c>
      <c r="S1511" s="4">
        <f>(H1511*INDEX('Stages'!$D$2:$D$7,MATCH(F1511,'Stages'!$A$2:$A$7,0)))</f>
        <v>18800</v>
      </c>
      <c r="T1511" s="4">
        <f>(H1511*I1511)</f>
        <v>18800</v>
      </c>
      <c r="U1511" s="4">
        <f>(H1511*(I1511-1))</f>
        <v>0</v>
      </c>
      <c r="V1511" s="0" t="str">
        <f>INDEX('Account executives'!$B$2:$B$25,MATCH(C1511,'Account executives'!$A$2:$A$25,0))</f>
        <v>amer_west</v>
      </c>
      <c r="W1511" s="0" t="str">
        <f>INDEX('Account executives'!$C$2:$C$25,MATCH(C1511,'Account executives'!$A$2:$A$25,0))</f>
        <v>smb</v>
      </c>
      <c r="X1511" s="0" t="str">
        <f>SUBSTITUTE(LOWER(INDEX('Periods'!$G$2:$G$22,MATCH(N1511,'Periods'!$A$2:$A$22,0)))," ","_")</f>
        <v>q3_2026</v>
      </c>
    </row>
    <row r="1512">
      <c r="A1512" s="0" t="inlineStr">
        <is>
          <t xml:space="preserve">o1511</t>
        </is>
      </c>
      <c r="B1512" s="0" t="inlineStr">
        <is>
          <t xml:space="preserve">a1038</t>
        </is>
      </c>
      <c r="C1512" s="0" t="inlineStr">
        <is>
          <t xml:space="preserve">r22</t>
        </is>
      </c>
      <c r="D1512" s="0" t="inlineStr">
        <is>
          <t xml:space="preserve">s_apac_in</t>
        </is>
      </c>
      <c r="E1512" s="0" t="inlineStr">
        <is>
          <t xml:space="preserve">inbound</t>
        </is>
      </c>
      <c r="F1512" s="0" t="inlineStr">
        <is>
          <t xml:space="preserve">negotiation</t>
        </is>
      </c>
      <c r="G1512" s="4">
        <v>1</v>
      </c>
      <c r="H1512" s="4">
        <v>50400</v>
      </c>
      <c r="I1512" s="4">
        <v>1</v>
      </c>
      <c r="J1512" s="4">
        <v>0</v>
      </c>
      <c r="K1512" s="16">
        <v>46183</v>
      </c>
      <c r="L1512" s="16">
        <v>46309</v>
      </c>
      <c r="M1512" s="0" t="inlineStr">
        <is>
          <t xml:space="preserve">jun26</t>
        </is>
      </c>
      <c r="N1512" s="0" t="inlineStr">
        <is>
          <t xml:space="preserve">oct26</t>
        </is>
      </c>
      <c r="O1512" s="4">
        <v>110</v>
      </c>
      <c r="P1512" s="4">
        <v>0</v>
      </c>
      <c r="Q1512" s="4">
        <v>0</v>
      </c>
      <c r="R1512" s="4">
        <v>1</v>
      </c>
      <c r="S1512" s="4">
        <f>(H1512*INDEX('Stages'!$D$2:$D$7,MATCH(F1512,'Stages'!$A$2:$A$7,0)))</f>
        <v>37800</v>
      </c>
      <c r="T1512" s="4">
        <f>(H1512*I1512)</f>
        <v>50400</v>
      </c>
      <c r="U1512" s="4">
        <f>(H1512*(I1512-1))</f>
        <v>0</v>
      </c>
      <c r="V1512" s="0" t="str">
        <f>INDEX('Account executives'!$B$2:$B$25,MATCH(C1512,'Account executives'!$A$2:$A$25,0))</f>
        <v>apac</v>
      </c>
      <c r="W1512" s="0" t="str">
        <f>INDEX('Account executives'!$C$2:$C$25,MATCH(C1512,'Account executives'!$A$2:$A$25,0))</f>
        <v>mid_market</v>
      </c>
      <c r="X1512" s="0" t="str">
        <f>SUBSTITUTE(LOWER(INDEX('Periods'!$G$2:$G$22,MATCH(N1512,'Periods'!$A$2:$A$22,0)))," ","_")</f>
        <v>q4_2026</v>
      </c>
    </row>
    <row r="1513">
      <c r="A1513" s="0" t="inlineStr">
        <is>
          <t xml:space="preserve">o1512</t>
        </is>
      </c>
      <c r="B1513" s="0" t="inlineStr">
        <is>
          <t xml:space="preserve">a0157</t>
        </is>
      </c>
      <c r="C1513" s="0" t="inlineStr">
        <is>
          <t xml:space="preserve">r04</t>
        </is>
      </c>
      <c r="D1513" s="0" t="inlineStr">
        <is>
          <t xml:space="preserve">s_amer_east_in</t>
        </is>
      </c>
      <c r="E1513" s="0" t="inlineStr">
        <is>
          <t xml:space="preserve">inbound</t>
        </is>
      </c>
      <c r="F1513" s="0" t="inlineStr">
        <is>
          <t xml:space="preserve">closed_lost</t>
        </is>
      </c>
      <c r="G1513" s="4">
        <v>1</v>
      </c>
      <c r="H1513" s="4">
        <v>96400</v>
      </c>
      <c r="I1513" s="4">
        <v>2</v>
      </c>
      <c r="J1513" s="4">
        <v>1</v>
      </c>
      <c r="K1513" s="16">
        <v>45830</v>
      </c>
      <c r="L1513" s="16">
        <v>45853</v>
      </c>
      <c r="M1513" s="0" t="inlineStr">
        <is>
          <t xml:space="preserve">jun25</t>
        </is>
      </c>
      <c r="N1513" s="0" t="inlineStr">
        <is>
          <t xml:space="preserve">jul25</t>
        </is>
      </c>
      <c r="O1513" s="4">
        <v>23</v>
      </c>
      <c r="P1513" s="4">
        <v>0</v>
      </c>
      <c r="Q1513" s="4">
        <v>1</v>
      </c>
      <c r="R1513" s="4">
        <v>0</v>
      </c>
      <c r="S1513" s="4">
        <f>(H1513*INDEX('Stages'!$D$2:$D$7,MATCH(F1513,'Stages'!$A$2:$A$7,0)))</f>
        <v>0</v>
      </c>
      <c r="T1513" s="4">
        <f>(H1513*I1513)</f>
        <v>192800</v>
      </c>
      <c r="U1513" s="4">
        <f>(H1513*(I1513-1))</f>
        <v>96400</v>
      </c>
      <c r="V1513" s="0" t="str">
        <f>INDEX('Account executives'!$B$2:$B$25,MATCH(C1513,'Account executives'!$A$2:$A$25,0))</f>
        <v>amer_east</v>
      </c>
      <c r="W1513" s="0" t="str">
        <f>INDEX('Account executives'!$C$2:$C$25,MATCH(C1513,'Account executives'!$A$2:$A$25,0))</f>
        <v>mid_market</v>
      </c>
      <c r="X1513" s="0" t="str">
        <f>SUBSTITUTE(LOWER(INDEX('Periods'!$G$2:$G$22,MATCH(N1513,'Periods'!$A$2:$A$22,0)))," ","_")</f>
        <v>q3_2025</v>
      </c>
    </row>
    <row r="1514">
      <c r="A1514" s="0" t="inlineStr">
        <is>
          <t xml:space="preserve">o1513</t>
        </is>
      </c>
      <c r="B1514" s="0" t="inlineStr">
        <is>
          <t xml:space="preserve">a0044</t>
        </is>
      </c>
      <c r="C1514" s="0" t="inlineStr">
        <is>
          <t xml:space="preserve">r15</t>
        </is>
      </c>
      <c r="D1514" s="0" t="inlineStr">
        <is>
          <t xml:space="preserve">s_emea_in</t>
        </is>
      </c>
      <c r="E1514" s="0" t="inlineStr">
        <is>
          <t xml:space="preserve">inbound</t>
        </is>
      </c>
      <c r="F1514" s="0" t="inlineStr">
        <is>
          <t xml:space="preserve">closed_lost</t>
        </is>
      </c>
      <c r="G1514" s="4">
        <v>1</v>
      </c>
      <c r="H1514" s="4">
        <v>26500</v>
      </c>
      <c r="I1514" s="4">
        <v>1</v>
      </c>
      <c r="J1514" s="4">
        <v>0</v>
      </c>
      <c r="K1514" s="16">
        <v>45761</v>
      </c>
      <c r="L1514" s="16">
        <v>45844</v>
      </c>
      <c r="M1514" s="0" t="inlineStr">
        <is>
          <t xml:space="preserve">apr25</t>
        </is>
      </c>
      <c r="N1514" s="0" t="inlineStr">
        <is>
          <t xml:space="preserve">jul25</t>
        </is>
      </c>
      <c r="O1514" s="4">
        <v>83</v>
      </c>
      <c r="P1514" s="4">
        <v>0</v>
      </c>
      <c r="Q1514" s="4">
        <v>1</v>
      </c>
      <c r="R1514" s="4">
        <v>0</v>
      </c>
      <c r="S1514" s="4">
        <f>(H1514*INDEX('Stages'!$D$2:$D$7,MATCH(F1514,'Stages'!$A$2:$A$7,0)))</f>
        <v>0</v>
      </c>
      <c r="T1514" s="4">
        <f>(H1514*I1514)</f>
        <v>26500</v>
      </c>
      <c r="U1514" s="4">
        <f>(H1514*(I1514-1))</f>
        <v>0</v>
      </c>
      <c r="V1514" s="0" t="str">
        <f>INDEX('Account executives'!$B$2:$B$25,MATCH(C1514,'Account executives'!$A$2:$A$25,0))</f>
        <v>emea</v>
      </c>
      <c r="W1514" s="0" t="str">
        <f>INDEX('Account executives'!$C$2:$C$25,MATCH(C1514,'Account executives'!$A$2:$A$25,0))</f>
        <v>mid_market</v>
      </c>
      <c r="X1514" s="0" t="str">
        <f>SUBSTITUTE(LOWER(INDEX('Periods'!$G$2:$G$22,MATCH(N1514,'Periods'!$A$2:$A$22,0)))," ","_")</f>
        <v>q3_2025</v>
      </c>
    </row>
    <row r="1515">
      <c r="A1515" s="0" t="inlineStr">
        <is>
          <t xml:space="preserve">o1514</t>
        </is>
      </c>
      <c r="B1515" s="0" t="inlineStr">
        <is>
          <t xml:space="preserve">a0207</t>
        </is>
      </c>
      <c r="C1515" s="0" t="inlineStr">
        <is>
          <t xml:space="preserve">r16</t>
        </is>
      </c>
      <c r="D1515" s="0"/>
      <c r="E1515" s="0" t="inlineStr">
        <is>
          <t xml:space="preserve">partner</t>
        </is>
      </c>
      <c r="F1515" s="0" t="inlineStr">
        <is>
          <t xml:space="preserve">closed_lost</t>
        </is>
      </c>
      <c r="G1515" s="4">
        <v>0</v>
      </c>
      <c r="H1515" s="4">
        <v>5000</v>
      </c>
      <c r="I1515" s="4">
        <v>2</v>
      </c>
      <c r="J1515" s="4">
        <v>0</v>
      </c>
      <c r="K1515" s="16">
        <v>45815</v>
      </c>
      <c r="L1515" s="16">
        <v>45887</v>
      </c>
      <c r="M1515" s="0" t="inlineStr">
        <is>
          <t xml:space="preserve">jun25</t>
        </is>
      </c>
      <c r="N1515" s="0" t="inlineStr">
        <is>
          <t xml:space="preserve">aug25</t>
        </is>
      </c>
      <c r="O1515" s="4">
        <v>72</v>
      </c>
      <c r="P1515" s="4">
        <v>0</v>
      </c>
      <c r="Q1515" s="4">
        <v>1</v>
      </c>
      <c r="R1515" s="4">
        <v>0</v>
      </c>
      <c r="S1515" s="4">
        <f>(H1515*INDEX('Stages'!$D$2:$D$7,MATCH(F1515,'Stages'!$A$2:$A$7,0)))</f>
        <v>0</v>
      </c>
      <c r="T1515" s="4">
        <f>(H1515*I1515)</f>
        <v>10000</v>
      </c>
      <c r="U1515" s="4">
        <f>(H1515*(I1515-1))</f>
        <v>5000</v>
      </c>
      <c r="V1515" s="0" t="str">
        <f>INDEX('Account executives'!$B$2:$B$25,MATCH(C1515,'Account executives'!$A$2:$A$25,0))</f>
        <v>emea</v>
      </c>
      <c r="W1515" s="0" t="str">
        <f>INDEX('Account executives'!$C$2:$C$25,MATCH(C1515,'Account executives'!$A$2:$A$25,0))</f>
        <v>mid_market</v>
      </c>
      <c r="X1515" s="0" t="str">
        <f>SUBSTITUTE(LOWER(INDEX('Periods'!$G$2:$G$22,MATCH(N1515,'Periods'!$A$2:$A$22,0)))," ","_")</f>
        <v>q3_2025</v>
      </c>
    </row>
    <row r="1516">
      <c r="A1516" s="0" t="inlineStr">
        <is>
          <t xml:space="preserve">o1515</t>
        </is>
      </c>
      <c r="B1516" s="0" t="inlineStr">
        <is>
          <t xml:space="preserve">a1061</t>
        </is>
      </c>
      <c r="C1516" s="0" t="inlineStr">
        <is>
          <t xml:space="preserve">r23</t>
        </is>
      </c>
      <c r="D1516" s="0"/>
      <c r="E1516" s="0" t="inlineStr">
        <is>
          <t xml:space="preserve">referral</t>
        </is>
      </c>
      <c r="F1516" s="0" t="inlineStr">
        <is>
          <t xml:space="preserve">closed_won</t>
        </is>
      </c>
      <c r="G1516" s="4">
        <v>1</v>
      </c>
      <c r="H1516" s="4">
        <v>17100</v>
      </c>
      <c r="I1516" s="4">
        <v>1</v>
      </c>
      <c r="J1516" s="4">
        <v>1</v>
      </c>
      <c r="K1516" s="16">
        <v>46183</v>
      </c>
      <c r="L1516" s="16">
        <v>46207</v>
      </c>
      <c r="M1516" s="0" t="inlineStr">
        <is>
          <t xml:space="preserve">jun26</t>
        </is>
      </c>
      <c r="N1516" s="0" t="inlineStr">
        <is>
          <t xml:space="preserve">jul26</t>
        </is>
      </c>
      <c r="O1516" s="4">
        <v>24</v>
      </c>
      <c r="P1516" s="4">
        <v>1</v>
      </c>
      <c r="Q1516" s="4">
        <v>0</v>
      </c>
      <c r="R1516" s="4">
        <v>0</v>
      </c>
      <c r="S1516" s="4">
        <f>(H1516*INDEX('Stages'!$D$2:$D$7,MATCH(F1516,'Stages'!$A$2:$A$7,0)))</f>
        <v>17100</v>
      </c>
      <c r="T1516" s="4">
        <f>(H1516*I1516)</f>
        <v>17100</v>
      </c>
      <c r="U1516" s="4">
        <f>(H1516*(I1516-1))</f>
        <v>0</v>
      </c>
      <c r="V1516" s="0" t="str">
        <f>INDEX('Account executives'!$B$2:$B$25,MATCH(C1516,'Account executives'!$A$2:$A$25,0))</f>
        <v>apac</v>
      </c>
      <c r="W1516" s="0" t="str">
        <f>INDEX('Account executives'!$C$2:$C$25,MATCH(C1516,'Account executives'!$A$2:$A$25,0))</f>
        <v>smb</v>
      </c>
      <c r="X1516" s="0" t="str">
        <f>SUBSTITUTE(LOWER(INDEX('Periods'!$G$2:$G$22,MATCH(N1516,'Periods'!$A$2:$A$22,0)))," ","_")</f>
        <v>q3_2026</v>
      </c>
    </row>
    <row r="1517">
      <c r="A1517" s="0" t="inlineStr">
        <is>
          <t xml:space="preserve">o1516</t>
        </is>
      </c>
      <c r="B1517" s="0" t="inlineStr">
        <is>
          <t xml:space="preserve">a0046</t>
        </is>
      </c>
      <c r="C1517" s="0" t="inlineStr">
        <is>
          <t xml:space="preserve">r18</t>
        </is>
      </c>
      <c r="D1517" s="0" t="inlineStr">
        <is>
          <t xml:space="preserve">s_emea_in</t>
        </is>
      </c>
      <c r="E1517" s="0" t="inlineStr">
        <is>
          <t xml:space="preserve">inbound</t>
        </is>
      </c>
      <c r="F1517" s="0" t="inlineStr">
        <is>
          <t xml:space="preserve">closed_won</t>
        </is>
      </c>
      <c r="G1517" s="4">
        <v>1</v>
      </c>
      <c r="H1517" s="4">
        <v>4900</v>
      </c>
      <c r="I1517" s="4">
        <v>1</v>
      </c>
      <c r="J1517" s="4">
        <v>0</v>
      </c>
      <c r="K1517" s="16">
        <v>45766</v>
      </c>
      <c r="L1517" s="16">
        <v>45836</v>
      </c>
      <c r="M1517" s="0" t="inlineStr">
        <is>
          <t xml:space="preserve">apr25</t>
        </is>
      </c>
      <c r="N1517" s="0" t="inlineStr">
        <is>
          <t xml:space="preserve">jun25</t>
        </is>
      </c>
      <c r="O1517" s="4">
        <v>70</v>
      </c>
      <c r="P1517" s="4">
        <v>1</v>
      </c>
      <c r="Q1517" s="4">
        <v>0</v>
      </c>
      <c r="R1517" s="4">
        <v>0</v>
      </c>
      <c r="S1517" s="4">
        <f>(H1517*INDEX('Stages'!$D$2:$D$7,MATCH(F1517,'Stages'!$A$2:$A$7,0)))</f>
        <v>4900</v>
      </c>
      <c r="T1517" s="4">
        <f>(H1517*I1517)</f>
        <v>4900</v>
      </c>
      <c r="U1517" s="4">
        <f>(H1517*(I1517-1))</f>
        <v>0</v>
      </c>
      <c r="V1517" s="0" t="str">
        <f>INDEX('Account executives'!$B$2:$B$25,MATCH(C1517,'Account executives'!$A$2:$A$25,0))</f>
        <v>emea</v>
      </c>
      <c r="W1517" s="0" t="str">
        <f>INDEX('Account executives'!$C$2:$C$25,MATCH(C1517,'Account executives'!$A$2:$A$25,0))</f>
        <v>smb</v>
      </c>
      <c r="X1517" s="0" t="str">
        <f>SUBSTITUTE(LOWER(INDEX('Periods'!$G$2:$G$22,MATCH(N1517,'Periods'!$A$2:$A$22,0)))," ","_")</f>
        <v>q2_2025</v>
      </c>
    </row>
    <row r="1518">
      <c r="A1518" s="0" t="inlineStr">
        <is>
          <t xml:space="preserve">o1517</t>
        </is>
      </c>
      <c r="B1518" s="0" t="inlineStr">
        <is>
          <t xml:space="preserve">a0050</t>
        </is>
      </c>
      <c r="C1518" s="0" t="inlineStr">
        <is>
          <t xml:space="preserve">r16</t>
        </is>
      </c>
      <c r="D1518" s="0" t="inlineStr">
        <is>
          <t xml:space="preserve">s_emea_in</t>
        </is>
      </c>
      <c r="E1518" s="0" t="inlineStr">
        <is>
          <t xml:space="preserve">inbound</t>
        </is>
      </c>
      <c r="F1518" s="0" t="inlineStr">
        <is>
          <t xml:space="preserve">closed_won</t>
        </is>
      </c>
      <c r="G1518" s="4">
        <v>0</v>
      </c>
      <c r="H1518" s="4">
        <v>4300</v>
      </c>
      <c r="I1518" s="4">
        <v>2</v>
      </c>
      <c r="J1518" s="4">
        <v>0</v>
      </c>
      <c r="K1518" s="16">
        <v>45798</v>
      </c>
      <c r="L1518" s="16">
        <v>45848</v>
      </c>
      <c r="M1518" s="0" t="inlineStr">
        <is>
          <t xml:space="preserve">may25</t>
        </is>
      </c>
      <c r="N1518" s="0" t="inlineStr">
        <is>
          <t xml:space="preserve">jul25</t>
        </is>
      </c>
      <c r="O1518" s="4">
        <v>50</v>
      </c>
      <c r="P1518" s="4">
        <v>1</v>
      </c>
      <c r="Q1518" s="4">
        <v>0</v>
      </c>
      <c r="R1518" s="4">
        <v>0</v>
      </c>
      <c r="S1518" s="4">
        <f>(H1518*INDEX('Stages'!$D$2:$D$7,MATCH(F1518,'Stages'!$A$2:$A$7,0)))</f>
        <v>4300</v>
      </c>
      <c r="T1518" s="4">
        <f>(H1518*I1518)</f>
        <v>8600</v>
      </c>
      <c r="U1518" s="4">
        <f>(H1518*(I1518-1))</f>
        <v>4300</v>
      </c>
      <c r="V1518" s="0" t="str">
        <f>INDEX('Account executives'!$B$2:$B$25,MATCH(C1518,'Account executives'!$A$2:$A$25,0))</f>
        <v>emea</v>
      </c>
      <c r="W1518" s="0" t="str">
        <f>INDEX('Account executives'!$C$2:$C$25,MATCH(C1518,'Account executives'!$A$2:$A$25,0))</f>
        <v>mid_market</v>
      </c>
      <c r="X1518" s="0" t="str">
        <f>SUBSTITUTE(LOWER(INDEX('Periods'!$G$2:$G$22,MATCH(N1518,'Periods'!$A$2:$A$22,0)))," ","_")</f>
        <v>q3_2025</v>
      </c>
    </row>
    <row r="1519">
      <c r="A1519" s="0" t="inlineStr">
        <is>
          <t xml:space="preserve">o1518</t>
        </is>
      </c>
      <c r="B1519" s="0" t="inlineStr">
        <is>
          <t xml:space="preserve">a1170</t>
        </is>
      </c>
      <c r="C1519" s="0" t="inlineStr">
        <is>
          <t xml:space="preserve">r10</t>
        </is>
      </c>
      <c r="D1519" s="0" t="inlineStr">
        <is>
          <t xml:space="preserve">s_amer_west_in</t>
        </is>
      </c>
      <c r="E1519" s="0" t="inlineStr">
        <is>
          <t xml:space="preserve">inbound</t>
        </is>
      </c>
      <c r="F1519" s="0" t="inlineStr">
        <is>
          <t xml:space="preserve">closed_won</t>
        </is>
      </c>
      <c r="G1519" s="4">
        <v>1</v>
      </c>
      <c r="H1519" s="4">
        <v>29700</v>
      </c>
      <c r="I1519" s="4">
        <v>1</v>
      </c>
      <c r="J1519" s="4">
        <v>0</v>
      </c>
      <c r="K1519" s="16">
        <v>46240</v>
      </c>
      <c r="L1519" s="16">
        <v>46282</v>
      </c>
      <c r="M1519" s="0" t="inlineStr">
        <is>
          <t xml:space="preserve">aug26</t>
        </is>
      </c>
      <c r="N1519" s="0" t="inlineStr">
        <is>
          <t xml:space="preserve">sep26</t>
        </is>
      </c>
      <c r="O1519" s="4">
        <v>42</v>
      </c>
      <c r="P1519" s="4">
        <v>1</v>
      </c>
      <c r="Q1519" s="4">
        <v>0</v>
      </c>
      <c r="R1519" s="4">
        <v>0</v>
      </c>
      <c r="S1519" s="4">
        <f>(H1519*INDEX('Stages'!$D$2:$D$7,MATCH(F1519,'Stages'!$A$2:$A$7,0)))</f>
        <v>29700</v>
      </c>
      <c r="T1519" s="4">
        <f>(H1519*I1519)</f>
        <v>29700</v>
      </c>
      <c r="U1519" s="4">
        <f>(H1519*(I1519-1))</f>
        <v>0</v>
      </c>
      <c r="V1519" s="0" t="str">
        <f>INDEX('Account executives'!$B$2:$B$25,MATCH(C1519,'Account executives'!$A$2:$A$25,0))</f>
        <v>amer_west</v>
      </c>
      <c r="W1519" s="0" t="str">
        <f>INDEX('Account executives'!$C$2:$C$25,MATCH(C1519,'Account executives'!$A$2:$A$25,0))</f>
        <v>mid_market</v>
      </c>
      <c r="X1519" s="0" t="str">
        <f>SUBSTITUTE(LOWER(INDEX('Periods'!$G$2:$G$22,MATCH(N1519,'Periods'!$A$2:$A$22,0)))," ","_")</f>
        <v>q3_2026</v>
      </c>
    </row>
    <row r="1520">
      <c r="A1520" s="0" t="inlineStr">
        <is>
          <t xml:space="preserve">o1519</t>
        </is>
      </c>
      <c r="B1520" s="0" t="inlineStr">
        <is>
          <t xml:space="preserve">a0290</t>
        </is>
      </c>
      <c r="C1520" s="0" t="inlineStr">
        <is>
          <t xml:space="preserve">r13</t>
        </is>
      </c>
      <c r="D1520" s="0" t="inlineStr">
        <is>
          <t xml:space="preserve">s_emea_out</t>
        </is>
      </c>
      <c r="E1520" s="0" t="inlineStr">
        <is>
          <t xml:space="preserve">outbound</t>
        </is>
      </c>
      <c r="F1520" s="0" t="inlineStr">
        <is>
          <t xml:space="preserve">closed_lost</t>
        </is>
      </c>
      <c r="G1520" s="4">
        <v>1</v>
      </c>
      <c r="H1520" s="4">
        <v>86300</v>
      </c>
      <c r="I1520" s="4">
        <v>1</v>
      </c>
      <c r="J1520" s="4">
        <v>0</v>
      </c>
      <c r="K1520" s="16">
        <v>45864</v>
      </c>
      <c r="L1520" s="16">
        <v>45985</v>
      </c>
      <c r="M1520" s="0" t="inlineStr">
        <is>
          <t xml:space="preserve">jul25</t>
        </is>
      </c>
      <c r="N1520" s="0" t="inlineStr">
        <is>
          <t xml:space="preserve">nov25</t>
        </is>
      </c>
      <c r="O1520" s="4">
        <v>121</v>
      </c>
      <c r="P1520" s="4">
        <v>0</v>
      </c>
      <c r="Q1520" s="4">
        <v>1</v>
      </c>
      <c r="R1520" s="4">
        <v>0</v>
      </c>
      <c r="S1520" s="4">
        <f>(H1520*INDEX('Stages'!$D$2:$D$7,MATCH(F1520,'Stages'!$A$2:$A$7,0)))</f>
        <v>0</v>
      </c>
      <c r="T1520" s="4">
        <f>(H1520*I1520)</f>
        <v>86300</v>
      </c>
      <c r="U1520" s="4">
        <f>(H1520*(I1520-1))</f>
        <v>0</v>
      </c>
      <c r="V1520" s="0" t="str">
        <f>INDEX('Account executives'!$B$2:$B$25,MATCH(C1520,'Account executives'!$A$2:$A$25,0))</f>
        <v>emea</v>
      </c>
      <c r="W1520" s="0" t="str">
        <f>INDEX('Account executives'!$C$2:$C$25,MATCH(C1520,'Account executives'!$A$2:$A$25,0))</f>
        <v>enterprise</v>
      </c>
      <c r="X1520" s="0" t="str">
        <f>SUBSTITUTE(LOWER(INDEX('Periods'!$G$2:$G$22,MATCH(N1520,'Periods'!$A$2:$A$22,0)))," ","_")</f>
        <v>q4_2025</v>
      </c>
    </row>
    <row r="1521">
      <c r="A1521" s="0" t="inlineStr">
        <is>
          <t xml:space="preserve">o1520</t>
        </is>
      </c>
      <c r="B1521" s="0" t="inlineStr">
        <is>
          <t xml:space="preserve">a0369</t>
        </is>
      </c>
      <c r="C1521" s="0" t="inlineStr">
        <is>
          <t xml:space="preserve">r01</t>
        </is>
      </c>
      <c r="D1521" s="0"/>
      <c r="E1521" s="0" t="inlineStr">
        <is>
          <t xml:space="preserve">partner</t>
        </is>
      </c>
      <c r="F1521" s="0" t="inlineStr">
        <is>
          <t xml:space="preserve">closed_lost</t>
        </is>
      </c>
      <c r="G1521" s="4">
        <v>1</v>
      </c>
      <c r="H1521" s="4">
        <v>644200</v>
      </c>
      <c r="I1521" s="4">
        <v>1</v>
      </c>
      <c r="J1521" s="4">
        <v>0</v>
      </c>
      <c r="K1521" s="16">
        <v>45915</v>
      </c>
      <c r="L1521" s="16">
        <v>45986</v>
      </c>
      <c r="M1521" s="0" t="inlineStr">
        <is>
          <t xml:space="preserve">sep25</t>
        </is>
      </c>
      <c r="N1521" s="0" t="inlineStr">
        <is>
          <t xml:space="preserve">nov25</t>
        </is>
      </c>
      <c r="O1521" s="4">
        <v>71</v>
      </c>
      <c r="P1521" s="4">
        <v>0</v>
      </c>
      <c r="Q1521" s="4">
        <v>1</v>
      </c>
      <c r="R1521" s="4">
        <v>0</v>
      </c>
      <c r="S1521" s="4">
        <f>(H1521*INDEX('Stages'!$D$2:$D$7,MATCH(F1521,'Stages'!$A$2:$A$7,0)))</f>
        <v>0</v>
      </c>
      <c r="T1521" s="4">
        <f>(H1521*I1521)</f>
        <v>644200</v>
      </c>
      <c r="U1521" s="4">
        <f>(H1521*(I1521-1))</f>
        <v>0</v>
      </c>
      <c r="V1521" s="0" t="str">
        <f>INDEX('Account executives'!$B$2:$B$25,MATCH(C1521,'Account executives'!$A$2:$A$25,0))</f>
        <v>amer_east</v>
      </c>
      <c r="W1521" s="0" t="str">
        <f>INDEX('Account executives'!$C$2:$C$25,MATCH(C1521,'Account executives'!$A$2:$A$25,0))</f>
        <v>enterprise</v>
      </c>
      <c r="X1521" s="0" t="str">
        <f>SUBSTITUTE(LOWER(INDEX('Periods'!$G$2:$G$22,MATCH(N1521,'Periods'!$A$2:$A$22,0)))," ","_")</f>
        <v>q4_2025</v>
      </c>
    </row>
    <row r="1522">
      <c r="A1522" s="0" t="inlineStr">
        <is>
          <t xml:space="preserve">o1521</t>
        </is>
      </c>
      <c r="B1522" s="0" t="inlineStr">
        <is>
          <t xml:space="preserve">a0207</t>
        </is>
      </c>
      <c r="C1522" s="0" t="inlineStr">
        <is>
          <t xml:space="preserve">r15</t>
        </is>
      </c>
      <c r="D1522" s="0" t="inlineStr">
        <is>
          <t xml:space="preserve">s_emea_in</t>
        </is>
      </c>
      <c r="E1522" s="0" t="inlineStr">
        <is>
          <t xml:space="preserve">inbound</t>
        </is>
      </c>
      <c r="F1522" s="0" t="inlineStr">
        <is>
          <t xml:space="preserve">closed_won</t>
        </is>
      </c>
      <c r="G1522" s="4">
        <v>0</v>
      </c>
      <c r="H1522" s="4">
        <v>33700</v>
      </c>
      <c r="I1522" s="4">
        <v>1</v>
      </c>
      <c r="J1522" s="4">
        <v>1</v>
      </c>
      <c r="K1522" s="16">
        <v>46015</v>
      </c>
      <c r="L1522" s="16">
        <v>46068</v>
      </c>
      <c r="M1522" s="0" t="inlineStr">
        <is>
          <t xml:space="preserve">dec25</t>
        </is>
      </c>
      <c r="N1522" s="0" t="inlineStr">
        <is>
          <t xml:space="preserve">feb26</t>
        </is>
      </c>
      <c r="O1522" s="4">
        <v>53</v>
      </c>
      <c r="P1522" s="4">
        <v>1</v>
      </c>
      <c r="Q1522" s="4">
        <v>0</v>
      </c>
      <c r="R1522" s="4">
        <v>0</v>
      </c>
      <c r="S1522" s="4">
        <f>(H1522*INDEX('Stages'!$D$2:$D$7,MATCH(F1522,'Stages'!$A$2:$A$7,0)))</f>
        <v>33700</v>
      </c>
      <c r="T1522" s="4">
        <f>(H1522*I1522)</f>
        <v>33700</v>
      </c>
      <c r="U1522" s="4">
        <f>(H1522*(I1522-1))</f>
        <v>0</v>
      </c>
      <c r="V1522" s="0" t="str">
        <f>INDEX('Account executives'!$B$2:$B$25,MATCH(C1522,'Account executives'!$A$2:$A$25,0))</f>
        <v>emea</v>
      </c>
      <c r="W1522" s="0" t="str">
        <f>INDEX('Account executives'!$C$2:$C$25,MATCH(C1522,'Account executives'!$A$2:$A$25,0))</f>
        <v>mid_market</v>
      </c>
      <c r="X1522" s="0" t="str">
        <f>SUBSTITUTE(LOWER(INDEX('Periods'!$G$2:$G$22,MATCH(N1522,'Periods'!$A$2:$A$22,0)))," ","_")</f>
        <v>q1_2026</v>
      </c>
    </row>
    <row r="1523">
      <c r="A1523" s="0" t="inlineStr">
        <is>
          <t xml:space="preserve">o1522</t>
        </is>
      </c>
      <c r="B1523" s="0" t="inlineStr">
        <is>
          <t xml:space="preserve">a0762</t>
        </is>
      </c>
      <c r="C1523" s="0" t="inlineStr">
        <is>
          <t xml:space="preserve">r09</t>
        </is>
      </c>
      <c r="D1523" s="0"/>
      <c r="E1523" s="0" t="inlineStr">
        <is>
          <t xml:space="preserve">events</t>
        </is>
      </c>
      <c r="F1523" s="0" t="inlineStr">
        <is>
          <t xml:space="preserve">closed_won</t>
        </is>
      </c>
      <c r="G1523" s="4">
        <v>1</v>
      </c>
      <c r="H1523" s="4">
        <v>26100</v>
      </c>
      <c r="I1523" s="4">
        <v>1</v>
      </c>
      <c r="J1523" s="4">
        <v>1</v>
      </c>
      <c r="K1523" s="16">
        <v>46098</v>
      </c>
      <c r="L1523" s="16">
        <v>46154</v>
      </c>
      <c r="M1523" s="0" t="inlineStr">
        <is>
          <t xml:space="preserve">mar26</t>
        </is>
      </c>
      <c r="N1523" s="0" t="inlineStr">
        <is>
          <t xml:space="preserve">may26</t>
        </is>
      </c>
      <c r="O1523" s="4">
        <v>56</v>
      </c>
      <c r="P1523" s="4">
        <v>1</v>
      </c>
      <c r="Q1523" s="4">
        <v>0</v>
      </c>
      <c r="R1523" s="4">
        <v>0</v>
      </c>
      <c r="S1523" s="4">
        <f>(H1523*INDEX('Stages'!$D$2:$D$7,MATCH(F1523,'Stages'!$A$2:$A$7,0)))</f>
        <v>26100</v>
      </c>
      <c r="T1523" s="4">
        <f>(H1523*I1523)</f>
        <v>26100</v>
      </c>
      <c r="U1523" s="4">
        <f>(H1523*(I1523-1))</f>
        <v>0</v>
      </c>
      <c r="V1523" s="0" t="str">
        <f>INDEX('Account executives'!$B$2:$B$25,MATCH(C1523,'Account executives'!$A$2:$A$25,0))</f>
        <v>amer_west</v>
      </c>
      <c r="W1523" s="0" t="str">
        <f>INDEX('Account executives'!$C$2:$C$25,MATCH(C1523,'Account executives'!$A$2:$A$25,0))</f>
        <v>mid_market</v>
      </c>
      <c r="X1523" s="0" t="str">
        <f>SUBSTITUTE(LOWER(INDEX('Periods'!$G$2:$G$22,MATCH(N1523,'Periods'!$A$2:$A$22,0)))," ","_")</f>
        <v>q2_2026</v>
      </c>
    </row>
    <row r="1524">
      <c r="A1524" s="0" t="inlineStr">
        <is>
          <t xml:space="preserve">o1523</t>
        </is>
      </c>
      <c r="B1524" s="0" t="inlineStr">
        <is>
          <t xml:space="preserve">a0819</t>
        </is>
      </c>
      <c r="C1524" s="0" t="inlineStr">
        <is>
          <t xml:space="preserve">r06</t>
        </is>
      </c>
      <c r="D1524" s="0" t="inlineStr">
        <is>
          <t xml:space="preserve">s_amer_east_in</t>
        </is>
      </c>
      <c r="E1524" s="0" t="inlineStr">
        <is>
          <t xml:space="preserve">inbound</t>
        </is>
      </c>
      <c r="F1524" s="0" t="inlineStr">
        <is>
          <t xml:space="preserve">closed_won</t>
        </is>
      </c>
      <c r="G1524" s="4">
        <v>1</v>
      </c>
      <c r="H1524" s="4">
        <v>8200</v>
      </c>
      <c r="I1524" s="4">
        <v>1</v>
      </c>
      <c r="J1524" s="4">
        <v>0</v>
      </c>
      <c r="K1524" s="16">
        <v>46123</v>
      </c>
      <c r="L1524" s="16">
        <v>46133</v>
      </c>
      <c r="M1524" s="0" t="inlineStr">
        <is>
          <t xml:space="preserve">apr26</t>
        </is>
      </c>
      <c r="N1524" s="0" t="inlineStr">
        <is>
          <t xml:space="preserve">apr26</t>
        </is>
      </c>
      <c r="O1524" s="4">
        <v>10</v>
      </c>
      <c r="P1524" s="4">
        <v>1</v>
      </c>
      <c r="Q1524" s="4">
        <v>0</v>
      </c>
      <c r="R1524" s="4">
        <v>0</v>
      </c>
      <c r="S1524" s="4">
        <f>(H1524*INDEX('Stages'!$D$2:$D$7,MATCH(F1524,'Stages'!$A$2:$A$7,0)))</f>
        <v>8200</v>
      </c>
      <c r="T1524" s="4">
        <f>(H1524*I1524)</f>
        <v>8200</v>
      </c>
      <c r="U1524" s="4">
        <f>(H1524*(I1524-1))</f>
        <v>0</v>
      </c>
      <c r="V1524" s="0" t="str">
        <f>INDEX('Account executives'!$B$2:$B$25,MATCH(C1524,'Account executives'!$A$2:$A$25,0))</f>
        <v>amer_east</v>
      </c>
      <c r="W1524" s="0" t="str">
        <f>INDEX('Account executives'!$C$2:$C$25,MATCH(C1524,'Account executives'!$A$2:$A$25,0))</f>
        <v>smb</v>
      </c>
      <c r="X1524" s="0" t="str">
        <f>SUBSTITUTE(LOWER(INDEX('Periods'!$G$2:$G$22,MATCH(N1524,'Periods'!$A$2:$A$22,0)))," ","_")</f>
        <v>q2_2026</v>
      </c>
    </row>
    <row r="1525">
      <c r="A1525" s="0" t="inlineStr">
        <is>
          <t xml:space="preserve">o1524</t>
        </is>
      </c>
      <c r="B1525" s="0" t="inlineStr">
        <is>
          <t xml:space="preserve">a0417</t>
        </is>
      </c>
      <c r="C1525" s="0" t="inlineStr">
        <is>
          <t xml:space="preserve">r05</t>
        </is>
      </c>
      <c r="D1525" s="0" t="inlineStr">
        <is>
          <t xml:space="preserve">s_amer_east_in</t>
        </is>
      </c>
      <c r="E1525" s="0" t="inlineStr">
        <is>
          <t xml:space="preserve">inbound</t>
        </is>
      </c>
      <c r="F1525" s="0" t="inlineStr">
        <is>
          <t xml:space="preserve">closed_won</t>
        </is>
      </c>
      <c r="G1525" s="4">
        <v>1</v>
      </c>
      <c r="H1525" s="4">
        <v>22900</v>
      </c>
      <c r="I1525" s="4">
        <v>1</v>
      </c>
      <c r="J1525" s="4">
        <v>1</v>
      </c>
      <c r="K1525" s="16">
        <v>45935</v>
      </c>
      <c r="L1525" s="16">
        <v>45961</v>
      </c>
      <c r="M1525" s="0" t="inlineStr">
        <is>
          <t xml:space="preserve">oct25</t>
        </is>
      </c>
      <c r="N1525" s="0" t="inlineStr">
        <is>
          <t xml:space="preserve">oct25</t>
        </is>
      </c>
      <c r="O1525" s="4">
        <v>26</v>
      </c>
      <c r="P1525" s="4">
        <v>1</v>
      </c>
      <c r="Q1525" s="4">
        <v>0</v>
      </c>
      <c r="R1525" s="4">
        <v>0</v>
      </c>
      <c r="S1525" s="4">
        <f>(H1525*INDEX('Stages'!$D$2:$D$7,MATCH(F1525,'Stages'!$A$2:$A$7,0)))</f>
        <v>22900</v>
      </c>
      <c r="T1525" s="4">
        <f>(H1525*I1525)</f>
        <v>22900</v>
      </c>
      <c r="U1525" s="4">
        <f>(H1525*(I1525-1))</f>
        <v>0</v>
      </c>
      <c r="V1525" s="0" t="str">
        <f>INDEX('Account executives'!$B$2:$B$25,MATCH(C1525,'Account executives'!$A$2:$A$25,0))</f>
        <v>amer_east</v>
      </c>
      <c r="W1525" s="0" t="str">
        <f>INDEX('Account executives'!$C$2:$C$25,MATCH(C1525,'Account executives'!$A$2:$A$25,0))</f>
        <v>smb</v>
      </c>
      <c r="X1525" s="0" t="str">
        <f>SUBSTITUTE(LOWER(INDEX('Periods'!$G$2:$G$22,MATCH(N1525,'Periods'!$A$2:$A$22,0)))," ","_")</f>
        <v>q4_2025</v>
      </c>
    </row>
    <row r="1526">
      <c r="A1526" s="0" t="inlineStr">
        <is>
          <t xml:space="preserve">o1525</t>
        </is>
      </c>
      <c r="B1526" s="0" t="inlineStr">
        <is>
          <t xml:space="preserve">a0422</t>
        </is>
      </c>
      <c r="C1526" s="0" t="inlineStr">
        <is>
          <t xml:space="preserve">r03</t>
        </is>
      </c>
      <c r="D1526" s="0" t="inlineStr">
        <is>
          <t xml:space="preserve">s_amer_east_in</t>
        </is>
      </c>
      <c r="E1526" s="0" t="inlineStr">
        <is>
          <t xml:space="preserve">inbound</t>
        </is>
      </c>
      <c r="F1526" s="0" t="inlineStr">
        <is>
          <t xml:space="preserve">closed_won</t>
        </is>
      </c>
      <c r="G1526" s="4">
        <v>0</v>
      </c>
      <c r="H1526" s="4">
        <v>27300</v>
      </c>
      <c r="I1526" s="4">
        <v>1</v>
      </c>
      <c r="J1526" s="4">
        <v>0</v>
      </c>
      <c r="K1526" s="16">
        <v>46026</v>
      </c>
      <c r="L1526" s="16">
        <v>46055</v>
      </c>
      <c r="M1526" s="0" t="inlineStr">
        <is>
          <t xml:space="preserve">jan26</t>
        </is>
      </c>
      <c r="N1526" s="0" t="inlineStr">
        <is>
          <t xml:space="preserve">feb26</t>
        </is>
      </c>
      <c r="O1526" s="4">
        <v>29</v>
      </c>
      <c r="P1526" s="4">
        <v>1</v>
      </c>
      <c r="Q1526" s="4">
        <v>0</v>
      </c>
      <c r="R1526" s="4">
        <v>0</v>
      </c>
      <c r="S1526" s="4">
        <f>(H1526*INDEX('Stages'!$D$2:$D$7,MATCH(F1526,'Stages'!$A$2:$A$7,0)))</f>
        <v>27300</v>
      </c>
      <c r="T1526" s="4">
        <f>(H1526*I1526)</f>
        <v>27300</v>
      </c>
      <c r="U1526" s="4">
        <f>(H1526*(I1526-1))</f>
        <v>0</v>
      </c>
      <c r="V1526" s="0" t="str">
        <f>INDEX('Account executives'!$B$2:$B$25,MATCH(C1526,'Account executives'!$A$2:$A$25,0))</f>
        <v>amer_east</v>
      </c>
      <c r="W1526" s="0" t="str">
        <f>INDEX('Account executives'!$C$2:$C$25,MATCH(C1526,'Account executives'!$A$2:$A$25,0))</f>
        <v>mid_market</v>
      </c>
      <c r="X1526" s="0" t="str">
        <f>SUBSTITUTE(LOWER(INDEX('Periods'!$G$2:$G$22,MATCH(N1526,'Periods'!$A$2:$A$22,0)))," ","_")</f>
        <v>q1_2026</v>
      </c>
    </row>
    <row r="1527">
      <c r="A1527" s="0" t="inlineStr">
        <is>
          <t xml:space="preserve">o1526</t>
        </is>
      </c>
      <c r="B1527" s="0" t="inlineStr">
        <is>
          <t xml:space="preserve">a1062</t>
        </is>
      </c>
      <c r="C1527" s="0" t="inlineStr">
        <is>
          <t xml:space="preserve">r05</t>
        </is>
      </c>
      <c r="D1527" s="0" t="inlineStr">
        <is>
          <t xml:space="preserve">s_amer_east_in</t>
        </is>
      </c>
      <c r="E1527" s="0" t="inlineStr">
        <is>
          <t xml:space="preserve">inbound</t>
        </is>
      </c>
      <c r="F1527" s="0" t="inlineStr">
        <is>
          <t xml:space="preserve">negotiation</t>
        </is>
      </c>
      <c r="G1527" s="4">
        <v>1</v>
      </c>
      <c r="H1527" s="4">
        <v>30600</v>
      </c>
      <c r="I1527" s="4">
        <v>1</v>
      </c>
      <c r="J1527" s="4">
        <v>0</v>
      </c>
      <c r="K1527" s="16">
        <v>46210</v>
      </c>
      <c r="L1527" s="16">
        <v>46306</v>
      </c>
      <c r="M1527" s="0" t="inlineStr">
        <is>
          <t xml:space="preserve">jul26</t>
        </is>
      </c>
      <c r="N1527" s="0" t="inlineStr">
        <is>
          <t xml:space="preserve">oct26</t>
        </is>
      </c>
      <c r="O1527" s="4">
        <v>83</v>
      </c>
      <c r="P1527" s="4">
        <v>0</v>
      </c>
      <c r="Q1527" s="4">
        <v>0</v>
      </c>
      <c r="R1527" s="4">
        <v>1</v>
      </c>
      <c r="S1527" s="4">
        <f>(H1527*INDEX('Stages'!$D$2:$D$7,MATCH(F1527,'Stages'!$A$2:$A$7,0)))</f>
        <v>22950</v>
      </c>
      <c r="T1527" s="4">
        <f>(H1527*I1527)</f>
        <v>30600</v>
      </c>
      <c r="U1527" s="4">
        <f>(H1527*(I1527-1))</f>
        <v>0</v>
      </c>
      <c r="V1527" s="0" t="str">
        <f>INDEX('Account executives'!$B$2:$B$25,MATCH(C1527,'Account executives'!$A$2:$A$25,0))</f>
        <v>amer_east</v>
      </c>
      <c r="W1527" s="0" t="str">
        <f>INDEX('Account executives'!$C$2:$C$25,MATCH(C1527,'Account executives'!$A$2:$A$25,0))</f>
        <v>smb</v>
      </c>
      <c r="X1527" s="0" t="str">
        <f>SUBSTITUTE(LOWER(INDEX('Periods'!$G$2:$G$22,MATCH(N1527,'Periods'!$A$2:$A$22,0)))," ","_")</f>
        <v>q4_2026</v>
      </c>
    </row>
    <row r="1528">
      <c r="A1528" s="0" t="inlineStr">
        <is>
          <t xml:space="preserve">o1527</t>
        </is>
      </c>
      <c r="B1528" s="0" t="inlineStr">
        <is>
          <t xml:space="preserve">a0029</t>
        </is>
      </c>
      <c r="C1528" s="0" t="inlineStr">
        <is>
          <t xml:space="preserve">r09</t>
        </is>
      </c>
      <c r="D1528" s="0" t="inlineStr">
        <is>
          <t xml:space="preserve">s_amer_west_in</t>
        </is>
      </c>
      <c r="E1528" s="0" t="inlineStr">
        <is>
          <t xml:space="preserve">paid</t>
        </is>
      </c>
      <c r="F1528" s="0" t="inlineStr">
        <is>
          <t xml:space="preserve">closed_lost</t>
        </is>
      </c>
      <c r="G1528" s="4">
        <v>1</v>
      </c>
      <c r="H1528" s="4">
        <v>39400</v>
      </c>
      <c r="I1528" s="4">
        <v>2</v>
      </c>
      <c r="J1528" s="4">
        <v>0</v>
      </c>
      <c r="K1528" s="16">
        <v>45761</v>
      </c>
      <c r="L1528" s="16">
        <v>45839</v>
      </c>
      <c r="M1528" s="0" t="inlineStr">
        <is>
          <t xml:space="preserve">apr25</t>
        </is>
      </c>
      <c r="N1528" s="0" t="inlineStr">
        <is>
          <t xml:space="preserve">jul25</t>
        </is>
      </c>
      <c r="O1528" s="4">
        <v>78</v>
      </c>
      <c r="P1528" s="4">
        <v>0</v>
      </c>
      <c r="Q1528" s="4">
        <v>1</v>
      </c>
      <c r="R1528" s="4">
        <v>0</v>
      </c>
      <c r="S1528" s="4">
        <f>(H1528*INDEX('Stages'!$D$2:$D$7,MATCH(F1528,'Stages'!$A$2:$A$7,0)))</f>
        <v>0</v>
      </c>
      <c r="T1528" s="4">
        <f>(H1528*I1528)</f>
        <v>78800</v>
      </c>
      <c r="U1528" s="4">
        <f>(H1528*(I1528-1))</f>
        <v>39400</v>
      </c>
      <c r="V1528" s="0" t="str">
        <f>INDEX('Account executives'!$B$2:$B$25,MATCH(C1528,'Account executives'!$A$2:$A$25,0))</f>
        <v>amer_west</v>
      </c>
      <c r="W1528" s="0" t="str">
        <f>INDEX('Account executives'!$C$2:$C$25,MATCH(C1528,'Account executives'!$A$2:$A$25,0))</f>
        <v>mid_market</v>
      </c>
      <c r="X1528" s="0" t="str">
        <f>SUBSTITUTE(LOWER(INDEX('Periods'!$G$2:$G$22,MATCH(N1528,'Periods'!$A$2:$A$22,0)))," ","_")</f>
        <v>q3_2025</v>
      </c>
    </row>
    <row r="1529">
      <c r="A1529" s="0" t="inlineStr">
        <is>
          <t xml:space="preserve">o1528</t>
        </is>
      </c>
      <c r="B1529" s="0" t="inlineStr">
        <is>
          <t xml:space="preserve">a1047</t>
        </is>
      </c>
      <c r="C1529" s="0" t="inlineStr">
        <is>
          <t xml:space="preserve">r21</t>
        </is>
      </c>
      <c r="D1529" s="0"/>
      <c r="E1529" s="0" t="inlineStr">
        <is>
          <t xml:space="preserve">events</t>
        </is>
      </c>
      <c r="F1529" s="0" t="inlineStr">
        <is>
          <t xml:space="preserve">negotiation</t>
        </is>
      </c>
      <c r="G1529" s="4">
        <v>1</v>
      </c>
      <c r="H1529" s="4">
        <v>64300</v>
      </c>
      <c r="I1529" s="4">
        <v>1</v>
      </c>
      <c r="J1529" s="4">
        <v>1</v>
      </c>
      <c r="K1529" s="16">
        <v>46185</v>
      </c>
      <c r="L1529" s="16">
        <v>46371</v>
      </c>
      <c r="M1529" s="0" t="inlineStr">
        <is>
          <t xml:space="preserve">jun26</t>
        </is>
      </c>
      <c r="N1529" s="0" t="inlineStr">
        <is>
          <t xml:space="preserve">dec26</t>
        </is>
      </c>
      <c r="O1529" s="4">
        <v>108</v>
      </c>
      <c r="P1529" s="4">
        <v>0</v>
      </c>
      <c r="Q1529" s="4">
        <v>0</v>
      </c>
      <c r="R1529" s="4">
        <v>1</v>
      </c>
      <c r="S1529" s="4">
        <f>(H1529*INDEX('Stages'!$D$2:$D$7,MATCH(F1529,'Stages'!$A$2:$A$7,0)))</f>
        <v>48225</v>
      </c>
      <c r="T1529" s="4">
        <f>(H1529*I1529)</f>
        <v>64300</v>
      </c>
      <c r="U1529" s="4">
        <f>(H1529*(I1529-1))</f>
        <v>0</v>
      </c>
      <c r="V1529" s="0" t="str">
        <f>INDEX('Account executives'!$B$2:$B$25,MATCH(C1529,'Account executives'!$A$2:$A$25,0))</f>
        <v>apac</v>
      </c>
      <c r="W1529" s="0" t="str">
        <f>INDEX('Account executives'!$C$2:$C$25,MATCH(C1529,'Account executives'!$A$2:$A$25,0))</f>
        <v>mid_market</v>
      </c>
      <c r="X1529" s="0" t="str">
        <f>SUBSTITUTE(LOWER(INDEX('Periods'!$G$2:$G$22,MATCH(N1529,'Periods'!$A$2:$A$22,0)))," ","_")</f>
        <v>q4_2026</v>
      </c>
    </row>
    <row r="1530">
      <c r="A1530" s="0" t="inlineStr">
        <is>
          <t xml:space="preserve">o1529</t>
        </is>
      </c>
      <c r="B1530" s="0" t="inlineStr">
        <is>
          <t xml:space="preserve">a0561</t>
        </is>
      </c>
      <c r="C1530" s="0" t="inlineStr">
        <is>
          <t xml:space="preserve">r11</t>
        </is>
      </c>
      <c r="D1530" s="0" t="inlineStr">
        <is>
          <t xml:space="preserve">s_amer_west_in</t>
        </is>
      </c>
      <c r="E1530" s="0" t="inlineStr">
        <is>
          <t xml:space="preserve">inbound</t>
        </is>
      </c>
      <c r="F1530" s="0" t="inlineStr">
        <is>
          <t xml:space="preserve">closed_lost</t>
        </is>
      </c>
      <c r="G1530" s="4">
        <v>0</v>
      </c>
      <c r="H1530" s="4">
        <v>10100</v>
      </c>
      <c r="I1530" s="4">
        <v>1</v>
      </c>
      <c r="J1530" s="4">
        <v>1</v>
      </c>
      <c r="K1530" s="16">
        <v>46228</v>
      </c>
      <c r="L1530" s="16">
        <v>46241</v>
      </c>
      <c r="M1530" s="0" t="inlineStr">
        <is>
          <t xml:space="preserve">jul26</t>
        </is>
      </c>
      <c r="N1530" s="0" t="inlineStr">
        <is>
          <t xml:space="preserve">aug26</t>
        </is>
      </c>
      <c r="O1530" s="4">
        <v>13</v>
      </c>
      <c r="P1530" s="4">
        <v>0</v>
      </c>
      <c r="Q1530" s="4">
        <v>1</v>
      </c>
      <c r="R1530" s="4">
        <v>0</v>
      </c>
      <c r="S1530" s="4">
        <f>(H1530*INDEX('Stages'!$D$2:$D$7,MATCH(F1530,'Stages'!$A$2:$A$7,0)))</f>
        <v>0</v>
      </c>
      <c r="T1530" s="4">
        <f>(H1530*I1530)</f>
        <v>10100</v>
      </c>
      <c r="U1530" s="4">
        <f>(H1530*(I1530-1))</f>
        <v>0</v>
      </c>
      <c r="V1530" s="0" t="str">
        <f>INDEX('Account executives'!$B$2:$B$25,MATCH(C1530,'Account executives'!$A$2:$A$25,0))</f>
        <v>amer_west</v>
      </c>
      <c r="W1530" s="0" t="str">
        <f>INDEX('Account executives'!$C$2:$C$25,MATCH(C1530,'Account executives'!$A$2:$A$25,0))</f>
        <v>smb</v>
      </c>
      <c r="X1530" s="0" t="str">
        <f>SUBSTITUTE(LOWER(INDEX('Periods'!$G$2:$G$22,MATCH(N1530,'Periods'!$A$2:$A$22,0)))," ","_")</f>
        <v>q3_2026</v>
      </c>
    </row>
    <row r="1531">
      <c r="A1531" s="0" t="inlineStr">
        <is>
          <t xml:space="preserve">o1530</t>
        </is>
      </c>
      <c r="B1531" s="0" t="inlineStr">
        <is>
          <t xml:space="preserve">a0181</t>
        </is>
      </c>
      <c r="C1531" s="0" t="inlineStr">
        <is>
          <t xml:space="preserve">r05</t>
        </is>
      </c>
      <c r="D1531" s="0"/>
      <c r="E1531" s="0" t="inlineStr">
        <is>
          <t xml:space="preserve">partner</t>
        </is>
      </c>
      <c r="F1531" s="0" t="inlineStr">
        <is>
          <t xml:space="preserve">closed_lost</t>
        </is>
      </c>
      <c r="G1531" s="4">
        <v>1</v>
      </c>
      <c r="H1531" s="4">
        <v>15100</v>
      </c>
      <c r="I1531" s="4">
        <v>1</v>
      </c>
      <c r="J1531" s="4">
        <v>0</v>
      </c>
      <c r="K1531" s="16">
        <v>45825</v>
      </c>
      <c r="L1531" s="16">
        <v>45861</v>
      </c>
      <c r="M1531" s="0" t="inlineStr">
        <is>
          <t xml:space="preserve">jun25</t>
        </is>
      </c>
      <c r="N1531" s="0" t="inlineStr">
        <is>
          <t xml:space="preserve">jul25</t>
        </is>
      </c>
      <c r="O1531" s="4">
        <v>36</v>
      </c>
      <c r="P1531" s="4">
        <v>0</v>
      </c>
      <c r="Q1531" s="4">
        <v>1</v>
      </c>
      <c r="R1531" s="4">
        <v>0</v>
      </c>
      <c r="S1531" s="4">
        <f>(H1531*INDEX('Stages'!$D$2:$D$7,MATCH(F1531,'Stages'!$A$2:$A$7,0)))</f>
        <v>0</v>
      </c>
      <c r="T1531" s="4">
        <f>(H1531*I1531)</f>
        <v>15100</v>
      </c>
      <c r="U1531" s="4">
        <f>(H1531*(I1531-1))</f>
        <v>0</v>
      </c>
      <c r="V1531" s="0" t="str">
        <f>INDEX('Account executives'!$B$2:$B$25,MATCH(C1531,'Account executives'!$A$2:$A$25,0))</f>
        <v>amer_east</v>
      </c>
      <c r="W1531" s="0" t="str">
        <f>INDEX('Account executives'!$C$2:$C$25,MATCH(C1531,'Account executives'!$A$2:$A$25,0))</f>
        <v>smb</v>
      </c>
      <c r="X1531" s="0" t="str">
        <f>SUBSTITUTE(LOWER(INDEX('Periods'!$G$2:$G$22,MATCH(N1531,'Periods'!$A$2:$A$22,0)))," ","_")</f>
        <v>q3_2025</v>
      </c>
    </row>
    <row r="1532">
      <c r="A1532" s="0" t="inlineStr">
        <is>
          <t xml:space="preserve">o1531</t>
        </is>
      </c>
      <c r="B1532" s="0" t="inlineStr">
        <is>
          <t xml:space="preserve">a0121</t>
        </is>
      </c>
      <c r="C1532" s="0" t="inlineStr">
        <is>
          <t xml:space="preserve">r18</t>
        </is>
      </c>
      <c r="D1532" s="0" t="inlineStr">
        <is>
          <t xml:space="preserve">s_emea_in</t>
        </is>
      </c>
      <c r="E1532" s="0" t="inlineStr">
        <is>
          <t xml:space="preserve">inbound</t>
        </is>
      </c>
      <c r="F1532" s="0" t="inlineStr">
        <is>
          <t xml:space="preserve">closed_lost</t>
        </is>
      </c>
      <c r="G1532" s="4">
        <v>1</v>
      </c>
      <c r="H1532" s="4">
        <v>12600</v>
      </c>
      <c r="I1532" s="4">
        <v>1</v>
      </c>
      <c r="J1532" s="4">
        <v>0</v>
      </c>
      <c r="K1532" s="16">
        <v>45797</v>
      </c>
      <c r="L1532" s="16">
        <v>45820</v>
      </c>
      <c r="M1532" s="0" t="inlineStr">
        <is>
          <t xml:space="preserve">may25</t>
        </is>
      </c>
      <c r="N1532" s="0" t="inlineStr">
        <is>
          <t xml:space="preserve">jun25</t>
        </is>
      </c>
      <c r="O1532" s="4">
        <v>23</v>
      </c>
      <c r="P1532" s="4">
        <v>0</v>
      </c>
      <c r="Q1532" s="4">
        <v>1</v>
      </c>
      <c r="R1532" s="4">
        <v>0</v>
      </c>
      <c r="S1532" s="4">
        <f>(H1532*INDEX('Stages'!$D$2:$D$7,MATCH(F1532,'Stages'!$A$2:$A$7,0)))</f>
        <v>0</v>
      </c>
      <c r="T1532" s="4">
        <f>(H1532*I1532)</f>
        <v>12600</v>
      </c>
      <c r="U1532" s="4">
        <f>(H1532*(I1532-1))</f>
        <v>0</v>
      </c>
      <c r="V1532" s="0" t="str">
        <f>INDEX('Account executives'!$B$2:$B$25,MATCH(C1532,'Account executives'!$A$2:$A$25,0))</f>
        <v>emea</v>
      </c>
      <c r="W1532" s="0" t="str">
        <f>INDEX('Account executives'!$C$2:$C$25,MATCH(C1532,'Account executives'!$A$2:$A$25,0))</f>
        <v>smb</v>
      </c>
      <c r="X1532" s="0" t="str">
        <f>SUBSTITUTE(LOWER(INDEX('Periods'!$G$2:$G$22,MATCH(N1532,'Periods'!$A$2:$A$22,0)))," ","_")</f>
        <v>q2_2025</v>
      </c>
    </row>
    <row r="1533">
      <c r="A1533" s="0" t="inlineStr">
        <is>
          <t xml:space="preserve">o1532</t>
        </is>
      </c>
      <c r="B1533" s="0" t="inlineStr">
        <is>
          <t xml:space="preserve">a1039</t>
        </is>
      </c>
      <c r="C1533" s="0" t="inlineStr">
        <is>
          <t xml:space="preserve">r21</t>
        </is>
      </c>
      <c r="D1533" s="0" t="inlineStr">
        <is>
          <t xml:space="preserve">s_apac_in</t>
        </is>
      </c>
      <c r="E1533" s="0" t="inlineStr">
        <is>
          <t xml:space="preserve">inbound</t>
        </is>
      </c>
      <c r="F1533" s="0" t="inlineStr">
        <is>
          <t xml:space="preserve">closed_won</t>
        </is>
      </c>
      <c r="G1533" s="4">
        <v>1</v>
      </c>
      <c r="H1533" s="4">
        <v>28600</v>
      </c>
      <c r="I1533" s="4">
        <v>1</v>
      </c>
      <c r="J1533" s="4">
        <v>1</v>
      </c>
      <c r="K1533" s="16">
        <v>46199</v>
      </c>
      <c r="L1533" s="16">
        <v>46241</v>
      </c>
      <c r="M1533" s="0" t="inlineStr">
        <is>
          <t xml:space="preserve">jun26</t>
        </is>
      </c>
      <c r="N1533" s="0" t="inlineStr">
        <is>
          <t xml:space="preserve">aug26</t>
        </is>
      </c>
      <c r="O1533" s="4">
        <v>42</v>
      </c>
      <c r="P1533" s="4">
        <v>1</v>
      </c>
      <c r="Q1533" s="4">
        <v>0</v>
      </c>
      <c r="R1533" s="4">
        <v>0</v>
      </c>
      <c r="S1533" s="4">
        <f>(H1533*INDEX('Stages'!$D$2:$D$7,MATCH(F1533,'Stages'!$A$2:$A$7,0)))</f>
        <v>28600</v>
      </c>
      <c r="T1533" s="4">
        <f>(H1533*I1533)</f>
        <v>28600</v>
      </c>
      <c r="U1533" s="4">
        <f>(H1533*(I1533-1))</f>
        <v>0</v>
      </c>
      <c r="V1533" s="0" t="str">
        <f>INDEX('Account executives'!$B$2:$B$25,MATCH(C1533,'Account executives'!$A$2:$A$25,0))</f>
        <v>apac</v>
      </c>
      <c r="W1533" s="0" t="str">
        <f>INDEX('Account executives'!$C$2:$C$25,MATCH(C1533,'Account executives'!$A$2:$A$25,0))</f>
        <v>mid_market</v>
      </c>
      <c r="X1533" s="0" t="str">
        <f>SUBSTITUTE(LOWER(INDEX('Periods'!$G$2:$G$22,MATCH(N1533,'Periods'!$A$2:$A$22,0)))," ","_")</f>
        <v>q3_2026</v>
      </c>
    </row>
    <row r="1534">
      <c r="A1534" s="0" t="inlineStr">
        <is>
          <t xml:space="preserve">o1533</t>
        </is>
      </c>
      <c r="B1534" s="0" t="inlineStr">
        <is>
          <t xml:space="preserve">a0057</t>
        </is>
      </c>
      <c r="C1534" s="0" t="inlineStr">
        <is>
          <t xml:space="preserve">r22</t>
        </is>
      </c>
      <c r="D1534" s="0" t="inlineStr">
        <is>
          <t xml:space="preserve">s_apac_out</t>
        </is>
      </c>
      <c r="E1534" s="0" t="inlineStr">
        <is>
          <t xml:space="preserve">outbound</t>
        </is>
      </c>
      <c r="F1534" s="0" t="inlineStr">
        <is>
          <t xml:space="preserve">closed_won</t>
        </is>
      </c>
      <c r="G1534" s="4">
        <v>0</v>
      </c>
      <c r="H1534" s="4">
        <v>57000</v>
      </c>
      <c r="I1534" s="4">
        <v>3</v>
      </c>
      <c r="J1534" s="4">
        <v>0</v>
      </c>
      <c r="K1534" s="16">
        <v>46164</v>
      </c>
      <c r="L1534" s="16">
        <v>46214</v>
      </c>
      <c r="M1534" s="0" t="inlineStr">
        <is>
          <t xml:space="preserve">may26</t>
        </is>
      </c>
      <c r="N1534" s="0" t="inlineStr">
        <is>
          <t xml:space="preserve">jul26</t>
        </is>
      </c>
      <c r="O1534" s="4">
        <v>50</v>
      </c>
      <c r="P1534" s="4">
        <v>1</v>
      </c>
      <c r="Q1534" s="4">
        <v>0</v>
      </c>
      <c r="R1534" s="4">
        <v>0</v>
      </c>
      <c r="S1534" s="4">
        <f>(H1534*INDEX('Stages'!$D$2:$D$7,MATCH(F1534,'Stages'!$A$2:$A$7,0)))</f>
        <v>57000</v>
      </c>
      <c r="T1534" s="4">
        <f>(H1534*I1534)</f>
        <v>171000</v>
      </c>
      <c r="U1534" s="4">
        <f>(H1534*(I1534-1))</f>
        <v>114000</v>
      </c>
      <c r="V1534" s="0" t="str">
        <f>INDEX('Account executives'!$B$2:$B$25,MATCH(C1534,'Account executives'!$A$2:$A$25,0))</f>
        <v>apac</v>
      </c>
      <c r="W1534" s="0" t="str">
        <f>INDEX('Account executives'!$C$2:$C$25,MATCH(C1534,'Account executives'!$A$2:$A$25,0))</f>
        <v>mid_market</v>
      </c>
      <c r="X1534" s="0" t="str">
        <f>SUBSTITUTE(LOWER(INDEX('Periods'!$G$2:$G$22,MATCH(N1534,'Periods'!$A$2:$A$22,0)))," ","_")</f>
        <v>q3_2026</v>
      </c>
    </row>
    <row r="1535">
      <c r="A1535" s="0" t="inlineStr">
        <is>
          <t xml:space="preserve">o1534</t>
        </is>
      </c>
      <c r="B1535" s="0" t="inlineStr">
        <is>
          <t xml:space="preserve">a0932</t>
        </is>
      </c>
      <c r="C1535" s="0" t="inlineStr">
        <is>
          <t xml:space="preserve">r13</t>
        </is>
      </c>
      <c r="D1535" s="0" t="inlineStr">
        <is>
          <t xml:space="preserve">s_emea_in</t>
        </is>
      </c>
      <c r="E1535" s="0" t="inlineStr">
        <is>
          <t xml:space="preserve">inbound</t>
        </is>
      </c>
      <c r="F1535" s="0" t="inlineStr">
        <is>
          <t xml:space="preserve">closed_lost</t>
        </is>
      </c>
      <c r="G1535" s="4">
        <v>1</v>
      </c>
      <c r="H1535" s="4">
        <v>83600</v>
      </c>
      <c r="I1535" s="4">
        <v>1</v>
      </c>
      <c r="J1535" s="4">
        <v>0</v>
      </c>
      <c r="K1535" s="16">
        <v>46144</v>
      </c>
      <c r="L1535" s="16">
        <v>46272</v>
      </c>
      <c r="M1535" s="0" t="inlineStr">
        <is>
          <t xml:space="preserve">may26</t>
        </is>
      </c>
      <c r="N1535" s="0" t="inlineStr">
        <is>
          <t xml:space="preserve">sep26</t>
        </is>
      </c>
      <c r="O1535" s="4">
        <v>128</v>
      </c>
      <c r="P1535" s="4">
        <v>0</v>
      </c>
      <c r="Q1535" s="4">
        <v>1</v>
      </c>
      <c r="R1535" s="4">
        <v>0</v>
      </c>
      <c r="S1535" s="4">
        <f>(H1535*INDEX('Stages'!$D$2:$D$7,MATCH(F1535,'Stages'!$A$2:$A$7,0)))</f>
        <v>0</v>
      </c>
      <c r="T1535" s="4">
        <f>(H1535*I1535)</f>
        <v>83600</v>
      </c>
      <c r="U1535" s="4">
        <f>(H1535*(I1535-1))</f>
        <v>0</v>
      </c>
      <c r="V1535" s="0" t="str">
        <f>INDEX('Account executives'!$B$2:$B$25,MATCH(C1535,'Account executives'!$A$2:$A$25,0))</f>
        <v>emea</v>
      </c>
      <c r="W1535" s="0" t="str">
        <f>INDEX('Account executives'!$C$2:$C$25,MATCH(C1535,'Account executives'!$A$2:$A$25,0))</f>
        <v>enterprise</v>
      </c>
      <c r="X1535" s="0" t="str">
        <f>SUBSTITUTE(LOWER(INDEX('Periods'!$G$2:$G$22,MATCH(N1535,'Periods'!$A$2:$A$22,0)))," ","_")</f>
        <v>q3_2026</v>
      </c>
    </row>
    <row r="1536">
      <c r="A1536" s="0" t="inlineStr">
        <is>
          <t xml:space="preserve">o1535</t>
        </is>
      </c>
      <c r="B1536" s="0" t="inlineStr">
        <is>
          <t xml:space="preserve">a0879</t>
        </is>
      </c>
      <c r="C1536" s="0" t="inlineStr">
        <is>
          <t xml:space="preserve">r24</t>
        </is>
      </c>
      <c r="D1536" s="0"/>
      <c r="E1536" s="0" t="inlineStr">
        <is>
          <t xml:space="preserve">partner</t>
        </is>
      </c>
      <c r="F1536" s="0" t="inlineStr">
        <is>
          <t xml:space="preserve">closed_lost</t>
        </is>
      </c>
      <c r="G1536" s="4">
        <v>1</v>
      </c>
      <c r="H1536" s="4">
        <v>12300</v>
      </c>
      <c r="I1536" s="4">
        <v>1</v>
      </c>
      <c r="J1536" s="4">
        <v>0</v>
      </c>
      <c r="K1536" s="16">
        <v>46135</v>
      </c>
      <c r="L1536" s="16">
        <v>46173</v>
      </c>
      <c r="M1536" s="0" t="inlineStr">
        <is>
          <t xml:space="preserve">apr26</t>
        </is>
      </c>
      <c r="N1536" s="0" t="inlineStr">
        <is>
          <t xml:space="preserve">may26</t>
        </is>
      </c>
      <c r="O1536" s="4">
        <v>38</v>
      </c>
      <c r="P1536" s="4">
        <v>0</v>
      </c>
      <c r="Q1536" s="4">
        <v>1</v>
      </c>
      <c r="R1536" s="4">
        <v>0</v>
      </c>
      <c r="S1536" s="4">
        <f>(H1536*INDEX('Stages'!$D$2:$D$7,MATCH(F1536,'Stages'!$A$2:$A$7,0)))</f>
        <v>0</v>
      </c>
      <c r="T1536" s="4">
        <f>(H1536*I1536)</f>
        <v>12300</v>
      </c>
      <c r="U1536" s="4">
        <f>(H1536*(I1536-1))</f>
        <v>0</v>
      </c>
      <c r="V1536" s="0" t="str">
        <f>INDEX('Account executives'!$B$2:$B$25,MATCH(C1536,'Account executives'!$A$2:$A$25,0))</f>
        <v>apac</v>
      </c>
      <c r="W1536" s="0" t="str">
        <f>INDEX('Account executives'!$C$2:$C$25,MATCH(C1536,'Account executives'!$A$2:$A$25,0))</f>
        <v>smb</v>
      </c>
      <c r="X1536" s="0" t="str">
        <f>SUBSTITUTE(LOWER(INDEX('Periods'!$G$2:$G$22,MATCH(N1536,'Periods'!$A$2:$A$22,0)))," ","_")</f>
        <v>q2_2026</v>
      </c>
    </row>
    <row r="1537">
      <c r="A1537" s="0" t="inlineStr">
        <is>
          <t xml:space="preserve">o1536</t>
        </is>
      </c>
      <c r="B1537" s="0" t="inlineStr">
        <is>
          <t xml:space="preserve">a0650</t>
        </is>
      </c>
      <c r="C1537" s="0" t="inlineStr">
        <is>
          <t xml:space="preserve">r15</t>
        </is>
      </c>
      <c r="D1537" s="0" t="inlineStr">
        <is>
          <t xml:space="preserve">s_emea_in</t>
        </is>
      </c>
      <c r="E1537" s="0" t="inlineStr">
        <is>
          <t xml:space="preserve">inbound</t>
        </is>
      </c>
      <c r="F1537" s="0" t="inlineStr">
        <is>
          <t xml:space="preserve">closed_lost</t>
        </is>
      </c>
      <c r="G1537" s="4">
        <v>0</v>
      </c>
      <c r="H1537" s="4">
        <v>14400</v>
      </c>
      <c r="I1537" s="4">
        <v>3</v>
      </c>
      <c r="J1537" s="4">
        <v>0</v>
      </c>
      <c r="K1537" s="16">
        <v>46124</v>
      </c>
      <c r="L1537" s="16">
        <v>46201</v>
      </c>
      <c r="M1537" s="0" t="inlineStr">
        <is>
          <t xml:space="preserve">apr26</t>
        </is>
      </c>
      <c r="N1537" s="0" t="inlineStr">
        <is>
          <t xml:space="preserve">jun26</t>
        </is>
      </c>
      <c r="O1537" s="4">
        <v>77</v>
      </c>
      <c r="P1537" s="4">
        <v>0</v>
      </c>
      <c r="Q1537" s="4">
        <v>1</v>
      </c>
      <c r="R1537" s="4">
        <v>0</v>
      </c>
      <c r="S1537" s="4">
        <f>(H1537*INDEX('Stages'!$D$2:$D$7,MATCH(F1537,'Stages'!$A$2:$A$7,0)))</f>
        <v>0</v>
      </c>
      <c r="T1537" s="4">
        <f>(H1537*I1537)</f>
        <v>43200</v>
      </c>
      <c r="U1537" s="4">
        <f>(H1537*(I1537-1))</f>
        <v>28800</v>
      </c>
      <c r="V1537" s="0" t="str">
        <f>INDEX('Account executives'!$B$2:$B$25,MATCH(C1537,'Account executives'!$A$2:$A$25,0))</f>
        <v>emea</v>
      </c>
      <c r="W1537" s="0" t="str">
        <f>INDEX('Account executives'!$C$2:$C$25,MATCH(C1537,'Account executives'!$A$2:$A$25,0))</f>
        <v>mid_market</v>
      </c>
      <c r="X1537" s="0" t="str">
        <f>SUBSTITUTE(LOWER(INDEX('Periods'!$G$2:$G$22,MATCH(N1537,'Periods'!$A$2:$A$22,0)))," ","_")</f>
        <v>q2_2026</v>
      </c>
    </row>
    <row r="1538">
      <c r="A1538" s="0" t="inlineStr">
        <is>
          <t xml:space="preserve">o1537</t>
        </is>
      </c>
      <c r="B1538" s="0" t="inlineStr">
        <is>
          <t xml:space="preserve">a0244</t>
        </is>
      </c>
      <c r="C1538" s="0" t="inlineStr">
        <is>
          <t xml:space="preserve">r06</t>
        </is>
      </c>
      <c r="D1538" s="0" t="inlineStr">
        <is>
          <t xml:space="preserve">s_amer_east_out</t>
        </is>
      </c>
      <c r="E1538" s="0" t="inlineStr">
        <is>
          <t xml:space="preserve">outbound</t>
        </is>
      </c>
      <c r="F1538" s="0" t="inlineStr">
        <is>
          <t xml:space="preserve">closed_lost</t>
        </is>
      </c>
      <c r="G1538" s="4">
        <v>0</v>
      </c>
      <c r="H1538" s="4">
        <v>8800</v>
      </c>
      <c r="I1538" s="4">
        <v>3</v>
      </c>
      <c r="J1538" s="4">
        <v>0</v>
      </c>
      <c r="K1538" s="16">
        <v>45858</v>
      </c>
      <c r="L1538" s="16">
        <v>45928</v>
      </c>
      <c r="M1538" s="0" t="inlineStr">
        <is>
          <t xml:space="preserve">jul25</t>
        </is>
      </c>
      <c r="N1538" s="0" t="inlineStr">
        <is>
          <t xml:space="preserve">sep25</t>
        </is>
      </c>
      <c r="O1538" s="4">
        <v>70</v>
      </c>
      <c r="P1538" s="4">
        <v>0</v>
      </c>
      <c r="Q1538" s="4">
        <v>1</v>
      </c>
      <c r="R1538" s="4">
        <v>0</v>
      </c>
      <c r="S1538" s="4">
        <f>(H1538*INDEX('Stages'!$D$2:$D$7,MATCH(F1538,'Stages'!$A$2:$A$7,0)))</f>
        <v>0</v>
      </c>
      <c r="T1538" s="4">
        <f>(H1538*I1538)</f>
        <v>26400</v>
      </c>
      <c r="U1538" s="4">
        <f>(H1538*(I1538-1))</f>
        <v>17600</v>
      </c>
      <c r="V1538" s="0" t="str">
        <f>INDEX('Account executives'!$B$2:$B$25,MATCH(C1538,'Account executives'!$A$2:$A$25,0))</f>
        <v>amer_east</v>
      </c>
      <c r="W1538" s="0" t="str">
        <f>INDEX('Account executives'!$C$2:$C$25,MATCH(C1538,'Account executives'!$A$2:$A$25,0))</f>
        <v>smb</v>
      </c>
      <c r="X1538" s="0" t="str">
        <f>SUBSTITUTE(LOWER(INDEX('Periods'!$G$2:$G$22,MATCH(N1538,'Periods'!$A$2:$A$22,0)))," ","_")</f>
        <v>q3_2025</v>
      </c>
    </row>
    <row r="1539">
      <c r="A1539" s="0" t="inlineStr">
        <is>
          <t xml:space="preserve">o1538</t>
        </is>
      </c>
      <c r="B1539" s="0" t="inlineStr">
        <is>
          <t xml:space="preserve">a0233</t>
        </is>
      </c>
      <c r="C1539" s="0" t="inlineStr">
        <is>
          <t xml:space="preserve">r05</t>
        </is>
      </c>
      <c r="D1539" s="0" t="inlineStr">
        <is>
          <t xml:space="preserve">s_amer_east_in</t>
        </is>
      </c>
      <c r="E1539" s="0" t="inlineStr">
        <is>
          <t xml:space="preserve">inbound</t>
        </is>
      </c>
      <c r="F1539" s="0" t="inlineStr">
        <is>
          <t xml:space="preserve">closed_won</t>
        </is>
      </c>
      <c r="G1539" s="4">
        <v>1</v>
      </c>
      <c r="H1539" s="4">
        <v>11300</v>
      </c>
      <c r="I1539" s="4">
        <v>1</v>
      </c>
      <c r="J1539" s="4">
        <v>0</v>
      </c>
      <c r="K1539" s="16">
        <v>45840</v>
      </c>
      <c r="L1539" s="16">
        <v>45865</v>
      </c>
      <c r="M1539" s="0" t="inlineStr">
        <is>
          <t xml:space="preserve">jul25</t>
        </is>
      </c>
      <c r="N1539" s="0" t="inlineStr">
        <is>
          <t xml:space="preserve">jul25</t>
        </is>
      </c>
      <c r="O1539" s="4">
        <v>25</v>
      </c>
      <c r="P1539" s="4">
        <v>1</v>
      </c>
      <c r="Q1539" s="4">
        <v>0</v>
      </c>
      <c r="R1539" s="4">
        <v>0</v>
      </c>
      <c r="S1539" s="4">
        <f>(H1539*INDEX('Stages'!$D$2:$D$7,MATCH(F1539,'Stages'!$A$2:$A$7,0)))</f>
        <v>11300</v>
      </c>
      <c r="T1539" s="4">
        <f>(H1539*I1539)</f>
        <v>11300</v>
      </c>
      <c r="U1539" s="4">
        <f>(H1539*(I1539-1))</f>
        <v>0</v>
      </c>
      <c r="V1539" s="0" t="str">
        <f>INDEX('Account executives'!$B$2:$B$25,MATCH(C1539,'Account executives'!$A$2:$A$25,0))</f>
        <v>amer_east</v>
      </c>
      <c r="W1539" s="0" t="str">
        <f>INDEX('Account executives'!$C$2:$C$25,MATCH(C1539,'Account executives'!$A$2:$A$25,0))</f>
        <v>smb</v>
      </c>
      <c r="X1539" s="0" t="str">
        <f>SUBSTITUTE(LOWER(INDEX('Periods'!$G$2:$G$22,MATCH(N1539,'Periods'!$A$2:$A$22,0)))," ","_")</f>
        <v>q3_2025</v>
      </c>
    </row>
    <row r="1540">
      <c r="A1540" s="0" t="inlineStr">
        <is>
          <t xml:space="preserve">o1539</t>
        </is>
      </c>
      <c r="B1540" s="0" t="inlineStr">
        <is>
          <t xml:space="preserve">a1183</t>
        </is>
      </c>
      <c r="C1540" s="0" t="inlineStr">
        <is>
          <t xml:space="preserve">r13</t>
        </is>
      </c>
      <c r="D1540" s="0" t="inlineStr">
        <is>
          <t xml:space="preserve">s_emea_in</t>
        </is>
      </c>
      <c r="E1540" s="0" t="inlineStr">
        <is>
          <t xml:space="preserve">inbound</t>
        </is>
      </c>
      <c r="F1540" s="0" t="inlineStr">
        <is>
          <t xml:space="preserve">discovery</t>
        </is>
      </c>
      <c r="G1540" s="4">
        <v>1</v>
      </c>
      <c r="H1540" s="4">
        <v>96600</v>
      </c>
      <c r="I1540" s="4">
        <v>3</v>
      </c>
      <c r="J1540" s="4">
        <v>0</v>
      </c>
      <c r="K1540" s="16">
        <v>46249</v>
      </c>
      <c r="L1540" s="16">
        <v>46350</v>
      </c>
      <c r="M1540" s="0" t="inlineStr">
        <is>
          <t xml:space="preserve">aug26</t>
        </is>
      </c>
      <c r="N1540" s="0" t="inlineStr">
        <is>
          <t xml:space="preserve">nov26</t>
        </is>
      </c>
      <c r="O1540" s="4">
        <v>113</v>
      </c>
      <c r="P1540" s="4">
        <v>0</v>
      </c>
      <c r="Q1540" s="4">
        <v>0</v>
      </c>
      <c r="R1540" s="4">
        <v>1</v>
      </c>
      <c r="S1540" s="4">
        <f>(H1540*INDEX('Stages'!$D$2:$D$7,MATCH(F1540,'Stages'!$A$2:$A$7,0)))</f>
        <v>9660</v>
      </c>
      <c r="T1540" s="4">
        <f>(H1540*I1540)</f>
        <v>289800</v>
      </c>
      <c r="U1540" s="4">
        <f>(H1540*(I1540-1))</f>
        <v>193200</v>
      </c>
      <c r="V1540" s="0" t="str">
        <f>INDEX('Account executives'!$B$2:$B$25,MATCH(C1540,'Account executives'!$A$2:$A$25,0))</f>
        <v>emea</v>
      </c>
      <c r="W1540" s="0" t="str">
        <f>INDEX('Account executives'!$C$2:$C$25,MATCH(C1540,'Account executives'!$A$2:$A$25,0))</f>
        <v>enterprise</v>
      </c>
      <c r="X1540" s="0" t="str">
        <f>SUBSTITUTE(LOWER(INDEX('Periods'!$G$2:$G$22,MATCH(N1540,'Periods'!$A$2:$A$22,0)))," ","_")</f>
        <v>q4_2026</v>
      </c>
    </row>
    <row r="1541">
      <c r="A1541" s="0" t="inlineStr">
        <is>
          <t xml:space="preserve">o1540</t>
        </is>
      </c>
      <c r="B1541" s="0" t="inlineStr">
        <is>
          <t xml:space="preserve">a0812</t>
        </is>
      </c>
      <c r="C1541" s="0" t="inlineStr">
        <is>
          <t xml:space="preserve">r04</t>
        </is>
      </c>
      <c r="D1541" s="0" t="inlineStr">
        <is>
          <t xml:space="preserve">s_amer_east_in</t>
        </is>
      </c>
      <c r="E1541" s="0" t="inlineStr">
        <is>
          <t xml:space="preserve">inbound</t>
        </is>
      </c>
      <c r="F1541" s="0" t="inlineStr">
        <is>
          <t xml:space="preserve">closed_won</t>
        </is>
      </c>
      <c r="G1541" s="4">
        <v>1</v>
      </c>
      <c r="H1541" s="4">
        <v>37700</v>
      </c>
      <c r="I1541" s="4">
        <v>1</v>
      </c>
      <c r="J1541" s="4">
        <v>0</v>
      </c>
      <c r="K1541" s="16">
        <v>46120</v>
      </c>
      <c r="L1541" s="16">
        <v>46152</v>
      </c>
      <c r="M1541" s="0" t="inlineStr">
        <is>
          <t xml:space="preserve">apr26</t>
        </is>
      </c>
      <c r="N1541" s="0" t="inlineStr">
        <is>
          <t xml:space="preserve">may26</t>
        </is>
      </c>
      <c r="O1541" s="4">
        <v>32</v>
      </c>
      <c r="P1541" s="4">
        <v>1</v>
      </c>
      <c r="Q1541" s="4">
        <v>0</v>
      </c>
      <c r="R1541" s="4">
        <v>0</v>
      </c>
      <c r="S1541" s="4">
        <f>(H1541*INDEX('Stages'!$D$2:$D$7,MATCH(F1541,'Stages'!$A$2:$A$7,0)))</f>
        <v>37700</v>
      </c>
      <c r="T1541" s="4">
        <f>(H1541*I1541)</f>
        <v>37700</v>
      </c>
      <c r="U1541" s="4">
        <f>(H1541*(I1541-1))</f>
        <v>0</v>
      </c>
      <c r="V1541" s="0" t="str">
        <f>INDEX('Account executives'!$B$2:$B$25,MATCH(C1541,'Account executives'!$A$2:$A$25,0))</f>
        <v>amer_east</v>
      </c>
      <c r="W1541" s="0" t="str">
        <f>INDEX('Account executives'!$C$2:$C$25,MATCH(C1541,'Account executives'!$A$2:$A$25,0))</f>
        <v>mid_market</v>
      </c>
      <c r="X1541" s="0" t="str">
        <f>SUBSTITUTE(LOWER(INDEX('Periods'!$G$2:$G$22,MATCH(N1541,'Periods'!$A$2:$A$22,0)))," ","_")</f>
        <v>q2_2026</v>
      </c>
    </row>
    <row r="1542">
      <c r="A1542" s="0" t="inlineStr">
        <is>
          <t xml:space="preserve">o1541</t>
        </is>
      </c>
      <c r="B1542" s="0" t="inlineStr">
        <is>
          <t xml:space="preserve">a0508</t>
        </is>
      </c>
      <c r="C1542" s="0" t="inlineStr">
        <is>
          <t xml:space="preserve">r07</t>
        </is>
      </c>
      <c r="D1542" s="0"/>
      <c r="E1542" s="0" t="inlineStr">
        <is>
          <t xml:space="preserve">referral</t>
        </is>
      </c>
      <c r="F1542" s="0" t="inlineStr">
        <is>
          <t xml:space="preserve">closed_lost</t>
        </is>
      </c>
      <c r="G1542" s="4">
        <v>1</v>
      </c>
      <c r="H1542" s="4">
        <v>555600</v>
      </c>
      <c r="I1542" s="4">
        <v>2</v>
      </c>
      <c r="J1542" s="4">
        <v>0</v>
      </c>
      <c r="K1542" s="16">
        <v>45984</v>
      </c>
      <c r="L1542" s="16">
        <v>46033</v>
      </c>
      <c r="M1542" s="0" t="inlineStr">
        <is>
          <t xml:space="preserve">nov25</t>
        </is>
      </c>
      <c r="N1542" s="0" t="inlineStr">
        <is>
          <t xml:space="preserve">jan26</t>
        </is>
      </c>
      <c r="O1542" s="4">
        <v>49</v>
      </c>
      <c r="P1542" s="4">
        <v>0</v>
      </c>
      <c r="Q1542" s="4">
        <v>1</v>
      </c>
      <c r="R1542" s="4">
        <v>0</v>
      </c>
      <c r="S1542" s="4">
        <f>(H1542*INDEX('Stages'!$D$2:$D$7,MATCH(F1542,'Stages'!$A$2:$A$7,0)))</f>
        <v>0</v>
      </c>
      <c r="T1542" s="4">
        <f>(H1542*I1542)</f>
        <v>1111200</v>
      </c>
      <c r="U1542" s="4">
        <f>(H1542*(I1542-1))</f>
        <v>555600</v>
      </c>
      <c r="V1542" s="0" t="str">
        <f>INDEX('Account executives'!$B$2:$B$25,MATCH(C1542,'Account executives'!$A$2:$A$25,0))</f>
        <v>amer_west</v>
      </c>
      <c r="W1542" s="0" t="str">
        <f>INDEX('Account executives'!$C$2:$C$25,MATCH(C1542,'Account executives'!$A$2:$A$25,0))</f>
        <v>enterprise</v>
      </c>
      <c r="X1542" s="0" t="str">
        <f>SUBSTITUTE(LOWER(INDEX('Periods'!$G$2:$G$22,MATCH(N1542,'Periods'!$A$2:$A$22,0)))," ","_")</f>
        <v>q1_2026</v>
      </c>
    </row>
    <row r="1543">
      <c r="A1543" s="0" t="inlineStr">
        <is>
          <t xml:space="preserve">o1542</t>
        </is>
      </c>
      <c r="B1543" s="0" t="inlineStr">
        <is>
          <t xml:space="preserve">a0205</t>
        </is>
      </c>
      <c r="C1543" s="0" t="inlineStr">
        <is>
          <t xml:space="preserve">r17</t>
        </is>
      </c>
      <c r="D1543" s="0" t="inlineStr">
        <is>
          <t xml:space="preserve">s_emea_in</t>
        </is>
      </c>
      <c r="E1543" s="0" t="inlineStr">
        <is>
          <t xml:space="preserve">inbound</t>
        </is>
      </c>
      <c r="F1543" s="0" t="inlineStr">
        <is>
          <t xml:space="preserve">closed_lost</t>
        </is>
      </c>
      <c r="G1543" s="4">
        <v>1</v>
      </c>
      <c r="H1543" s="4">
        <v>17600</v>
      </c>
      <c r="I1543" s="4">
        <v>1</v>
      </c>
      <c r="J1543" s="4">
        <v>0</v>
      </c>
      <c r="K1543" s="16">
        <v>45814</v>
      </c>
      <c r="L1543" s="16">
        <v>45841</v>
      </c>
      <c r="M1543" s="0" t="inlineStr">
        <is>
          <t xml:space="preserve">jun25</t>
        </is>
      </c>
      <c r="N1543" s="0" t="inlineStr">
        <is>
          <t xml:space="preserve">jul25</t>
        </is>
      </c>
      <c r="O1543" s="4">
        <v>27</v>
      </c>
      <c r="P1543" s="4">
        <v>0</v>
      </c>
      <c r="Q1543" s="4">
        <v>1</v>
      </c>
      <c r="R1543" s="4">
        <v>0</v>
      </c>
      <c r="S1543" s="4">
        <f>(H1543*INDEX('Stages'!$D$2:$D$7,MATCH(F1543,'Stages'!$A$2:$A$7,0)))</f>
        <v>0</v>
      </c>
      <c r="T1543" s="4">
        <f>(H1543*I1543)</f>
        <v>17600</v>
      </c>
      <c r="U1543" s="4">
        <f>(H1543*(I1543-1))</f>
        <v>0</v>
      </c>
      <c r="V1543" s="0" t="str">
        <f>INDEX('Account executives'!$B$2:$B$25,MATCH(C1543,'Account executives'!$A$2:$A$25,0))</f>
        <v>emea</v>
      </c>
      <c r="W1543" s="0" t="str">
        <f>INDEX('Account executives'!$C$2:$C$25,MATCH(C1543,'Account executives'!$A$2:$A$25,0))</f>
        <v>smb</v>
      </c>
      <c r="X1543" s="0" t="str">
        <f>SUBSTITUTE(LOWER(INDEX('Periods'!$G$2:$G$22,MATCH(N1543,'Periods'!$A$2:$A$22,0)))," ","_")</f>
        <v>q3_2025</v>
      </c>
    </row>
    <row r="1544">
      <c r="A1544" s="0" t="inlineStr">
        <is>
          <t xml:space="preserve">o1543</t>
        </is>
      </c>
      <c r="B1544" s="0" t="inlineStr">
        <is>
          <t xml:space="preserve">a0135</t>
        </is>
      </c>
      <c r="C1544" s="0" t="inlineStr">
        <is>
          <t xml:space="preserve">r16</t>
        </is>
      </c>
      <c r="D1544" s="0" t="inlineStr">
        <is>
          <t xml:space="preserve">s_emea_out</t>
        </is>
      </c>
      <c r="E1544" s="0" t="inlineStr">
        <is>
          <t xml:space="preserve">outbound</t>
        </is>
      </c>
      <c r="F1544" s="0" t="inlineStr">
        <is>
          <t xml:space="preserve">closed_lost</t>
        </is>
      </c>
      <c r="G1544" s="4">
        <v>1</v>
      </c>
      <c r="H1544" s="4">
        <v>28300</v>
      </c>
      <c r="I1544" s="4">
        <v>1</v>
      </c>
      <c r="J1544" s="4">
        <v>0</v>
      </c>
      <c r="K1544" s="16">
        <v>45802</v>
      </c>
      <c r="L1544" s="16">
        <v>45836</v>
      </c>
      <c r="M1544" s="0" t="inlineStr">
        <is>
          <t xml:space="preserve">may25</t>
        </is>
      </c>
      <c r="N1544" s="0" t="inlineStr">
        <is>
          <t xml:space="preserve">jun25</t>
        </is>
      </c>
      <c r="O1544" s="4">
        <v>34</v>
      </c>
      <c r="P1544" s="4">
        <v>0</v>
      </c>
      <c r="Q1544" s="4">
        <v>1</v>
      </c>
      <c r="R1544" s="4">
        <v>0</v>
      </c>
      <c r="S1544" s="4">
        <f>(H1544*INDEX('Stages'!$D$2:$D$7,MATCH(F1544,'Stages'!$A$2:$A$7,0)))</f>
        <v>0</v>
      </c>
      <c r="T1544" s="4">
        <f>(H1544*I1544)</f>
        <v>28300</v>
      </c>
      <c r="U1544" s="4">
        <f>(H1544*(I1544-1))</f>
        <v>0</v>
      </c>
      <c r="V1544" s="0" t="str">
        <f>INDEX('Account executives'!$B$2:$B$25,MATCH(C1544,'Account executives'!$A$2:$A$25,0))</f>
        <v>emea</v>
      </c>
      <c r="W1544" s="0" t="str">
        <f>INDEX('Account executives'!$C$2:$C$25,MATCH(C1544,'Account executives'!$A$2:$A$25,0))</f>
        <v>mid_market</v>
      </c>
      <c r="X1544" s="0" t="str">
        <f>SUBSTITUTE(LOWER(INDEX('Periods'!$G$2:$G$22,MATCH(N1544,'Periods'!$A$2:$A$22,0)))," ","_")</f>
        <v>q2_2025</v>
      </c>
    </row>
    <row r="1545">
      <c r="A1545" s="0" t="inlineStr">
        <is>
          <t xml:space="preserve">o1544</t>
        </is>
      </c>
      <c r="B1545" s="0" t="inlineStr">
        <is>
          <t xml:space="preserve">a1114</t>
        </is>
      </c>
      <c r="C1545" s="0" t="inlineStr">
        <is>
          <t xml:space="preserve">r16</t>
        </is>
      </c>
      <c r="D1545" s="0" t="inlineStr">
        <is>
          <t xml:space="preserve">s_emea_in</t>
        </is>
      </c>
      <c r="E1545" s="0" t="inlineStr">
        <is>
          <t xml:space="preserve">inbound</t>
        </is>
      </c>
      <c r="F1545" s="0" t="inlineStr">
        <is>
          <t xml:space="preserve">closed_lost</t>
        </is>
      </c>
      <c r="G1545" s="4">
        <v>1</v>
      </c>
      <c r="H1545" s="4">
        <v>200000</v>
      </c>
      <c r="I1545" s="4">
        <v>1</v>
      </c>
      <c r="J1545" s="4">
        <v>0</v>
      </c>
      <c r="K1545" s="16">
        <v>46225</v>
      </c>
      <c r="L1545" s="16">
        <v>46284</v>
      </c>
      <c r="M1545" s="0" t="inlineStr">
        <is>
          <t xml:space="preserve">jul26</t>
        </is>
      </c>
      <c r="N1545" s="0" t="inlineStr">
        <is>
          <t xml:space="preserve">sep26</t>
        </is>
      </c>
      <c r="O1545" s="4">
        <v>59</v>
      </c>
      <c r="P1545" s="4">
        <v>0</v>
      </c>
      <c r="Q1545" s="4">
        <v>1</v>
      </c>
      <c r="R1545" s="4">
        <v>0</v>
      </c>
      <c r="S1545" s="4">
        <f>(H1545*INDEX('Stages'!$D$2:$D$7,MATCH(F1545,'Stages'!$A$2:$A$7,0)))</f>
        <v>0</v>
      </c>
      <c r="T1545" s="4">
        <f>(H1545*I1545)</f>
        <v>200000</v>
      </c>
      <c r="U1545" s="4">
        <f>(H1545*(I1545-1))</f>
        <v>0</v>
      </c>
      <c r="V1545" s="0" t="str">
        <f>INDEX('Account executives'!$B$2:$B$25,MATCH(C1545,'Account executives'!$A$2:$A$25,0))</f>
        <v>emea</v>
      </c>
      <c r="W1545" s="0" t="str">
        <f>INDEX('Account executives'!$C$2:$C$25,MATCH(C1545,'Account executives'!$A$2:$A$25,0))</f>
        <v>mid_market</v>
      </c>
      <c r="X1545" s="0" t="str">
        <f>SUBSTITUTE(LOWER(INDEX('Periods'!$G$2:$G$22,MATCH(N1545,'Periods'!$A$2:$A$22,0)))," ","_")</f>
        <v>q3_2026</v>
      </c>
    </row>
    <row r="1546">
      <c r="A1546" s="0" t="inlineStr">
        <is>
          <t xml:space="preserve">o1545</t>
        </is>
      </c>
      <c r="B1546" s="0" t="inlineStr">
        <is>
          <t xml:space="preserve">a0097</t>
        </is>
      </c>
      <c r="C1546" s="0" t="inlineStr">
        <is>
          <t xml:space="preserve">r09</t>
        </is>
      </c>
      <c r="D1546" s="0" t="inlineStr">
        <is>
          <t xml:space="preserve">s_amer_west_in</t>
        </is>
      </c>
      <c r="E1546" s="0" t="inlineStr">
        <is>
          <t xml:space="preserve">paid</t>
        </is>
      </c>
      <c r="F1546" s="0" t="inlineStr">
        <is>
          <t xml:space="preserve">closed_won</t>
        </is>
      </c>
      <c r="G1546" s="4">
        <v>1</v>
      </c>
      <c r="H1546" s="4">
        <v>31700</v>
      </c>
      <c r="I1546" s="4">
        <v>3</v>
      </c>
      <c r="J1546" s="4">
        <v>0</v>
      </c>
      <c r="K1546" s="16">
        <v>45780</v>
      </c>
      <c r="L1546" s="16">
        <v>45864</v>
      </c>
      <c r="M1546" s="0" t="inlineStr">
        <is>
          <t xml:space="preserve">may25</t>
        </is>
      </c>
      <c r="N1546" s="0" t="inlineStr">
        <is>
          <t xml:space="preserve">jul25</t>
        </is>
      </c>
      <c r="O1546" s="4">
        <v>84</v>
      </c>
      <c r="P1546" s="4">
        <v>1</v>
      </c>
      <c r="Q1546" s="4">
        <v>0</v>
      </c>
      <c r="R1546" s="4">
        <v>0</v>
      </c>
      <c r="S1546" s="4">
        <f>(H1546*INDEX('Stages'!$D$2:$D$7,MATCH(F1546,'Stages'!$A$2:$A$7,0)))</f>
        <v>31700</v>
      </c>
      <c r="T1546" s="4">
        <f>(H1546*I1546)</f>
        <v>95100</v>
      </c>
      <c r="U1546" s="4">
        <f>(H1546*(I1546-1))</f>
        <v>63400</v>
      </c>
      <c r="V1546" s="0" t="str">
        <f>INDEX('Account executives'!$B$2:$B$25,MATCH(C1546,'Account executives'!$A$2:$A$25,0))</f>
        <v>amer_west</v>
      </c>
      <c r="W1546" s="0" t="str">
        <f>INDEX('Account executives'!$C$2:$C$25,MATCH(C1546,'Account executives'!$A$2:$A$25,0))</f>
        <v>mid_market</v>
      </c>
      <c r="X1546" s="0" t="str">
        <f>SUBSTITUTE(LOWER(INDEX('Periods'!$G$2:$G$22,MATCH(N1546,'Periods'!$A$2:$A$22,0)))," ","_")</f>
        <v>q3_2025</v>
      </c>
    </row>
    <row r="1547">
      <c r="A1547" s="0" t="inlineStr">
        <is>
          <t xml:space="preserve">o1546</t>
        </is>
      </c>
      <c r="B1547" s="0" t="inlineStr">
        <is>
          <t xml:space="preserve">a0011</t>
        </is>
      </c>
      <c r="C1547" s="0" t="inlineStr">
        <is>
          <t xml:space="preserve">r04</t>
        </is>
      </c>
      <c r="D1547" s="0"/>
      <c r="E1547" s="0" t="inlineStr">
        <is>
          <t xml:space="preserve">events</t>
        </is>
      </c>
      <c r="F1547" s="0" t="inlineStr">
        <is>
          <t xml:space="preserve">closed_lost</t>
        </is>
      </c>
      <c r="G1547" s="4">
        <v>0</v>
      </c>
      <c r="H1547" s="4">
        <v>20300</v>
      </c>
      <c r="I1547" s="4">
        <v>1</v>
      </c>
      <c r="J1547" s="4">
        <v>1</v>
      </c>
      <c r="K1547" s="16">
        <v>45771</v>
      </c>
      <c r="L1547" s="16">
        <v>45825</v>
      </c>
      <c r="M1547" s="0" t="inlineStr">
        <is>
          <t xml:space="preserve">apr25</t>
        </is>
      </c>
      <c r="N1547" s="0" t="inlineStr">
        <is>
          <t xml:space="preserve">jun25</t>
        </is>
      </c>
      <c r="O1547" s="4">
        <v>54</v>
      </c>
      <c r="P1547" s="4">
        <v>0</v>
      </c>
      <c r="Q1547" s="4">
        <v>1</v>
      </c>
      <c r="R1547" s="4">
        <v>0</v>
      </c>
      <c r="S1547" s="4">
        <f>(H1547*INDEX('Stages'!$D$2:$D$7,MATCH(F1547,'Stages'!$A$2:$A$7,0)))</f>
        <v>0</v>
      </c>
      <c r="T1547" s="4">
        <f>(H1547*I1547)</f>
        <v>20300</v>
      </c>
      <c r="U1547" s="4">
        <f>(H1547*(I1547-1))</f>
        <v>0</v>
      </c>
      <c r="V1547" s="0" t="str">
        <f>INDEX('Account executives'!$B$2:$B$25,MATCH(C1547,'Account executives'!$A$2:$A$25,0))</f>
        <v>amer_east</v>
      </c>
      <c r="W1547" s="0" t="str">
        <f>INDEX('Account executives'!$C$2:$C$25,MATCH(C1547,'Account executives'!$A$2:$A$25,0))</f>
        <v>mid_market</v>
      </c>
      <c r="X1547" s="0" t="str">
        <f>SUBSTITUTE(LOWER(INDEX('Periods'!$G$2:$G$22,MATCH(N1547,'Periods'!$A$2:$A$22,0)))," ","_")</f>
        <v>q2_2025</v>
      </c>
    </row>
    <row r="1548">
      <c r="A1548" s="0" t="inlineStr">
        <is>
          <t xml:space="preserve">o1547</t>
        </is>
      </c>
      <c r="B1548" s="0" t="inlineStr">
        <is>
          <t xml:space="preserve">a0456</t>
        </is>
      </c>
      <c r="C1548" s="0" t="inlineStr">
        <is>
          <t xml:space="preserve">r16</t>
        </is>
      </c>
      <c r="D1548" s="0"/>
      <c r="E1548" s="0" t="inlineStr">
        <is>
          <t xml:space="preserve">events</t>
        </is>
      </c>
      <c r="F1548" s="0" t="inlineStr">
        <is>
          <t xml:space="preserve">closed_won</t>
        </is>
      </c>
      <c r="G1548" s="4">
        <v>1</v>
      </c>
      <c r="H1548" s="4">
        <v>47300</v>
      </c>
      <c r="I1548" s="4">
        <v>1</v>
      </c>
      <c r="J1548" s="4">
        <v>1</v>
      </c>
      <c r="K1548" s="16">
        <v>45937</v>
      </c>
      <c r="L1548" s="16">
        <v>46004</v>
      </c>
      <c r="M1548" s="0" t="inlineStr">
        <is>
          <t xml:space="preserve">oct25</t>
        </is>
      </c>
      <c r="N1548" s="0" t="inlineStr">
        <is>
          <t xml:space="preserve">dec25</t>
        </is>
      </c>
      <c r="O1548" s="4">
        <v>67</v>
      </c>
      <c r="P1548" s="4">
        <v>1</v>
      </c>
      <c r="Q1548" s="4">
        <v>0</v>
      </c>
      <c r="R1548" s="4">
        <v>0</v>
      </c>
      <c r="S1548" s="4">
        <f>(H1548*INDEX('Stages'!$D$2:$D$7,MATCH(F1548,'Stages'!$A$2:$A$7,0)))</f>
        <v>47300</v>
      </c>
      <c r="T1548" s="4">
        <f>(H1548*I1548)</f>
        <v>47300</v>
      </c>
      <c r="U1548" s="4">
        <f>(H1548*(I1548-1))</f>
        <v>0</v>
      </c>
      <c r="V1548" s="0" t="str">
        <f>INDEX('Account executives'!$B$2:$B$25,MATCH(C1548,'Account executives'!$A$2:$A$25,0))</f>
        <v>emea</v>
      </c>
      <c r="W1548" s="0" t="str">
        <f>INDEX('Account executives'!$C$2:$C$25,MATCH(C1548,'Account executives'!$A$2:$A$25,0))</f>
        <v>mid_market</v>
      </c>
      <c r="X1548" s="0" t="str">
        <f>SUBSTITUTE(LOWER(INDEX('Periods'!$G$2:$G$22,MATCH(N1548,'Periods'!$A$2:$A$22,0)))," ","_")</f>
        <v>q4_2025</v>
      </c>
    </row>
    <row r="1549">
      <c r="A1549" s="0" t="inlineStr">
        <is>
          <t xml:space="preserve">o1548</t>
        </is>
      </c>
      <c r="B1549" s="0" t="inlineStr">
        <is>
          <t xml:space="preserve">a0384</t>
        </is>
      </c>
      <c r="C1549" s="0" t="inlineStr">
        <is>
          <t xml:space="preserve">r12</t>
        </is>
      </c>
      <c r="D1549" s="0" t="inlineStr">
        <is>
          <t xml:space="preserve">s_amer_west_out</t>
        </is>
      </c>
      <c r="E1549" s="0" t="inlineStr">
        <is>
          <t xml:space="preserve">outbound</t>
        </is>
      </c>
      <c r="F1549" s="0" t="inlineStr">
        <is>
          <t xml:space="preserve">closed_lost</t>
        </is>
      </c>
      <c r="G1549" s="4">
        <v>1</v>
      </c>
      <c r="H1549" s="4">
        <v>16000</v>
      </c>
      <c r="I1549" s="4">
        <v>1</v>
      </c>
      <c r="J1549" s="4">
        <v>0</v>
      </c>
      <c r="K1549" s="16">
        <v>45920</v>
      </c>
      <c r="L1549" s="16">
        <v>45952</v>
      </c>
      <c r="M1549" s="0" t="inlineStr">
        <is>
          <t xml:space="preserve">sep25</t>
        </is>
      </c>
      <c r="N1549" s="0" t="inlineStr">
        <is>
          <t xml:space="preserve">oct25</t>
        </is>
      </c>
      <c r="O1549" s="4">
        <v>32</v>
      </c>
      <c r="P1549" s="4">
        <v>0</v>
      </c>
      <c r="Q1549" s="4">
        <v>1</v>
      </c>
      <c r="R1549" s="4">
        <v>0</v>
      </c>
      <c r="S1549" s="4">
        <f>(H1549*INDEX('Stages'!$D$2:$D$7,MATCH(F1549,'Stages'!$A$2:$A$7,0)))</f>
        <v>0</v>
      </c>
      <c r="T1549" s="4">
        <f>(H1549*I1549)</f>
        <v>16000</v>
      </c>
      <c r="U1549" s="4">
        <f>(H1549*(I1549-1))</f>
        <v>0</v>
      </c>
      <c r="V1549" s="0" t="str">
        <f>INDEX('Account executives'!$B$2:$B$25,MATCH(C1549,'Account executives'!$A$2:$A$25,0))</f>
        <v>amer_west</v>
      </c>
      <c r="W1549" s="0" t="str">
        <f>INDEX('Account executives'!$C$2:$C$25,MATCH(C1549,'Account executives'!$A$2:$A$25,0))</f>
        <v>smb</v>
      </c>
      <c r="X1549" s="0" t="str">
        <f>SUBSTITUTE(LOWER(INDEX('Periods'!$G$2:$G$22,MATCH(N1549,'Periods'!$A$2:$A$22,0)))," ","_")</f>
        <v>q4_2025</v>
      </c>
    </row>
    <row r="1550">
      <c r="A1550" s="0" t="inlineStr">
        <is>
          <t xml:space="preserve">o1549</t>
        </is>
      </c>
      <c r="B1550" s="0" t="inlineStr">
        <is>
          <t xml:space="preserve">a1026</t>
        </is>
      </c>
      <c r="C1550" s="0" t="inlineStr">
        <is>
          <t xml:space="preserve">r13</t>
        </is>
      </c>
      <c r="D1550" s="0"/>
      <c r="E1550" s="0" t="inlineStr">
        <is>
          <t xml:space="preserve">events</t>
        </is>
      </c>
      <c r="F1550" s="0" t="inlineStr">
        <is>
          <t xml:space="preserve">negotiation</t>
        </is>
      </c>
      <c r="G1550" s="4">
        <v>1</v>
      </c>
      <c r="H1550" s="4">
        <v>32900</v>
      </c>
      <c r="I1550" s="4">
        <v>2</v>
      </c>
      <c r="J1550" s="4">
        <v>0</v>
      </c>
      <c r="K1550" s="16">
        <v>46190</v>
      </c>
      <c r="L1550" s="16">
        <v>46371</v>
      </c>
      <c r="M1550" s="0" t="inlineStr">
        <is>
          <t xml:space="preserve">jun26</t>
        </is>
      </c>
      <c r="N1550" s="0" t="inlineStr">
        <is>
          <t xml:space="preserve">dec26</t>
        </is>
      </c>
      <c r="O1550" s="4">
        <v>105</v>
      </c>
      <c r="P1550" s="4">
        <v>0</v>
      </c>
      <c r="Q1550" s="4">
        <v>0</v>
      </c>
      <c r="R1550" s="4">
        <v>1</v>
      </c>
      <c r="S1550" s="4">
        <f>(H1550*INDEX('Stages'!$D$2:$D$7,MATCH(F1550,'Stages'!$A$2:$A$7,0)))</f>
        <v>24675</v>
      </c>
      <c r="T1550" s="4">
        <f>(H1550*I1550)</f>
        <v>65800</v>
      </c>
      <c r="U1550" s="4">
        <f>(H1550*(I1550-1))</f>
        <v>32900</v>
      </c>
      <c r="V1550" s="0" t="str">
        <f>INDEX('Account executives'!$B$2:$B$25,MATCH(C1550,'Account executives'!$A$2:$A$25,0))</f>
        <v>emea</v>
      </c>
      <c r="W1550" s="0" t="str">
        <f>INDEX('Account executives'!$C$2:$C$25,MATCH(C1550,'Account executives'!$A$2:$A$25,0))</f>
        <v>enterprise</v>
      </c>
      <c r="X1550" s="0" t="str">
        <f>SUBSTITUTE(LOWER(INDEX('Periods'!$G$2:$G$22,MATCH(N1550,'Periods'!$A$2:$A$22,0)))," ","_")</f>
        <v>q4_2026</v>
      </c>
    </row>
    <row r="1551">
      <c r="A1551" s="0" t="inlineStr">
        <is>
          <t xml:space="preserve">o1550</t>
        </is>
      </c>
      <c r="B1551" s="0" t="inlineStr">
        <is>
          <t xml:space="preserve">a0046</t>
        </is>
      </c>
      <c r="C1551" s="0" t="inlineStr">
        <is>
          <t xml:space="preserve">r18</t>
        </is>
      </c>
      <c r="D1551" s="0" t="inlineStr">
        <is>
          <t xml:space="preserve">s_emea_out</t>
        </is>
      </c>
      <c r="E1551" s="0" t="inlineStr">
        <is>
          <t xml:space="preserve">outbound</t>
        </is>
      </c>
      <c r="F1551" s="0" t="inlineStr">
        <is>
          <t xml:space="preserve">closed_lost</t>
        </is>
      </c>
      <c r="G1551" s="4">
        <v>0</v>
      </c>
      <c r="H1551" s="4">
        <v>6500</v>
      </c>
      <c r="I1551" s="4">
        <v>1</v>
      </c>
      <c r="J1551" s="4">
        <v>0</v>
      </c>
      <c r="K1551" s="16">
        <v>45767</v>
      </c>
      <c r="L1551" s="16">
        <v>45805</v>
      </c>
      <c r="M1551" s="0" t="inlineStr">
        <is>
          <t xml:space="preserve">apr25</t>
        </is>
      </c>
      <c r="N1551" s="0" t="inlineStr">
        <is>
          <t xml:space="preserve">may25</t>
        </is>
      </c>
      <c r="O1551" s="4">
        <v>38</v>
      </c>
      <c r="P1551" s="4">
        <v>0</v>
      </c>
      <c r="Q1551" s="4">
        <v>1</v>
      </c>
      <c r="R1551" s="4">
        <v>0</v>
      </c>
      <c r="S1551" s="4">
        <f>(H1551*INDEX('Stages'!$D$2:$D$7,MATCH(F1551,'Stages'!$A$2:$A$7,0)))</f>
        <v>0</v>
      </c>
      <c r="T1551" s="4">
        <f>(H1551*I1551)</f>
        <v>6500</v>
      </c>
      <c r="U1551" s="4">
        <f>(H1551*(I1551-1))</f>
        <v>0</v>
      </c>
      <c r="V1551" s="0" t="str">
        <f>INDEX('Account executives'!$B$2:$B$25,MATCH(C1551,'Account executives'!$A$2:$A$25,0))</f>
        <v>emea</v>
      </c>
      <c r="W1551" s="0" t="str">
        <f>INDEX('Account executives'!$C$2:$C$25,MATCH(C1551,'Account executives'!$A$2:$A$25,0))</f>
        <v>smb</v>
      </c>
      <c r="X1551" s="0" t="str">
        <f>SUBSTITUTE(LOWER(INDEX('Periods'!$G$2:$G$22,MATCH(N1551,'Periods'!$A$2:$A$22,0)))," ","_")</f>
        <v>q2_2025</v>
      </c>
    </row>
    <row r="1552">
      <c r="A1552" s="0" t="inlineStr">
        <is>
          <t xml:space="preserve">o1551</t>
        </is>
      </c>
      <c r="B1552" s="0" t="inlineStr">
        <is>
          <t xml:space="preserve">a0027</t>
        </is>
      </c>
      <c r="C1552" s="0" t="inlineStr">
        <is>
          <t xml:space="preserve">r09</t>
        </is>
      </c>
      <c r="D1552" s="0"/>
      <c r="E1552" s="0" t="inlineStr">
        <is>
          <t xml:space="preserve">partner</t>
        </is>
      </c>
      <c r="F1552" s="0" t="inlineStr">
        <is>
          <t xml:space="preserve">closed_lost</t>
        </is>
      </c>
      <c r="G1552" s="4">
        <v>0</v>
      </c>
      <c r="H1552" s="4">
        <v>17200</v>
      </c>
      <c r="I1552" s="4">
        <v>1</v>
      </c>
      <c r="J1552" s="4">
        <v>0</v>
      </c>
      <c r="K1552" s="16">
        <v>46005</v>
      </c>
      <c r="L1552" s="16">
        <v>46029</v>
      </c>
      <c r="M1552" s="0" t="inlineStr">
        <is>
          <t xml:space="preserve">dec25</t>
        </is>
      </c>
      <c r="N1552" s="0" t="inlineStr">
        <is>
          <t xml:space="preserve">jan26</t>
        </is>
      </c>
      <c r="O1552" s="4">
        <v>24</v>
      </c>
      <c r="P1552" s="4">
        <v>0</v>
      </c>
      <c r="Q1552" s="4">
        <v>1</v>
      </c>
      <c r="R1552" s="4">
        <v>0</v>
      </c>
      <c r="S1552" s="4">
        <f>(H1552*INDEX('Stages'!$D$2:$D$7,MATCH(F1552,'Stages'!$A$2:$A$7,0)))</f>
        <v>0</v>
      </c>
      <c r="T1552" s="4">
        <f>(H1552*I1552)</f>
        <v>17200</v>
      </c>
      <c r="U1552" s="4">
        <f>(H1552*(I1552-1))</f>
        <v>0</v>
      </c>
      <c r="V1552" s="0" t="str">
        <f>INDEX('Account executives'!$B$2:$B$25,MATCH(C1552,'Account executives'!$A$2:$A$25,0))</f>
        <v>amer_west</v>
      </c>
      <c r="W1552" s="0" t="str">
        <f>INDEX('Account executives'!$C$2:$C$25,MATCH(C1552,'Account executives'!$A$2:$A$25,0))</f>
        <v>mid_market</v>
      </c>
      <c r="X1552" s="0" t="str">
        <f>SUBSTITUTE(LOWER(INDEX('Periods'!$G$2:$G$22,MATCH(N1552,'Periods'!$A$2:$A$22,0)))," ","_")</f>
        <v>q1_2026</v>
      </c>
    </row>
    <row r="1553">
      <c r="A1553" s="0" t="inlineStr">
        <is>
          <t xml:space="preserve">o1552</t>
        </is>
      </c>
      <c r="B1553" s="0" t="inlineStr">
        <is>
          <t xml:space="preserve">a0752</t>
        </is>
      </c>
      <c r="C1553" s="0" t="inlineStr">
        <is>
          <t xml:space="preserve">r10</t>
        </is>
      </c>
      <c r="D1553" s="0" t="inlineStr">
        <is>
          <t xml:space="preserve">s_amer_west_in</t>
        </is>
      </c>
      <c r="E1553" s="0" t="inlineStr">
        <is>
          <t xml:space="preserve">inbound</t>
        </is>
      </c>
      <c r="F1553" s="0" t="inlineStr">
        <is>
          <t xml:space="preserve">closed_lost</t>
        </is>
      </c>
      <c r="G1553" s="4">
        <v>1</v>
      </c>
      <c r="H1553" s="4">
        <v>31200</v>
      </c>
      <c r="I1553" s="4">
        <v>1</v>
      </c>
      <c r="J1553" s="4">
        <v>0</v>
      </c>
      <c r="K1553" s="16">
        <v>46099</v>
      </c>
      <c r="L1553" s="16">
        <v>46173</v>
      </c>
      <c r="M1553" s="0" t="inlineStr">
        <is>
          <t xml:space="preserve">mar26</t>
        </is>
      </c>
      <c r="N1553" s="0" t="inlineStr">
        <is>
          <t xml:space="preserve">may26</t>
        </is>
      </c>
      <c r="O1553" s="4">
        <v>74</v>
      </c>
      <c r="P1553" s="4">
        <v>0</v>
      </c>
      <c r="Q1553" s="4">
        <v>1</v>
      </c>
      <c r="R1553" s="4">
        <v>0</v>
      </c>
      <c r="S1553" s="4">
        <f>(H1553*INDEX('Stages'!$D$2:$D$7,MATCH(F1553,'Stages'!$A$2:$A$7,0)))</f>
        <v>0</v>
      </c>
      <c r="T1553" s="4">
        <f>(H1553*I1553)</f>
        <v>31200</v>
      </c>
      <c r="U1553" s="4">
        <f>(H1553*(I1553-1))</f>
        <v>0</v>
      </c>
      <c r="V1553" s="0" t="str">
        <f>INDEX('Account executives'!$B$2:$B$25,MATCH(C1553,'Account executives'!$A$2:$A$25,0))</f>
        <v>amer_west</v>
      </c>
      <c r="W1553" s="0" t="str">
        <f>INDEX('Account executives'!$C$2:$C$25,MATCH(C1553,'Account executives'!$A$2:$A$25,0))</f>
        <v>mid_market</v>
      </c>
      <c r="X1553" s="0" t="str">
        <f>SUBSTITUTE(LOWER(INDEX('Periods'!$G$2:$G$22,MATCH(N1553,'Periods'!$A$2:$A$22,0)))," ","_")</f>
        <v>q2_2026</v>
      </c>
    </row>
    <row r="1554">
      <c r="A1554" s="0" t="inlineStr">
        <is>
          <t xml:space="preserve">o1553</t>
        </is>
      </c>
      <c r="B1554" s="0" t="inlineStr">
        <is>
          <t xml:space="preserve">a0480</t>
        </is>
      </c>
      <c r="C1554" s="0" t="inlineStr">
        <is>
          <t xml:space="preserve">r04</t>
        </is>
      </c>
      <c r="D1554" s="0" t="inlineStr">
        <is>
          <t xml:space="preserve">s_amer_east_in</t>
        </is>
      </c>
      <c r="E1554" s="0" t="inlineStr">
        <is>
          <t xml:space="preserve">inbound</t>
        </is>
      </c>
      <c r="F1554" s="0" t="inlineStr">
        <is>
          <t xml:space="preserve">closed_lost</t>
        </is>
      </c>
      <c r="G1554" s="4">
        <v>1</v>
      </c>
      <c r="H1554" s="4">
        <v>36700</v>
      </c>
      <c r="I1554" s="4">
        <v>1</v>
      </c>
      <c r="J1554" s="4">
        <v>0</v>
      </c>
      <c r="K1554" s="16">
        <v>45972</v>
      </c>
      <c r="L1554" s="16">
        <v>46017</v>
      </c>
      <c r="M1554" s="0" t="inlineStr">
        <is>
          <t xml:space="preserve">nov25</t>
        </is>
      </c>
      <c r="N1554" s="0" t="inlineStr">
        <is>
          <t xml:space="preserve">dec25</t>
        </is>
      </c>
      <c r="O1554" s="4">
        <v>45</v>
      </c>
      <c r="P1554" s="4">
        <v>0</v>
      </c>
      <c r="Q1554" s="4">
        <v>1</v>
      </c>
      <c r="R1554" s="4">
        <v>0</v>
      </c>
      <c r="S1554" s="4">
        <f>(H1554*INDEX('Stages'!$D$2:$D$7,MATCH(F1554,'Stages'!$A$2:$A$7,0)))</f>
        <v>0</v>
      </c>
      <c r="T1554" s="4">
        <f>(H1554*I1554)</f>
        <v>36700</v>
      </c>
      <c r="U1554" s="4">
        <f>(H1554*(I1554-1))</f>
        <v>0</v>
      </c>
      <c r="V1554" s="0" t="str">
        <f>INDEX('Account executives'!$B$2:$B$25,MATCH(C1554,'Account executives'!$A$2:$A$25,0))</f>
        <v>amer_east</v>
      </c>
      <c r="W1554" s="0" t="str">
        <f>INDEX('Account executives'!$C$2:$C$25,MATCH(C1554,'Account executives'!$A$2:$A$25,0))</f>
        <v>mid_market</v>
      </c>
      <c r="X1554" s="0" t="str">
        <f>SUBSTITUTE(LOWER(INDEX('Periods'!$G$2:$G$22,MATCH(N1554,'Periods'!$A$2:$A$22,0)))," ","_")</f>
        <v>q4_2025</v>
      </c>
    </row>
    <row r="1555">
      <c r="A1555" s="0" t="inlineStr">
        <is>
          <t xml:space="preserve">o1554</t>
        </is>
      </c>
      <c r="B1555" s="0" t="inlineStr">
        <is>
          <t xml:space="preserve">a1058</t>
        </is>
      </c>
      <c r="C1555" s="0" t="inlineStr">
        <is>
          <t xml:space="preserve">r24</t>
        </is>
      </c>
      <c r="D1555" s="0" t="inlineStr">
        <is>
          <t xml:space="preserve">s_apac_out</t>
        </is>
      </c>
      <c r="E1555" s="0" t="inlineStr">
        <is>
          <t xml:space="preserve">outbound</t>
        </is>
      </c>
      <c r="F1555" s="0" t="inlineStr">
        <is>
          <t xml:space="preserve">closed_won</t>
        </is>
      </c>
      <c r="G1555" s="4">
        <v>1</v>
      </c>
      <c r="H1555" s="4">
        <v>8600</v>
      </c>
      <c r="I1555" s="4">
        <v>1</v>
      </c>
      <c r="J1555" s="4">
        <v>0</v>
      </c>
      <c r="K1555" s="16">
        <v>46187</v>
      </c>
      <c r="L1555" s="16">
        <v>46200</v>
      </c>
      <c r="M1555" s="0" t="inlineStr">
        <is>
          <t xml:space="preserve">jun26</t>
        </is>
      </c>
      <c r="N1555" s="0" t="inlineStr">
        <is>
          <t xml:space="preserve">jun26</t>
        </is>
      </c>
      <c r="O1555" s="4">
        <v>13</v>
      </c>
      <c r="P1555" s="4">
        <v>1</v>
      </c>
      <c r="Q1555" s="4">
        <v>0</v>
      </c>
      <c r="R1555" s="4">
        <v>0</v>
      </c>
      <c r="S1555" s="4">
        <f>(H1555*INDEX('Stages'!$D$2:$D$7,MATCH(F1555,'Stages'!$A$2:$A$7,0)))</f>
        <v>8600</v>
      </c>
      <c r="T1555" s="4">
        <f>(H1555*I1555)</f>
        <v>8600</v>
      </c>
      <c r="U1555" s="4">
        <f>(H1555*(I1555-1))</f>
        <v>0</v>
      </c>
      <c r="V1555" s="0" t="str">
        <f>INDEX('Account executives'!$B$2:$B$25,MATCH(C1555,'Account executives'!$A$2:$A$25,0))</f>
        <v>apac</v>
      </c>
      <c r="W1555" s="0" t="str">
        <f>INDEX('Account executives'!$C$2:$C$25,MATCH(C1555,'Account executives'!$A$2:$A$25,0))</f>
        <v>smb</v>
      </c>
      <c r="X1555" s="0" t="str">
        <f>SUBSTITUTE(LOWER(INDEX('Periods'!$G$2:$G$22,MATCH(N1555,'Periods'!$A$2:$A$22,0)))," ","_")</f>
        <v>q2_2026</v>
      </c>
    </row>
    <row r="1556">
      <c r="A1556" s="0" t="inlineStr">
        <is>
          <t xml:space="preserve">o1555</t>
        </is>
      </c>
      <c r="B1556" s="0" t="inlineStr">
        <is>
          <t xml:space="preserve">a0657</t>
        </is>
      </c>
      <c r="C1556" s="0" t="inlineStr">
        <is>
          <t xml:space="preserve">r20</t>
        </is>
      </c>
      <c r="D1556" s="0"/>
      <c r="E1556" s="0" t="inlineStr">
        <is>
          <t xml:space="preserve">referral</t>
        </is>
      </c>
      <c r="F1556" s="0" t="inlineStr">
        <is>
          <t xml:space="preserve">closed_lost</t>
        </is>
      </c>
      <c r="G1556" s="4">
        <v>1</v>
      </c>
      <c r="H1556" s="4">
        <v>126500</v>
      </c>
      <c r="I1556" s="4">
        <v>2</v>
      </c>
      <c r="J1556" s="4">
        <v>1</v>
      </c>
      <c r="K1556" s="16">
        <v>46043</v>
      </c>
      <c r="L1556" s="16">
        <v>46121</v>
      </c>
      <c r="M1556" s="0" t="inlineStr">
        <is>
          <t xml:space="preserve">jan26</t>
        </is>
      </c>
      <c r="N1556" s="0" t="inlineStr">
        <is>
          <t xml:space="preserve">apr26</t>
        </is>
      </c>
      <c r="O1556" s="4">
        <v>78</v>
      </c>
      <c r="P1556" s="4">
        <v>0</v>
      </c>
      <c r="Q1556" s="4">
        <v>1</v>
      </c>
      <c r="R1556" s="4">
        <v>0</v>
      </c>
      <c r="S1556" s="4">
        <f>(H1556*INDEX('Stages'!$D$2:$D$7,MATCH(F1556,'Stages'!$A$2:$A$7,0)))</f>
        <v>0</v>
      </c>
      <c r="T1556" s="4">
        <f>(H1556*I1556)</f>
        <v>253000</v>
      </c>
      <c r="U1556" s="4">
        <f>(H1556*(I1556-1))</f>
        <v>126500</v>
      </c>
      <c r="V1556" s="0" t="str">
        <f>INDEX('Account executives'!$B$2:$B$25,MATCH(C1556,'Account executives'!$A$2:$A$25,0))</f>
        <v>apac</v>
      </c>
      <c r="W1556" s="0" t="str">
        <f>INDEX('Account executives'!$C$2:$C$25,MATCH(C1556,'Account executives'!$A$2:$A$25,0))</f>
        <v>enterprise</v>
      </c>
      <c r="X1556" s="0" t="str">
        <f>SUBSTITUTE(LOWER(INDEX('Periods'!$G$2:$G$22,MATCH(N1556,'Periods'!$A$2:$A$22,0)))," ","_")</f>
        <v>q2_2026</v>
      </c>
    </row>
    <row r="1557">
      <c r="A1557" s="0" t="inlineStr">
        <is>
          <t xml:space="preserve">o1556</t>
        </is>
      </c>
      <c r="B1557" s="0" t="inlineStr">
        <is>
          <t xml:space="preserve">a0024</t>
        </is>
      </c>
      <c r="C1557" s="0" t="inlineStr">
        <is>
          <t xml:space="preserve">r11</t>
        </is>
      </c>
      <c r="D1557" s="0" t="inlineStr">
        <is>
          <t xml:space="preserve">s_amer_west_in</t>
        </is>
      </c>
      <c r="E1557" s="0" t="inlineStr">
        <is>
          <t xml:space="preserve">inbound</t>
        </is>
      </c>
      <c r="F1557" s="0" t="inlineStr">
        <is>
          <t xml:space="preserve">closed_won</t>
        </is>
      </c>
      <c r="G1557" s="4">
        <v>1</v>
      </c>
      <c r="H1557" s="4">
        <v>12200</v>
      </c>
      <c r="I1557" s="4">
        <v>1</v>
      </c>
      <c r="J1557" s="4">
        <v>0</v>
      </c>
      <c r="K1557" s="16">
        <v>45766</v>
      </c>
      <c r="L1557" s="16">
        <v>45799</v>
      </c>
      <c r="M1557" s="0" t="inlineStr">
        <is>
          <t xml:space="preserve">apr25</t>
        </is>
      </c>
      <c r="N1557" s="0" t="inlineStr">
        <is>
          <t xml:space="preserve">may25</t>
        </is>
      </c>
      <c r="O1557" s="4">
        <v>33</v>
      </c>
      <c r="P1557" s="4">
        <v>1</v>
      </c>
      <c r="Q1557" s="4">
        <v>0</v>
      </c>
      <c r="R1557" s="4">
        <v>0</v>
      </c>
      <c r="S1557" s="4">
        <f>(H1557*INDEX('Stages'!$D$2:$D$7,MATCH(F1557,'Stages'!$A$2:$A$7,0)))</f>
        <v>12200</v>
      </c>
      <c r="T1557" s="4">
        <f>(H1557*I1557)</f>
        <v>12200</v>
      </c>
      <c r="U1557" s="4">
        <f>(H1557*(I1557-1))</f>
        <v>0</v>
      </c>
      <c r="V1557" s="0" t="str">
        <f>INDEX('Account executives'!$B$2:$B$25,MATCH(C1557,'Account executives'!$A$2:$A$25,0))</f>
        <v>amer_west</v>
      </c>
      <c r="W1557" s="0" t="str">
        <f>INDEX('Account executives'!$C$2:$C$25,MATCH(C1557,'Account executives'!$A$2:$A$25,0))</f>
        <v>smb</v>
      </c>
      <c r="X1557" s="0" t="str">
        <f>SUBSTITUTE(LOWER(INDEX('Periods'!$G$2:$G$22,MATCH(N1557,'Periods'!$A$2:$A$22,0)))," ","_")</f>
        <v>q2_2025</v>
      </c>
    </row>
    <row r="1558">
      <c r="A1558" s="0" t="inlineStr">
        <is>
          <t xml:space="preserve">o1557</t>
        </is>
      </c>
      <c r="B1558" s="0" t="inlineStr">
        <is>
          <t xml:space="preserve">a0559</t>
        </is>
      </c>
      <c r="C1558" s="0" t="inlineStr">
        <is>
          <t xml:space="preserve">r09</t>
        </is>
      </c>
      <c r="D1558" s="0" t="inlineStr">
        <is>
          <t xml:space="preserve">s_amer_west_in</t>
        </is>
      </c>
      <c r="E1558" s="0" t="inlineStr">
        <is>
          <t xml:space="preserve">inbound</t>
        </is>
      </c>
      <c r="F1558" s="0" t="inlineStr">
        <is>
          <t xml:space="preserve">closed_lost</t>
        </is>
      </c>
      <c r="G1558" s="4">
        <v>1</v>
      </c>
      <c r="H1558" s="4">
        <v>15400</v>
      </c>
      <c r="I1558" s="4">
        <v>1</v>
      </c>
      <c r="J1558" s="4">
        <v>0</v>
      </c>
      <c r="K1558" s="16">
        <v>46006</v>
      </c>
      <c r="L1558" s="16">
        <v>46053</v>
      </c>
      <c r="M1558" s="0" t="inlineStr">
        <is>
          <t xml:space="preserve">dec25</t>
        </is>
      </c>
      <c r="N1558" s="0" t="inlineStr">
        <is>
          <t xml:space="preserve">jan26</t>
        </is>
      </c>
      <c r="O1558" s="4">
        <v>47</v>
      </c>
      <c r="P1558" s="4">
        <v>0</v>
      </c>
      <c r="Q1558" s="4">
        <v>1</v>
      </c>
      <c r="R1558" s="4">
        <v>0</v>
      </c>
      <c r="S1558" s="4">
        <f>(H1558*INDEX('Stages'!$D$2:$D$7,MATCH(F1558,'Stages'!$A$2:$A$7,0)))</f>
        <v>0</v>
      </c>
      <c r="T1558" s="4">
        <f>(H1558*I1558)</f>
        <v>15400</v>
      </c>
      <c r="U1558" s="4">
        <f>(H1558*(I1558-1))</f>
        <v>0</v>
      </c>
      <c r="V1558" s="0" t="str">
        <f>INDEX('Account executives'!$B$2:$B$25,MATCH(C1558,'Account executives'!$A$2:$A$25,0))</f>
        <v>amer_west</v>
      </c>
      <c r="W1558" s="0" t="str">
        <f>INDEX('Account executives'!$C$2:$C$25,MATCH(C1558,'Account executives'!$A$2:$A$25,0))</f>
        <v>mid_market</v>
      </c>
      <c r="X1558" s="0" t="str">
        <f>SUBSTITUTE(LOWER(INDEX('Periods'!$G$2:$G$22,MATCH(N1558,'Periods'!$A$2:$A$22,0)))," ","_")</f>
        <v>q1_2026</v>
      </c>
    </row>
    <row r="1559">
      <c r="A1559" s="0" t="inlineStr">
        <is>
          <t xml:space="preserve">o1558</t>
        </is>
      </c>
      <c r="B1559" s="0" t="inlineStr">
        <is>
          <t xml:space="preserve">a1196</t>
        </is>
      </c>
      <c r="C1559" s="0" t="inlineStr">
        <is>
          <t xml:space="preserve">r21</t>
        </is>
      </c>
      <c r="D1559" s="0" t="inlineStr">
        <is>
          <t xml:space="preserve">s_apac_in</t>
        </is>
      </c>
      <c r="E1559" s="0" t="inlineStr">
        <is>
          <t xml:space="preserve">inbound</t>
        </is>
      </c>
      <c r="F1559" s="0" t="inlineStr">
        <is>
          <t xml:space="preserve">evaluation</t>
        </is>
      </c>
      <c r="G1559" s="4">
        <v>1</v>
      </c>
      <c r="H1559" s="4">
        <v>116800</v>
      </c>
      <c r="I1559" s="4">
        <v>1</v>
      </c>
      <c r="J1559" s="4">
        <v>0</v>
      </c>
      <c r="K1559" s="16">
        <v>46253</v>
      </c>
      <c r="L1559" s="16">
        <v>46293</v>
      </c>
      <c r="M1559" s="0" t="inlineStr">
        <is>
          <t xml:space="preserve">aug26</t>
        </is>
      </c>
      <c r="N1559" s="0" t="inlineStr">
        <is>
          <t xml:space="preserve">sep26</t>
        </is>
      </c>
      <c r="O1559" s="4">
        <v>50</v>
      </c>
      <c r="P1559" s="4">
        <v>0</v>
      </c>
      <c r="Q1559" s="4">
        <v>0</v>
      </c>
      <c r="R1559" s="4">
        <v>1</v>
      </c>
      <c r="S1559" s="4">
        <f>(H1559*INDEX('Stages'!$D$2:$D$7,MATCH(F1559,'Stages'!$A$2:$A$7,0)))</f>
        <v>29200</v>
      </c>
      <c r="T1559" s="4">
        <f>(H1559*I1559)</f>
        <v>116800</v>
      </c>
      <c r="U1559" s="4">
        <f>(H1559*(I1559-1))</f>
        <v>0</v>
      </c>
      <c r="V1559" s="0" t="str">
        <f>INDEX('Account executives'!$B$2:$B$25,MATCH(C1559,'Account executives'!$A$2:$A$25,0))</f>
        <v>apac</v>
      </c>
      <c r="W1559" s="0" t="str">
        <f>INDEX('Account executives'!$C$2:$C$25,MATCH(C1559,'Account executives'!$A$2:$A$25,0))</f>
        <v>mid_market</v>
      </c>
      <c r="X1559" s="0" t="str">
        <f>SUBSTITUTE(LOWER(INDEX('Periods'!$G$2:$G$22,MATCH(N1559,'Periods'!$A$2:$A$22,0)))," ","_")</f>
        <v>q3_2026</v>
      </c>
    </row>
    <row r="1560">
      <c r="A1560" s="0" t="inlineStr">
        <is>
          <t xml:space="preserve">o1559</t>
        </is>
      </c>
      <c r="B1560" s="0" t="inlineStr">
        <is>
          <t xml:space="preserve">a0911</t>
        </is>
      </c>
      <c r="C1560" s="0" t="inlineStr">
        <is>
          <t xml:space="preserve">r09</t>
        </is>
      </c>
      <c r="D1560" s="0" t="inlineStr">
        <is>
          <t xml:space="preserve">s_amer_west_in</t>
        </is>
      </c>
      <c r="E1560" s="0" t="inlineStr">
        <is>
          <t xml:space="preserve">inbound</t>
        </is>
      </c>
      <c r="F1560" s="0" t="inlineStr">
        <is>
          <t xml:space="preserve">closed_won</t>
        </is>
      </c>
      <c r="G1560" s="4">
        <v>1</v>
      </c>
      <c r="H1560" s="4">
        <v>57900</v>
      </c>
      <c r="I1560" s="4">
        <v>2</v>
      </c>
      <c r="J1560" s="4">
        <v>1</v>
      </c>
      <c r="K1560" s="16">
        <v>46152</v>
      </c>
      <c r="L1560" s="16">
        <v>46166</v>
      </c>
      <c r="M1560" s="0" t="inlineStr">
        <is>
          <t xml:space="preserve">may26</t>
        </is>
      </c>
      <c r="N1560" s="0" t="inlineStr">
        <is>
          <t xml:space="preserve">may26</t>
        </is>
      </c>
      <c r="O1560" s="4">
        <v>14</v>
      </c>
      <c r="P1560" s="4">
        <v>1</v>
      </c>
      <c r="Q1560" s="4">
        <v>0</v>
      </c>
      <c r="R1560" s="4">
        <v>0</v>
      </c>
      <c r="S1560" s="4">
        <f>(H1560*INDEX('Stages'!$D$2:$D$7,MATCH(F1560,'Stages'!$A$2:$A$7,0)))</f>
        <v>57900</v>
      </c>
      <c r="T1560" s="4">
        <f>(H1560*I1560)</f>
        <v>115800</v>
      </c>
      <c r="U1560" s="4">
        <f>(H1560*(I1560-1))</f>
        <v>57900</v>
      </c>
      <c r="V1560" s="0" t="str">
        <f>INDEX('Account executives'!$B$2:$B$25,MATCH(C1560,'Account executives'!$A$2:$A$25,0))</f>
        <v>amer_west</v>
      </c>
      <c r="W1560" s="0" t="str">
        <f>INDEX('Account executives'!$C$2:$C$25,MATCH(C1560,'Account executives'!$A$2:$A$25,0))</f>
        <v>mid_market</v>
      </c>
      <c r="X1560" s="0" t="str">
        <f>SUBSTITUTE(LOWER(INDEX('Periods'!$G$2:$G$22,MATCH(N1560,'Periods'!$A$2:$A$22,0)))," ","_")</f>
        <v>q2_2026</v>
      </c>
    </row>
    <row r="1561">
      <c r="A1561" s="0" t="inlineStr">
        <is>
          <t xml:space="preserve">o1560</t>
        </is>
      </c>
      <c r="B1561" s="0" t="inlineStr">
        <is>
          <t xml:space="preserve">a1079</t>
        </is>
      </c>
      <c r="C1561" s="0" t="inlineStr">
        <is>
          <t xml:space="preserve">r05</t>
        </is>
      </c>
      <c r="D1561" s="0"/>
      <c r="E1561" s="0" t="inlineStr">
        <is>
          <t xml:space="preserve">events</t>
        </is>
      </c>
      <c r="F1561" s="0" t="inlineStr">
        <is>
          <t xml:space="preserve">negotiation</t>
        </is>
      </c>
      <c r="G1561" s="4">
        <v>1</v>
      </c>
      <c r="H1561" s="4">
        <v>10200</v>
      </c>
      <c r="I1561" s="4">
        <v>1</v>
      </c>
      <c r="J1561" s="4">
        <v>0</v>
      </c>
      <c r="K1561" s="16">
        <v>46211</v>
      </c>
      <c r="L1561" s="16">
        <v>46327</v>
      </c>
      <c r="M1561" s="0" t="inlineStr">
        <is>
          <t xml:space="preserve">jul26</t>
        </is>
      </c>
      <c r="N1561" s="0" t="inlineStr">
        <is>
          <t xml:space="preserve">nov26</t>
        </is>
      </c>
      <c r="O1561" s="4">
        <v>82</v>
      </c>
      <c r="P1561" s="4">
        <v>0</v>
      </c>
      <c r="Q1561" s="4">
        <v>0</v>
      </c>
      <c r="R1561" s="4">
        <v>1</v>
      </c>
      <c r="S1561" s="4">
        <f>(H1561*INDEX('Stages'!$D$2:$D$7,MATCH(F1561,'Stages'!$A$2:$A$7,0)))</f>
        <v>7650</v>
      </c>
      <c r="T1561" s="4">
        <f>(H1561*I1561)</f>
        <v>10200</v>
      </c>
      <c r="U1561" s="4">
        <f>(H1561*(I1561-1))</f>
        <v>0</v>
      </c>
      <c r="V1561" s="0" t="str">
        <f>INDEX('Account executives'!$B$2:$B$25,MATCH(C1561,'Account executives'!$A$2:$A$25,0))</f>
        <v>amer_east</v>
      </c>
      <c r="W1561" s="0" t="str">
        <f>INDEX('Account executives'!$C$2:$C$25,MATCH(C1561,'Account executives'!$A$2:$A$25,0))</f>
        <v>smb</v>
      </c>
      <c r="X1561" s="0" t="str">
        <f>SUBSTITUTE(LOWER(INDEX('Periods'!$G$2:$G$22,MATCH(N1561,'Periods'!$A$2:$A$22,0)))," ","_")</f>
        <v>q4_2026</v>
      </c>
    </row>
    <row r="1562">
      <c r="A1562" s="0" t="inlineStr">
        <is>
          <t xml:space="preserve">o1561</t>
        </is>
      </c>
      <c r="B1562" s="0" t="inlineStr">
        <is>
          <t xml:space="preserve">a0215</t>
        </is>
      </c>
      <c r="C1562" s="0" t="inlineStr">
        <is>
          <t xml:space="preserve">r18</t>
        </is>
      </c>
      <c r="D1562" s="0" t="inlineStr">
        <is>
          <t xml:space="preserve">s_emea_in</t>
        </is>
      </c>
      <c r="E1562" s="0" t="inlineStr">
        <is>
          <t xml:space="preserve">paid</t>
        </is>
      </c>
      <c r="F1562" s="0" t="inlineStr">
        <is>
          <t xml:space="preserve">closed_won</t>
        </is>
      </c>
      <c r="G1562" s="4">
        <v>1</v>
      </c>
      <c r="H1562" s="4">
        <v>22100</v>
      </c>
      <c r="I1562" s="4">
        <v>1</v>
      </c>
      <c r="J1562" s="4">
        <v>0</v>
      </c>
      <c r="K1562" s="16">
        <v>45817</v>
      </c>
      <c r="L1562" s="16">
        <v>45928</v>
      </c>
      <c r="M1562" s="0" t="inlineStr">
        <is>
          <t xml:space="preserve">jun25</t>
        </is>
      </c>
      <c r="N1562" s="0" t="inlineStr">
        <is>
          <t xml:space="preserve">sep25</t>
        </is>
      </c>
      <c r="O1562" s="4">
        <v>111</v>
      </c>
      <c r="P1562" s="4">
        <v>1</v>
      </c>
      <c r="Q1562" s="4">
        <v>0</v>
      </c>
      <c r="R1562" s="4">
        <v>0</v>
      </c>
      <c r="S1562" s="4">
        <f>(H1562*INDEX('Stages'!$D$2:$D$7,MATCH(F1562,'Stages'!$A$2:$A$7,0)))</f>
        <v>22100</v>
      </c>
      <c r="T1562" s="4">
        <f>(H1562*I1562)</f>
        <v>22100</v>
      </c>
      <c r="U1562" s="4">
        <f>(H1562*(I1562-1))</f>
        <v>0</v>
      </c>
      <c r="V1562" s="0" t="str">
        <f>INDEX('Account executives'!$B$2:$B$25,MATCH(C1562,'Account executives'!$A$2:$A$25,0))</f>
        <v>emea</v>
      </c>
      <c r="W1562" s="0" t="str">
        <f>INDEX('Account executives'!$C$2:$C$25,MATCH(C1562,'Account executives'!$A$2:$A$25,0))</f>
        <v>smb</v>
      </c>
      <c r="X1562" s="0" t="str">
        <f>SUBSTITUTE(LOWER(INDEX('Periods'!$G$2:$G$22,MATCH(N1562,'Periods'!$A$2:$A$22,0)))," ","_")</f>
        <v>q3_2025</v>
      </c>
    </row>
    <row r="1563">
      <c r="A1563" s="0" t="inlineStr">
        <is>
          <t xml:space="preserve">o1562</t>
        </is>
      </c>
      <c r="B1563" s="0" t="inlineStr">
        <is>
          <t xml:space="preserve">a0666</t>
        </is>
      </c>
      <c r="C1563" s="0" t="inlineStr">
        <is>
          <t xml:space="preserve">r06</t>
        </is>
      </c>
      <c r="D1563" s="0"/>
      <c r="E1563" s="0" t="inlineStr">
        <is>
          <t xml:space="preserve">partner</t>
        </is>
      </c>
      <c r="F1563" s="0" t="inlineStr">
        <is>
          <t xml:space="preserve">closed_lost</t>
        </is>
      </c>
      <c r="G1563" s="4">
        <v>1</v>
      </c>
      <c r="H1563" s="4">
        <v>8700</v>
      </c>
      <c r="I1563" s="4">
        <v>1</v>
      </c>
      <c r="J1563" s="4">
        <v>0</v>
      </c>
      <c r="K1563" s="16">
        <v>46076</v>
      </c>
      <c r="L1563" s="16">
        <v>46098</v>
      </c>
      <c r="M1563" s="0" t="inlineStr">
        <is>
          <t xml:space="preserve">feb26</t>
        </is>
      </c>
      <c r="N1563" s="0" t="inlineStr">
        <is>
          <t xml:space="preserve">mar26</t>
        </is>
      </c>
      <c r="O1563" s="4">
        <v>22</v>
      </c>
      <c r="P1563" s="4">
        <v>0</v>
      </c>
      <c r="Q1563" s="4">
        <v>1</v>
      </c>
      <c r="R1563" s="4">
        <v>0</v>
      </c>
      <c r="S1563" s="4">
        <f>(H1563*INDEX('Stages'!$D$2:$D$7,MATCH(F1563,'Stages'!$A$2:$A$7,0)))</f>
        <v>0</v>
      </c>
      <c r="T1563" s="4">
        <f>(H1563*I1563)</f>
        <v>8700</v>
      </c>
      <c r="U1563" s="4">
        <f>(H1563*(I1563-1))</f>
        <v>0</v>
      </c>
      <c r="V1563" s="0" t="str">
        <f>INDEX('Account executives'!$B$2:$B$25,MATCH(C1563,'Account executives'!$A$2:$A$25,0))</f>
        <v>amer_east</v>
      </c>
      <c r="W1563" s="0" t="str">
        <f>INDEX('Account executives'!$C$2:$C$25,MATCH(C1563,'Account executives'!$A$2:$A$25,0))</f>
        <v>smb</v>
      </c>
      <c r="X1563" s="0" t="str">
        <f>SUBSTITUTE(LOWER(INDEX('Periods'!$G$2:$G$22,MATCH(N1563,'Periods'!$A$2:$A$22,0)))," ","_")</f>
        <v>q1_2026</v>
      </c>
    </row>
    <row r="1564">
      <c r="A1564" s="0" t="inlineStr">
        <is>
          <t xml:space="preserve">o1563</t>
        </is>
      </c>
      <c r="B1564" s="0" t="inlineStr">
        <is>
          <t xml:space="preserve">a0628</t>
        </is>
      </c>
      <c r="C1564" s="0" t="inlineStr">
        <is>
          <t xml:space="preserve">r09</t>
        </is>
      </c>
      <c r="D1564" s="0"/>
      <c r="E1564" s="0" t="inlineStr">
        <is>
          <t xml:space="preserve">events</t>
        </is>
      </c>
      <c r="F1564" s="0" t="inlineStr">
        <is>
          <t xml:space="preserve">closed_lost</t>
        </is>
      </c>
      <c r="G1564" s="4">
        <v>1</v>
      </c>
      <c r="H1564" s="4">
        <v>50800</v>
      </c>
      <c r="I1564" s="4">
        <v>2</v>
      </c>
      <c r="J1564" s="4">
        <v>1</v>
      </c>
      <c r="K1564" s="16">
        <v>46034</v>
      </c>
      <c r="L1564" s="16">
        <v>46094</v>
      </c>
      <c r="M1564" s="0" t="inlineStr">
        <is>
          <t xml:space="preserve">jan26</t>
        </is>
      </c>
      <c r="N1564" s="0" t="inlineStr">
        <is>
          <t xml:space="preserve">mar26</t>
        </is>
      </c>
      <c r="O1564" s="4">
        <v>60</v>
      </c>
      <c r="P1564" s="4">
        <v>0</v>
      </c>
      <c r="Q1564" s="4">
        <v>1</v>
      </c>
      <c r="R1564" s="4">
        <v>0</v>
      </c>
      <c r="S1564" s="4">
        <f>(H1564*INDEX('Stages'!$D$2:$D$7,MATCH(F1564,'Stages'!$A$2:$A$7,0)))</f>
        <v>0</v>
      </c>
      <c r="T1564" s="4">
        <f>(H1564*I1564)</f>
        <v>101600</v>
      </c>
      <c r="U1564" s="4">
        <f>(H1564*(I1564-1))</f>
        <v>50800</v>
      </c>
      <c r="V1564" s="0" t="str">
        <f>INDEX('Account executives'!$B$2:$B$25,MATCH(C1564,'Account executives'!$A$2:$A$25,0))</f>
        <v>amer_west</v>
      </c>
      <c r="W1564" s="0" t="str">
        <f>INDEX('Account executives'!$C$2:$C$25,MATCH(C1564,'Account executives'!$A$2:$A$25,0))</f>
        <v>mid_market</v>
      </c>
      <c r="X1564" s="0" t="str">
        <f>SUBSTITUTE(LOWER(INDEX('Periods'!$G$2:$G$22,MATCH(N1564,'Periods'!$A$2:$A$22,0)))," ","_")</f>
        <v>q1_2026</v>
      </c>
    </row>
    <row r="1565">
      <c r="A1565" s="0" t="inlineStr">
        <is>
          <t xml:space="preserve">o1564</t>
        </is>
      </c>
      <c r="B1565" s="0" t="inlineStr">
        <is>
          <t xml:space="preserve">a0696</t>
        </is>
      </c>
      <c r="C1565" s="0" t="inlineStr">
        <is>
          <t xml:space="preserve">r17</t>
        </is>
      </c>
      <c r="D1565" s="0" t="inlineStr">
        <is>
          <t xml:space="preserve">s_emea_out</t>
        </is>
      </c>
      <c r="E1565" s="0" t="inlineStr">
        <is>
          <t xml:space="preserve">outbound</t>
        </is>
      </c>
      <c r="F1565" s="0" t="inlineStr">
        <is>
          <t xml:space="preserve">closed_lost</t>
        </is>
      </c>
      <c r="G1565" s="4">
        <v>0</v>
      </c>
      <c r="H1565" s="4">
        <v>11600</v>
      </c>
      <c r="I1565" s="4">
        <v>1</v>
      </c>
      <c r="J1565" s="4">
        <v>1</v>
      </c>
      <c r="K1565" s="16">
        <v>46067</v>
      </c>
      <c r="L1565" s="16">
        <v>46084</v>
      </c>
      <c r="M1565" s="0" t="inlineStr">
        <is>
          <t xml:space="preserve">feb26</t>
        </is>
      </c>
      <c r="N1565" s="0" t="inlineStr">
        <is>
          <t xml:space="preserve">mar26</t>
        </is>
      </c>
      <c r="O1565" s="4">
        <v>17</v>
      </c>
      <c r="P1565" s="4">
        <v>0</v>
      </c>
      <c r="Q1565" s="4">
        <v>1</v>
      </c>
      <c r="R1565" s="4">
        <v>0</v>
      </c>
      <c r="S1565" s="4">
        <f>(H1565*INDEX('Stages'!$D$2:$D$7,MATCH(F1565,'Stages'!$A$2:$A$7,0)))</f>
        <v>0</v>
      </c>
      <c r="T1565" s="4">
        <f>(H1565*I1565)</f>
        <v>11600</v>
      </c>
      <c r="U1565" s="4">
        <f>(H1565*(I1565-1))</f>
        <v>0</v>
      </c>
      <c r="V1565" s="0" t="str">
        <f>INDEX('Account executives'!$B$2:$B$25,MATCH(C1565,'Account executives'!$A$2:$A$25,0))</f>
        <v>emea</v>
      </c>
      <c r="W1565" s="0" t="str">
        <f>INDEX('Account executives'!$C$2:$C$25,MATCH(C1565,'Account executives'!$A$2:$A$25,0))</f>
        <v>smb</v>
      </c>
      <c r="X1565" s="0" t="str">
        <f>SUBSTITUTE(LOWER(INDEX('Periods'!$G$2:$G$22,MATCH(N1565,'Periods'!$A$2:$A$22,0)))," ","_")</f>
        <v>q1_2026</v>
      </c>
    </row>
    <row r="1566">
      <c r="A1566" s="0" t="inlineStr">
        <is>
          <t xml:space="preserve">o1565</t>
        </is>
      </c>
      <c r="B1566" s="0" t="inlineStr">
        <is>
          <t xml:space="preserve">a0723</t>
        </is>
      </c>
      <c r="C1566" s="0" t="inlineStr">
        <is>
          <t xml:space="preserve">r05</t>
        </is>
      </c>
      <c r="D1566" s="0" t="inlineStr">
        <is>
          <t xml:space="preserve">s_amer_east_in</t>
        </is>
      </c>
      <c r="E1566" s="0" t="inlineStr">
        <is>
          <t xml:space="preserve">inbound</t>
        </is>
      </c>
      <c r="F1566" s="0" t="inlineStr">
        <is>
          <t xml:space="preserve">closed_won</t>
        </is>
      </c>
      <c r="G1566" s="4">
        <v>1</v>
      </c>
      <c r="H1566" s="4">
        <v>9700</v>
      </c>
      <c r="I1566" s="4">
        <v>1</v>
      </c>
      <c r="J1566" s="4">
        <v>0</v>
      </c>
      <c r="K1566" s="16">
        <v>46109</v>
      </c>
      <c r="L1566" s="16">
        <v>46137</v>
      </c>
      <c r="M1566" s="0" t="inlineStr">
        <is>
          <t xml:space="preserve">mar26</t>
        </is>
      </c>
      <c r="N1566" s="0" t="inlineStr">
        <is>
          <t xml:space="preserve">apr26</t>
        </is>
      </c>
      <c r="O1566" s="4">
        <v>28</v>
      </c>
      <c r="P1566" s="4">
        <v>1</v>
      </c>
      <c r="Q1566" s="4">
        <v>0</v>
      </c>
      <c r="R1566" s="4">
        <v>0</v>
      </c>
      <c r="S1566" s="4">
        <f>(H1566*INDEX('Stages'!$D$2:$D$7,MATCH(F1566,'Stages'!$A$2:$A$7,0)))</f>
        <v>9700</v>
      </c>
      <c r="T1566" s="4">
        <f>(H1566*I1566)</f>
        <v>9700</v>
      </c>
      <c r="U1566" s="4">
        <f>(H1566*(I1566-1))</f>
        <v>0</v>
      </c>
      <c r="V1566" s="0" t="str">
        <f>INDEX('Account executives'!$B$2:$B$25,MATCH(C1566,'Account executives'!$A$2:$A$25,0))</f>
        <v>amer_east</v>
      </c>
      <c r="W1566" s="0" t="str">
        <f>INDEX('Account executives'!$C$2:$C$25,MATCH(C1566,'Account executives'!$A$2:$A$25,0))</f>
        <v>smb</v>
      </c>
      <c r="X1566" s="0" t="str">
        <f>SUBSTITUTE(LOWER(INDEX('Periods'!$G$2:$G$22,MATCH(N1566,'Periods'!$A$2:$A$22,0)))," ","_")</f>
        <v>q2_2026</v>
      </c>
    </row>
    <row r="1567">
      <c r="A1567" s="0" t="inlineStr">
        <is>
          <t xml:space="preserve">o1566</t>
        </is>
      </c>
      <c r="B1567" s="0" t="inlineStr">
        <is>
          <t xml:space="preserve">a0145</t>
        </is>
      </c>
      <c r="C1567" s="0" t="inlineStr">
        <is>
          <t xml:space="preserve">r24</t>
        </is>
      </c>
      <c r="D1567" s="0" t="inlineStr">
        <is>
          <t xml:space="preserve">s_apac_in</t>
        </is>
      </c>
      <c r="E1567" s="0" t="inlineStr">
        <is>
          <t xml:space="preserve">inbound</t>
        </is>
      </c>
      <c r="F1567" s="0" t="inlineStr">
        <is>
          <t xml:space="preserve">closed_lost</t>
        </is>
      </c>
      <c r="G1567" s="4">
        <v>1</v>
      </c>
      <c r="H1567" s="4">
        <v>32500</v>
      </c>
      <c r="I1567" s="4">
        <v>1</v>
      </c>
      <c r="J1567" s="4">
        <v>0</v>
      </c>
      <c r="K1567" s="16">
        <v>45783</v>
      </c>
      <c r="L1567" s="16">
        <v>45828</v>
      </c>
      <c r="M1567" s="0" t="inlineStr">
        <is>
          <t xml:space="preserve">may25</t>
        </is>
      </c>
      <c r="N1567" s="0" t="inlineStr">
        <is>
          <t xml:space="preserve">jun25</t>
        </is>
      </c>
      <c r="O1567" s="4">
        <v>45</v>
      </c>
      <c r="P1567" s="4">
        <v>0</v>
      </c>
      <c r="Q1567" s="4">
        <v>1</v>
      </c>
      <c r="R1567" s="4">
        <v>0</v>
      </c>
      <c r="S1567" s="4">
        <f>(H1567*INDEX('Stages'!$D$2:$D$7,MATCH(F1567,'Stages'!$A$2:$A$7,0)))</f>
        <v>0</v>
      </c>
      <c r="T1567" s="4">
        <f>(H1567*I1567)</f>
        <v>32500</v>
      </c>
      <c r="U1567" s="4">
        <f>(H1567*(I1567-1))</f>
        <v>0</v>
      </c>
      <c r="V1567" s="0" t="str">
        <f>INDEX('Account executives'!$B$2:$B$25,MATCH(C1567,'Account executives'!$A$2:$A$25,0))</f>
        <v>apac</v>
      </c>
      <c r="W1567" s="0" t="str">
        <f>INDEX('Account executives'!$C$2:$C$25,MATCH(C1567,'Account executives'!$A$2:$A$25,0))</f>
        <v>smb</v>
      </c>
      <c r="X1567" s="0" t="str">
        <f>SUBSTITUTE(LOWER(INDEX('Periods'!$G$2:$G$22,MATCH(N1567,'Periods'!$A$2:$A$22,0)))," ","_")</f>
        <v>q2_2025</v>
      </c>
    </row>
    <row r="1568">
      <c r="A1568" s="0" t="inlineStr">
        <is>
          <t xml:space="preserve">o1567</t>
        </is>
      </c>
      <c r="B1568" s="0" t="inlineStr">
        <is>
          <t xml:space="preserve">a0444</t>
        </is>
      </c>
      <c r="C1568" s="0" t="inlineStr">
        <is>
          <t xml:space="preserve">r17</t>
        </is>
      </c>
      <c r="D1568" s="0"/>
      <c r="E1568" s="0" t="inlineStr">
        <is>
          <t xml:space="preserve">events</t>
        </is>
      </c>
      <c r="F1568" s="0" t="inlineStr">
        <is>
          <t xml:space="preserve">closed_won</t>
        </is>
      </c>
      <c r="G1568" s="4">
        <v>0</v>
      </c>
      <c r="H1568" s="4">
        <v>6100</v>
      </c>
      <c r="I1568" s="4">
        <v>1</v>
      </c>
      <c r="J1568" s="4">
        <v>0</v>
      </c>
      <c r="K1568" s="16">
        <v>46175</v>
      </c>
      <c r="L1568" s="16">
        <v>46204</v>
      </c>
      <c r="M1568" s="0" t="inlineStr">
        <is>
          <t xml:space="preserve">jun26</t>
        </is>
      </c>
      <c r="N1568" s="0" t="inlineStr">
        <is>
          <t xml:space="preserve">jul26</t>
        </is>
      </c>
      <c r="O1568" s="4">
        <v>29</v>
      </c>
      <c r="P1568" s="4">
        <v>1</v>
      </c>
      <c r="Q1568" s="4">
        <v>0</v>
      </c>
      <c r="R1568" s="4">
        <v>0</v>
      </c>
      <c r="S1568" s="4">
        <f>(H1568*INDEX('Stages'!$D$2:$D$7,MATCH(F1568,'Stages'!$A$2:$A$7,0)))</f>
        <v>6100</v>
      </c>
      <c r="T1568" s="4">
        <f>(H1568*I1568)</f>
        <v>6100</v>
      </c>
      <c r="U1568" s="4">
        <f>(H1568*(I1568-1))</f>
        <v>0</v>
      </c>
      <c r="V1568" s="0" t="str">
        <f>INDEX('Account executives'!$B$2:$B$25,MATCH(C1568,'Account executives'!$A$2:$A$25,0))</f>
        <v>emea</v>
      </c>
      <c r="W1568" s="0" t="str">
        <f>INDEX('Account executives'!$C$2:$C$25,MATCH(C1568,'Account executives'!$A$2:$A$25,0))</f>
        <v>smb</v>
      </c>
      <c r="X1568" s="0" t="str">
        <f>SUBSTITUTE(LOWER(INDEX('Periods'!$G$2:$G$22,MATCH(N1568,'Periods'!$A$2:$A$22,0)))," ","_")</f>
        <v>q3_2026</v>
      </c>
    </row>
    <row r="1569">
      <c r="A1569" s="0" t="inlineStr">
        <is>
          <t xml:space="preserve">o1568</t>
        </is>
      </c>
      <c r="B1569" s="0" t="inlineStr">
        <is>
          <t xml:space="preserve">a0928</t>
        </is>
      </c>
      <c r="C1569" s="0" t="inlineStr">
        <is>
          <t xml:space="preserve">r11</t>
        </is>
      </c>
      <c r="D1569" s="0" t="inlineStr">
        <is>
          <t xml:space="preserve">s_amer_west_out</t>
        </is>
      </c>
      <c r="E1569" s="0" t="inlineStr">
        <is>
          <t xml:space="preserve">outbound</t>
        </is>
      </c>
      <c r="F1569" s="0" t="inlineStr">
        <is>
          <t xml:space="preserve">closed_lost</t>
        </is>
      </c>
      <c r="G1569" s="4">
        <v>1</v>
      </c>
      <c r="H1569" s="4">
        <v>9700</v>
      </c>
      <c r="I1569" s="4">
        <v>1</v>
      </c>
      <c r="J1569" s="4">
        <v>0</v>
      </c>
      <c r="K1569" s="16">
        <v>46149</v>
      </c>
      <c r="L1569" s="16">
        <v>46190</v>
      </c>
      <c r="M1569" s="0" t="inlineStr">
        <is>
          <t xml:space="preserve">may26</t>
        </is>
      </c>
      <c r="N1569" s="0" t="inlineStr">
        <is>
          <t xml:space="preserve">jun26</t>
        </is>
      </c>
      <c r="O1569" s="4">
        <v>41</v>
      </c>
      <c r="P1569" s="4">
        <v>0</v>
      </c>
      <c r="Q1569" s="4">
        <v>1</v>
      </c>
      <c r="R1569" s="4">
        <v>0</v>
      </c>
      <c r="S1569" s="4">
        <f>(H1569*INDEX('Stages'!$D$2:$D$7,MATCH(F1569,'Stages'!$A$2:$A$7,0)))</f>
        <v>0</v>
      </c>
      <c r="T1569" s="4">
        <f>(H1569*I1569)</f>
        <v>9700</v>
      </c>
      <c r="U1569" s="4">
        <f>(H1569*(I1569-1))</f>
        <v>0</v>
      </c>
      <c r="V1569" s="0" t="str">
        <f>INDEX('Account executives'!$B$2:$B$25,MATCH(C1569,'Account executives'!$A$2:$A$25,0))</f>
        <v>amer_west</v>
      </c>
      <c r="W1569" s="0" t="str">
        <f>INDEX('Account executives'!$C$2:$C$25,MATCH(C1569,'Account executives'!$A$2:$A$25,0))</f>
        <v>smb</v>
      </c>
      <c r="X1569" s="0" t="str">
        <f>SUBSTITUTE(LOWER(INDEX('Periods'!$G$2:$G$22,MATCH(N1569,'Periods'!$A$2:$A$22,0)))," ","_")</f>
        <v>q2_2026</v>
      </c>
    </row>
    <row r="1570">
      <c r="A1570" s="0" t="inlineStr">
        <is>
          <t xml:space="preserve">o1569</t>
        </is>
      </c>
      <c r="B1570" s="0" t="inlineStr">
        <is>
          <t xml:space="preserve">a0693</t>
        </is>
      </c>
      <c r="C1570" s="0" t="inlineStr">
        <is>
          <t xml:space="preserve">r18</t>
        </is>
      </c>
      <c r="D1570" s="0" t="inlineStr">
        <is>
          <t xml:space="preserve">s_emea_in</t>
        </is>
      </c>
      <c r="E1570" s="0" t="inlineStr">
        <is>
          <t xml:space="preserve">inbound</t>
        </is>
      </c>
      <c r="F1570" s="0" t="inlineStr">
        <is>
          <t xml:space="preserve">closed_won</t>
        </is>
      </c>
      <c r="G1570" s="4">
        <v>1</v>
      </c>
      <c r="H1570" s="4">
        <v>12800</v>
      </c>
      <c r="I1570" s="4">
        <v>1</v>
      </c>
      <c r="J1570" s="4">
        <v>0</v>
      </c>
      <c r="K1570" s="16">
        <v>46067</v>
      </c>
      <c r="L1570" s="16">
        <v>46109</v>
      </c>
      <c r="M1570" s="0" t="inlineStr">
        <is>
          <t xml:space="preserve">feb26</t>
        </is>
      </c>
      <c r="N1570" s="0" t="inlineStr">
        <is>
          <t xml:space="preserve">mar26</t>
        </is>
      </c>
      <c r="O1570" s="4">
        <v>42</v>
      </c>
      <c r="P1570" s="4">
        <v>1</v>
      </c>
      <c r="Q1570" s="4">
        <v>0</v>
      </c>
      <c r="R1570" s="4">
        <v>0</v>
      </c>
      <c r="S1570" s="4">
        <f>(H1570*INDEX('Stages'!$D$2:$D$7,MATCH(F1570,'Stages'!$A$2:$A$7,0)))</f>
        <v>12800</v>
      </c>
      <c r="T1570" s="4">
        <f>(H1570*I1570)</f>
        <v>12800</v>
      </c>
      <c r="U1570" s="4">
        <f>(H1570*(I1570-1))</f>
        <v>0</v>
      </c>
      <c r="V1570" s="0" t="str">
        <f>INDEX('Account executives'!$B$2:$B$25,MATCH(C1570,'Account executives'!$A$2:$A$25,0))</f>
        <v>emea</v>
      </c>
      <c r="W1570" s="0" t="str">
        <f>INDEX('Account executives'!$C$2:$C$25,MATCH(C1570,'Account executives'!$A$2:$A$25,0))</f>
        <v>smb</v>
      </c>
      <c r="X1570" s="0" t="str">
        <f>SUBSTITUTE(LOWER(INDEX('Periods'!$G$2:$G$22,MATCH(N1570,'Periods'!$A$2:$A$22,0)))," ","_")</f>
        <v>q1_2026</v>
      </c>
    </row>
    <row r="1571">
      <c r="A1571" s="0" t="inlineStr">
        <is>
          <t xml:space="preserve">o1570</t>
        </is>
      </c>
      <c r="B1571" s="0" t="inlineStr">
        <is>
          <t xml:space="preserve">a0107</t>
        </is>
      </c>
      <c r="C1571" s="0" t="inlineStr">
        <is>
          <t xml:space="preserve">r12</t>
        </is>
      </c>
      <c r="D1571" s="0" t="inlineStr">
        <is>
          <t xml:space="preserve">s_amer_west_out</t>
        </is>
      </c>
      <c r="E1571" s="0" t="inlineStr">
        <is>
          <t xml:space="preserve">outbound</t>
        </is>
      </c>
      <c r="F1571" s="0" t="inlineStr">
        <is>
          <t xml:space="preserve">closed_lost</t>
        </is>
      </c>
      <c r="G1571" s="4">
        <v>1</v>
      </c>
      <c r="H1571" s="4">
        <v>13900</v>
      </c>
      <c r="I1571" s="4">
        <v>1</v>
      </c>
      <c r="J1571" s="4">
        <v>1</v>
      </c>
      <c r="K1571" s="16">
        <v>45796</v>
      </c>
      <c r="L1571" s="16">
        <v>45814</v>
      </c>
      <c r="M1571" s="0" t="inlineStr">
        <is>
          <t xml:space="preserve">may25</t>
        </is>
      </c>
      <c r="N1571" s="0" t="inlineStr">
        <is>
          <t xml:space="preserve">jun25</t>
        </is>
      </c>
      <c r="O1571" s="4">
        <v>18</v>
      </c>
      <c r="P1571" s="4">
        <v>0</v>
      </c>
      <c r="Q1571" s="4">
        <v>1</v>
      </c>
      <c r="R1571" s="4">
        <v>0</v>
      </c>
      <c r="S1571" s="4">
        <f>(H1571*INDEX('Stages'!$D$2:$D$7,MATCH(F1571,'Stages'!$A$2:$A$7,0)))</f>
        <v>0</v>
      </c>
      <c r="T1571" s="4">
        <f>(H1571*I1571)</f>
        <v>13900</v>
      </c>
      <c r="U1571" s="4">
        <f>(H1571*(I1571-1))</f>
        <v>0</v>
      </c>
      <c r="V1571" s="0" t="str">
        <f>INDEX('Account executives'!$B$2:$B$25,MATCH(C1571,'Account executives'!$A$2:$A$25,0))</f>
        <v>amer_west</v>
      </c>
      <c r="W1571" s="0" t="str">
        <f>INDEX('Account executives'!$C$2:$C$25,MATCH(C1571,'Account executives'!$A$2:$A$25,0))</f>
        <v>smb</v>
      </c>
      <c r="X1571" s="0" t="str">
        <f>SUBSTITUTE(LOWER(INDEX('Periods'!$G$2:$G$22,MATCH(N1571,'Periods'!$A$2:$A$22,0)))," ","_")</f>
        <v>q2_2025</v>
      </c>
    </row>
    <row r="1572">
      <c r="A1572" s="0" t="inlineStr">
        <is>
          <t xml:space="preserve">o1571</t>
        </is>
      </c>
      <c r="B1572" s="0" t="inlineStr">
        <is>
          <t xml:space="preserve">a0346</t>
        </is>
      </c>
      <c r="C1572" s="0" t="inlineStr">
        <is>
          <t xml:space="preserve">r17</t>
        </is>
      </c>
      <c r="D1572" s="0"/>
      <c r="E1572" s="0" t="inlineStr">
        <is>
          <t xml:space="preserve">referral</t>
        </is>
      </c>
      <c r="F1572" s="0" t="inlineStr">
        <is>
          <t xml:space="preserve">closed_won</t>
        </is>
      </c>
      <c r="G1572" s="4">
        <v>1</v>
      </c>
      <c r="H1572" s="4">
        <v>21300</v>
      </c>
      <c r="I1572" s="4">
        <v>1</v>
      </c>
      <c r="J1572" s="4">
        <v>1</v>
      </c>
      <c r="K1572" s="16">
        <v>45896</v>
      </c>
      <c r="L1572" s="16">
        <v>45929</v>
      </c>
      <c r="M1572" s="0" t="inlineStr">
        <is>
          <t xml:space="preserve">aug25</t>
        </is>
      </c>
      <c r="N1572" s="0" t="inlineStr">
        <is>
          <t xml:space="preserve">sep25</t>
        </is>
      </c>
      <c r="O1572" s="4">
        <v>33</v>
      </c>
      <c r="P1572" s="4">
        <v>1</v>
      </c>
      <c r="Q1572" s="4">
        <v>0</v>
      </c>
      <c r="R1572" s="4">
        <v>0</v>
      </c>
      <c r="S1572" s="4">
        <f>(H1572*INDEX('Stages'!$D$2:$D$7,MATCH(F1572,'Stages'!$A$2:$A$7,0)))</f>
        <v>21300</v>
      </c>
      <c r="T1572" s="4">
        <f>(H1572*I1572)</f>
        <v>21300</v>
      </c>
      <c r="U1572" s="4">
        <f>(H1572*(I1572-1))</f>
        <v>0</v>
      </c>
      <c r="V1572" s="0" t="str">
        <f>INDEX('Account executives'!$B$2:$B$25,MATCH(C1572,'Account executives'!$A$2:$A$25,0))</f>
        <v>emea</v>
      </c>
      <c r="W1572" s="0" t="str">
        <f>INDEX('Account executives'!$C$2:$C$25,MATCH(C1572,'Account executives'!$A$2:$A$25,0))</f>
        <v>smb</v>
      </c>
      <c r="X1572" s="0" t="str">
        <f>SUBSTITUTE(LOWER(INDEX('Periods'!$G$2:$G$22,MATCH(N1572,'Periods'!$A$2:$A$22,0)))," ","_")</f>
        <v>q3_2025</v>
      </c>
    </row>
    <row r="1573">
      <c r="A1573" s="0" t="inlineStr">
        <is>
          <t xml:space="preserve">o1572</t>
        </is>
      </c>
      <c r="B1573" s="0" t="inlineStr">
        <is>
          <t xml:space="preserve">a0176</t>
        </is>
      </c>
      <c r="C1573" s="0" t="inlineStr">
        <is>
          <t xml:space="preserve">r06</t>
        </is>
      </c>
      <c r="D1573" s="0" t="inlineStr">
        <is>
          <t xml:space="preserve">s_amer_east_out</t>
        </is>
      </c>
      <c r="E1573" s="0" t="inlineStr">
        <is>
          <t xml:space="preserve">outbound</t>
        </is>
      </c>
      <c r="F1573" s="0" t="inlineStr">
        <is>
          <t xml:space="preserve">closed_won</t>
        </is>
      </c>
      <c r="G1573" s="4">
        <v>0</v>
      </c>
      <c r="H1573" s="4">
        <v>4900</v>
      </c>
      <c r="I1573" s="4">
        <v>1</v>
      </c>
      <c r="J1573" s="4">
        <v>0</v>
      </c>
      <c r="K1573" s="16">
        <v>45914</v>
      </c>
      <c r="L1573" s="16">
        <v>46019</v>
      </c>
      <c r="M1573" s="0" t="inlineStr">
        <is>
          <t xml:space="preserve">sep25</t>
        </is>
      </c>
      <c r="N1573" s="0" t="inlineStr">
        <is>
          <t xml:space="preserve">dec25</t>
        </is>
      </c>
      <c r="O1573" s="4">
        <v>105</v>
      </c>
      <c r="P1573" s="4">
        <v>1</v>
      </c>
      <c r="Q1573" s="4">
        <v>0</v>
      </c>
      <c r="R1573" s="4">
        <v>0</v>
      </c>
      <c r="S1573" s="4">
        <f>(H1573*INDEX('Stages'!$D$2:$D$7,MATCH(F1573,'Stages'!$A$2:$A$7,0)))</f>
        <v>4900</v>
      </c>
      <c r="T1573" s="4">
        <f>(H1573*I1573)</f>
        <v>4900</v>
      </c>
      <c r="U1573" s="4">
        <f>(H1573*(I1573-1))</f>
        <v>0</v>
      </c>
      <c r="V1573" s="0" t="str">
        <f>INDEX('Account executives'!$B$2:$B$25,MATCH(C1573,'Account executives'!$A$2:$A$25,0))</f>
        <v>amer_east</v>
      </c>
      <c r="W1573" s="0" t="str">
        <f>INDEX('Account executives'!$C$2:$C$25,MATCH(C1573,'Account executives'!$A$2:$A$25,0))</f>
        <v>smb</v>
      </c>
      <c r="X1573" s="0" t="str">
        <f>SUBSTITUTE(LOWER(INDEX('Periods'!$G$2:$G$22,MATCH(N1573,'Periods'!$A$2:$A$22,0)))," ","_")</f>
        <v>q4_2025</v>
      </c>
    </row>
    <row r="1574">
      <c r="A1574" s="0" t="inlineStr">
        <is>
          <t xml:space="preserve">o1573</t>
        </is>
      </c>
      <c r="B1574" s="0" t="inlineStr">
        <is>
          <t xml:space="preserve">a0649</t>
        </is>
      </c>
      <c r="C1574" s="0" t="inlineStr">
        <is>
          <t xml:space="preserve">r18</t>
        </is>
      </c>
      <c r="D1574" s="0" t="inlineStr">
        <is>
          <t xml:space="preserve">s_emea_out</t>
        </is>
      </c>
      <c r="E1574" s="0" t="inlineStr">
        <is>
          <t xml:space="preserve">outbound</t>
        </is>
      </c>
      <c r="F1574" s="0" t="inlineStr">
        <is>
          <t xml:space="preserve">closed_won</t>
        </is>
      </c>
      <c r="G1574" s="4">
        <v>1</v>
      </c>
      <c r="H1574" s="4">
        <v>16600</v>
      </c>
      <c r="I1574" s="4">
        <v>1</v>
      </c>
      <c r="J1574" s="4">
        <v>0</v>
      </c>
      <c r="K1574" s="16">
        <v>46033</v>
      </c>
      <c r="L1574" s="16">
        <v>46068</v>
      </c>
      <c r="M1574" s="0" t="inlineStr">
        <is>
          <t xml:space="preserve">jan26</t>
        </is>
      </c>
      <c r="N1574" s="0" t="inlineStr">
        <is>
          <t xml:space="preserve">feb26</t>
        </is>
      </c>
      <c r="O1574" s="4">
        <v>35</v>
      </c>
      <c r="P1574" s="4">
        <v>1</v>
      </c>
      <c r="Q1574" s="4">
        <v>0</v>
      </c>
      <c r="R1574" s="4">
        <v>0</v>
      </c>
      <c r="S1574" s="4">
        <f>(H1574*INDEX('Stages'!$D$2:$D$7,MATCH(F1574,'Stages'!$A$2:$A$7,0)))</f>
        <v>16600</v>
      </c>
      <c r="T1574" s="4">
        <f>(H1574*I1574)</f>
        <v>16600</v>
      </c>
      <c r="U1574" s="4">
        <f>(H1574*(I1574-1))</f>
        <v>0</v>
      </c>
      <c r="V1574" s="0" t="str">
        <f>INDEX('Account executives'!$B$2:$B$25,MATCH(C1574,'Account executives'!$A$2:$A$25,0))</f>
        <v>emea</v>
      </c>
      <c r="W1574" s="0" t="str">
        <f>INDEX('Account executives'!$C$2:$C$25,MATCH(C1574,'Account executives'!$A$2:$A$25,0))</f>
        <v>smb</v>
      </c>
      <c r="X1574" s="0" t="str">
        <f>SUBSTITUTE(LOWER(INDEX('Periods'!$G$2:$G$22,MATCH(N1574,'Periods'!$A$2:$A$22,0)))," ","_")</f>
        <v>q1_2026</v>
      </c>
    </row>
    <row r="1575">
      <c r="A1575" s="0" t="inlineStr">
        <is>
          <t xml:space="preserve">o1574</t>
        </is>
      </c>
      <c r="B1575" s="0" t="inlineStr">
        <is>
          <t xml:space="preserve">a0097</t>
        </is>
      </c>
      <c r="C1575" s="0" t="inlineStr">
        <is>
          <t xml:space="preserve">r09</t>
        </is>
      </c>
      <c r="D1575" s="0" t="inlineStr">
        <is>
          <t xml:space="preserve">s_amer_west_in</t>
        </is>
      </c>
      <c r="E1575" s="0" t="inlineStr">
        <is>
          <t xml:space="preserve">paid</t>
        </is>
      </c>
      <c r="F1575" s="0" t="inlineStr">
        <is>
          <t xml:space="preserve">proposal</t>
        </is>
      </c>
      <c r="G1575" s="4">
        <v>0</v>
      </c>
      <c r="H1575" s="4">
        <v>21200</v>
      </c>
      <c r="I1575" s="4">
        <v>1</v>
      </c>
      <c r="J1575" s="4">
        <v>0</v>
      </c>
      <c r="K1575" s="16">
        <v>46186</v>
      </c>
      <c r="L1575" s="16">
        <v>46305</v>
      </c>
      <c r="M1575" s="0" t="inlineStr">
        <is>
          <t xml:space="preserve">jun26</t>
        </is>
      </c>
      <c r="N1575" s="0" t="inlineStr">
        <is>
          <t xml:space="preserve">oct26</t>
        </is>
      </c>
      <c r="O1575" s="4">
        <v>107</v>
      </c>
      <c r="P1575" s="4">
        <v>0</v>
      </c>
      <c r="Q1575" s="4">
        <v>0</v>
      </c>
      <c r="R1575" s="4">
        <v>1</v>
      </c>
      <c r="S1575" s="4">
        <f>(H1575*INDEX('Stages'!$D$2:$D$7,MATCH(F1575,'Stages'!$A$2:$A$7,0)))</f>
        <v>10600</v>
      </c>
      <c r="T1575" s="4">
        <f>(H1575*I1575)</f>
        <v>21200</v>
      </c>
      <c r="U1575" s="4">
        <f>(H1575*(I1575-1))</f>
        <v>0</v>
      </c>
      <c r="V1575" s="0" t="str">
        <f>INDEX('Account executives'!$B$2:$B$25,MATCH(C1575,'Account executives'!$A$2:$A$25,0))</f>
        <v>amer_west</v>
      </c>
      <c r="W1575" s="0" t="str">
        <f>INDEX('Account executives'!$C$2:$C$25,MATCH(C1575,'Account executives'!$A$2:$A$25,0))</f>
        <v>mid_market</v>
      </c>
      <c r="X1575" s="0" t="str">
        <f>SUBSTITUTE(LOWER(INDEX('Periods'!$G$2:$G$22,MATCH(N1575,'Periods'!$A$2:$A$22,0)))," ","_")</f>
        <v>q4_2026</v>
      </c>
    </row>
    <row r="1576">
      <c r="A1576" s="0" t="inlineStr">
        <is>
          <t xml:space="preserve">o1575</t>
        </is>
      </c>
      <c r="B1576" s="0" t="inlineStr">
        <is>
          <t xml:space="preserve">a0851</t>
        </is>
      </c>
      <c r="C1576" s="0" t="inlineStr">
        <is>
          <t xml:space="preserve">r11</t>
        </is>
      </c>
      <c r="D1576" s="0" t="inlineStr">
        <is>
          <t xml:space="preserve">s_amer_west_in</t>
        </is>
      </c>
      <c r="E1576" s="0" t="inlineStr">
        <is>
          <t xml:space="preserve">paid</t>
        </is>
      </c>
      <c r="F1576" s="0" t="inlineStr">
        <is>
          <t xml:space="preserve">closed_lost</t>
        </is>
      </c>
      <c r="G1576" s="4">
        <v>1</v>
      </c>
      <c r="H1576" s="4">
        <v>22000</v>
      </c>
      <c r="I1576" s="4">
        <v>1</v>
      </c>
      <c r="J1576" s="4">
        <v>0</v>
      </c>
      <c r="K1576" s="16">
        <v>46129</v>
      </c>
      <c r="L1576" s="16">
        <v>46145</v>
      </c>
      <c r="M1576" s="0" t="inlineStr">
        <is>
          <t xml:space="preserve">apr26</t>
        </is>
      </c>
      <c r="N1576" s="0" t="inlineStr">
        <is>
          <t xml:space="preserve">may26</t>
        </is>
      </c>
      <c r="O1576" s="4">
        <v>16</v>
      </c>
      <c r="P1576" s="4">
        <v>0</v>
      </c>
      <c r="Q1576" s="4">
        <v>1</v>
      </c>
      <c r="R1576" s="4">
        <v>0</v>
      </c>
      <c r="S1576" s="4">
        <f>(H1576*INDEX('Stages'!$D$2:$D$7,MATCH(F1576,'Stages'!$A$2:$A$7,0)))</f>
        <v>0</v>
      </c>
      <c r="T1576" s="4">
        <f>(H1576*I1576)</f>
        <v>22000</v>
      </c>
      <c r="U1576" s="4">
        <f>(H1576*(I1576-1))</f>
        <v>0</v>
      </c>
      <c r="V1576" s="0" t="str">
        <f>INDEX('Account executives'!$B$2:$B$25,MATCH(C1576,'Account executives'!$A$2:$A$25,0))</f>
        <v>amer_west</v>
      </c>
      <c r="W1576" s="0" t="str">
        <f>INDEX('Account executives'!$C$2:$C$25,MATCH(C1576,'Account executives'!$A$2:$A$25,0))</f>
        <v>smb</v>
      </c>
      <c r="X1576" s="0" t="str">
        <f>SUBSTITUTE(LOWER(INDEX('Periods'!$G$2:$G$22,MATCH(N1576,'Periods'!$A$2:$A$22,0)))," ","_")</f>
        <v>q2_2026</v>
      </c>
    </row>
    <row r="1577">
      <c r="A1577" s="0" t="inlineStr">
        <is>
          <t xml:space="preserve">o1576</t>
        </is>
      </c>
      <c r="B1577" s="0" t="inlineStr">
        <is>
          <t xml:space="preserve">a0050</t>
        </is>
      </c>
      <c r="C1577" s="0" t="inlineStr">
        <is>
          <t xml:space="preserve">r16</t>
        </is>
      </c>
      <c r="D1577" s="0"/>
      <c r="E1577" s="0" t="inlineStr">
        <is>
          <t xml:space="preserve">referral</t>
        </is>
      </c>
      <c r="F1577" s="0" t="inlineStr">
        <is>
          <t xml:space="preserve">closed_won</t>
        </is>
      </c>
      <c r="G1577" s="4">
        <v>0</v>
      </c>
      <c r="H1577" s="4">
        <v>6300</v>
      </c>
      <c r="I1577" s="4">
        <v>1</v>
      </c>
      <c r="J1577" s="4">
        <v>0</v>
      </c>
      <c r="K1577" s="16">
        <v>45753</v>
      </c>
      <c r="L1577" s="16">
        <v>45801</v>
      </c>
      <c r="M1577" s="0" t="inlineStr">
        <is>
          <t xml:space="preserve">apr25</t>
        </is>
      </c>
      <c r="N1577" s="0" t="inlineStr">
        <is>
          <t xml:space="preserve">may25</t>
        </is>
      </c>
      <c r="O1577" s="4">
        <v>48</v>
      </c>
      <c r="P1577" s="4">
        <v>1</v>
      </c>
      <c r="Q1577" s="4">
        <v>0</v>
      </c>
      <c r="R1577" s="4">
        <v>0</v>
      </c>
      <c r="S1577" s="4">
        <f>(H1577*INDEX('Stages'!$D$2:$D$7,MATCH(F1577,'Stages'!$A$2:$A$7,0)))</f>
        <v>6300</v>
      </c>
      <c r="T1577" s="4">
        <f>(H1577*I1577)</f>
        <v>6300</v>
      </c>
      <c r="U1577" s="4">
        <f>(H1577*(I1577-1))</f>
        <v>0</v>
      </c>
      <c r="V1577" s="0" t="str">
        <f>INDEX('Account executives'!$B$2:$B$25,MATCH(C1577,'Account executives'!$A$2:$A$25,0))</f>
        <v>emea</v>
      </c>
      <c r="W1577" s="0" t="str">
        <f>INDEX('Account executives'!$C$2:$C$25,MATCH(C1577,'Account executives'!$A$2:$A$25,0))</f>
        <v>mid_market</v>
      </c>
      <c r="X1577" s="0" t="str">
        <f>SUBSTITUTE(LOWER(INDEX('Periods'!$G$2:$G$22,MATCH(N1577,'Periods'!$A$2:$A$22,0)))," ","_")</f>
        <v>q2_2025</v>
      </c>
    </row>
    <row r="1578">
      <c r="A1578" s="0" t="inlineStr">
        <is>
          <t xml:space="preserve">o1577</t>
        </is>
      </c>
      <c r="B1578" s="0" t="inlineStr">
        <is>
          <t xml:space="preserve">a0820</t>
        </is>
      </c>
      <c r="C1578" s="0" t="inlineStr">
        <is>
          <t xml:space="preserve">r05</t>
        </is>
      </c>
      <c r="D1578" s="0"/>
      <c r="E1578" s="0" t="inlineStr">
        <is>
          <t xml:space="preserve">partner</t>
        </is>
      </c>
      <c r="F1578" s="0" t="inlineStr">
        <is>
          <t xml:space="preserve">closed_won</t>
        </is>
      </c>
      <c r="G1578" s="4">
        <v>0</v>
      </c>
      <c r="H1578" s="4">
        <v>5400</v>
      </c>
      <c r="I1578" s="4">
        <v>1</v>
      </c>
      <c r="J1578" s="4">
        <v>1</v>
      </c>
      <c r="K1578" s="16">
        <v>46150</v>
      </c>
      <c r="L1578" s="16">
        <v>46187</v>
      </c>
      <c r="M1578" s="0" t="inlineStr">
        <is>
          <t xml:space="preserve">may26</t>
        </is>
      </c>
      <c r="N1578" s="0" t="inlineStr">
        <is>
          <t xml:space="preserve">jun26</t>
        </is>
      </c>
      <c r="O1578" s="4">
        <v>37</v>
      </c>
      <c r="P1578" s="4">
        <v>1</v>
      </c>
      <c r="Q1578" s="4">
        <v>0</v>
      </c>
      <c r="R1578" s="4">
        <v>0</v>
      </c>
      <c r="S1578" s="4">
        <f>(H1578*INDEX('Stages'!$D$2:$D$7,MATCH(F1578,'Stages'!$A$2:$A$7,0)))</f>
        <v>5400</v>
      </c>
      <c r="T1578" s="4">
        <f>(H1578*I1578)</f>
        <v>5400</v>
      </c>
      <c r="U1578" s="4">
        <f>(H1578*(I1578-1))</f>
        <v>0</v>
      </c>
      <c r="V1578" s="0" t="str">
        <f>INDEX('Account executives'!$B$2:$B$25,MATCH(C1578,'Account executives'!$A$2:$A$25,0))</f>
        <v>amer_east</v>
      </c>
      <c r="W1578" s="0" t="str">
        <f>INDEX('Account executives'!$C$2:$C$25,MATCH(C1578,'Account executives'!$A$2:$A$25,0))</f>
        <v>smb</v>
      </c>
      <c r="X1578" s="0" t="str">
        <f>SUBSTITUTE(LOWER(INDEX('Periods'!$G$2:$G$22,MATCH(N1578,'Periods'!$A$2:$A$22,0)))," ","_")</f>
        <v>q2_2026</v>
      </c>
    </row>
    <row r="1579">
      <c r="A1579" s="0" t="inlineStr">
        <is>
          <t xml:space="preserve">o1578</t>
        </is>
      </c>
      <c r="B1579" s="0" t="inlineStr">
        <is>
          <t xml:space="preserve">a0798</t>
        </is>
      </c>
      <c r="C1579" s="0" t="inlineStr">
        <is>
          <t xml:space="preserve">r21</t>
        </is>
      </c>
      <c r="D1579" s="0" t="inlineStr">
        <is>
          <t xml:space="preserve">s_apac_in</t>
        </is>
      </c>
      <c r="E1579" s="0" t="inlineStr">
        <is>
          <t xml:space="preserve">paid</t>
        </is>
      </c>
      <c r="F1579" s="0" t="inlineStr">
        <is>
          <t xml:space="preserve">closed_lost</t>
        </is>
      </c>
      <c r="G1579" s="4">
        <v>1</v>
      </c>
      <c r="H1579" s="4">
        <v>189500</v>
      </c>
      <c r="I1579" s="4">
        <v>1</v>
      </c>
      <c r="J1579" s="4">
        <v>0</v>
      </c>
      <c r="K1579" s="16">
        <v>46099</v>
      </c>
      <c r="L1579" s="16">
        <v>46155</v>
      </c>
      <c r="M1579" s="0" t="inlineStr">
        <is>
          <t xml:space="preserve">mar26</t>
        </is>
      </c>
      <c r="N1579" s="0" t="inlineStr">
        <is>
          <t xml:space="preserve">may26</t>
        </is>
      </c>
      <c r="O1579" s="4">
        <v>56</v>
      </c>
      <c r="P1579" s="4">
        <v>0</v>
      </c>
      <c r="Q1579" s="4">
        <v>1</v>
      </c>
      <c r="R1579" s="4">
        <v>0</v>
      </c>
      <c r="S1579" s="4">
        <f>(H1579*INDEX('Stages'!$D$2:$D$7,MATCH(F1579,'Stages'!$A$2:$A$7,0)))</f>
        <v>0</v>
      </c>
      <c r="T1579" s="4">
        <f>(H1579*I1579)</f>
        <v>189500</v>
      </c>
      <c r="U1579" s="4">
        <f>(H1579*(I1579-1))</f>
        <v>0</v>
      </c>
      <c r="V1579" s="0" t="str">
        <f>INDEX('Account executives'!$B$2:$B$25,MATCH(C1579,'Account executives'!$A$2:$A$25,0))</f>
        <v>apac</v>
      </c>
      <c r="W1579" s="0" t="str">
        <f>INDEX('Account executives'!$C$2:$C$25,MATCH(C1579,'Account executives'!$A$2:$A$25,0))</f>
        <v>mid_market</v>
      </c>
      <c r="X1579" s="0" t="str">
        <f>SUBSTITUTE(LOWER(INDEX('Periods'!$G$2:$G$22,MATCH(N1579,'Periods'!$A$2:$A$22,0)))," ","_")</f>
        <v>q2_2026</v>
      </c>
    </row>
    <row r="1580">
      <c r="A1580" s="0" t="inlineStr">
        <is>
          <t xml:space="preserve">o1579</t>
        </is>
      </c>
      <c r="B1580" s="0" t="inlineStr">
        <is>
          <t xml:space="preserve">a0373</t>
        </is>
      </c>
      <c r="C1580" s="0" t="inlineStr">
        <is>
          <t xml:space="preserve">r11</t>
        </is>
      </c>
      <c r="D1580" s="0"/>
      <c r="E1580" s="0" t="inlineStr">
        <is>
          <t xml:space="preserve">referral</t>
        </is>
      </c>
      <c r="F1580" s="0" t="inlineStr">
        <is>
          <t xml:space="preserve">closed_lost</t>
        </is>
      </c>
      <c r="G1580" s="4">
        <v>0</v>
      </c>
      <c r="H1580" s="4">
        <v>5200</v>
      </c>
      <c r="I1580" s="4">
        <v>1</v>
      </c>
      <c r="J1580" s="4">
        <v>0</v>
      </c>
      <c r="K1580" s="16">
        <v>46132</v>
      </c>
      <c r="L1580" s="16">
        <v>46201</v>
      </c>
      <c r="M1580" s="0" t="inlineStr">
        <is>
          <t xml:space="preserve">apr26</t>
        </is>
      </c>
      <c r="N1580" s="0" t="inlineStr">
        <is>
          <t xml:space="preserve">jun26</t>
        </is>
      </c>
      <c r="O1580" s="4">
        <v>69</v>
      </c>
      <c r="P1580" s="4">
        <v>0</v>
      </c>
      <c r="Q1580" s="4">
        <v>1</v>
      </c>
      <c r="R1580" s="4">
        <v>0</v>
      </c>
      <c r="S1580" s="4">
        <f>(H1580*INDEX('Stages'!$D$2:$D$7,MATCH(F1580,'Stages'!$A$2:$A$7,0)))</f>
        <v>0</v>
      </c>
      <c r="T1580" s="4">
        <f>(H1580*I1580)</f>
        <v>5200</v>
      </c>
      <c r="U1580" s="4">
        <f>(H1580*(I1580-1))</f>
        <v>0</v>
      </c>
      <c r="V1580" s="0" t="str">
        <f>INDEX('Account executives'!$B$2:$B$25,MATCH(C1580,'Account executives'!$A$2:$A$25,0))</f>
        <v>amer_west</v>
      </c>
      <c r="W1580" s="0" t="str">
        <f>INDEX('Account executives'!$C$2:$C$25,MATCH(C1580,'Account executives'!$A$2:$A$25,0))</f>
        <v>smb</v>
      </c>
      <c r="X1580" s="0" t="str">
        <f>SUBSTITUTE(LOWER(INDEX('Periods'!$G$2:$G$22,MATCH(N1580,'Periods'!$A$2:$A$22,0)))," ","_")</f>
        <v>q2_2026</v>
      </c>
    </row>
    <row r="1581">
      <c r="A1581" s="0" t="inlineStr">
        <is>
          <t xml:space="preserve">o1580</t>
        </is>
      </c>
      <c r="B1581" s="0" t="inlineStr">
        <is>
          <t xml:space="preserve">a0200</t>
        </is>
      </c>
      <c r="C1581" s="0" t="inlineStr">
        <is>
          <t xml:space="preserve">r09</t>
        </is>
      </c>
      <c r="D1581" s="0" t="inlineStr">
        <is>
          <t xml:space="preserve">s_amer_west_out</t>
        </is>
      </c>
      <c r="E1581" s="0" t="inlineStr">
        <is>
          <t xml:space="preserve">outbound</t>
        </is>
      </c>
      <c r="F1581" s="0" t="inlineStr">
        <is>
          <t xml:space="preserve">closed_lost</t>
        </is>
      </c>
      <c r="G1581" s="4">
        <v>0</v>
      </c>
      <c r="H1581" s="4">
        <v>13700</v>
      </c>
      <c r="I1581" s="4">
        <v>1</v>
      </c>
      <c r="J1581" s="4">
        <v>1</v>
      </c>
      <c r="K1581" s="16">
        <v>45946</v>
      </c>
      <c r="L1581" s="16">
        <v>46009</v>
      </c>
      <c r="M1581" s="0" t="inlineStr">
        <is>
          <t xml:space="preserve">oct25</t>
        </is>
      </c>
      <c r="N1581" s="0" t="inlineStr">
        <is>
          <t xml:space="preserve">dec25</t>
        </is>
      </c>
      <c r="O1581" s="4">
        <v>63</v>
      </c>
      <c r="P1581" s="4">
        <v>0</v>
      </c>
      <c r="Q1581" s="4">
        <v>1</v>
      </c>
      <c r="R1581" s="4">
        <v>0</v>
      </c>
      <c r="S1581" s="4">
        <f>(H1581*INDEX('Stages'!$D$2:$D$7,MATCH(F1581,'Stages'!$A$2:$A$7,0)))</f>
        <v>0</v>
      </c>
      <c r="T1581" s="4">
        <f>(H1581*I1581)</f>
        <v>13700</v>
      </c>
      <c r="U1581" s="4">
        <f>(H1581*(I1581-1))</f>
        <v>0</v>
      </c>
      <c r="V1581" s="0" t="str">
        <f>INDEX('Account executives'!$B$2:$B$25,MATCH(C1581,'Account executives'!$A$2:$A$25,0))</f>
        <v>amer_west</v>
      </c>
      <c r="W1581" s="0" t="str">
        <f>INDEX('Account executives'!$C$2:$C$25,MATCH(C1581,'Account executives'!$A$2:$A$25,0))</f>
        <v>mid_market</v>
      </c>
      <c r="X1581" s="0" t="str">
        <f>SUBSTITUTE(LOWER(INDEX('Periods'!$G$2:$G$22,MATCH(N1581,'Periods'!$A$2:$A$22,0)))," ","_")</f>
        <v>q4_2025</v>
      </c>
    </row>
    <row r="1582">
      <c r="A1582" s="0" t="inlineStr">
        <is>
          <t xml:space="preserve">o1581</t>
        </is>
      </c>
      <c r="B1582" s="0" t="inlineStr">
        <is>
          <t xml:space="preserve">a0949</t>
        </is>
      </c>
      <c r="C1582" s="0" t="inlineStr">
        <is>
          <t xml:space="preserve">r24</t>
        </is>
      </c>
      <c r="D1582" s="0"/>
      <c r="E1582" s="0" t="inlineStr">
        <is>
          <t xml:space="preserve">events</t>
        </is>
      </c>
      <c r="F1582" s="0" t="inlineStr">
        <is>
          <t xml:space="preserve">closed_won</t>
        </is>
      </c>
      <c r="G1582" s="4">
        <v>1</v>
      </c>
      <c r="H1582" s="4">
        <v>21900</v>
      </c>
      <c r="I1582" s="4">
        <v>1</v>
      </c>
      <c r="J1582" s="4">
        <v>0</v>
      </c>
      <c r="K1582" s="16">
        <v>46167</v>
      </c>
      <c r="L1582" s="16">
        <v>46202</v>
      </c>
      <c r="M1582" s="0" t="inlineStr">
        <is>
          <t xml:space="preserve">may26</t>
        </is>
      </c>
      <c r="N1582" s="0" t="inlineStr">
        <is>
          <t xml:space="preserve">jun26</t>
        </is>
      </c>
      <c r="O1582" s="4">
        <v>35</v>
      </c>
      <c r="P1582" s="4">
        <v>1</v>
      </c>
      <c r="Q1582" s="4">
        <v>0</v>
      </c>
      <c r="R1582" s="4">
        <v>0</v>
      </c>
      <c r="S1582" s="4">
        <f>(H1582*INDEX('Stages'!$D$2:$D$7,MATCH(F1582,'Stages'!$A$2:$A$7,0)))</f>
        <v>21900</v>
      </c>
      <c r="T1582" s="4">
        <f>(H1582*I1582)</f>
        <v>21900</v>
      </c>
      <c r="U1582" s="4">
        <f>(H1582*(I1582-1))</f>
        <v>0</v>
      </c>
      <c r="V1582" s="0" t="str">
        <f>INDEX('Account executives'!$B$2:$B$25,MATCH(C1582,'Account executives'!$A$2:$A$25,0))</f>
        <v>apac</v>
      </c>
      <c r="W1582" s="0" t="str">
        <f>INDEX('Account executives'!$C$2:$C$25,MATCH(C1582,'Account executives'!$A$2:$A$25,0))</f>
        <v>smb</v>
      </c>
      <c r="X1582" s="0" t="str">
        <f>SUBSTITUTE(LOWER(INDEX('Periods'!$G$2:$G$22,MATCH(N1582,'Periods'!$A$2:$A$22,0)))," ","_")</f>
        <v>q2_2026</v>
      </c>
    </row>
    <row r="1583">
      <c r="A1583" s="0" t="inlineStr">
        <is>
          <t xml:space="preserve">o1582</t>
        </is>
      </c>
      <c r="B1583" s="0" t="inlineStr">
        <is>
          <t xml:space="preserve">a0269</t>
        </is>
      </c>
      <c r="C1583" s="0" t="inlineStr">
        <is>
          <t xml:space="preserve">r11</t>
        </is>
      </c>
      <c r="D1583" s="0" t="inlineStr">
        <is>
          <t xml:space="preserve">s_amer_west_out</t>
        </is>
      </c>
      <c r="E1583" s="0" t="inlineStr">
        <is>
          <t xml:space="preserve">outbound</t>
        </is>
      </c>
      <c r="F1583" s="0" t="inlineStr">
        <is>
          <t xml:space="preserve">closed_lost</t>
        </is>
      </c>
      <c r="G1583" s="4">
        <v>1</v>
      </c>
      <c r="H1583" s="4">
        <v>17300</v>
      </c>
      <c r="I1583" s="4">
        <v>1</v>
      </c>
      <c r="J1583" s="4">
        <v>0</v>
      </c>
      <c r="K1583" s="16">
        <v>45842</v>
      </c>
      <c r="L1583" s="16">
        <v>45849</v>
      </c>
      <c r="M1583" s="0" t="inlineStr">
        <is>
          <t xml:space="preserve">jul25</t>
        </is>
      </c>
      <c r="N1583" s="0" t="inlineStr">
        <is>
          <t xml:space="preserve">jul25</t>
        </is>
      </c>
      <c r="O1583" s="4">
        <v>7</v>
      </c>
      <c r="P1583" s="4">
        <v>0</v>
      </c>
      <c r="Q1583" s="4">
        <v>1</v>
      </c>
      <c r="R1583" s="4">
        <v>0</v>
      </c>
      <c r="S1583" s="4">
        <f>(H1583*INDEX('Stages'!$D$2:$D$7,MATCH(F1583,'Stages'!$A$2:$A$7,0)))</f>
        <v>0</v>
      </c>
      <c r="T1583" s="4">
        <f>(H1583*I1583)</f>
        <v>17300</v>
      </c>
      <c r="U1583" s="4">
        <f>(H1583*(I1583-1))</f>
        <v>0</v>
      </c>
      <c r="V1583" s="0" t="str">
        <f>INDEX('Account executives'!$B$2:$B$25,MATCH(C1583,'Account executives'!$A$2:$A$25,0))</f>
        <v>amer_west</v>
      </c>
      <c r="W1583" s="0" t="str">
        <f>INDEX('Account executives'!$C$2:$C$25,MATCH(C1583,'Account executives'!$A$2:$A$25,0))</f>
        <v>smb</v>
      </c>
      <c r="X1583" s="0" t="str">
        <f>SUBSTITUTE(LOWER(INDEX('Periods'!$G$2:$G$22,MATCH(N1583,'Periods'!$A$2:$A$22,0)))," ","_")</f>
        <v>q3_2025</v>
      </c>
    </row>
    <row r="1584">
      <c r="A1584" s="0" t="inlineStr">
        <is>
          <t xml:space="preserve">o1583</t>
        </is>
      </c>
      <c r="B1584" s="0" t="inlineStr">
        <is>
          <t xml:space="preserve">a0142</t>
        </is>
      </c>
      <c r="C1584" s="0" t="inlineStr">
        <is>
          <t xml:space="preserve">r24</t>
        </is>
      </c>
      <c r="D1584" s="0"/>
      <c r="E1584" s="0" t="inlineStr">
        <is>
          <t xml:space="preserve">referral</t>
        </is>
      </c>
      <c r="F1584" s="0" t="inlineStr">
        <is>
          <t xml:space="preserve">closed_won</t>
        </is>
      </c>
      <c r="G1584" s="4">
        <v>0</v>
      </c>
      <c r="H1584" s="4">
        <v>3300</v>
      </c>
      <c r="I1584" s="4">
        <v>1</v>
      </c>
      <c r="J1584" s="4">
        <v>0</v>
      </c>
      <c r="K1584" s="16">
        <v>45823</v>
      </c>
      <c r="L1584" s="16">
        <v>45928</v>
      </c>
      <c r="M1584" s="0" t="inlineStr">
        <is>
          <t xml:space="preserve">jun25</t>
        </is>
      </c>
      <c r="N1584" s="0" t="inlineStr">
        <is>
          <t xml:space="preserve">sep25</t>
        </is>
      </c>
      <c r="O1584" s="4">
        <v>105</v>
      </c>
      <c r="P1584" s="4">
        <v>1</v>
      </c>
      <c r="Q1584" s="4">
        <v>0</v>
      </c>
      <c r="R1584" s="4">
        <v>0</v>
      </c>
      <c r="S1584" s="4">
        <f>(H1584*INDEX('Stages'!$D$2:$D$7,MATCH(F1584,'Stages'!$A$2:$A$7,0)))</f>
        <v>3300</v>
      </c>
      <c r="T1584" s="4">
        <f>(H1584*I1584)</f>
        <v>3300</v>
      </c>
      <c r="U1584" s="4">
        <f>(H1584*(I1584-1))</f>
        <v>0</v>
      </c>
      <c r="V1584" s="0" t="str">
        <f>INDEX('Account executives'!$B$2:$B$25,MATCH(C1584,'Account executives'!$A$2:$A$25,0))</f>
        <v>apac</v>
      </c>
      <c r="W1584" s="0" t="str">
        <f>INDEX('Account executives'!$C$2:$C$25,MATCH(C1584,'Account executives'!$A$2:$A$25,0))</f>
        <v>smb</v>
      </c>
      <c r="X1584" s="0" t="str">
        <f>SUBSTITUTE(LOWER(INDEX('Periods'!$G$2:$G$22,MATCH(N1584,'Periods'!$A$2:$A$22,0)))," ","_")</f>
        <v>q3_2025</v>
      </c>
    </row>
    <row r="1585">
      <c r="A1585" s="0" t="inlineStr">
        <is>
          <t xml:space="preserve">o1584</t>
        </is>
      </c>
      <c r="B1585" s="0" t="inlineStr">
        <is>
          <t xml:space="preserve">a0230</t>
        </is>
      </c>
      <c r="C1585" s="0" t="inlineStr">
        <is>
          <t xml:space="preserve">r24</t>
        </is>
      </c>
      <c r="D1585" s="0"/>
      <c r="E1585" s="0" t="inlineStr">
        <is>
          <t xml:space="preserve">partner</t>
        </is>
      </c>
      <c r="F1585" s="0" t="inlineStr">
        <is>
          <t xml:space="preserve">closed_lost</t>
        </is>
      </c>
      <c r="G1585" s="4">
        <v>1</v>
      </c>
      <c r="H1585" s="4">
        <v>3100</v>
      </c>
      <c r="I1585" s="4">
        <v>1</v>
      </c>
      <c r="J1585" s="4">
        <v>0</v>
      </c>
      <c r="K1585" s="16">
        <v>45819</v>
      </c>
      <c r="L1585" s="16">
        <v>45838</v>
      </c>
      <c r="M1585" s="0" t="inlineStr">
        <is>
          <t xml:space="preserve">jun25</t>
        </is>
      </c>
      <c r="N1585" s="0" t="inlineStr">
        <is>
          <t xml:space="preserve">jun25</t>
        </is>
      </c>
      <c r="O1585" s="4">
        <v>19</v>
      </c>
      <c r="P1585" s="4">
        <v>0</v>
      </c>
      <c r="Q1585" s="4">
        <v>1</v>
      </c>
      <c r="R1585" s="4">
        <v>0</v>
      </c>
      <c r="S1585" s="4">
        <f>(H1585*INDEX('Stages'!$D$2:$D$7,MATCH(F1585,'Stages'!$A$2:$A$7,0)))</f>
        <v>0</v>
      </c>
      <c r="T1585" s="4">
        <f>(H1585*I1585)</f>
        <v>3100</v>
      </c>
      <c r="U1585" s="4">
        <f>(H1585*(I1585-1))</f>
        <v>0</v>
      </c>
      <c r="V1585" s="0" t="str">
        <f>INDEX('Account executives'!$B$2:$B$25,MATCH(C1585,'Account executives'!$A$2:$A$25,0))</f>
        <v>apac</v>
      </c>
      <c r="W1585" s="0" t="str">
        <f>INDEX('Account executives'!$C$2:$C$25,MATCH(C1585,'Account executives'!$A$2:$A$25,0))</f>
        <v>smb</v>
      </c>
      <c r="X1585" s="0" t="str">
        <f>SUBSTITUTE(LOWER(INDEX('Periods'!$G$2:$G$22,MATCH(N1585,'Periods'!$A$2:$A$22,0)))," ","_")</f>
        <v>q2_2025</v>
      </c>
    </row>
    <row r="1586">
      <c r="A1586" s="0" t="inlineStr">
        <is>
          <t xml:space="preserve">o1585</t>
        </is>
      </c>
      <c r="B1586" s="0" t="inlineStr">
        <is>
          <t xml:space="preserve">a0343</t>
        </is>
      </c>
      <c r="C1586" s="0" t="inlineStr">
        <is>
          <t xml:space="preserve">r13</t>
        </is>
      </c>
      <c r="D1586" s="0" t="inlineStr">
        <is>
          <t xml:space="preserve">s_emea_out</t>
        </is>
      </c>
      <c r="E1586" s="0" t="inlineStr">
        <is>
          <t xml:space="preserve">outbound</t>
        </is>
      </c>
      <c r="F1586" s="0" t="inlineStr">
        <is>
          <t xml:space="preserve">closed_lost</t>
        </is>
      </c>
      <c r="G1586" s="4">
        <v>1</v>
      </c>
      <c r="H1586" s="4">
        <v>423000</v>
      </c>
      <c r="I1586" s="4">
        <v>1</v>
      </c>
      <c r="J1586" s="4">
        <v>1</v>
      </c>
      <c r="K1586" s="16">
        <v>45889</v>
      </c>
      <c r="L1586" s="16">
        <v>45981</v>
      </c>
      <c r="M1586" s="0" t="inlineStr">
        <is>
          <t xml:space="preserve">aug25</t>
        </is>
      </c>
      <c r="N1586" s="0" t="inlineStr">
        <is>
          <t xml:space="preserve">nov25</t>
        </is>
      </c>
      <c r="O1586" s="4">
        <v>92</v>
      </c>
      <c r="P1586" s="4">
        <v>0</v>
      </c>
      <c r="Q1586" s="4">
        <v>1</v>
      </c>
      <c r="R1586" s="4">
        <v>0</v>
      </c>
      <c r="S1586" s="4">
        <f>(H1586*INDEX('Stages'!$D$2:$D$7,MATCH(F1586,'Stages'!$A$2:$A$7,0)))</f>
        <v>0</v>
      </c>
      <c r="T1586" s="4">
        <f>(H1586*I1586)</f>
        <v>423000</v>
      </c>
      <c r="U1586" s="4">
        <f>(H1586*(I1586-1))</f>
        <v>0</v>
      </c>
      <c r="V1586" s="0" t="str">
        <f>INDEX('Account executives'!$B$2:$B$25,MATCH(C1586,'Account executives'!$A$2:$A$25,0))</f>
        <v>emea</v>
      </c>
      <c r="W1586" s="0" t="str">
        <f>INDEX('Account executives'!$C$2:$C$25,MATCH(C1586,'Account executives'!$A$2:$A$25,0))</f>
        <v>enterprise</v>
      </c>
      <c r="X1586" s="0" t="str">
        <f>SUBSTITUTE(LOWER(INDEX('Periods'!$G$2:$G$22,MATCH(N1586,'Periods'!$A$2:$A$22,0)))," ","_")</f>
        <v>q4_2025</v>
      </c>
    </row>
    <row r="1587">
      <c r="A1587" s="0" t="inlineStr">
        <is>
          <t xml:space="preserve">o1586</t>
        </is>
      </c>
      <c r="B1587" s="0" t="inlineStr">
        <is>
          <t xml:space="preserve">a0906</t>
        </is>
      </c>
      <c r="C1587" s="0" t="inlineStr">
        <is>
          <t xml:space="preserve">r04</t>
        </is>
      </c>
      <c r="D1587" s="0"/>
      <c r="E1587" s="0" t="inlineStr">
        <is>
          <t xml:space="preserve">referral</t>
        </is>
      </c>
      <c r="F1587" s="0" t="inlineStr">
        <is>
          <t xml:space="preserve">negotiation</t>
        </is>
      </c>
      <c r="G1587" s="4">
        <v>1</v>
      </c>
      <c r="H1587" s="4">
        <v>46000</v>
      </c>
      <c r="I1587" s="4">
        <v>1</v>
      </c>
      <c r="J1587" s="4">
        <v>0</v>
      </c>
      <c r="K1587" s="16">
        <v>46159</v>
      </c>
      <c r="L1587" s="16">
        <v>46307</v>
      </c>
      <c r="M1587" s="0" t="inlineStr">
        <is>
          <t xml:space="preserve">may26</t>
        </is>
      </c>
      <c r="N1587" s="0" t="inlineStr">
        <is>
          <t xml:space="preserve">oct26</t>
        </is>
      </c>
      <c r="O1587" s="4">
        <v>134</v>
      </c>
      <c r="P1587" s="4">
        <v>0</v>
      </c>
      <c r="Q1587" s="4">
        <v>0</v>
      </c>
      <c r="R1587" s="4">
        <v>1</v>
      </c>
      <c r="S1587" s="4">
        <f>(H1587*INDEX('Stages'!$D$2:$D$7,MATCH(F1587,'Stages'!$A$2:$A$7,0)))</f>
        <v>34500</v>
      </c>
      <c r="T1587" s="4">
        <f>(H1587*I1587)</f>
        <v>46000</v>
      </c>
      <c r="U1587" s="4">
        <f>(H1587*(I1587-1))</f>
        <v>0</v>
      </c>
      <c r="V1587" s="0" t="str">
        <f>INDEX('Account executives'!$B$2:$B$25,MATCH(C1587,'Account executives'!$A$2:$A$25,0))</f>
        <v>amer_east</v>
      </c>
      <c r="W1587" s="0" t="str">
        <f>INDEX('Account executives'!$C$2:$C$25,MATCH(C1587,'Account executives'!$A$2:$A$25,0))</f>
        <v>mid_market</v>
      </c>
      <c r="X1587" s="0" t="str">
        <f>SUBSTITUTE(LOWER(INDEX('Periods'!$G$2:$G$22,MATCH(N1587,'Periods'!$A$2:$A$22,0)))," ","_")</f>
        <v>q4_2026</v>
      </c>
    </row>
    <row r="1588">
      <c r="A1588" s="0" t="inlineStr">
        <is>
          <t xml:space="preserve">o1587</t>
        </is>
      </c>
      <c r="B1588" s="0" t="inlineStr">
        <is>
          <t xml:space="preserve">a0199</t>
        </is>
      </c>
      <c r="C1588" s="0" t="inlineStr">
        <is>
          <t xml:space="preserve">r09</t>
        </is>
      </c>
      <c r="D1588" s="0"/>
      <c r="E1588" s="0" t="inlineStr">
        <is>
          <t xml:space="preserve">partner</t>
        </is>
      </c>
      <c r="F1588" s="0" t="inlineStr">
        <is>
          <t xml:space="preserve">closed_lost</t>
        </is>
      </c>
      <c r="G1588" s="4">
        <v>1</v>
      </c>
      <c r="H1588" s="4">
        <v>84000</v>
      </c>
      <c r="I1588" s="4">
        <v>1</v>
      </c>
      <c r="J1588" s="4">
        <v>0</v>
      </c>
      <c r="K1588" s="16">
        <v>45829</v>
      </c>
      <c r="L1588" s="16">
        <v>45915</v>
      </c>
      <c r="M1588" s="0" t="inlineStr">
        <is>
          <t xml:space="preserve">jun25</t>
        </is>
      </c>
      <c r="N1588" s="0" t="inlineStr">
        <is>
          <t xml:space="preserve">sep25</t>
        </is>
      </c>
      <c r="O1588" s="4">
        <v>86</v>
      </c>
      <c r="P1588" s="4">
        <v>0</v>
      </c>
      <c r="Q1588" s="4">
        <v>1</v>
      </c>
      <c r="R1588" s="4">
        <v>0</v>
      </c>
      <c r="S1588" s="4">
        <f>(H1588*INDEX('Stages'!$D$2:$D$7,MATCH(F1588,'Stages'!$A$2:$A$7,0)))</f>
        <v>0</v>
      </c>
      <c r="T1588" s="4">
        <f>(H1588*I1588)</f>
        <v>84000</v>
      </c>
      <c r="U1588" s="4">
        <f>(H1588*(I1588-1))</f>
        <v>0</v>
      </c>
      <c r="V1588" s="0" t="str">
        <f>INDEX('Account executives'!$B$2:$B$25,MATCH(C1588,'Account executives'!$A$2:$A$25,0))</f>
        <v>amer_west</v>
      </c>
      <c r="W1588" s="0" t="str">
        <f>INDEX('Account executives'!$C$2:$C$25,MATCH(C1588,'Account executives'!$A$2:$A$25,0))</f>
        <v>mid_market</v>
      </c>
      <c r="X1588" s="0" t="str">
        <f>SUBSTITUTE(LOWER(INDEX('Periods'!$G$2:$G$22,MATCH(N1588,'Periods'!$A$2:$A$22,0)))," ","_")</f>
        <v>q3_2025</v>
      </c>
    </row>
    <row r="1589">
      <c r="A1589" s="0" t="inlineStr">
        <is>
          <t xml:space="preserve">o1588</t>
        </is>
      </c>
      <c r="B1589" s="0" t="inlineStr">
        <is>
          <t xml:space="preserve">a0632</t>
        </is>
      </c>
      <c r="C1589" s="0" t="inlineStr">
        <is>
          <t xml:space="preserve">r11</t>
        </is>
      </c>
      <c r="D1589" s="0" t="inlineStr">
        <is>
          <t xml:space="preserve">s_amer_west_out</t>
        </is>
      </c>
      <c r="E1589" s="0" t="inlineStr">
        <is>
          <t xml:space="preserve">outbound</t>
        </is>
      </c>
      <c r="F1589" s="0" t="inlineStr">
        <is>
          <t xml:space="preserve">closed_lost</t>
        </is>
      </c>
      <c r="G1589" s="4">
        <v>1</v>
      </c>
      <c r="H1589" s="4">
        <v>6900</v>
      </c>
      <c r="I1589" s="4">
        <v>1</v>
      </c>
      <c r="J1589" s="4">
        <v>0</v>
      </c>
      <c r="K1589" s="16">
        <v>46041</v>
      </c>
      <c r="L1589" s="16">
        <v>46070</v>
      </c>
      <c r="M1589" s="0" t="inlineStr">
        <is>
          <t xml:space="preserve">jan26</t>
        </is>
      </c>
      <c r="N1589" s="0" t="inlineStr">
        <is>
          <t xml:space="preserve">feb26</t>
        </is>
      </c>
      <c r="O1589" s="4">
        <v>29</v>
      </c>
      <c r="P1589" s="4">
        <v>0</v>
      </c>
      <c r="Q1589" s="4">
        <v>1</v>
      </c>
      <c r="R1589" s="4">
        <v>0</v>
      </c>
      <c r="S1589" s="4">
        <f>(H1589*INDEX('Stages'!$D$2:$D$7,MATCH(F1589,'Stages'!$A$2:$A$7,0)))</f>
        <v>0</v>
      </c>
      <c r="T1589" s="4">
        <f>(H1589*I1589)</f>
        <v>6900</v>
      </c>
      <c r="U1589" s="4">
        <f>(H1589*(I1589-1))</f>
        <v>0</v>
      </c>
      <c r="V1589" s="0" t="str">
        <f>INDEX('Account executives'!$B$2:$B$25,MATCH(C1589,'Account executives'!$A$2:$A$25,0))</f>
        <v>amer_west</v>
      </c>
      <c r="W1589" s="0" t="str">
        <f>INDEX('Account executives'!$C$2:$C$25,MATCH(C1589,'Account executives'!$A$2:$A$25,0))</f>
        <v>smb</v>
      </c>
      <c r="X1589" s="0" t="str">
        <f>SUBSTITUTE(LOWER(INDEX('Periods'!$G$2:$G$22,MATCH(N1589,'Periods'!$A$2:$A$22,0)))," ","_")</f>
        <v>q1_2026</v>
      </c>
    </row>
    <row r="1590">
      <c r="A1590" s="0" t="inlineStr">
        <is>
          <t xml:space="preserve">o1589</t>
        </is>
      </c>
      <c r="B1590" s="0" t="inlineStr">
        <is>
          <t xml:space="preserve">a0658</t>
        </is>
      </c>
      <c r="C1590" s="0" t="inlineStr">
        <is>
          <t xml:space="preserve">r04</t>
        </is>
      </c>
      <c r="D1590" s="0" t="inlineStr">
        <is>
          <t xml:space="preserve">s_amer_east_in</t>
        </is>
      </c>
      <c r="E1590" s="0" t="inlineStr">
        <is>
          <t xml:space="preserve">inbound</t>
        </is>
      </c>
      <c r="F1590" s="0" t="inlineStr">
        <is>
          <t xml:space="preserve">closed_lost</t>
        </is>
      </c>
      <c r="G1590" s="4">
        <v>1</v>
      </c>
      <c r="H1590" s="4">
        <v>40600</v>
      </c>
      <c r="I1590" s="4">
        <v>1</v>
      </c>
      <c r="J1590" s="4">
        <v>0</v>
      </c>
      <c r="K1590" s="16">
        <v>46069</v>
      </c>
      <c r="L1590" s="16">
        <v>46201</v>
      </c>
      <c r="M1590" s="0" t="inlineStr">
        <is>
          <t xml:space="preserve">feb26</t>
        </is>
      </c>
      <c r="N1590" s="0" t="inlineStr">
        <is>
          <t xml:space="preserve">jun26</t>
        </is>
      </c>
      <c r="O1590" s="4">
        <v>132</v>
      </c>
      <c r="P1590" s="4">
        <v>0</v>
      </c>
      <c r="Q1590" s="4">
        <v>1</v>
      </c>
      <c r="R1590" s="4">
        <v>0</v>
      </c>
      <c r="S1590" s="4">
        <f>(H1590*INDEX('Stages'!$D$2:$D$7,MATCH(F1590,'Stages'!$A$2:$A$7,0)))</f>
        <v>0</v>
      </c>
      <c r="T1590" s="4">
        <f>(H1590*I1590)</f>
        <v>40600</v>
      </c>
      <c r="U1590" s="4">
        <f>(H1590*(I1590-1))</f>
        <v>0</v>
      </c>
      <c r="V1590" s="0" t="str">
        <f>INDEX('Account executives'!$B$2:$B$25,MATCH(C1590,'Account executives'!$A$2:$A$25,0))</f>
        <v>amer_east</v>
      </c>
      <c r="W1590" s="0" t="str">
        <f>INDEX('Account executives'!$C$2:$C$25,MATCH(C1590,'Account executives'!$A$2:$A$25,0))</f>
        <v>mid_market</v>
      </c>
      <c r="X1590" s="0" t="str">
        <f>SUBSTITUTE(LOWER(INDEX('Periods'!$G$2:$G$22,MATCH(N1590,'Periods'!$A$2:$A$22,0)))," ","_")</f>
        <v>q2_2026</v>
      </c>
    </row>
    <row r="1591">
      <c r="A1591" s="0" t="inlineStr">
        <is>
          <t xml:space="preserve">o1590</t>
        </is>
      </c>
      <c r="B1591" s="0" t="inlineStr">
        <is>
          <t xml:space="preserve">a1111</t>
        </is>
      </c>
      <c r="C1591" s="0" t="inlineStr">
        <is>
          <t xml:space="preserve">r09</t>
        </is>
      </c>
      <c r="D1591" s="0"/>
      <c r="E1591" s="0" t="inlineStr">
        <is>
          <t xml:space="preserve">referral</t>
        </is>
      </c>
      <c r="F1591" s="0" t="inlineStr">
        <is>
          <t xml:space="preserve">closed_won</t>
        </is>
      </c>
      <c r="G1591" s="4">
        <v>1</v>
      </c>
      <c r="H1591" s="4">
        <v>28000</v>
      </c>
      <c r="I1591" s="4">
        <v>1</v>
      </c>
      <c r="J1591" s="4">
        <v>0</v>
      </c>
      <c r="K1591" s="16">
        <v>46212</v>
      </c>
      <c r="L1591" s="16">
        <v>46283</v>
      </c>
      <c r="M1591" s="0" t="inlineStr">
        <is>
          <t xml:space="preserve">jul26</t>
        </is>
      </c>
      <c r="N1591" s="0" t="inlineStr">
        <is>
          <t xml:space="preserve">sep26</t>
        </is>
      </c>
      <c r="O1591" s="4">
        <v>71</v>
      </c>
      <c r="P1591" s="4">
        <v>1</v>
      </c>
      <c r="Q1591" s="4">
        <v>0</v>
      </c>
      <c r="R1591" s="4">
        <v>0</v>
      </c>
      <c r="S1591" s="4">
        <f>(H1591*INDEX('Stages'!$D$2:$D$7,MATCH(F1591,'Stages'!$A$2:$A$7,0)))</f>
        <v>28000</v>
      </c>
      <c r="T1591" s="4">
        <f>(H1591*I1591)</f>
        <v>28000</v>
      </c>
      <c r="U1591" s="4">
        <f>(H1591*(I1591-1))</f>
        <v>0</v>
      </c>
      <c r="V1591" s="0" t="str">
        <f>INDEX('Account executives'!$B$2:$B$25,MATCH(C1591,'Account executives'!$A$2:$A$25,0))</f>
        <v>amer_west</v>
      </c>
      <c r="W1591" s="0" t="str">
        <f>INDEX('Account executives'!$C$2:$C$25,MATCH(C1591,'Account executives'!$A$2:$A$25,0))</f>
        <v>mid_market</v>
      </c>
      <c r="X1591" s="0" t="str">
        <f>SUBSTITUTE(LOWER(INDEX('Periods'!$G$2:$G$22,MATCH(N1591,'Periods'!$A$2:$A$22,0)))," ","_")</f>
        <v>q3_2026</v>
      </c>
    </row>
    <row r="1592">
      <c r="A1592" s="0" t="inlineStr">
        <is>
          <t xml:space="preserve">o1591</t>
        </is>
      </c>
      <c r="B1592" s="0" t="inlineStr">
        <is>
          <t xml:space="preserve">a0612</t>
        </is>
      </c>
      <c r="C1592" s="0" t="inlineStr">
        <is>
          <t xml:space="preserve">r05</t>
        </is>
      </c>
      <c r="D1592" s="0" t="inlineStr">
        <is>
          <t xml:space="preserve">s_amer_east_in</t>
        </is>
      </c>
      <c r="E1592" s="0" t="inlineStr">
        <is>
          <t xml:space="preserve">paid</t>
        </is>
      </c>
      <c r="F1592" s="0" t="inlineStr">
        <is>
          <t xml:space="preserve">closed_lost</t>
        </is>
      </c>
      <c r="G1592" s="4">
        <v>1</v>
      </c>
      <c r="H1592" s="4">
        <v>14500</v>
      </c>
      <c r="I1592" s="4">
        <v>1</v>
      </c>
      <c r="J1592" s="4">
        <v>0</v>
      </c>
      <c r="K1592" s="16">
        <v>46024</v>
      </c>
      <c r="L1592" s="16">
        <v>46078</v>
      </c>
      <c r="M1592" s="0" t="inlineStr">
        <is>
          <t xml:space="preserve">jan26</t>
        </is>
      </c>
      <c r="N1592" s="0" t="inlineStr">
        <is>
          <t xml:space="preserve">feb26</t>
        </is>
      </c>
      <c r="O1592" s="4">
        <v>54</v>
      </c>
      <c r="P1592" s="4">
        <v>0</v>
      </c>
      <c r="Q1592" s="4">
        <v>1</v>
      </c>
      <c r="R1592" s="4">
        <v>0</v>
      </c>
      <c r="S1592" s="4">
        <f>(H1592*INDEX('Stages'!$D$2:$D$7,MATCH(F1592,'Stages'!$A$2:$A$7,0)))</f>
        <v>0</v>
      </c>
      <c r="T1592" s="4">
        <f>(H1592*I1592)</f>
        <v>14500</v>
      </c>
      <c r="U1592" s="4">
        <f>(H1592*(I1592-1))</f>
        <v>0</v>
      </c>
      <c r="V1592" s="0" t="str">
        <f>INDEX('Account executives'!$B$2:$B$25,MATCH(C1592,'Account executives'!$A$2:$A$25,0))</f>
        <v>amer_east</v>
      </c>
      <c r="W1592" s="0" t="str">
        <f>INDEX('Account executives'!$C$2:$C$25,MATCH(C1592,'Account executives'!$A$2:$A$25,0))</f>
        <v>smb</v>
      </c>
      <c r="X1592" s="0" t="str">
        <f>SUBSTITUTE(LOWER(INDEX('Periods'!$G$2:$G$22,MATCH(N1592,'Periods'!$A$2:$A$22,0)))," ","_")</f>
        <v>q1_2026</v>
      </c>
    </row>
    <row r="1593">
      <c r="A1593" s="0" t="inlineStr">
        <is>
          <t xml:space="preserve">o1592</t>
        </is>
      </c>
      <c r="B1593" s="0" t="inlineStr">
        <is>
          <t xml:space="preserve">a0408</t>
        </is>
      </c>
      <c r="C1593" s="0" t="inlineStr">
        <is>
          <t xml:space="preserve">r21</t>
        </is>
      </c>
      <c r="D1593" s="0" t="inlineStr">
        <is>
          <t xml:space="preserve">s_apac_out</t>
        </is>
      </c>
      <c r="E1593" s="0" t="inlineStr">
        <is>
          <t xml:space="preserve">outbound</t>
        </is>
      </c>
      <c r="F1593" s="0" t="inlineStr">
        <is>
          <t xml:space="preserve">closed_lost</t>
        </is>
      </c>
      <c r="G1593" s="4">
        <v>0</v>
      </c>
      <c r="H1593" s="4">
        <v>39500</v>
      </c>
      <c r="I1593" s="4">
        <v>1</v>
      </c>
      <c r="J1593" s="4">
        <v>1</v>
      </c>
      <c r="K1593" s="16">
        <v>45999</v>
      </c>
      <c r="L1593" s="16">
        <v>46036</v>
      </c>
      <c r="M1593" s="0" t="inlineStr">
        <is>
          <t xml:space="preserve">dec25</t>
        </is>
      </c>
      <c r="N1593" s="0" t="inlineStr">
        <is>
          <t xml:space="preserve">jan26</t>
        </is>
      </c>
      <c r="O1593" s="4">
        <v>37</v>
      </c>
      <c r="P1593" s="4">
        <v>0</v>
      </c>
      <c r="Q1593" s="4">
        <v>1</v>
      </c>
      <c r="R1593" s="4">
        <v>0</v>
      </c>
      <c r="S1593" s="4">
        <f>(H1593*INDEX('Stages'!$D$2:$D$7,MATCH(F1593,'Stages'!$A$2:$A$7,0)))</f>
        <v>0</v>
      </c>
      <c r="T1593" s="4">
        <f>(H1593*I1593)</f>
        <v>39500</v>
      </c>
      <c r="U1593" s="4">
        <f>(H1593*(I1593-1))</f>
        <v>0</v>
      </c>
      <c r="V1593" s="0" t="str">
        <f>INDEX('Account executives'!$B$2:$B$25,MATCH(C1593,'Account executives'!$A$2:$A$25,0))</f>
        <v>apac</v>
      </c>
      <c r="W1593" s="0" t="str">
        <f>INDEX('Account executives'!$C$2:$C$25,MATCH(C1593,'Account executives'!$A$2:$A$25,0))</f>
        <v>mid_market</v>
      </c>
      <c r="X1593" s="0" t="str">
        <f>SUBSTITUTE(LOWER(INDEX('Periods'!$G$2:$G$22,MATCH(N1593,'Periods'!$A$2:$A$22,0)))," ","_")</f>
        <v>q1_2026</v>
      </c>
    </row>
    <row r="1594">
      <c r="A1594" s="0" t="inlineStr">
        <is>
          <t xml:space="preserve">o1593</t>
        </is>
      </c>
      <c r="B1594" s="0" t="inlineStr">
        <is>
          <t xml:space="preserve">a0676</t>
        </is>
      </c>
      <c r="C1594" s="0" t="inlineStr">
        <is>
          <t xml:space="preserve">r09</t>
        </is>
      </c>
      <c r="D1594" s="0" t="inlineStr">
        <is>
          <t xml:space="preserve">s_amer_west_in</t>
        </is>
      </c>
      <c r="E1594" s="0" t="inlineStr">
        <is>
          <t xml:space="preserve">inbound</t>
        </is>
      </c>
      <c r="F1594" s="0" t="inlineStr">
        <is>
          <t xml:space="preserve">closed_won</t>
        </is>
      </c>
      <c r="G1594" s="4">
        <v>1</v>
      </c>
      <c r="H1594" s="4">
        <v>56200</v>
      </c>
      <c r="I1594" s="4">
        <v>1</v>
      </c>
      <c r="J1594" s="4">
        <v>0</v>
      </c>
      <c r="K1594" s="16">
        <v>46078</v>
      </c>
      <c r="L1594" s="16">
        <v>46137</v>
      </c>
      <c r="M1594" s="0" t="inlineStr">
        <is>
          <t xml:space="preserve">feb26</t>
        </is>
      </c>
      <c r="N1594" s="0" t="inlineStr">
        <is>
          <t xml:space="preserve">apr26</t>
        </is>
      </c>
      <c r="O1594" s="4">
        <v>59</v>
      </c>
      <c r="P1594" s="4">
        <v>1</v>
      </c>
      <c r="Q1594" s="4">
        <v>0</v>
      </c>
      <c r="R1594" s="4">
        <v>0</v>
      </c>
      <c r="S1594" s="4">
        <f>(H1594*INDEX('Stages'!$D$2:$D$7,MATCH(F1594,'Stages'!$A$2:$A$7,0)))</f>
        <v>56200</v>
      </c>
      <c r="T1594" s="4">
        <f>(H1594*I1594)</f>
        <v>56200</v>
      </c>
      <c r="U1594" s="4">
        <f>(H1594*(I1594-1))</f>
        <v>0</v>
      </c>
      <c r="V1594" s="0" t="str">
        <f>INDEX('Account executives'!$B$2:$B$25,MATCH(C1594,'Account executives'!$A$2:$A$25,0))</f>
        <v>amer_west</v>
      </c>
      <c r="W1594" s="0" t="str">
        <f>INDEX('Account executives'!$C$2:$C$25,MATCH(C1594,'Account executives'!$A$2:$A$25,0))</f>
        <v>mid_market</v>
      </c>
      <c r="X1594" s="0" t="str">
        <f>SUBSTITUTE(LOWER(INDEX('Periods'!$G$2:$G$22,MATCH(N1594,'Periods'!$A$2:$A$22,0)))," ","_")</f>
        <v>q2_2026</v>
      </c>
    </row>
    <row r="1595">
      <c r="A1595" s="0" t="inlineStr">
        <is>
          <t xml:space="preserve">o1594</t>
        </is>
      </c>
      <c r="B1595" s="0" t="inlineStr">
        <is>
          <t xml:space="preserve">a0742</t>
        </is>
      </c>
      <c r="C1595" s="0" t="inlineStr">
        <is>
          <t xml:space="preserve">r03</t>
        </is>
      </c>
      <c r="D1595" s="0"/>
      <c r="E1595" s="0" t="inlineStr">
        <is>
          <t xml:space="preserve">events</t>
        </is>
      </c>
      <c r="F1595" s="0" t="inlineStr">
        <is>
          <t xml:space="preserve">closed_won</t>
        </is>
      </c>
      <c r="G1595" s="4">
        <v>1</v>
      </c>
      <c r="H1595" s="4">
        <v>15500</v>
      </c>
      <c r="I1595" s="4">
        <v>2</v>
      </c>
      <c r="J1595" s="4">
        <v>0</v>
      </c>
      <c r="K1595" s="16">
        <v>46102</v>
      </c>
      <c r="L1595" s="16">
        <v>46154</v>
      </c>
      <c r="M1595" s="0" t="inlineStr">
        <is>
          <t xml:space="preserve">mar26</t>
        </is>
      </c>
      <c r="N1595" s="0" t="inlineStr">
        <is>
          <t xml:space="preserve">may26</t>
        </is>
      </c>
      <c r="O1595" s="4">
        <v>52</v>
      </c>
      <c r="P1595" s="4">
        <v>1</v>
      </c>
      <c r="Q1595" s="4">
        <v>0</v>
      </c>
      <c r="R1595" s="4">
        <v>0</v>
      </c>
      <c r="S1595" s="4">
        <f>(H1595*INDEX('Stages'!$D$2:$D$7,MATCH(F1595,'Stages'!$A$2:$A$7,0)))</f>
        <v>15500</v>
      </c>
      <c r="T1595" s="4">
        <f>(H1595*I1595)</f>
        <v>31000</v>
      </c>
      <c r="U1595" s="4">
        <f>(H1595*(I1595-1))</f>
        <v>15500</v>
      </c>
      <c r="V1595" s="0" t="str">
        <f>INDEX('Account executives'!$B$2:$B$25,MATCH(C1595,'Account executives'!$A$2:$A$25,0))</f>
        <v>amer_east</v>
      </c>
      <c r="W1595" s="0" t="str">
        <f>INDEX('Account executives'!$C$2:$C$25,MATCH(C1595,'Account executives'!$A$2:$A$25,0))</f>
        <v>mid_market</v>
      </c>
      <c r="X1595" s="0" t="str">
        <f>SUBSTITUTE(LOWER(INDEX('Periods'!$G$2:$G$22,MATCH(N1595,'Periods'!$A$2:$A$22,0)))," ","_")</f>
        <v>q2_2026</v>
      </c>
    </row>
    <row r="1596">
      <c r="A1596" s="0" t="inlineStr">
        <is>
          <t xml:space="preserve">o1595</t>
        </is>
      </c>
      <c r="B1596" s="0" t="inlineStr">
        <is>
          <t xml:space="preserve">a0314</t>
        </is>
      </c>
      <c r="C1596" s="0" t="inlineStr">
        <is>
          <t xml:space="preserve">r03</t>
        </is>
      </c>
      <c r="D1596" s="0" t="inlineStr">
        <is>
          <t xml:space="preserve">s_amer_east_in</t>
        </is>
      </c>
      <c r="E1596" s="0" t="inlineStr">
        <is>
          <t xml:space="preserve">inbound</t>
        </is>
      </c>
      <c r="F1596" s="0" t="inlineStr">
        <is>
          <t xml:space="preserve">closed_lost</t>
        </is>
      </c>
      <c r="G1596" s="4">
        <v>1</v>
      </c>
      <c r="H1596" s="4">
        <v>37600</v>
      </c>
      <c r="I1596" s="4">
        <v>1</v>
      </c>
      <c r="J1596" s="4">
        <v>0</v>
      </c>
      <c r="K1596" s="16">
        <v>45881</v>
      </c>
      <c r="L1596" s="16">
        <v>46019</v>
      </c>
      <c r="M1596" s="0" t="inlineStr">
        <is>
          <t xml:space="preserve">aug25</t>
        </is>
      </c>
      <c r="N1596" s="0" t="inlineStr">
        <is>
          <t xml:space="preserve">dec25</t>
        </is>
      </c>
      <c r="O1596" s="4">
        <v>138</v>
      </c>
      <c r="P1596" s="4">
        <v>0</v>
      </c>
      <c r="Q1596" s="4">
        <v>1</v>
      </c>
      <c r="R1596" s="4">
        <v>0</v>
      </c>
      <c r="S1596" s="4">
        <f>(H1596*INDEX('Stages'!$D$2:$D$7,MATCH(F1596,'Stages'!$A$2:$A$7,0)))</f>
        <v>0</v>
      </c>
      <c r="T1596" s="4">
        <f>(H1596*I1596)</f>
        <v>37600</v>
      </c>
      <c r="U1596" s="4">
        <f>(H1596*(I1596-1))</f>
        <v>0</v>
      </c>
      <c r="V1596" s="0" t="str">
        <f>INDEX('Account executives'!$B$2:$B$25,MATCH(C1596,'Account executives'!$A$2:$A$25,0))</f>
        <v>amer_east</v>
      </c>
      <c r="W1596" s="0" t="str">
        <f>INDEX('Account executives'!$C$2:$C$25,MATCH(C1596,'Account executives'!$A$2:$A$25,0))</f>
        <v>mid_market</v>
      </c>
      <c r="X1596" s="0" t="str">
        <f>SUBSTITUTE(LOWER(INDEX('Periods'!$G$2:$G$22,MATCH(N1596,'Periods'!$A$2:$A$22,0)))," ","_")</f>
        <v>q4_2025</v>
      </c>
    </row>
    <row r="1597">
      <c r="A1597" s="0" t="inlineStr">
        <is>
          <t xml:space="preserve">o1596</t>
        </is>
      </c>
      <c r="B1597" s="0" t="inlineStr">
        <is>
          <t xml:space="preserve">a1116</t>
        </is>
      </c>
      <c r="C1597" s="0" t="inlineStr">
        <is>
          <t xml:space="preserve">r15</t>
        </is>
      </c>
      <c r="D1597" s="0" t="inlineStr">
        <is>
          <t xml:space="preserve">s_emea_in</t>
        </is>
      </c>
      <c r="E1597" s="0" t="inlineStr">
        <is>
          <t xml:space="preserve">inbound</t>
        </is>
      </c>
      <c r="F1597" s="0" t="inlineStr">
        <is>
          <t xml:space="preserve">closed_won</t>
        </is>
      </c>
      <c r="G1597" s="4">
        <v>1</v>
      </c>
      <c r="H1597" s="4">
        <v>42400</v>
      </c>
      <c r="I1597" s="4">
        <v>1</v>
      </c>
      <c r="J1597" s="4">
        <v>1</v>
      </c>
      <c r="K1597" s="16">
        <v>46215</v>
      </c>
      <c r="L1597" s="16">
        <v>46277</v>
      </c>
      <c r="M1597" s="0" t="inlineStr">
        <is>
          <t xml:space="preserve">jul26</t>
        </is>
      </c>
      <c r="N1597" s="0" t="inlineStr">
        <is>
          <t xml:space="preserve">sep26</t>
        </is>
      </c>
      <c r="O1597" s="4">
        <v>62</v>
      </c>
      <c r="P1597" s="4">
        <v>1</v>
      </c>
      <c r="Q1597" s="4">
        <v>0</v>
      </c>
      <c r="R1597" s="4">
        <v>0</v>
      </c>
      <c r="S1597" s="4">
        <f>(H1597*INDEX('Stages'!$D$2:$D$7,MATCH(F1597,'Stages'!$A$2:$A$7,0)))</f>
        <v>42400</v>
      </c>
      <c r="T1597" s="4">
        <f>(H1597*I1597)</f>
        <v>42400</v>
      </c>
      <c r="U1597" s="4">
        <f>(H1597*(I1597-1))</f>
        <v>0</v>
      </c>
      <c r="V1597" s="0" t="str">
        <f>INDEX('Account executives'!$B$2:$B$25,MATCH(C1597,'Account executives'!$A$2:$A$25,0))</f>
        <v>emea</v>
      </c>
      <c r="W1597" s="0" t="str">
        <f>INDEX('Account executives'!$C$2:$C$25,MATCH(C1597,'Account executives'!$A$2:$A$25,0))</f>
        <v>mid_market</v>
      </c>
      <c r="X1597" s="0" t="str">
        <f>SUBSTITUTE(LOWER(INDEX('Periods'!$G$2:$G$22,MATCH(N1597,'Periods'!$A$2:$A$22,0)))," ","_")</f>
        <v>q3_2026</v>
      </c>
    </row>
    <row r="1598">
      <c r="A1598" s="0" t="inlineStr">
        <is>
          <t xml:space="preserve">o1597</t>
        </is>
      </c>
      <c r="B1598" s="0" t="inlineStr">
        <is>
          <t xml:space="preserve">a0903</t>
        </is>
      </c>
      <c r="C1598" s="0" t="inlineStr">
        <is>
          <t xml:space="preserve">r05</t>
        </is>
      </c>
      <c r="D1598" s="0"/>
      <c r="E1598" s="0" t="inlineStr">
        <is>
          <t xml:space="preserve">partner</t>
        </is>
      </c>
      <c r="F1598" s="0" t="inlineStr">
        <is>
          <t xml:space="preserve">closed_lost</t>
        </is>
      </c>
      <c r="G1598" s="4">
        <v>1</v>
      </c>
      <c r="H1598" s="4">
        <v>7800</v>
      </c>
      <c r="I1598" s="4">
        <v>1</v>
      </c>
      <c r="J1598" s="4">
        <v>1</v>
      </c>
      <c r="K1598" s="16">
        <v>46158</v>
      </c>
      <c r="L1598" s="16">
        <v>46185</v>
      </c>
      <c r="M1598" s="0" t="inlineStr">
        <is>
          <t xml:space="preserve">may26</t>
        </is>
      </c>
      <c r="N1598" s="0" t="inlineStr">
        <is>
          <t xml:space="preserve">jun26</t>
        </is>
      </c>
      <c r="O1598" s="4">
        <v>27</v>
      </c>
      <c r="P1598" s="4">
        <v>0</v>
      </c>
      <c r="Q1598" s="4">
        <v>1</v>
      </c>
      <c r="R1598" s="4">
        <v>0</v>
      </c>
      <c r="S1598" s="4">
        <f>(H1598*INDEX('Stages'!$D$2:$D$7,MATCH(F1598,'Stages'!$A$2:$A$7,0)))</f>
        <v>0</v>
      </c>
      <c r="T1598" s="4">
        <f>(H1598*I1598)</f>
        <v>7800</v>
      </c>
      <c r="U1598" s="4">
        <f>(H1598*(I1598-1))</f>
        <v>0</v>
      </c>
      <c r="V1598" s="0" t="str">
        <f>INDEX('Account executives'!$B$2:$B$25,MATCH(C1598,'Account executives'!$A$2:$A$25,0))</f>
        <v>amer_east</v>
      </c>
      <c r="W1598" s="0" t="str">
        <f>INDEX('Account executives'!$C$2:$C$25,MATCH(C1598,'Account executives'!$A$2:$A$25,0))</f>
        <v>smb</v>
      </c>
      <c r="X1598" s="0" t="str">
        <f>SUBSTITUTE(LOWER(INDEX('Periods'!$G$2:$G$22,MATCH(N1598,'Periods'!$A$2:$A$22,0)))," ","_")</f>
        <v>q2_2026</v>
      </c>
    </row>
    <row r="1599">
      <c r="A1599" s="0" t="inlineStr">
        <is>
          <t xml:space="preserve">o1598</t>
        </is>
      </c>
      <c r="B1599" s="0" t="inlineStr">
        <is>
          <t xml:space="preserve">a0651</t>
        </is>
      </c>
      <c r="C1599" s="0" t="inlineStr">
        <is>
          <t xml:space="preserve">r13</t>
        </is>
      </c>
      <c r="D1599" s="0"/>
      <c r="E1599" s="0" t="inlineStr">
        <is>
          <t xml:space="preserve">referral</t>
        </is>
      </c>
      <c r="F1599" s="0" t="inlineStr">
        <is>
          <t xml:space="preserve">closed_lost</t>
        </is>
      </c>
      <c r="G1599" s="4">
        <v>1</v>
      </c>
      <c r="H1599" s="4">
        <v>354000</v>
      </c>
      <c r="I1599" s="4">
        <v>2</v>
      </c>
      <c r="J1599" s="4">
        <v>1</v>
      </c>
      <c r="K1599" s="16">
        <v>46025</v>
      </c>
      <c r="L1599" s="16">
        <v>46166</v>
      </c>
      <c r="M1599" s="0" t="inlineStr">
        <is>
          <t xml:space="preserve">jan26</t>
        </is>
      </c>
      <c r="N1599" s="0" t="inlineStr">
        <is>
          <t xml:space="preserve">may26</t>
        </is>
      </c>
      <c r="O1599" s="4">
        <v>141</v>
      </c>
      <c r="P1599" s="4">
        <v>0</v>
      </c>
      <c r="Q1599" s="4">
        <v>1</v>
      </c>
      <c r="R1599" s="4">
        <v>0</v>
      </c>
      <c r="S1599" s="4">
        <f>(H1599*INDEX('Stages'!$D$2:$D$7,MATCH(F1599,'Stages'!$A$2:$A$7,0)))</f>
        <v>0</v>
      </c>
      <c r="T1599" s="4">
        <f>(H1599*I1599)</f>
        <v>708000</v>
      </c>
      <c r="U1599" s="4">
        <f>(H1599*(I1599-1))</f>
        <v>354000</v>
      </c>
      <c r="V1599" s="0" t="str">
        <f>INDEX('Account executives'!$B$2:$B$25,MATCH(C1599,'Account executives'!$A$2:$A$25,0))</f>
        <v>emea</v>
      </c>
      <c r="W1599" s="0" t="str">
        <f>INDEX('Account executives'!$C$2:$C$25,MATCH(C1599,'Account executives'!$A$2:$A$25,0))</f>
        <v>enterprise</v>
      </c>
      <c r="X1599" s="0" t="str">
        <f>SUBSTITUTE(LOWER(INDEX('Periods'!$G$2:$G$22,MATCH(N1599,'Periods'!$A$2:$A$22,0)))," ","_")</f>
        <v>q2_2026</v>
      </c>
    </row>
    <row r="1600">
      <c r="A1600" s="0" t="inlineStr">
        <is>
          <t xml:space="preserve">o1599</t>
        </is>
      </c>
      <c r="B1600" s="0" t="inlineStr">
        <is>
          <t xml:space="preserve">a0099</t>
        </is>
      </c>
      <c r="C1600" s="0" t="inlineStr">
        <is>
          <t xml:space="preserve">r09</t>
        </is>
      </c>
      <c r="D1600" s="0"/>
      <c r="E1600" s="0" t="inlineStr">
        <is>
          <t xml:space="preserve">events</t>
        </is>
      </c>
      <c r="F1600" s="0" t="inlineStr">
        <is>
          <t xml:space="preserve">closed_lost</t>
        </is>
      </c>
      <c r="G1600" s="4">
        <v>1</v>
      </c>
      <c r="H1600" s="4">
        <v>38400</v>
      </c>
      <c r="I1600" s="4">
        <v>1</v>
      </c>
      <c r="J1600" s="4">
        <v>0</v>
      </c>
      <c r="K1600" s="16">
        <v>45793</v>
      </c>
      <c r="L1600" s="16">
        <v>45884</v>
      </c>
      <c r="M1600" s="0" t="inlineStr">
        <is>
          <t xml:space="preserve">may25</t>
        </is>
      </c>
      <c r="N1600" s="0" t="inlineStr">
        <is>
          <t xml:space="preserve">aug25</t>
        </is>
      </c>
      <c r="O1600" s="4">
        <v>91</v>
      </c>
      <c r="P1600" s="4">
        <v>0</v>
      </c>
      <c r="Q1600" s="4">
        <v>1</v>
      </c>
      <c r="R1600" s="4">
        <v>0</v>
      </c>
      <c r="S1600" s="4">
        <f>(H1600*INDEX('Stages'!$D$2:$D$7,MATCH(F1600,'Stages'!$A$2:$A$7,0)))</f>
        <v>0</v>
      </c>
      <c r="T1600" s="4">
        <f>(H1600*I1600)</f>
        <v>38400</v>
      </c>
      <c r="U1600" s="4">
        <f>(H1600*(I1600-1))</f>
        <v>0</v>
      </c>
      <c r="V1600" s="0" t="str">
        <f>INDEX('Account executives'!$B$2:$B$25,MATCH(C1600,'Account executives'!$A$2:$A$25,0))</f>
        <v>amer_west</v>
      </c>
      <c r="W1600" s="0" t="str">
        <f>INDEX('Account executives'!$C$2:$C$25,MATCH(C1600,'Account executives'!$A$2:$A$25,0))</f>
        <v>mid_market</v>
      </c>
      <c r="X1600" s="0" t="str">
        <f>SUBSTITUTE(LOWER(INDEX('Periods'!$G$2:$G$22,MATCH(N1600,'Periods'!$A$2:$A$22,0)))," ","_")</f>
        <v>q3_2025</v>
      </c>
    </row>
    <row r="1601">
      <c r="A1601" s="0" t="inlineStr">
        <is>
          <t xml:space="preserve">o1600</t>
        </is>
      </c>
      <c r="B1601" s="0" t="inlineStr">
        <is>
          <t xml:space="preserve">a0587</t>
        </is>
      </c>
      <c r="C1601" s="0" t="inlineStr">
        <is>
          <t xml:space="preserve">r17</t>
        </is>
      </c>
      <c r="D1601" s="0" t="inlineStr">
        <is>
          <t xml:space="preserve">s_emea_in</t>
        </is>
      </c>
      <c r="E1601" s="0" t="inlineStr">
        <is>
          <t xml:space="preserve">inbound</t>
        </is>
      </c>
      <c r="F1601" s="0" t="inlineStr">
        <is>
          <t xml:space="preserve">closed_won</t>
        </is>
      </c>
      <c r="G1601" s="4">
        <v>1</v>
      </c>
      <c r="H1601" s="4">
        <v>11100</v>
      </c>
      <c r="I1601" s="4">
        <v>1</v>
      </c>
      <c r="J1601" s="4">
        <v>0</v>
      </c>
      <c r="K1601" s="16">
        <v>46006</v>
      </c>
      <c r="L1601" s="16">
        <v>46052</v>
      </c>
      <c r="M1601" s="0" t="inlineStr">
        <is>
          <t xml:space="preserve">dec25</t>
        </is>
      </c>
      <c r="N1601" s="0" t="inlineStr">
        <is>
          <t xml:space="preserve">jan26</t>
        </is>
      </c>
      <c r="O1601" s="4">
        <v>46</v>
      </c>
      <c r="P1601" s="4">
        <v>1</v>
      </c>
      <c r="Q1601" s="4">
        <v>0</v>
      </c>
      <c r="R1601" s="4">
        <v>0</v>
      </c>
      <c r="S1601" s="4">
        <f>(H1601*INDEX('Stages'!$D$2:$D$7,MATCH(F1601,'Stages'!$A$2:$A$7,0)))</f>
        <v>11100</v>
      </c>
      <c r="T1601" s="4">
        <f>(H1601*I1601)</f>
        <v>11100</v>
      </c>
      <c r="U1601" s="4">
        <f>(H1601*(I1601-1))</f>
        <v>0</v>
      </c>
      <c r="V1601" s="0" t="str">
        <f>INDEX('Account executives'!$B$2:$B$25,MATCH(C1601,'Account executives'!$A$2:$A$25,0))</f>
        <v>emea</v>
      </c>
      <c r="W1601" s="0" t="str">
        <f>INDEX('Account executives'!$C$2:$C$25,MATCH(C1601,'Account executives'!$A$2:$A$25,0))</f>
        <v>smb</v>
      </c>
      <c r="X1601" s="0" t="str">
        <f>SUBSTITUTE(LOWER(INDEX('Periods'!$G$2:$G$22,MATCH(N1601,'Periods'!$A$2:$A$22,0)))," ","_")</f>
        <v>q1_2026</v>
      </c>
    </row>
    <row r="1602">
      <c r="A1602" s="0" t="inlineStr">
        <is>
          <t xml:space="preserve">o1601</t>
        </is>
      </c>
      <c r="B1602" s="0" t="inlineStr">
        <is>
          <t xml:space="preserve">a0383</t>
        </is>
      </c>
      <c r="C1602" s="0" t="inlineStr">
        <is>
          <t xml:space="preserve">r12</t>
        </is>
      </c>
      <c r="D1602" s="0"/>
      <c r="E1602" s="0" t="inlineStr">
        <is>
          <t xml:space="preserve">partner</t>
        </is>
      </c>
      <c r="F1602" s="0" t="inlineStr">
        <is>
          <t xml:space="preserve">closed_won</t>
        </is>
      </c>
      <c r="G1602" s="4">
        <v>1</v>
      </c>
      <c r="H1602" s="4">
        <v>33900</v>
      </c>
      <c r="I1602" s="4">
        <v>1</v>
      </c>
      <c r="J1602" s="4">
        <v>0</v>
      </c>
      <c r="K1602" s="16">
        <v>45902</v>
      </c>
      <c r="L1602" s="16">
        <v>46019</v>
      </c>
      <c r="M1602" s="0" t="inlineStr">
        <is>
          <t xml:space="preserve">sep25</t>
        </is>
      </c>
      <c r="N1602" s="0" t="inlineStr">
        <is>
          <t xml:space="preserve">dec25</t>
        </is>
      </c>
      <c r="O1602" s="4">
        <v>117</v>
      </c>
      <c r="P1602" s="4">
        <v>1</v>
      </c>
      <c r="Q1602" s="4">
        <v>0</v>
      </c>
      <c r="R1602" s="4">
        <v>0</v>
      </c>
      <c r="S1602" s="4">
        <f>(H1602*INDEX('Stages'!$D$2:$D$7,MATCH(F1602,'Stages'!$A$2:$A$7,0)))</f>
        <v>33900</v>
      </c>
      <c r="T1602" s="4">
        <f>(H1602*I1602)</f>
        <v>33900</v>
      </c>
      <c r="U1602" s="4">
        <f>(H1602*(I1602-1))</f>
        <v>0</v>
      </c>
      <c r="V1602" s="0" t="str">
        <f>INDEX('Account executives'!$B$2:$B$25,MATCH(C1602,'Account executives'!$A$2:$A$25,0))</f>
        <v>amer_west</v>
      </c>
      <c r="W1602" s="0" t="str">
        <f>INDEX('Account executives'!$C$2:$C$25,MATCH(C1602,'Account executives'!$A$2:$A$25,0))</f>
        <v>smb</v>
      </c>
      <c r="X1602" s="0" t="str">
        <f>SUBSTITUTE(LOWER(INDEX('Periods'!$G$2:$G$22,MATCH(N1602,'Periods'!$A$2:$A$22,0)))," ","_")</f>
        <v>q4_2025</v>
      </c>
    </row>
    <row r="1603">
      <c r="A1603" s="0" t="inlineStr">
        <is>
          <t xml:space="preserve">o1602</t>
        </is>
      </c>
      <c r="B1603" s="0" t="inlineStr">
        <is>
          <t xml:space="preserve">a0150</t>
        </is>
      </c>
      <c r="C1603" s="0" t="inlineStr">
        <is>
          <t xml:space="preserve">r19</t>
        </is>
      </c>
      <c r="D1603" s="0"/>
      <c r="E1603" s="0" t="inlineStr">
        <is>
          <t xml:space="preserve">events</t>
        </is>
      </c>
      <c r="F1603" s="0" t="inlineStr">
        <is>
          <t xml:space="preserve">closed_won</t>
        </is>
      </c>
      <c r="G1603" s="4">
        <v>1</v>
      </c>
      <c r="H1603" s="4">
        <v>82000</v>
      </c>
      <c r="I1603" s="4">
        <v>3</v>
      </c>
      <c r="J1603" s="4">
        <v>0</v>
      </c>
      <c r="K1603" s="16">
        <v>45787</v>
      </c>
      <c r="L1603" s="16">
        <v>45877</v>
      </c>
      <c r="M1603" s="0" t="inlineStr">
        <is>
          <t xml:space="preserve">may25</t>
        </is>
      </c>
      <c r="N1603" s="0" t="inlineStr">
        <is>
          <t xml:space="preserve">aug25</t>
        </is>
      </c>
      <c r="O1603" s="4">
        <v>90</v>
      </c>
      <c r="P1603" s="4">
        <v>1</v>
      </c>
      <c r="Q1603" s="4">
        <v>0</v>
      </c>
      <c r="R1603" s="4">
        <v>0</v>
      </c>
      <c r="S1603" s="4">
        <f>(H1603*INDEX('Stages'!$D$2:$D$7,MATCH(F1603,'Stages'!$A$2:$A$7,0)))</f>
        <v>82000</v>
      </c>
      <c r="T1603" s="4">
        <f>(H1603*I1603)</f>
        <v>246000</v>
      </c>
      <c r="U1603" s="4">
        <f>(H1603*(I1603-1))</f>
        <v>164000</v>
      </c>
      <c r="V1603" s="0" t="str">
        <f>INDEX('Account executives'!$B$2:$B$25,MATCH(C1603,'Account executives'!$A$2:$A$25,0))</f>
        <v>apac</v>
      </c>
      <c r="W1603" s="0" t="str">
        <f>INDEX('Account executives'!$C$2:$C$25,MATCH(C1603,'Account executives'!$A$2:$A$25,0))</f>
        <v>enterprise</v>
      </c>
      <c r="X1603" s="0" t="str">
        <f>SUBSTITUTE(LOWER(INDEX('Periods'!$G$2:$G$22,MATCH(N1603,'Periods'!$A$2:$A$22,0)))," ","_")</f>
        <v>q3_2025</v>
      </c>
    </row>
    <row r="1604">
      <c r="A1604" s="0" t="inlineStr">
        <is>
          <t xml:space="preserve">o1603</t>
        </is>
      </c>
      <c r="B1604" s="0" t="inlineStr">
        <is>
          <t xml:space="preserve">a1013</t>
        </is>
      </c>
      <c r="C1604" s="0" t="inlineStr">
        <is>
          <t xml:space="preserve">r16</t>
        </is>
      </c>
      <c r="D1604" s="0" t="inlineStr">
        <is>
          <t xml:space="preserve">s_emea_in</t>
        </is>
      </c>
      <c r="E1604" s="0" t="inlineStr">
        <is>
          <t xml:space="preserve">inbound</t>
        </is>
      </c>
      <c r="F1604" s="0" t="inlineStr">
        <is>
          <t xml:space="preserve">closed_lost</t>
        </is>
      </c>
      <c r="G1604" s="4">
        <v>1</v>
      </c>
      <c r="H1604" s="4">
        <v>34400</v>
      </c>
      <c r="I1604" s="4">
        <v>1</v>
      </c>
      <c r="J1604" s="4">
        <v>1</v>
      </c>
      <c r="K1604" s="16">
        <v>46180</v>
      </c>
      <c r="L1604" s="16">
        <v>46253</v>
      </c>
      <c r="M1604" s="0" t="inlineStr">
        <is>
          <t xml:space="preserve">jun26</t>
        </is>
      </c>
      <c r="N1604" s="0" t="inlineStr">
        <is>
          <t xml:space="preserve">aug26</t>
        </is>
      </c>
      <c r="O1604" s="4">
        <v>73</v>
      </c>
      <c r="P1604" s="4">
        <v>0</v>
      </c>
      <c r="Q1604" s="4">
        <v>1</v>
      </c>
      <c r="R1604" s="4">
        <v>0</v>
      </c>
      <c r="S1604" s="4">
        <f>(H1604*INDEX('Stages'!$D$2:$D$7,MATCH(F1604,'Stages'!$A$2:$A$7,0)))</f>
        <v>0</v>
      </c>
      <c r="T1604" s="4">
        <f>(H1604*I1604)</f>
        <v>34400</v>
      </c>
      <c r="U1604" s="4">
        <f>(H1604*(I1604-1))</f>
        <v>0</v>
      </c>
      <c r="V1604" s="0" t="str">
        <f>INDEX('Account executives'!$B$2:$B$25,MATCH(C1604,'Account executives'!$A$2:$A$25,0))</f>
        <v>emea</v>
      </c>
      <c r="W1604" s="0" t="str">
        <f>INDEX('Account executives'!$C$2:$C$25,MATCH(C1604,'Account executives'!$A$2:$A$25,0))</f>
        <v>mid_market</v>
      </c>
      <c r="X1604" s="0" t="str">
        <f>SUBSTITUTE(LOWER(INDEX('Periods'!$G$2:$G$22,MATCH(N1604,'Periods'!$A$2:$A$22,0)))," ","_")</f>
        <v>q3_2026</v>
      </c>
    </row>
    <row r="1605">
      <c r="A1605" s="0" t="inlineStr">
        <is>
          <t xml:space="preserve">o1604</t>
        </is>
      </c>
      <c r="B1605" s="0" t="inlineStr">
        <is>
          <t xml:space="preserve">a0697</t>
        </is>
      </c>
      <c r="C1605" s="0" t="inlineStr">
        <is>
          <t xml:space="preserve">r18</t>
        </is>
      </c>
      <c r="D1605" s="0" t="inlineStr">
        <is>
          <t xml:space="preserve">s_emea_in</t>
        </is>
      </c>
      <c r="E1605" s="0" t="inlineStr">
        <is>
          <t xml:space="preserve">inbound</t>
        </is>
      </c>
      <c r="F1605" s="0" t="inlineStr">
        <is>
          <t xml:space="preserve">closed_won</t>
        </is>
      </c>
      <c r="G1605" s="4">
        <v>1</v>
      </c>
      <c r="H1605" s="4">
        <v>11700</v>
      </c>
      <c r="I1605" s="4">
        <v>1</v>
      </c>
      <c r="J1605" s="4">
        <v>0</v>
      </c>
      <c r="K1605" s="16">
        <v>46078</v>
      </c>
      <c r="L1605" s="16">
        <v>46201</v>
      </c>
      <c r="M1605" s="0" t="inlineStr">
        <is>
          <t xml:space="preserve">feb26</t>
        </is>
      </c>
      <c r="N1605" s="0" t="inlineStr">
        <is>
          <t xml:space="preserve">jun26</t>
        </is>
      </c>
      <c r="O1605" s="4">
        <v>123</v>
      </c>
      <c r="P1605" s="4">
        <v>1</v>
      </c>
      <c r="Q1605" s="4">
        <v>0</v>
      </c>
      <c r="R1605" s="4">
        <v>0</v>
      </c>
      <c r="S1605" s="4">
        <f>(H1605*INDEX('Stages'!$D$2:$D$7,MATCH(F1605,'Stages'!$A$2:$A$7,0)))</f>
        <v>11700</v>
      </c>
      <c r="T1605" s="4">
        <f>(H1605*I1605)</f>
        <v>11700</v>
      </c>
      <c r="U1605" s="4">
        <f>(H1605*(I1605-1))</f>
        <v>0</v>
      </c>
      <c r="V1605" s="0" t="str">
        <f>INDEX('Account executives'!$B$2:$B$25,MATCH(C1605,'Account executives'!$A$2:$A$25,0))</f>
        <v>emea</v>
      </c>
      <c r="W1605" s="0" t="str">
        <f>INDEX('Account executives'!$C$2:$C$25,MATCH(C1605,'Account executives'!$A$2:$A$25,0))</f>
        <v>smb</v>
      </c>
      <c r="X1605" s="0" t="str">
        <f>SUBSTITUTE(LOWER(INDEX('Periods'!$G$2:$G$22,MATCH(N1605,'Periods'!$A$2:$A$22,0)))," ","_")</f>
        <v>q2_2026</v>
      </c>
    </row>
    <row r="1606">
      <c r="A1606" s="0" t="inlineStr">
        <is>
          <t xml:space="preserve">o1605</t>
        </is>
      </c>
      <c r="B1606" s="0" t="inlineStr">
        <is>
          <t xml:space="preserve">a0185</t>
        </is>
      </c>
      <c r="C1606" s="0" t="inlineStr">
        <is>
          <t xml:space="preserve">r05</t>
        </is>
      </c>
      <c r="D1606" s="0"/>
      <c r="E1606" s="0" t="inlineStr">
        <is>
          <t xml:space="preserve">referral</t>
        </is>
      </c>
      <c r="F1606" s="0" t="inlineStr">
        <is>
          <t xml:space="preserve">closed_lost</t>
        </is>
      </c>
      <c r="G1606" s="4">
        <v>1</v>
      </c>
      <c r="H1606" s="4">
        <v>6600</v>
      </c>
      <c r="I1606" s="4">
        <v>1</v>
      </c>
      <c r="J1606" s="4">
        <v>0</v>
      </c>
      <c r="K1606" s="16">
        <v>45812</v>
      </c>
      <c r="L1606" s="16">
        <v>45834</v>
      </c>
      <c r="M1606" s="0" t="inlineStr">
        <is>
          <t xml:space="preserve">jun25</t>
        </is>
      </c>
      <c r="N1606" s="0" t="inlineStr">
        <is>
          <t xml:space="preserve">jun25</t>
        </is>
      </c>
      <c r="O1606" s="4">
        <v>22</v>
      </c>
      <c r="P1606" s="4">
        <v>0</v>
      </c>
      <c r="Q1606" s="4">
        <v>1</v>
      </c>
      <c r="R1606" s="4">
        <v>0</v>
      </c>
      <c r="S1606" s="4">
        <f>(H1606*INDEX('Stages'!$D$2:$D$7,MATCH(F1606,'Stages'!$A$2:$A$7,0)))</f>
        <v>0</v>
      </c>
      <c r="T1606" s="4">
        <f>(H1606*I1606)</f>
        <v>6600</v>
      </c>
      <c r="U1606" s="4">
        <f>(H1606*(I1606-1))</f>
        <v>0</v>
      </c>
      <c r="V1606" s="0" t="str">
        <f>INDEX('Account executives'!$B$2:$B$25,MATCH(C1606,'Account executives'!$A$2:$A$25,0))</f>
        <v>amer_east</v>
      </c>
      <c r="W1606" s="0" t="str">
        <f>INDEX('Account executives'!$C$2:$C$25,MATCH(C1606,'Account executives'!$A$2:$A$25,0))</f>
        <v>smb</v>
      </c>
      <c r="X1606" s="0" t="str">
        <f>SUBSTITUTE(LOWER(INDEX('Periods'!$G$2:$G$22,MATCH(N1606,'Periods'!$A$2:$A$22,0)))," ","_")</f>
        <v>q2_2025</v>
      </c>
    </row>
    <row r="1607">
      <c r="A1607" s="0" t="inlineStr">
        <is>
          <t xml:space="preserve">o1606</t>
        </is>
      </c>
      <c r="B1607" s="0" t="inlineStr">
        <is>
          <t xml:space="preserve">a0726</t>
        </is>
      </c>
      <c r="C1607" s="0" t="inlineStr">
        <is>
          <t xml:space="preserve">r01</t>
        </is>
      </c>
      <c r="D1607" s="0" t="inlineStr">
        <is>
          <t xml:space="preserve">s_amer_east_in</t>
        </is>
      </c>
      <c r="E1607" s="0" t="inlineStr">
        <is>
          <t xml:space="preserve">inbound</t>
        </is>
      </c>
      <c r="F1607" s="0" t="inlineStr">
        <is>
          <t xml:space="preserve">negotiation</t>
        </is>
      </c>
      <c r="G1607" s="4">
        <v>1</v>
      </c>
      <c r="H1607" s="4">
        <v>120300</v>
      </c>
      <c r="I1607" s="4">
        <v>2</v>
      </c>
      <c r="J1607" s="4">
        <v>1</v>
      </c>
      <c r="K1607" s="16">
        <v>46096</v>
      </c>
      <c r="L1607" s="16">
        <v>46371</v>
      </c>
      <c r="M1607" s="0" t="inlineStr">
        <is>
          <t xml:space="preserve">mar26</t>
        </is>
      </c>
      <c r="N1607" s="0" t="inlineStr">
        <is>
          <t xml:space="preserve">dec26</t>
        </is>
      </c>
      <c r="O1607" s="4">
        <v>197</v>
      </c>
      <c r="P1607" s="4">
        <v>0</v>
      </c>
      <c r="Q1607" s="4">
        <v>0</v>
      </c>
      <c r="R1607" s="4">
        <v>1</v>
      </c>
      <c r="S1607" s="4">
        <f>(H1607*INDEX('Stages'!$D$2:$D$7,MATCH(F1607,'Stages'!$A$2:$A$7,0)))</f>
        <v>90225</v>
      </c>
      <c r="T1607" s="4">
        <f>(H1607*I1607)</f>
        <v>240600</v>
      </c>
      <c r="U1607" s="4">
        <f>(H1607*(I1607-1))</f>
        <v>120300</v>
      </c>
      <c r="V1607" s="0" t="str">
        <f>INDEX('Account executives'!$B$2:$B$25,MATCH(C1607,'Account executives'!$A$2:$A$25,0))</f>
        <v>amer_east</v>
      </c>
      <c r="W1607" s="0" t="str">
        <f>INDEX('Account executives'!$C$2:$C$25,MATCH(C1607,'Account executives'!$A$2:$A$25,0))</f>
        <v>enterprise</v>
      </c>
      <c r="X1607" s="0" t="str">
        <f>SUBSTITUTE(LOWER(INDEX('Periods'!$G$2:$G$22,MATCH(N1607,'Periods'!$A$2:$A$22,0)))," ","_")</f>
        <v>q4_2026</v>
      </c>
    </row>
    <row r="1608">
      <c r="A1608" s="0" t="inlineStr">
        <is>
          <t xml:space="preserve">o1607</t>
        </is>
      </c>
      <c r="B1608" s="0" t="inlineStr">
        <is>
          <t xml:space="preserve">a0330</t>
        </is>
      </c>
      <c r="C1608" s="0" t="inlineStr">
        <is>
          <t xml:space="preserve">r09</t>
        </is>
      </c>
      <c r="D1608" s="0" t="inlineStr">
        <is>
          <t xml:space="preserve">s_amer_west_in</t>
        </is>
      </c>
      <c r="E1608" s="0" t="inlineStr">
        <is>
          <t xml:space="preserve">inbound</t>
        </is>
      </c>
      <c r="F1608" s="0" t="inlineStr">
        <is>
          <t xml:space="preserve">closed_lost</t>
        </is>
      </c>
      <c r="G1608" s="4">
        <v>0</v>
      </c>
      <c r="H1608" s="4">
        <v>43800</v>
      </c>
      <c r="I1608" s="4">
        <v>1</v>
      </c>
      <c r="J1608" s="4">
        <v>0</v>
      </c>
      <c r="K1608" s="16">
        <v>45988</v>
      </c>
      <c r="L1608" s="16">
        <v>46035</v>
      </c>
      <c r="M1608" s="0" t="inlineStr">
        <is>
          <t xml:space="preserve">nov25</t>
        </is>
      </c>
      <c r="N1608" s="0" t="inlineStr">
        <is>
          <t xml:space="preserve">jan26</t>
        </is>
      </c>
      <c r="O1608" s="4">
        <v>47</v>
      </c>
      <c r="P1608" s="4">
        <v>0</v>
      </c>
      <c r="Q1608" s="4">
        <v>1</v>
      </c>
      <c r="R1608" s="4">
        <v>0</v>
      </c>
      <c r="S1608" s="4">
        <f>(H1608*INDEX('Stages'!$D$2:$D$7,MATCH(F1608,'Stages'!$A$2:$A$7,0)))</f>
        <v>0</v>
      </c>
      <c r="T1608" s="4">
        <f>(H1608*I1608)</f>
        <v>43800</v>
      </c>
      <c r="U1608" s="4">
        <f>(H1608*(I1608-1))</f>
        <v>0</v>
      </c>
      <c r="V1608" s="0" t="str">
        <f>INDEX('Account executives'!$B$2:$B$25,MATCH(C1608,'Account executives'!$A$2:$A$25,0))</f>
        <v>amer_west</v>
      </c>
      <c r="W1608" s="0" t="str">
        <f>INDEX('Account executives'!$C$2:$C$25,MATCH(C1608,'Account executives'!$A$2:$A$25,0))</f>
        <v>mid_market</v>
      </c>
      <c r="X1608" s="0" t="str">
        <f>SUBSTITUTE(LOWER(INDEX('Periods'!$G$2:$G$22,MATCH(N1608,'Periods'!$A$2:$A$22,0)))," ","_")</f>
        <v>q1_2026</v>
      </c>
    </row>
    <row r="1609">
      <c r="A1609" s="0" t="inlineStr">
        <is>
          <t xml:space="preserve">o1608</t>
        </is>
      </c>
      <c r="B1609" s="0" t="inlineStr">
        <is>
          <t xml:space="preserve">a0619</t>
        </is>
      </c>
      <c r="C1609" s="0" t="inlineStr">
        <is>
          <t xml:space="preserve">r04</t>
        </is>
      </c>
      <c r="D1609" s="0" t="inlineStr">
        <is>
          <t xml:space="preserve">s_amer_east_out</t>
        </is>
      </c>
      <c r="E1609" s="0" t="inlineStr">
        <is>
          <t xml:space="preserve">outbound</t>
        </is>
      </c>
      <c r="F1609" s="0" t="inlineStr">
        <is>
          <t xml:space="preserve">closed_lost</t>
        </is>
      </c>
      <c r="G1609" s="4">
        <v>1</v>
      </c>
      <c r="H1609" s="4">
        <v>44800</v>
      </c>
      <c r="I1609" s="4">
        <v>2</v>
      </c>
      <c r="J1609" s="4">
        <v>0</v>
      </c>
      <c r="K1609" s="16">
        <v>46026</v>
      </c>
      <c r="L1609" s="16">
        <v>46103</v>
      </c>
      <c r="M1609" s="0" t="inlineStr">
        <is>
          <t xml:space="preserve">jan26</t>
        </is>
      </c>
      <c r="N1609" s="0" t="inlineStr">
        <is>
          <t xml:space="preserve">mar26</t>
        </is>
      </c>
      <c r="O1609" s="4">
        <v>77</v>
      </c>
      <c r="P1609" s="4">
        <v>0</v>
      </c>
      <c r="Q1609" s="4">
        <v>1</v>
      </c>
      <c r="R1609" s="4">
        <v>0</v>
      </c>
      <c r="S1609" s="4">
        <f>(H1609*INDEX('Stages'!$D$2:$D$7,MATCH(F1609,'Stages'!$A$2:$A$7,0)))</f>
        <v>0</v>
      </c>
      <c r="T1609" s="4">
        <f>(H1609*I1609)</f>
        <v>89600</v>
      </c>
      <c r="U1609" s="4">
        <f>(H1609*(I1609-1))</f>
        <v>44800</v>
      </c>
      <c r="V1609" s="0" t="str">
        <f>INDEX('Account executives'!$B$2:$B$25,MATCH(C1609,'Account executives'!$A$2:$A$25,0))</f>
        <v>amer_east</v>
      </c>
      <c r="W1609" s="0" t="str">
        <f>INDEX('Account executives'!$C$2:$C$25,MATCH(C1609,'Account executives'!$A$2:$A$25,0))</f>
        <v>mid_market</v>
      </c>
      <c r="X1609" s="0" t="str">
        <f>SUBSTITUTE(LOWER(INDEX('Periods'!$G$2:$G$22,MATCH(N1609,'Periods'!$A$2:$A$22,0)))," ","_")</f>
        <v>q1_2026</v>
      </c>
    </row>
    <row r="1610">
      <c r="A1610" s="0" t="inlineStr">
        <is>
          <t xml:space="preserve">o1609</t>
        </is>
      </c>
      <c r="B1610" s="0" t="inlineStr">
        <is>
          <t xml:space="preserve">a0235</t>
        </is>
      </c>
      <c r="C1610" s="0" t="inlineStr">
        <is>
          <t xml:space="preserve">r04</t>
        </is>
      </c>
      <c r="D1610" s="0" t="inlineStr">
        <is>
          <t xml:space="preserve">s_amer_east_in</t>
        </is>
      </c>
      <c r="E1610" s="0" t="inlineStr">
        <is>
          <t xml:space="preserve">inbound</t>
        </is>
      </c>
      <c r="F1610" s="0" t="inlineStr">
        <is>
          <t xml:space="preserve">closed_lost</t>
        </is>
      </c>
      <c r="G1610" s="4">
        <v>0</v>
      </c>
      <c r="H1610" s="4">
        <v>15200</v>
      </c>
      <c r="I1610" s="4">
        <v>2</v>
      </c>
      <c r="J1610" s="4">
        <v>0</v>
      </c>
      <c r="K1610" s="16">
        <v>45848</v>
      </c>
      <c r="L1610" s="16">
        <v>45883</v>
      </c>
      <c r="M1610" s="0" t="inlineStr">
        <is>
          <t xml:space="preserve">jul25</t>
        </is>
      </c>
      <c r="N1610" s="0" t="inlineStr">
        <is>
          <t xml:space="preserve">aug25</t>
        </is>
      </c>
      <c r="O1610" s="4">
        <v>35</v>
      </c>
      <c r="P1610" s="4">
        <v>0</v>
      </c>
      <c r="Q1610" s="4">
        <v>1</v>
      </c>
      <c r="R1610" s="4">
        <v>0</v>
      </c>
      <c r="S1610" s="4">
        <f>(H1610*INDEX('Stages'!$D$2:$D$7,MATCH(F1610,'Stages'!$A$2:$A$7,0)))</f>
        <v>0</v>
      </c>
      <c r="T1610" s="4">
        <f>(H1610*I1610)</f>
        <v>30400</v>
      </c>
      <c r="U1610" s="4">
        <f>(H1610*(I1610-1))</f>
        <v>15200</v>
      </c>
      <c r="V1610" s="0" t="str">
        <f>INDEX('Account executives'!$B$2:$B$25,MATCH(C1610,'Account executives'!$A$2:$A$25,0))</f>
        <v>amer_east</v>
      </c>
      <c r="W1610" s="0" t="str">
        <f>INDEX('Account executives'!$C$2:$C$25,MATCH(C1610,'Account executives'!$A$2:$A$25,0))</f>
        <v>mid_market</v>
      </c>
      <c r="X1610" s="0" t="str">
        <f>SUBSTITUTE(LOWER(INDEX('Periods'!$G$2:$G$22,MATCH(N1610,'Periods'!$A$2:$A$22,0)))," ","_")</f>
        <v>q3_2025</v>
      </c>
    </row>
    <row r="1611">
      <c r="A1611" s="0" t="inlineStr">
        <is>
          <t xml:space="preserve">o1610</t>
        </is>
      </c>
      <c r="B1611" s="0" t="inlineStr">
        <is>
          <t xml:space="preserve">a0487</t>
        </is>
      </c>
      <c r="C1611" s="0" t="inlineStr">
        <is>
          <t xml:space="preserve">r02</t>
        </is>
      </c>
      <c r="D1611" s="0" t="inlineStr">
        <is>
          <t xml:space="preserve">s_amer_east_in</t>
        </is>
      </c>
      <c r="E1611" s="0" t="inlineStr">
        <is>
          <t xml:space="preserve">inbound</t>
        </is>
      </c>
      <c r="F1611" s="0" t="inlineStr">
        <is>
          <t xml:space="preserve">discovery</t>
        </is>
      </c>
      <c r="G1611" s="4">
        <v>0</v>
      </c>
      <c r="H1611" s="4">
        <v>56000</v>
      </c>
      <c r="I1611" s="4">
        <v>3</v>
      </c>
      <c r="J1611" s="4">
        <v>1</v>
      </c>
      <c r="K1611" s="16">
        <v>46245</v>
      </c>
      <c r="L1611" s="16">
        <v>46371</v>
      </c>
      <c r="M1611" s="0" t="inlineStr">
        <is>
          <t xml:space="preserve">aug26</t>
        </is>
      </c>
      <c r="N1611" s="0" t="inlineStr">
        <is>
          <t xml:space="preserve">dec26</t>
        </is>
      </c>
      <c r="O1611" s="4">
        <v>126</v>
      </c>
      <c r="P1611" s="4">
        <v>0</v>
      </c>
      <c r="Q1611" s="4">
        <v>0</v>
      </c>
      <c r="R1611" s="4">
        <v>1</v>
      </c>
      <c r="S1611" s="4">
        <f>(H1611*INDEX('Stages'!$D$2:$D$7,MATCH(F1611,'Stages'!$A$2:$A$7,0)))</f>
        <v>5600</v>
      </c>
      <c r="T1611" s="4">
        <f>(H1611*I1611)</f>
        <v>168000</v>
      </c>
      <c r="U1611" s="4">
        <f>(H1611*(I1611-1))</f>
        <v>112000</v>
      </c>
      <c r="V1611" s="0" t="str">
        <f>INDEX('Account executives'!$B$2:$B$25,MATCH(C1611,'Account executives'!$A$2:$A$25,0))</f>
        <v>amer_east</v>
      </c>
      <c r="W1611" s="0" t="str">
        <f>INDEX('Account executives'!$C$2:$C$25,MATCH(C1611,'Account executives'!$A$2:$A$25,0))</f>
        <v>enterprise</v>
      </c>
      <c r="X1611" s="0" t="str">
        <f>SUBSTITUTE(LOWER(INDEX('Periods'!$G$2:$G$22,MATCH(N1611,'Periods'!$A$2:$A$22,0)))," ","_")</f>
        <v>q4_2026</v>
      </c>
    </row>
    <row r="1612">
      <c r="A1612" s="0" t="inlineStr">
        <is>
          <t xml:space="preserve">o1611</t>
        </is>
      </c>
      <c r="B1612" s="0" t="inlineStr">
        <is>
          <t xml:space="preserve">a0558</t>
        </is>
      </c>
      <c r="C1612" s="0" t="inlineStr">
        <is>
          <t xml:space="preserve">r09</t>
        </is>
      </c>
      <c r="D1612" s="0" t="inlineStr">
        <is>
          <t xml:space="preserve">s_amer_west_in</t>
        </is>
      </c>
      <c r="E1612" s="0" t="inlineStr">
        <is>
          <t xml:space="preserve">inbound</t>
        </is>
      </c>
      <c r="F1612" s="0" t="inlineStr">
        <is>
          <t xml:space="preserve">closed_lost</t>
        </is>
      </c>
      <c r="G1612" s="4">
        <v>1</v>
      </c>
      <c r="H1612" s="4">
        <v>38100</v>
      </c>
      <c r="I1612" s="4">
        <v>1</v>
      </c>
      <c r="J1612" s="4">
        <v>0</v>
      </c>
      <c r="K1612" s="16">
        <v>45995</v>
      </c>
      <c r="L1612" s="16">
        <v>46056</v>
      </c>
      <c r="M1612" s="0" t="inlineStr">
        <is>
          <t xml:space="preserve">dec25</t>
        </is>
      </c>
      <c r="N1612" s="0" t="inlineStr">
        <is>
          <t xml:space="preserve">feb26</t>
        </is>
      </c>
      <c r="O1612" s="4">
        <v>61</v>
      </c>
      <c r="P1612" s="4">
        <v>0</v>
      </c>
      <c r="Q1612" s="4">
        <v>1</v>
      </c>
      <c r="R1612" s="4">
        <v>0</v>
      </c>
      <c r="S1612" s="4">
        <f>(H1612*INDEX('Stages'!$D$2:$D$7,MATCH(F1612,'Stages'!$A$2:$A$7,0)))</f>
        <v>0</v>
      </c>
      <c r="T1612" s="4">
        <f>(H1612*I1612)</f>
        <v>38100</v>
      </c>
      <c r="U1612" s="4">
        <f>(H1612*(I1612-1))</f>
        <v>0</v>
      </c>
      <c r="V1612" s="0" t="str">
        <f>INDEX('Account executives'!$B$2:$B$25,MATCH(C1612,'Account executives'!$A$2:$A$25,0))</f>
        <v>amer_west</v>
      </c>
      <c r="W1612" s="0" t="str">
        <f>INDEX('Account executives'!$C$2:$C$25,MATCH(C1612,'Account executives'!$A$2:$A$25,0))</f>
        <v>mid_market</v>
      </c>
      <c r="X1612" s="0" t="str">
        <f>SUBSTITUTE(LOWER(INDEX('Periods'!$G$2:$G$22,MATCH(N1612,'Periods'!$A$2:$A$22,0)))," ","_")</f>
        <v>q1_2026</v>
      </c>
    </row>
    <row r="1613">
      <c r="A1613" s="0" t="inlineStr">
        <is>
          <t xml:space="preserve">o1612</t>
        </is>
      </c>
      <c r="B1613" s="0" t="inlineStr">
        <is>
          <t xml:space="preserve">a0846</t>
        </is>
      </c>
      <c r="C1613" s="0" t="inlineStr">
        <is>
          <t xml:space="preserve">r10</t>
        </is>
      </c>
      <c r="D1613" s="0" t="inlineStr">
        <is>
          <t xml:space="preserve">s_amer_west_in</t>
        </is>
      </c>
      <c r="E1613" s="0" t="inlineStr">
        <is>
          <t xml:space="preserve">inbound</t>
        </is>
      </c>
      <c r="F1613" s="0" t="inlineStr">
        <is>
          <t xml:space="preserve">closed_lost</t>
        </is>
      </c>
      <c r="G1613" s="4">
        <v>1</v>
      </c>
      <c r="H1613" s="4">
        <v>39400</v>
      </c>
      <c r="I1613" s="4">
        <v>2</v>
      </c>
      <c r="J1613" s="4">
        <v>0</v>
      </c>
      <c r="K1613" s="16">
        <v>46132</v>
      </c>
      <c r="L1613" s="16">
        <v>46179</v>
      </c>
      <c r="M1613" s="0" t="inlineStr">
        <is>
          <t xml:space="preserve">apr26</t>
        </is>
      </c>
      <c r="N1613" s="0" t="inlineStr">
        <is>
          <t xml:space="preserve">jun26</t>
        </is>
      </c>
      <c r="O1613" s="4">
        <v>47</v>
      </c>
      <c r="P1613" s="4">
        <v>0</v>
      </c>
      <c r="Q1613" s="4">
        <v>1</v>
      </c>
      <c r="R1613" s="4">
        <v>0</v>
      </c>
      <c r="S1613" s="4">
        <f>(H1613*INDEX('Stages'!$D$2:$D$7,MATCH(F1613,'Stages'!$A$2:$A$7,0)))</f>
        <v>0</v>
      </c>
      <c r="T1613" s="4">
        <f>(H1613*I1613)</f>
        <v>78800</v>
      </c>
      <c r="U1613" s="4">
        <f>(H1613*(I1613-1))</f>
        <v>39400</v>
      </c>
      <c r="V1613" s="0" t="str">
        <f>INDEX('Account executives'!$B$2:$B$25,MATCH(C1613,'Account executives'!$A$2:$A$25,0))</f>
        <v>amer_west</v>
      </c>
      <c r="W1613" s="0" t="str">
        <f>INDEX('Account executives'!$C$2:$C$25,MATCH(C1613,'Account executives'!$A$2:$A$25,0))</f>
        <v>mid_market</v>
      </c>
      <c r="X1613" s="0" t="str">
        <f>SUBSTITUTE(LOWER(INDEX('Periods'!$G$2:$G$22,MATCH(N1613,'Periods'!$A$2:$A$22,0)))," ","_")</f>
        <v>q2_2026</v>
      </c>
    </row>
    <row r="1614">
      <c r="A1614" s="0" t="inlineStr">
        <is>
          <t xml:space="preserve">o1613</t>
        </is>
      </c>
      <c r="B1614" s="0" t="inlineStr">
        <is>
          <t xml:space="preserve">a0050</t>
        </is>
      </c>
      <c r="C1614" s="0" t="inlineStr">
        <is>
          <t xml:space="preserve">r15</t>
        </is>
      </c>
      <c r="D1614" s="0" t="inlineStr">
        <is>
          <t xml:space="preserve">s_emea_in</t>
        </is>
      </c>
      <c r="E1614" s="0" t="inlineStr">
        <is>
          <t xml:space="preserve">paid</t>
        </is>
      </c>
      <c r="F1614" s="0" t="inlineStr">
        <is>
          <t xml:space="preserve">closed_won</t>
        </is>
      </c>
      <c r="G1614" s="4">
        <v>0</v>
      </c>
      <c r="H1614" s="4">
        <v>24200</v>
      </c>
      <c r="I1614" s="4">
        <v>2</v>
      </c>
      <c r="J1614" s="4">
        <v>0</v>
      </c>
      <c r="K1614" s="16">
        <v>46117</v>
      </c>
      <c r="L1614" s="16">
        <v>46199</v>
      </c>
      <c r="M1614" s="0" t="inlineStr">
        <is>
          <t xml:space="preserve">apr26</t>
        </is>
      </c>
      <c r="N1614" s="0" t="inlineStr">
        <is>
          <t xml:space="preserve">jun26</t>
        </is>
      </c>
      <c r="O1614" s="4">
        <v>82</v>
      </c>
      <c r="P1614" s="4">
        <v>1</v>
      </c>
      <c r="Q1614" s="4">
        <v>0</v>
      </c>
      <c r="R1614" s="4">
        <v>0</v>
      </c>
      <c r="S1614" s="4">
        <f>(H1614*INDEX('Stages'!$D$2:$D$7,MATCH(F1614,'Stages'!$A$2:$A$7,0)))</f>
        <v>24200</v>
      </c>
      <c r="T1614" s="4">
        <f>(H1614*I1614)</f>
        <v>48400</v>
      </c>
      <c r="U1614" s="4">
        <f>(H1614*(I1614-1))</f>
        <v>24200</v>
      </c>
      <c r="V1614" s="0" t="str">
        <f>INDEX('Account executives'!$B$2:$B$25,MATCH(C1614,'Account executives'!$A$2:$A$25,0))</f>
        <v>emea</v>
      </c>
      <c r="W1614" s="0" t="str">
        <f>INDEX('Account executives'!$C$2:$C$25,MATCH(C1614,'Account executives'!$A$2:$A$25,0))</f>
        <v>mid_market</v>
      </c>
      <c r="X1614" s="0" t="str">
        <f>SUBSTITUTE(LOWER(INDEX('Periods'!$G$2:$G$22,MATCH(N1614,'Periods'!$A$2:$A$22,0)))," ","_")</f>
        <v>q2_2026</v>
      </c>
    </row>
    <row r="1615">
      <c r="A1615" s="0" t="inlineStr">
        <is>
          <t xml:space="preserve">o1614</t>
        </is>
      </c>
      <c r="B1615" s="0" t="inlineStr">
        <is>
          <t xml:space="preserve">a0866</t>
        </is>
      </c>
      <c r="C1615" s="0" t="inlineStr">
        <is>
          <t xml:space="preserve">r15</t>
        </is>
      </c>
      <c r="D1615" s="0"/>
      <c r="E1615" s="0" t="inlineStr">
        <is>
          <t xml:space="preserve">events</t>
        </is>
      </c>
      <c r="F1615" s="0" t="inlineStr">
        <is>
          <t xml:space="preserve">closed_lost</t>
        </is>
      </c>
      <c r="G1615" s="4">
        <v>1</v>
      </c>
      <c r="H1615" s="4">
        <v>83700</v>
      </c>
      <c r="I1615" s="4">
        <v>1</v>
      </c>
      <c r="J1615" s="4">
        <v>0</v>
      </c>
      <c r="K1615" s="16">
        <v>46118</v>
      </c>
      <c r="L1615" s="16">
        <v>46173</v>
      </c>
      <c r="M1615" s="0" t="inlineStr">
        <is>
          <t xml:space="preserve">apr26</t>
        </is>
      </c>
      <c r="N1615" s="0" t="inlineStr">
        <is>
          <t xml:space="preserve">may26</t>
        </is>
      </c>
      <c r="O1615" s="4">
        <v>55</v>
      </c>
      <c r="P1615" s="4">
        <v>0</v>
      </c>
      <c r="Q1615" s="4">
        <v>1</v>
      </c>
      <c r="R1615" s="4">
        <v>0</v>
      </c>
      <c r="S1615" s="4">
        <f>(H1615*INDEX('Stages'!$D$2:$D$7,MATCH(F1615,'Stages'!$A$2:$A$7,0)))</f>
        <v>0</v>
      </c>
      <c r="T1615" s="4">
        <f>(H1615*I1615)</f>
        <v>83700</v>
      </c>
      <c r="U1615" s="4">
        <f>(H1615*(I1615-1))</f>
        <v>0</v>
      </c>
      <c r="V1615" s="0" t="str">
        <f>INDEX('Account executives'!$B$2:$B$25,MATCH(C1615,'Account executives'!$A$2:$A$25,0))</f>
        <v>emea</v>
      </c>
      <c r="W1615" s="0" t="str">
        <f>INDEX('Account executives'!$C$2:$C$25,MATCH(C1615,'Account executives'!$A$2:$A$25,0))</f>
        <v>mid_market</v>
      </c>
      <c r="X1615" s="0" t="str">
        <f>SUBSTITUTE(LOWER(INDEX('Periods'!$G$2:$G$22,MATCH(N1615,'Periods'!$A$2:$A$22,0)))," ","_")</f>
        <v>q2_2026</v>
      </c>
    </row>
    <row r="1616">
      <c r="A1616" s="0" t="inlineStr">
        <is>
          <t xml:space="preserve">o1615</t>
        </is>
      </c>
      <c r="B1616" s="0" t="inlineStr">
        <is>
          <t xml:space="preserve">a0543</t>
        </is>
      </c>
      <c r="C1616" s="0" t="inlineStr">
        <is>
          <t xml:space="preserve">r01</t>
        </is>
      </c>
      <c r="D1616" s="0" t="inlineStr">
        <is>
          <t xml:space="preserve">s_amer_east_in</t>
        </is>
      </c>
      <c r="E1616" s="0" t="inlineStr">
        <is>
          <t xml:space="preserve">inbound</t>
        </is>
      </c>
      <c r="F1616" s="0" t="inlineStr">
        <is>
          <t xml:space="preserve">closed_won</t>
        </is>
      </c>
      <c r="G1616" s="4">
        <v>1</v>
      </c>
      <c r="H1616" s="4">
        <v>106800</v>
      </c>
      <c r="I1616" s="4">
        <v>3</v>
      </c>
      <c r="J1616" s="4">
        <v>0</v>
      </c>
      <c r="K1616" s="16">
        <v>46008</v>
      </c>
      <c r="L1616" s="16">
        <v>46201</v>
      </c>
      <c r="M1616" s="0" t="inlineStr">
        <is>
          <t xml:space="preserve">dec25</t>
        </is>
      </c>
      <c r="N1616" s="0" t="inlineStr">
        <is>
          <t xml:space="preserve">jun26</t>
        </is>
      </c>
      <c r="O1616" s="4">
        <v>193</v>
      </c>
      <c r="P1616" s="4">
        <v>1</v>
      </c>
      <c r="Q1616" s="4">
        <v>0</v>
      </c>
      <c r="R1616" s="4">
        <v>0</v>
      </c>
      <c r="S1616" s="4">
        <f>(H1616*INDEX('Stages'!$D$2:$D$7,MATCH(F1616,'Stages'!$A$2:$A$7,0)))</f>
        <v>106800</v>
      </c>
      <c r="T1616" s="4">
        <f>(H1616*I1616)</f>
        <v>320400</v>
      </c>
      <c r="U1616" s="4">
        <f>(H1616*(I1616-1))</f>
        <v>213600</v>
      </c>
      <c r="V1616" s="0" t="str">
        <f>INDEX('Account executives'!$B$2:$B$25,MATCH(C1616,'Account executives'!$A$2:$A$25,0))</f>
        <v>amer_east</v>
      </c>
      <c r="W1616" s="0" t="str">
        <f>INDEX('Account executives'!$C$2:$C$25,MATCH(C1616,'Account executives'!$A$2:$A$25,0))</f>
        <v>enterprise</v>
      </c>
      <c r="X1616" s="0" t="str">
        <f>SUBSTITUTE(LOWER(INDEX('Periods'!$G$2:$G$22,MATCH(N1616,'Periods'!$A$2:$A$22,0)))," ","_")</f>
        <v>q2_2026</v>
      </c>
    </row>
    <row r="1617">
      <c r="A1617" s="0" t="inlineStr">
        <is>
          <t xml:space="preserve">o1616</t>
        </is>
      </c>
      <c r="B1617" s="0" t="inlineStr">
        <is>
          <t xml:space="preserve">a0800</t>
        </is>
      </c>
      <c r="C1617" s="0" t="inlineStr">
        <is>
          <t xml:space="preserve">r20</t>
        </is>
      </c>
      <c r="D1617" s="0" t="inlineStr">
        <is>
          <t xml:space="preserve">s_apac_in</t>
        </is>
      </c>
      <c r="E1617" s="0" t="inlineStr">
        <is>
          <t xml:space="preserve">paid</t>
        </is>
      </c>
      <c r="F1617" s="0" t="inlineStr">
        <is>
          <t xml:space="preserve">closed_lost</t>
        </is>
      </c>
      <c r="G1617" s="4">
        <v>1</v>
      </c>
      <c r="H1617" s="4">
        <v>117100</v>
      </c>
      <c r="I1617" s="4">
        <v>2</v>
      </c>
      <c r="J1617" s="4">
        <v>0</v>
      </c>
      <c r="K1617" s="16">
        <v>46107</v>
      </c>
      <c r="L1617" s="16">
        <v>46247</v>
      </c>
      <c r="M1617" s="0" t="inlineStr">
        <is>
          <t xml:space="preserve">mar26</t>
        </is>
      </c>
      <c r="N1617" s="0" t="inlineStr">
        <is>
          <t xml:space="preserve">aug26</t>
        </is>
      </c>
      <c r="O1617" s="4">
        <v>140</v>
      </c>
      <c r="P1617" s="4">
        <v>0</v>
      </c>
      <c r="Q1617" s="4">
        <v>1</v>
      </c>
      <c r="R1617" s="4">
        <v>0</v>
      </c>
      <c r="S1617" s="4">
        <f>(H1617*INDEX('Stages'!$D$2:$D$7,MATCH(F1617,'Stages'!$A$2:$A$7,0)))</f>
        <v>0</v>
      </c>
      <c r="T1617" s="4">
        <f>(H1617*I1617)</f>
        <v>234200</v>
      </c>
      <c r="U1617" s="4">
        <f>(H1617*(I1617-1))</f>
        <v>117100</v>
      </c>
      <c r="V1617" s="0" t="str">
        <f>INDEX('Account executives'!$B$2:$B$25,MATCH(C1617,'Account executives'!$A$2:$A$25,0))</f>
        <v>apac</v>
      </c>
      <c r="W1617" s="0" t="str">
        <f>INDEX('Account executives'!$C$2:$C$25,MATCH(C1617,'Account executives'!$A$2:$A$25,0))</f>
        <v>enterprise</v>
      </c>
      <c r="X1617" s="0" t="str">
        <f>SUBSTITUTE(LOWER(INDEX('Periods'!$G$2:$G$22,MATCH(N1617,'Periods'!$A$2:$A$22,0)))," ","_")</f>
        <v>q3_2026</v>
      </c>
    </row>
    <row r="1618">
      <c r="A1618" s="0" t="inlineStr">
        <is>
          <t xml:space="preserve">o1617</t>
        </is>
      </c>
      <c r="B1618" s="0" t="inlineStr">
        <is>
          <t xml:space="preserve">a0262</t>
        </is>
      </c>
      <c r="C1618" s="0" t="inlineStr">
        <is>
          <t xml:space="preserve">r08</t>
        </is>
      </c>
      <c r="D1618" s="0"/>
      <c r="E1618" s="0" t="inlineStr">
        <is>
          <t xml:space="preserve">partner</t>
        </is>
      </c>
      <c r="F1618" s="0" t="inlineStr">
        <is>
          <t xml:space="preserve">closed_lost</t>
        </is>
      </c>
      <c r="G1618" s="4">
        <v>1</v>
      </c>
      <c r="H1618" s="4">
        <v>232000</v>
      </c>
      <c r="I1618" s="4">
        <v>3</v>
      </c>
      <c r="J1618" s="4">
        <v>0</v>
      </c>
      <c r="K1618" s="16">
        <v>45863</v>
      </c>
      <c r="L1618" s="16">
        <v>46109</v>
      </c>
      <c r="M1618" s="0" t="inlineStr">
        <is>
          <t xml:space="preserve">jul25</t>
        </is>
      </c>
      <c r="N1618" s="0" t="inlineStr">
        <is>
          <t xml:space="preserve">mar26</t>
        </is>
      </c>
      <c r="O1618" s="4">
        <v>246</v>
      </c>
      <c r="P1618" s="4">
        <v>0</v>
      </c>
      <c r="Q1618" s="4">
        <v>1</v>
      </c>
      <c r="R1618" s="4">
        <v>0</v>
      </c>
      <c r="S1618" s="4">
        <f>(H1618*INDEX('Stages'!$D$2:$D$7,MATCH(F1618,'Stages'!$A$2:$A$7,0)))</f>
        <v>0</v>
      </c>
      <c r="T1618" s="4">
        <f>(H1618*I1618)</f>
        <v>696000</v>
      </c>
      <c r="U1618" s="4">
        <f>(H1618*(I1618-1))</f>
        <v>464000</v>
      </c>
      <c r="V1618" s="0" t="str">
        <f>INDEX('Account executives'!$B$2:$B$25,MATCH(C1618,'Account executives'!$A$2:$A$25,0))</f>
        <v>amer_west</v>
      </c>
      <c r="W1618" s="0" t="str">
        <f>INDEX('Account executives'!$C$2:$C$25,MATCH(C1618,'Account executives'!$A$2:$A$25,0))</f>
        <v>enterprise</v>
      </c>
      <c r="X1618" s="0" t="str">
        <f>SUBSTITUTE(LOWER(INDEX('Periods'!$G$2:$G$22,MATCH(N1618,'Periods'!$A$2:$A$22,0)))," ","_")</f>
        <v>q1_2026</v>
      </c>
    </row>
    <row r="1619">
      <c r="A1619" s="0" t="inlineStr">
        <is>
          <t xml:space="preserve">o1618</t>
        </is>
      </c>
      <c r="B1619" s="0" t="inlineStr">
        <is>
          <t xml:space="preserve">a0961</t>
        </is>
      </c>
      <c r="C1619" s="0" t="inlineStr">
        <is>
          <t xml:space="preserve">r03</t>
        </is>
      </c>
      <c r="D1619" s="0" t="inlineStr">
        <is>
          <t xml:space="preserve">s_amer_east_in</t>
        </is>
      </c>
      <c r="E1619" s="0" t="inlineStr">
        <is>
          <t xml:space="preserve">inbound</t>
        </is>
      </c>
      <c r="F1619" s="0" t="inlineStr">
        <is>
          <t xml:space="preserve">closed_lost</t>
        </is>
      </c>
      <c r="G1619" s="4">
        <v>1</v>
      </c>
      <c r="H1619" s="4">
        <v>91100</v>
      </c>
      <c r="I1619" s="4">
        <v>1</v>
      </c>
      <c r="J1619" s="4">
        <v>0</v>
      </c>
      <c r="K1619" s="16">
        <v>46196</v>
      </c>
      <c r="L1619" s="16">
        <v>46237</v>
      </c>
      <c r="M1619" s="0" t="inlineStr">
        <is>
          <t xml:space="preserve">jun26</t>
        </is>
      </c>
      <c r="N1619" s="0" t="inlineStr">
        <is>
          <t xml:space="preserve">aug26</t>
        </is>
      </c>
      <c r="O1619" s="4">
        <v>41</v>
      </c>
      <c r="P1619" s="4">
        <v>0</v>
      </c>
      <c r="Q1619" s="4">
        <v>1</v>
      </c>
      <c r="R1619" s="4">
        <v>0</v>
      </c>
      <c r="S1619" s="4">
        <f>(H1619*INDEX('Stages'!$D$2:$D$7,MATCH(F1619,'Stages'!$A$2:$A$7,0)))</f>
        <v>0</v>
      </c>
      <c r="T1619" s="4">
        <f>(H1619*I1619)</f>
        <v>91100</v>
      </c>
      <c r="U1619" s="4">
        <f>(H1619*(I1619-1))</f>
        <v>0</v>
      </c>
      <c r="V1619" s="0" t="str">
        <f>INDEX('Account executives'!$B$2:$B$25,MATCH(C1619,'Account executives'!$A$2:$A$25,0))</f>
        <v>amer_east</v>
      </c>
      <c r="W1619" s="0" t="str">
        <f>INDEX('Account executives'!$C$2:$C$25,MATCH(C1619,'Account executives'!$A$2:$A$25,0))</f>
        <v>mid_market</v>
      </c>
      <c r="X1619" s="0" t="str">
        <f>SUBSTITUTE(LOWER(INDEX('Periods'!$G$2:$G$22,MATCH(N1619,'Periods'!$A$2:$A$22,0)))," ","_")</f>
        <v>q3_2026</v>
      </c>
    </row>
    <row r="1620">
      <c r="A1620" s="0" t="inlineStr">
        <is>
          <t xml:space="preserve">o1619</t>
        </is>
      </c>
      <c r="B1620" s="0" t="inlineStr">
        <is>
          <t xml:space="preserve">a0604</t>
        </is>
      </c>
      <c r="C1620" s="0" t="inlineStr">
        <is>
          <t xml:space="preserve">r24</t>
        </is>
      </c>
      <c r="D1620" s="0"/>
      <c r="E1620" s="0" t="inlineStr">
        <is>
          <t xml:space="preserve">referral</t>
        </is>
      </c>
      <c r="F1620" s="0" t="inlineStr">
        <is>
          <t xml:space="preserve">closed_won</t>
        </is>
      </c>
      <c r="G1620" s="4">
        <v>1</v>
      </c>
      <c r="H1620" s="4">
        <v>15000</v>
      </c>
      <c r="I1620" s="4">
        <v>1</v>
      </c>
      <c r="J1620" s="4">
        <v>0</v>
      </c>
      <c r="K1620" s="16">
        <v>46006</v>
      </c>
      <c r="L1620" s="16">
        <v>46029</v>
      </c>
      <c r="M1620" s="0" t="inlineStr">
        <is>
          <t xml:space="preserve">dec25</t>
        </is>
      </c>
      <c r="N1620" s="0" t="inlineStr">
        <is>
          <t xml:space="preserve">jan26</t>
        </is>
      </c>
      <c r="O1620" s="4">
        <v>23</v>
      </c>
      <c r="P1620" s="4">
        <v>1</v>
      </c>
      <c r="Q1620" s="4">
        <v>0</v>
      </c>
      <c r="R1620" s="4">
        <v>0</v>
      </c>
      <c r="S1620" s="4">
        <f>(H1620*INDEX('Stages'!$D$2:$D$7,MATCH(F1620,'Stages'!$A$2:$A$7,0)))</f>
        <v>15000</v>
      </c>
      <c r="T1620" s="4">
        <f>(H1620*I1620)</f>
        <v>15000</v>
      </c>
      <c r="U1620" s="4">
        <f>(H1620*(I1620-1))</f>
        <v>0</v>
      </c>
      <c r="V1620" s="0" t="str">
        <f>INDEX('Account executives'!$B$2:$B$25,MATCH(C1620,'Account executives'!$A$2:$A$25,0))</f>
        <v>apac</v>
      </c>
      <c r="W1620" s="0" t="str">
        <f>INDEX('Account executives'!$C$2:$C$25,MATCH(C1620,'Account executives'!$A$2:$A$25,0))</f>
        <v>smb</v>
      </c>
      <c r="X1620" s="0" t="str">
        <f>SUBSTITUTE(LOWER(INDEX('Periods'!$G$2:$G$22,MATCH(N1620,'Periods'!$A$2:$A$22,0)))," ","_")</f>
        <v>q1_2026</v>
      </c>
    </row>
    <row r="1621">
      <c r="A1621" s="0" t="inlineStr">
        <is>
          <t xml:space="preserve">o1620</t>
        </is>
      </c>
      <c r="B1621" s="0" t="inlineStr">
        <is>
          <t xml:space="preserve">a0006</t>
        </is>
      </c>
      <c r="C1621" s="0" t="inlineStr">
        <is>
          <t xml:space="preserve">r04</t>
        </is>
      </c>
      <c r="D1621" s="0" t="inlineStr">
        <is>
          <t xml:space="preserve">s_amer_east_in</t>
        </is>
      </c>
      <c r="E1621" s="0" t="inlineStr">
        <is>
          <t xml:space="preserve">inbound</t>
        </is>
      </c>
      <c r="F1621" s="0" t="inlineStr">
        <is>
          <t xml:space="preserve">closed_lost</t>
        </is>
      </c>
      <c r="G1621" s="4">
        <v>1</v>
      </c>
      <c r="H1621" s="4">
        <v>62100</v>
      </c>
      <c r="I1621" s="4">
        <v>1</v>
      </c>
      <c r="J1621" s="4">
        <v>0</v>
      </c>
      <c r="K1621" s="16">
        <v>45769</v>
      </c>
      <c r="L1621" s="16">
        <v>45827</v>
      </c>
      <c r="M1621" s="0" t="inlineStr">
        <is>
          <t xml:space="preserve">apr25</t>
        </is>
      </c>
      <c r="N1621" s="0" t="inlineStr">
        <is>
          <t xml:space="preserve">jun25</t>
        </is>
      </c>
      <c r="O1621" s="4">
        <v>58</v>
      </c>
      <c r="P1621" s="4">
        <v>0</v>
      </c>
      <c r="Q1621" s="4">
        <v>1</v>
      </c>
      <c r="R1621" s="4">
        <v>0</v>
      </c>
      <c r="S1621" s="4">
        <f>(H1621*INDEX('Stages'!$D$2:$D$7,MATCH(F1621,'Stages'!$A$2:$A$7,0)))</f>
        <v>0</v>
      </c>
      <c r="T1621" s="4">
        <f>(H1621*I1621)</f>
        <v>62100</v>
      </c>
      <c r="U1621" s="4">
        <f>(H1621*(I1621-1))</f>
        <v>0</v>
      </c>
      <c r="V1621" s="0" t="str">
        <f>INDEX('Account executives'!$B$2:$B$25,MATCH(C1621,'Account executives'!$A$2:$A$25,0))</f>
        <v>amer_east</v>
      </c>
      <c r="W1621" s="0" t="str">
        <f>INDEX('Account executives'!$C$2:$C$25,MATCH(C1621,'Account executives'!$A$2:$A$25,0))</f>
        <v>mid_market</v>
      </c>
      <c r="X1621" s="0" t="str">
        <f>SUBSTITUTE(LOWER(INDEX('Periods'!$G$2:$G$22,MATCH(N1621,'Periods'!$A$2:$A$22,0)))," ","_")</f>
        <v>q2_2025</v>
      </c>
    </row>
    <row r="1622">
      <c r="A1622" s="0" t="inlineStr">
        <is>
          <t xml:space="preserve">o1621</t>
        </is>
      </c>
      <c r="B1622" s="0" t="inlineStr">
        <is>
          <t xml:space="preserve">a0119</t>
        </is>
      </c>
      <c r="C1622" s="0" t="inlineStr">
        <is>
          <t xml:space="preserve">r15</t>
        </is>
      </c>
      <c r="D1622" s="0" t="inlineStr">
        <is>
          <t xml:space="preserve">s_emea_out</t>
        </is>
      </c>
      <c r="E1622" s="0" t="inlineStr">
        <is>
          <t xml:space="preserve">outbound</t>
        </is>
      </c>
      <c r="F1622" s="0" t="inlineStr">
        <is>
          <t xml:space="preserve">closed_lost</t>
        </is>
      </c>
      <c r="G1622" s="4">
        <v>0</v>
      </c>
      <c r="H1622" s="4">
        <v>13300</v>
      </c>
      <c r="I1622" s="4">
        <v>1</v>
      </c>
      <c r="J1622" s="4">
        <v>0</v>
      </c>
      <c r="K1622" s="16">
        <v>45820</v>
      </c>
      <c r="L1622" s="16">
        <v>45928</v>
      </c>
      <c r="M1622" s="0" t="inlineStr">
        <is>
          <t xml:space="preserve">jun25</t>
        </is>
      </c>
      <c r="N1622" s="0" t="inlineStr">
        <is>
          <t xml:space="preserve">sep25</t>
        </is>
      </c>
      <c r="O1622" s="4">
        <v>108</v>
      </c>
      <c r="P1622" s="4">
        <v>0</v>
      </c>
      <c r="Q1622" s="4">
        <v>1</v>
      </c>
      <c r="R1622" s="4">
        <v>0</v>
      </c>
      <c r="S1622" s="4">
        <f>(H1622*INDEX('Stages'!$D$2:$D$7,MATCH(F1622,'Stages'!$A$2:$A$7,0)))</f>
        <v>0</v>
      </c>
      <c r="T1622" s="4">
        <f>(H1622*I1622)</f>
        <v>13300</v>
      </c>
      <c r="U1622" s="4">
        <f>(H1622*(I1622-1))</f>
        <v>0</v>
      </c>
      <c r="V1622" s="0" t="str">
        <f>INDEX('Account executives'!$B$2:$B$25,MATCH(C1622,'Account executives'!$A$2:$A$25,0))</f>
        <v>emea</v>
      </c>
      <c r="W1622" s="0" t="str">
        <f>INDEX('Account executives'!$C$2:$C$25,MATCH(C1622,'Account executives'!$A$2:$A$25,0))</f>
        <v>mid_market</v>
      </c>
      <c r="X1622" s="0" t="str">
        <f>SUBSTITUTE(LOWER(INDEX('Periods'!$G$2:$G$22,MATCH(N1622,'Periods'!$A$2:$A$22,0)))," ","_")</f>
        <v>q3_2025</v>
      </c>
    </row>
    <row r="1623">
      <c r="A1623" s="0" t="inlineStr">
        <is>
          <t xml:space="preserve">o1622</t>
        </is>
      </c>
      <c r="B1623" s="0" t="inlineStr">
        <is>
          <t xml:space="preserve">a0018</t>
        </is>
      </c>
      <c r="C1623" s="0" t="inlineStr">
        <is>
          <t xml:space="preserve">r04</t>
        </is>
      </c>
      <c r="D1623" s="0"/>
      <c r="E1623" s="0" t="inlineStr">
        <is>
          <t xml:space="preserve">partner</t>
        </is>
      </c>
      <c r="F1623" s="0" t="inlineStr">
        <is>
          <t xml:space="preserve">closed_lost</t>
        </is>
      </c>
      <c r="G1623" s="4">
        <v>1</v>
      </c>
      <c r="H1623" s="4">
        <v>24300</v>
      </c>
      <c r="I1623" s="4">
        <v>1</v>
      </c>
      <c r="J1623" s="4">
        <v>0</v>
      </c>
      <c r="K1623" s="16">
        <v>45761</v>
      </c>
      <c r="L1623" s="16">
        <v>45783</v>
      </c>
      <c r="M1623" s="0" t="inlineStr">
        <is>
          <t xml:space="preserve">apr25</t>
        </is>
      </c>
      <c r="N1623" s="0" t="inlineStr">
        <is>
          <t xml:space="preserve">may25</t>
        </is>
      </c>
      <c r="O1623" s="4">
        <v>22</v>
      </c>
      <c r="P1623" s="4">
        <v>0</v>
      </c>
      <c r="Q1623" s="4">
        <v>1</v>
      </c>
      <c r="R1623" s="4">
        <v>0</v>
      </c>
      <c r="S1623" s="4">
        <f>(H1623*INDEX('Stages'!$D$2:$D$7,MATCH(F1623,'Stages'!$A$2:$A$7,0)))</f>
        <v>0</v>
      </c>
      <c r="T1623" s="4">
        <f>(H1623*I1623)</f>
        <v>24300</v>
      </c>
      <c r="U1623" s="4">
        <f>(H1623*(I1623-1))</f>
        <v>0</v>
      </c>
      <c r="V1623" s="0" t="str">
        <f>INDEX('Account executives'!$B$2:$B$25,MATCH(C1623,'Account executives'!$A$2:$A$25,0))</f>
        <v>amer_east</v>
      </c>
      <c r="W1623" s="0" t="str">
        <f>INDEX('Account executives'!$C$2:$C$25,MATCH(C1623,'Account executives'!$A$2:$A$25,0))</f>
        <v>mid_market</v>
      </c>
      <c r="X1623" s="0" t="str">
        <f>SUBSTITUTE(LOWER(INDEX('Periods'!$G$2:$G$22,MATCH(N1623,'Periods'!$A$2:$A$22,0)))," ","_")</f>
        <v>q2_2025</v>
      </c>
    </row>
    <row r="1624">
      <c r="A1624" s="0" t="inlineStr">
        <is>
          <t xml:space="preserve">o1623</t>
        </is>
      </c>
      <c r="B1624" s="0" t="inlineStr">
        <is>
          <t xml:space="preserve">a0072</t>
        </is>
      </c>
      <c r="C1624" s="0" t="inlineStr">
        <is>
          <t xml:space="preserve">r04</t>
        </is>
      </c>
      <c r="D1624" s="0" t="inlineStr">
        <is>
          <t xml:space="preserve">s_amer_east_in</t>
        </is>
      </c>
      <c r="E1624" s="0" t="inlineStr">
        <is>
          <t xml:space="preserve">inbound</t>
        </is>
      </c>
      <c r="F1624" s="0" t="inlineStr">
        <is>
          <t xml:space="preserve">closed_won</t>
        </is>
      </c>
      <c r="G1624" s="4">
        <v>0</v>
      </c>
      <c r="H1624" s="4">
        <v>10200</v>
      </c>
      <c r="I1624" s="4">
        <v>1</v>
      </c>
      <c r="J1624" s="4">
        <v>0</v>
      </c>
      <c r="K1624" s="16">
        <v>45917</v>
      </c>
      <c r="L1624" s="16">
        <v>46000</v>
      </c>
      <c r="M1624" s="0" t="inlineStr">
        <is>
          <t xml:space="preserve">sep25</t>
        </is>
      </c>
      <c r="N1624" s="0" t="inlineStr">
        <is>
          <t xml:space="preserve">dec25</t>
        </is>
      </c>
      <c r="O1624" s="4">
        <v>83</v>
      </c>
      <c r="P1624" s="4">
        <v>1</v>
      </c>
      <c r="Q1624" s="4">
        <v>0</v>
      </c>
      <c r="R1624" s="4">
        <v>0</v>
      </c>
      <c r="S1624" s="4">
        <f>(H1624*INDEX('Stages'!$D$2:$D$7,MATCH(F1624,'Stages'!$A$2:$A$7,0)))</f>
        <v>10200</v>
      </c>
      <c r="T1624" s="4">
        <f>(H1624*I1624)</f>
        <v>10200</v>
      </c>
      <c r="U1624" s="4">
        <f>(H1624*(I1624-1))</f>
        <v>0</v>
      </c>
      <c r="V1624" s="0" t="str">
        <f>INDEX('Account executives'!$B$2:$B$25,MATCH(C1624,'Account executives'!$A$2:$A$25,0))</f>
        <v>amer_east</v>
      </c>
      <c r="W1624" s="0" t="str">
        <f>INDEX('Account executives'!$C$2:$C$25,MATCH(C1624,'Account executives'!$A$2:$A$25,0))</f>
        <v>mid_market</v>
      </c>
      <c r="X1624" s="0" t="str">
        <f>SUBSTITUTE(LOWER(INDEX('Periods'!$G$2:$G$22,MATCH(N1624,'Periods'!$A$2:$A$22,0)))," ","_")</f>
        <v>q4_2025</v>
      </c>
    </row>
    <row r="1625">
      <c r="A1625" s="0" t="inlineStr">
        <is>
          <t xml:space="preserve">o1624</t>
        </is>
      </c>
      <c r="B1625" s="0" t="inlineStr">
        <is>
          <t xml:space="preserve">a0605</t>
        </is>
      </c>
      <c r="C1625" s="0" t="inlineStr">
        <is>
          <t xml:space="preserve">r03</t>
        </is>
      </c>
      <c r="D1625" s="0" t="inlineStr">
        <is>
          <t xml:space="preserve">s_amer_east_in</t>
        </is>
      </c>
      <c r="E1625" s="0" t="inlineStr">
        <is>
          <t xml:space="preserve">inbound</t>
        </is>
      </c>
      <c r="F1625" s="0" t="inlineStr">
        <is>
          <t xml:space="preserve">closed_lost</t>
        </is>
      </c>
      <c r="G1625" s="4">
        <v>1</v>
      </c>
      <c r="H1625" s="4">
        <v>46600</v>
      </c>
      <c r="I1625" s="4">
        <v>1</v>
      </c>
      <c r="J1625" s="4">
        <v>0</v>
      </c>
      <c r="K1625" s="16">
        <v>46027</v>
      </c>
      <c r="L1625" s="16">
        <v>46087</v>
      </c>
      <c r="M1625" s="0" t="inlineStr">
        <is>
          <t xml:space="preserve">jan26</t>
        </is>
      </c>
      <c r="N1625" s="0" t="inlineStr">
        <is>
          <t xml:space="preserve">mar26</t>
        </is>
      </c>
      <c r="O1625" s="4">
        <v>60</v>
      </c>
      <c r="P1625" s="4">
        <v>0</v>
      </c>
      <c r="Q1625" s="4">
        <v>1</v>
      </c>
      <c r="R1625" s="4">
        <v>0</v>
      </c>
      <c r="S1625" s="4">
        <f>(H1625*INDEX('Stages'!$D$2:$D$7,MATCH(F1625,'Stages'!$A$2:$A$7,0)))</f>
        <v>0</v>
      </c>
      <c r="T1625" s="4">
        <f>(H1625*I1625)</f>
        <v>46600</v>
      </c>
      <c r="U1625" s="4">
        <f>(H1625*(I1625-1))</f>
        <v>0</v>
      </c>
      <c r="V1625" s="0" t="str">
        <f>INDEX('Account executives'!$B$2:$B$25,MATCH(C1625,'Account executives'!$A$2:$A$25,0))</f>
        <v>amer_east</v>
      </c>
      <c r="W1625" s="0" t="str">
        <f>INDEX('Account executives'!$C$2:$C$25,MATCH(C1625,'Account executives'!$A$2:$A$25,0))</f>
        <v>mid_market</v>
      </c>
      <c r="X1625" s="0" t="str">
        <f>SUBSTITUTE(LOWER(INDEX('Periods'!$G$2:$G$22,MATCH(N1625,'Periods'!$A$2:$A$22,0)))," ","_")</f>
        <v>q1_2026</v>
      </c>
    </row>
    <row r="1626">
      <c r="A1626" s="0" t="inlineStr">
        <is>
          <t xml:space="preserve">o1625</t>
        </is>
      </c>
      <c r="B1626" s="0" t="inlineStr">
        <is>
          <t xml:space="preserve">a0048</t>
        </is>
      </c>
      <c r="C1626" s="0" t="inlineStr">
        <is>
          <t xml:space="preserve">r13</t>
        </is>
      </c>
      <c r="D1626" s="0"/>
      <c r="E1626" s="0" t="inlineStr">
        <is>
          <t xml:space="preserve">partner</t>
        </is>
      </c>
      <c r="F1626" s="0" t="inlineStr">
        <is>
          <t xml:space="preserve">closed_won</t>
        </is>
      </c>
      <c r="G1626" s="4">
        <v>0</v>
      </c>
      <c r="H1626" s="4">
        <v>47800</v>
      </c>
      <c r="I1626" s="4">
        <v>1</v>
      </c>
      <c r="J1626" s="4">
        <v>1</v>
      </c>
      <c r="K1626" s="16">
        <v>45774</v>
      </c>
      <c r="L1626" s="16">
        <v>45928</v>
      </c>
      <c r="M1626" s="0" t="inlineStr">
        <is>
          <t xml:space="preserve">apr25</t>
        </is>
      </c>
      <c r="N1626" s="0" t="inlineStr">
        <is>
          <t xml:space="preserve">sep25</t>
        </is>
      </c>
      <c r="O1626" s="4">
        <v>154</v>
      </c>
      <c r="P1626" s="4">
        <v>1</v>
      </c>
      <c r="Q1626" s="4">
        <v>0</v>
      </c>
      <c r="R1626" s="4">
        <v>0</v>
      </c>
      <c r="S1626" s="4">
        <f>(H1626*INDEX('Stages'!$D$2:$D$7,MATCH(F1626,'Stages'!$A$2:$A$7,0)))</f>
        <v>47800</v>
      </c>
      <c r="T1626" s="4">
        <f>(H1626*I1626)</f>
        <v>47800</v>
      </c>
      <c r="U1626" s="4">
        <f>(H1626*(I1626-1))</f>
        <v>0</v>
      </c>
      <c r="V1626" s="0" t="str">
        <f>INDEX('Account executives'!$B$2:$B$25,MATCH(C1626,'Account executives'!$A$2:$A$25,0))</f>
        <v>emea</v>
      </c>
      <c r="W1626" s="0" t="str">
        <f>INDEX('Account executives'!$C$2:$C$25,MATCH(C1626,'Account executives'!$A$2:$A$25,0))</f>
        <v>enterprise</v>
      </c>
      <c r="X1626" s="0" t="str">
        <f>SUBSTITUTE(LOWER(INDEX('Periods'!$G$2:$G$22,MATCH(N1626,'Periods'!$A$2:$A$22,0)))," ","_")</f>
        <v>q3_2025</v>
      </c>
    </row>
    <row r="1627">
      <c r="A1627" s="0" t="inlineStr">
        <is>
          <t xml:space="preserve">o1626</t>
        </is>
      </c>
      <c r="B1627" s="0" t="inlineStr">
        <is>
          <t xml:space="preserve">a0204</t>
        </is>
      </c>
      <c r="C1627" s="0" t="inlineStr">
        <is>
          <t xml:space="preserve">r18</t>
        </is>
      </c>
      <c r="D1627" s="0" t="inlineStr">
        <is>
          <t xml:space="preserve">s_emea_in</t>
        </is>
      </c>
      <c r="E1627" s="0" t="inlineStr">
        <is>
          <t xml:space="preserve">inbound</t>
        </is>
      </c>
      <c r="F1627" s="0" t="inlineStr">
        <is>
          <t xml:space="preserve">closed_lost</t>
        </is>
      </c>
      <c r="G1627" s="4">
        <v>1</v>
      </c>
      <c r="H1627" s="4">
        <v>9500</v>
      </c>
      <c r="I1627" s="4">
        <v>1</v>
      </c>
      <c r="J1627" s="4">
        <v>1</v>
      </c>
      <c r="K1627" s="16">
        <v>45819</v>
      </c>
      <c r="L1627" s="16">
        <v>45844</v>
      </c>
      <c r="M1627" s="0" t="inlineStr">
        <is>
          <t xml:space="preserve">jun25</t>
        </is>
      </c>
      <c r="N1627" s="0" t="inlineStr">
        <is>
          <t xml:space="preserve">jul25</t>
        </is>
      </c>
      <c r="O1627" s="4">
        <v>25</v>
      </c>
      <c r="P1627" s="4">
        <v>0</v>
      </c>
      <c r="Q1627" s="4">
        <v>1</v>
      </c>
      <c r="R1627" s="4">
        <v>0</v>
      </c>
      <c r="S1627" s="4">
        <f>(H1627*INDEX('Stages'!$D$2:$D$7,MATCH(F1627,'Stages'!$A$2:$A$7,0)))</f>
        <v>0</v>
      </c>
      <c r="T1627" s="4">
        <f>(H1627*I1627)</f>
        <v>9500</v>
      </c>
      <c r="U1627" s="4">
        <f>(H1627*(I1627-1))</f>
        <v>0</v>
      </c>
      <c r="V1627" s="0" t="str">
        <f>INDEX('Account executives'!$B$2:$B$25,MATCH(C1627,'Account executives'!$A$2:$A$25,0))</f>
        <v>emea</v>
      </c>
      <c r="W1627" s="0" t="str">
        <f>INDEX('Account executives'!$C$2:$C$25,MATCH(C1627,'Account executives'!$A$2:$A$25,0))</f>
        <v>smb</v>
      </c>
      <c r="X1627" s="0" t="str">
        <f>SUBSTITUTE(LOWER(INDEX('Periods'!$G$2:$G$22,MATCH(N1627,'Periods'!$A$2:$A$22,0)))," ","_")</f>
        <v>q3_2025</v>
      </c>
    </row>
    <row r="1628">
      <c r="A1628" s="0" t="inlineStr">
        <is>
          <t xml:space="preserve">o1627</t>
        </is>
      </c>
      <c r="B1628" s="0" t="inlineStr">
        <is>
          <t xml:space="preserve">a0360</t>
        </is>
      </c>
      <c r="C1628" s="0" t="inlineStr">
        <is>
          <t xml:space="preserve">r05</t>
        </is>
      </c>
      <c r="D1628" s="0" t="inlineStr">
        <is>
          <t xml:space="preserve">s_amer_east_in</t>
        </is>
      </c>
      <c r="E1628" s="0" t="inlineStr">
        <is>
          <t xml:space="preserve">inbound</t>
        </is>
      </c>
      <c r="F1628" s="0" t="inlineStr">
        <is>
          <t xml:space="preserve">closed_won</t>
        </is>
      </c>
      <c r="G1628" s="4">
        <v>1</v>
      </c>
      <c r="H1628" s="4">
        <v>6600</v>
      </c>
      <c r="I1628" s="4">
        <v>1</v>
      </c>
      <c r="J1628" s="4">
        <v>0</v>
      </c>
      <c r="K1628" s="16">
        <v>45919</v>
      </c>
      <c r="L1628" s="16">
        <v>45930</v>
      </c>
      <c r="M1628" s="0" t="inlineStr">
        <is>
          <t xml:space="preserve">sep25</t>
        </is>
      </c>
      <c r="N1628" s="0" t="inlineStr">
        <is>
          <t xml:space="preserve">sep25</t>
        </is>
      </c>
      <c r="O1628" s="4">
        <v>11</v>
      </c>
      <c r="P1628" s="4">
        <v>1</v>
      </c>
      <c r="Q1628" s="4">
        <v>0</v>
      </c>
      <c r="R1628" s="4">
        <v>0</v>
      </c>
      <c r="S1628" s="4">
        <f>(H1628*INDEX('Stages'!$D$2:$D$7,MATCH(F1628,'Stages'!$A$2:$A$7,0)))</f>
        <v>6600</v>
      </c>
      <c r="T1628" s="4">
        <f>(H1628*I1628)</f>
        <v>6600</v>
      </c>
      <c r="U1628" s="4">
        <f>(H1628*(I1628-1))</f>
        <v>0</v>
      </c>
      <c r="V1628" s="0" t="str">
        <f>INDEX('Account executives'!$B$2:$B$25,MATCH(C1628,'Account executives'!$A$2:$A$25,0))</f>
        <v>amer_east</v>
      </c>
      <c r="W1628" s="0" t="str">
        <f>INDEX('Account executives'!$C$2:$C$25,MATCH(C1628,'Account executives'!$A$2:$A$25,0))</f>
        <v>smb</v>
      </c>
      <c r="X1628" s="0" t="str">
        <f>SUBSTITUTE(LOWER(INDEX('Periods'!$G$2:$G$22,MATCH(N1628,'Periods'!$A$2:$A$22,0)))," ","_")</f>
        <v>q3_2025</v>
      </c>
    </row>
    <row r="1629">
      <c r="A1629" s="0" t="inlineStr">
        <is>
          <t xml:space="preserve">o1628</t>
        </is>
      </c>
      <c r="B1629" s="0" t="inlineStr">
        <is>
          <t xml:space="preserve">a1236</t>
        </is>
      </c>
      <c r="C1629" s="0" t="inlineStr">
        <is>
          <t xml:space="preserve">r12</t>
        </is>
      </c>
      <c r="D1629" s="0" t="inlineStr">
        <is>
          <t xml:space="preserve">s_amer_west_in</t>
        </is>
      </c>
      <c r="E1629" s="0" t="inlineStr">
        <is>
          <t xml:space="preserve">inbound</t>
        </is>
      </c>
      <c r="F1629" s="0" t="inlineStr">
        <is>
          <t xml:space="preserve">discovery</t>
        </is>
      </c>
      <c r="G1629" s="4">
        <v>1</v>
      </c>
      <c r="H1629" s="4">
        <v>9300</v>
      </c>
      <c r="I1629" s="4">
        <v>1</v>
      </c>
      <c r="J1629" s="4">
        <v>0</v>
      </c>
      <c r="K1629" s="16">
        <v>46266</v>
      </c>
      <c r="L1629" s="16">
        <v>46293</v>
      </c>
      <c r="M1629" s="0" t="inlineStr">
        <is>
          <t xml:space="preserve">sep26</t>
        </is>
      </c>
      <c r="N1629" s="0" t="inlineStr">
        <is>
          <t xml:space="preserve">sep26</t>
        </is>
      </c>
      <c r="O1629" s="4">
        <v>40</v>
      </c>
      <c r="P1629" s="4">
        <v>0</v>
      </c>
      <c r="Q1629" s="4">
        <v>0</v>
      </c>
      <c r="R1629" s="4">
        <v>1</v>
      </c>
      <c r="S1629" s="4">
        <f>(H1629*INDEX('Stages'!$D$2:$D$7,MATCH(F1629,'Stages'!$A$2:$A$7,0)))</f>
        <v>930</v>
      </c>
      <c r="T1629" s="4">
        <f>(H1629*I1629)</f>
        <v>9300</v>
      </c>
      <c r="U1629" s="4">
        <f>(H1629*(I1629-1))</f>
        <v>0</v>
      </c>
      <c r="V1629" s="0" t="str">
        <f>INDEX('Account executives'!$B$2:$B$25,MATCH(C1629,'Account executives'!$A$2:$A$25,0))</f>
        <v>amer_west</v>
      </c>
      <c r="W1629" s="0" t="str">
        <f>INDEX('Account executives'!$C$2:$C$25,MATCH(C1629,'Account executives'!$A$2:$A$25,0))</f>
        <v>smb</v>
      </c>
      <c r="X1629" s="0" t="str">
        <f>SUBSTITUTE(LOWER(INDEX('Periods'!$G$2:$G$22,MATCH(N1629,'Periods'!$A$2:$A$22,0)))," ","_")</f>
        <v>q3_2026</v>
      </c>
    </row>
    <row r="1630">
      <c r="A1630" s="0" t="inlineStr">
        <is>
          <t xml:space="preserve">o1629</t>
        </is>
      </c>
      <c r="B1630" s="0" t="inlineStr">
        <is>
          <t xml:space="preserve">a0693</t>
        </is>
      </c>
      <c r="C1630" s="0" t="inlineStr">
        <is>
          <t xml:space="preserve">r17</t>
        </is>
      </c>
      <c r="D1630" s="0"/>
      <c r="E1630" s="0" t="inlineStr">
        <is>
          <t xml:space="preserve">referral</t>
        </is>
      </c>
      <c r="F1630" s="0" t="inlineStr">
        <is>
          <t xml:space="preserve">closed_lost</t>
        </is>
      </c>
      <c r="G1630" s="4">
        <v>0</v>
      </c>
      <c r="H1630" s="4">
        <v>4100</v>
      </c>
      <c r="I1630" s="4">
        <v>1</v>
      </c>
      <c r="J1630" s="4">
        <v>0</v>
      </c>
      <c r="K1630" s="16">
        <v>46260</v>
      </c>
      <c r="L1630" s="16">
        <v>46283</v>
      </c>
      <c r="M1630" s="0" t="inlineStr">
        <is>
          <t xml:space="preserve">aug26</t>
        </is>
      </c>
      <c r="N1630" s="0" t="inlineStr">
        <is>
          <t xml:space="preserve">sep26</t>
        </is>
      </c>
      <c r="O1630" s="4">
        <v>23</v>
      </c>
      <c r="P1630" s="4">
        <v>0</v>
      </c>
      <c r="Q1630" s="4">
        <v>1</v>
      </c>
      <c r="R1630" s="4">
        <v>0</v>
      </c>
      <c r="S1630" s="4">
        <f>(H1630*INDEX('Stages'!$D$2:$D$7,MATCH(F1630,'Stages'!$A$2:$A$7,0)))</f>
        <v>0</v>
      </c>
      <c r="T1630" s="4">
        <f>(H1630*I1630)</f>
        <v>4100</v>
      </c>
      <c r="U1630" s="4">
        <f>(H1630*(I1630-1))</f>
        <v>0</v>
      </c>
      <c r="V1630" s="0" t="str">
        <f>INDEX('Account executives'!$B$2:$B$25,MATCH(C1630,'Account executives'!$A$2:$A$25,0))</f>
        <v>emea</v>
      </c>
      <c r="W1630" s="0" t="str">
        <f>INDEX('Account executives'!$C$2:$C$25,MATCH(C1630,'Account executives'!$A$2:$A$25,0))</f>
        <v>smb</v>
      </c>
      <c r="X1630" s="0" t="str">
        <f>SUBSTITUTE(LOWER(INDEX('Periods'!$G$2:$G$22,MATCH(N1630,'Periods'!$A$2:$A$22,0)))," ","_")</f>
        <v>q3_2026</v>
      </c>
    </row>
    <row r="1631">
      <c r="A1631" s="0" t="inlineStr">
        <is>
          <t xml:space="preserve">o1630</t>
        </is>
      </c>
      <c r="B1631" s="0" t="inlineStr">
        <is>
          <t xml:space="preserve">a1239</t>
        </is>
      </c>
      <c r="C1631" s="0" t="inlineStr">
        <is>
          <t xml:space="preserve">r09</t>
        </is>
      </c>
      <c r="D1631" s="0"/>
      <c r="E1631" s="0" t="inlineStr">
        <is>
          <t xml:space="preserve">events</t>
        </is>
      </c>
      <c r="F1631" s="0" t="inlineStr">
        <is>
          <t xml:space="preserve">discovery</t>
        </is>
      </c>
      <c r="G1631" s="4">
        <v>1</v>
      </c>
      <c r="H1631" s="4">
        <v>19500</v>
      </c>
      <c r="I1631" s="4">
        <v>2</v>
      </c>
      <c r="J1631" s="4">
        <v>0</v>
      </c>
      <c r="K1631" s="16">
        <v>46269</v>
      </c>
      <c r="L1631" s="16">
        <v>46339</v>
      </c>
      <c r="M1631" s="0" t="inlineStr">
        <is>
          <t xml:space="preserve">sep26</t>
        </is>
      </c>
      <c r="N1631" s="0" t="inlineStr">
        <is>
          <t xml:space="preserve">nov26</t>
        </is>
      </c>
      <c r="O1631" s="4">
        <v>115</v>
      </c>
      <c r="P1631" s="4">
        <v>0</v>
      </c>
      <c r="Q1631" s="4">
        <v>0</v>
      </c>
      <c r="R1631" s="4">
        <v>1</v>
      </c>
      <c r="S1631" s="4">
        <f>(H1631*INDEX('Stages'!$D$2:$D$7,MATCH(F1631,'Stages'!$A$2:$A$7,0)))</f>
        <v>1950</v>
      </c>
      <c r="T1631" s="4">
        <f>(H1631*I1631)</f>
        <v>39000</v>
      </c>
      <c r="U1631" s="4">
        <f>(H1631*(I1631-1))</f>
        <v>19500</v>
      </c>
      <c r="V1631" s="0" t="str">
        <f>INDEX('Account executives'!$B$2:$B$25,MATCH(C1631,'Account executives'!$A$2:$A$25,0))</f>
        <v>amer_west</v>
      </c>
      <c r="W1631" s="0" t="str">
        <f>INDEX('Account executives'!$C$2:$C$25,MATCH(C1631,'Account executives'!$A$2:$A$25,0))</f>
        <v>mid_market</v>
      </c>
      <c r="X1631" s="0" t="str">
        <f>SUBSTITUTE(LOWER(INDEX('Periods'!$G$2:$G$22,MATCH(N1631,'Periods'!$A$2:$A$22,0)))," ","_")</f>
        <v>q4_2026</v>
      </c>
    </row>
    <row r="1632">
      <c r="A1632" s="0" t="inlineStr">
        <is>
          <t xml:space="preserve">o1631</t>
        </is>
      </c>
      <c r="B1632" s="0" t="inlineStr">
        <is>
          <t xml:space="preserve">a0004</t>
        </is>
      </c>
      <c r="C1632" s="0" t="inlineStr">
        <is>
          <t xml:space="preserve">r05</t>
        </is>
      </c>
      <c r="D1632" s="0" t="inlineStr">
        <is>
          <t xml:space="preserve">s_amer_east_in</t>
        </is>
      </c>
      <c r="E1632" s="0" t="inlineStr">
        <is>
          <t xml:space="preserve">inbound</t>
        </is>
      </c>
      <c r="F1632" s="0" t="inlineStr">
        <is>
          <t xml:space="preserve">closed_lost</t>
        </is>
      </c>
      <c r="G1632" s="4">
        <v>1</v>
      </c>
      <c r="H1632" s="4">
        <v>29800</v>
      </c>
      <c r="I1632" s="4">
        <v>1</v>
      </c>
      <c r="J1632" s="4">
        <v>0</v>
      </c>
      <c r="K1632" s="16">
        <v>45762</v>
      </c>
      <c r="L1632" s="16">
        <v>45836</v>
      </c>
      <c r="M1632" s="0" t="inlineStr">
        <is>
          <t xml:space="preserve">apr25</t>
        </is>
      </c>
      <c r="N1632" s="0" t="inlineStr">
        <is>
          <t xml:space="preserve">jun25</t>
        </is>
      </c>
      <c r="O1632" s="4">
        <v>74</v>
      </c>
      <c r="P1632" s="4">
        <v>0</v>
      </c>
      <c r="Q1632" s="4">
        <v>1</v>
      </c>
      <c r="R1632" s="4">
        <v>0</v>
      </c>
      <c r="S1632" s="4">
        <f>(H1632*INDEX('Stages'!$D$2:$D$7,MATCH(F1632,'Stages'!$A$2:$A$7,0)))</f>
        <v>0</v>
      </c>
      <c r="T1632" s="4">
        <f>(H1632*I1632)</f>
        <v>29800</v>
      </c>
      <c r="U1632" s="4">
        <f>(H1632*(I1632-1))</f>
        <v>0</v>
      </c>
      <c r="V1632" s="0" t="str">
        <f>INDEX('Account executives'!$B$2:$B$25,MATCH(C1632,'Account executives'!$A$2:$A$25,0))</f>
        <v>amer_east</v>
      </c>
      <c r="W1632" s="0" t="str">
        <f>INDEX('Account executives'!$C$2:$C$25,MATCH(C1632,'Account executives'!$A$2:$A$25,0))</f>
        <v>smb</v>
      </c>
      <c r="X1632" s="0" t="str">
        <f>SUBSTITUTE(LOWER(INDEX('Periods'!$G$2:$G$22,MATCH(N1632,'Periods'!$A$2:$A$22,0)))," ","_")</f>
        <v>q2_2025</v>
      </c>
    </row>
    <row r="1633">
      <c r="A1633" s="0" t="inlineStr">
        <is>
          <t xml:space="preserve">o1632</t>
        </is>
      </c>
      <c r="B1633" s="0" t="inlineStr">
        <is>
          <t xml:space="preserve">a1208</t>
        </is>
      </c>
      <c r="C1633" s="0" t="inlineStr">
        <is>
          <t xml:space="preserve">r19</t>
        </is>
      </c>
      <c r="D1633" s="0"/>
      <c r="E1633" s="0" t="inlineStr">
        <is>
          <t xml:space="preserve">referral</t>
        </is>
      </c>
      <c r="F1633" s="0" t="inlineStr">
        <is>
          <t xml:space="preserve">discovery</t>
        </is>
      </c>
      <c r="G1633" s="4">
        <v>1</v>
      </c>
      <c r="H1633" s="4">
        <v>160700</v>
      </c>
      <c r="I1633" s="4">
        <v>2</v>
      </c>
      <c r="J1633" s="4">
        <v>0</v>
      </c>
      <c r="K1633" s="16">
        <v>46242</v>
      </c>
      <c r="L1633" s="16">
        <v>46335</v>
      </c>
      <c r="M1633" s="0" t="inlineStr">
        <is>
          <t xml:space="preserve">aug26</t>
        </is>
      </c>
      <c r="N1633" s="0" t="inlineStr">
        <is>
          <t xml:space="preserve">nov26</t>
        </is>
      </c>
      <c r="O1633" s="4">
        <v>136</v>
      </c>
      <c r="P1633" s="4">
        <v>0</v>
      </c>
      <c r="Q1633" s="4">
        <v>0</v>
      </c>
      <c r="R1633" s="4">
        <v>1</v>
      </c>
      <c r="S1633" s="4">
        <f>(H1633*INDEX('Stages'!$D$2:$D$7,MATCH(F1633,'Stages'!$A$2:$A$7,0)))</f>
        <v>16070</v>
      </c>
      <c r="T1633" s="4">
        <f>(H1633*I1633)</f>
        <v>321400</v>
      </c>
      <c r="U1633" s="4">
        <f>(H1633*(I1633-1))</f>
        <v>160700</v>
      </c>
      <c r="V1633" s="0" t="str">
        <f>INDEX('Account executives'!$B$2:$B$25,MATCH(C1633,'Account executives'!$A$2:$A$25,0))</f>
        <v>apac</v>
      </c>
      <c r="W1633" s="0" t="str">
        <f>INDEX('Account executives'!$C$2:$C$25,MATCH(C1633,'Account executives'!$A$2:$A$25,0))</f>
        <v>enterprise</v>
      </c>
      <c r="X1633" s="0" t="str">
        <f>SUBSTITUTE(LOWER(INDEX('Periods'!$G$2:$G$22,MATCH(N1633,'Periods'!$A$2:$A$22,0)))," ","_")</f>
        <v>q4_2026</v>
      </c>
    </row>
    <row r="1634">
      <c r="A1634" s="0" t="inlineStr">
        <is>
          <t xml:space="preserve">o1633</t>
        </is>
      </c>
      <c r="B1634" s="0" t="inlineStr">
        <is>
          <t xml:space="preserve">a0404</t>
        </is>
      </c>
      <c r="C1634" s="0" t="inlineStr">
        <is>
          <t xml:space="preserve">r16</t>
        </is>
      </c>
      <c r="D1634" s="0"/>
      <c r="E1634" s="0" t="inlineStr">
        <is>
          <t xml:space="preserve">referral</t>
        </is>
      </c>
      <c r="F1634" s="0" t="inlineStr">
        <is>
          <t xml:space="preserve">closed_won</t>
        </is>
      </c>
      <c r="G1634" s="4">
        <v>1</v>
      </c>
      <c r="H1634" s="4">
        <v>23200</v>
      </c>
      <c r="I1634" s="4">
        <v>1</v>
      </c>
      <c r="J1634" s="4">
        <v>0</v>
      </c>
      <c r="K1634" s="16">
        <v>45912</v>
      </c>
      <c r="L1634" s="16">
        <v>45982</v>
      </c>
      <c r="M1634" s="0" t="inlineStr">
        <is>
          <t xml:space="preserve">sep25</t>
        </is>
      </c>
      <c r="N1634" s="0" t="inlineStr">
        <is>
          <t xml:space="preserve">nov25</t>
        </is>
      </c>
      <c r="O1634" s="4">
        <v>70</v>
      </c>
      <c r="P1634" s="4">
        <v>1</v>
      </c>
      <c r="Q1634" s="4">
        <v>0</v>
      </c>
      <c r="R1634" s="4">
        <v>0</v>
      </c>
      <c r="S1634" s="4">
        <f>(H1634*INDEX('Stages'!$D$2:$D$7,MATCH(F1634,'Stages'!$A$2:$A$7,0)))</f>
        <v>23200</v>
      </c>
      <c r="T1634" s="4">
        <f>(H1634*I1634)</f>
        <v>23200</v>
      </c>
      <c r="U1634" s="4">
        <f>(H1634*(I1634-1))</f>
        <v>0</v>
      </c>
      <c r="V1634" s="0" t="str">
        <f>INDEX('Account executives'!$B$2:$B$25,MATCH(C1634,'Account executives'!$A$2:$A$25,0))</f>
        <v>emea</v>
      </c>
      <c r="W1634" s="0" t="str">
        <f>INDEX('Account executives'!$C$2:$C$25,MATCH(C1634,'Account executives'!$A$2:$A$25,0))</f>
        <v>mid_market</v>
      </c>
      <c r="X1634" s="0" t="str">
        <f>SUBSTITUTE(LOWER(INDEX('Periods'!$G$2:$G$22,MATCH(N1634,'Periods'!$A$2:$A$22,0)))," ","_")</f>
        <v>q4_2025</v>
      </c>
    </row>
    <row r="1635">
      <c r="A1635" s="0" t="inlineStr">
        <is>
          <t xml:space="preserve">o1634</t>
        </is>
      </c>
      <c r="B1635" s="0" t="inlineStr">
        <is>
          <t xml:space="preserve">a0010</t>
        </is>
      </c>
      <c r="C1635" s="0" t="inlineStr">
        <is>
          <t xml:space="preserve">r05</t>
        </is>
      </c>
      <c r="D1635" s="0" t="inlineStr">
        <is>
          <t xml:space="preserve">s_amer_east_in</t>
        </is>
      </c>
      <c r="E1635" s="0" t="inlineStr">
        <is>
          <t xml:space="preserve">paid</t>
        </is>
      </c>
      <c r="F1635" s="0" t="inlineStr">
        <is>
          <t xml:space="preserve">closed_lost</t>
        </is>
      </c>
      <c r="G1635" s="4">
        <v>1</v>
      </c>
      <c r="H1635" s="4">
        <v>14300</v>
      </c>
      <c r="I1635" s="4">
        <v>1</v>
      </c>
      <c r="J1635" s="4">
        <v>0</v>
      </c>
      <c r="K1635" s="16">
        <v>45763</v>
      </c>
      <c r="L1635" s="16">
        <v>45836</v>
      </c>
      <c r="M1635" s="0" t="inlineStr">
        <is>
          <t xml:space="preserve">apr25</t>
        </is>
      </c>
      <c r="N1635" s="0" t="inlineStr">
        <is>
          <t xml:space="preserve">jun25</t>
        </is>
      </c>
      <c r="O1635" s="4">
        <v>73</v>
      </c>
      <c r="P1635" s="4">
        <v>0</v>
      </c>
      <c r="Q1635" s="4">
        <v>1</v>
      </c>
      <c r="R1635" s="4">
        <v>0</v>
      </c>
      <c r="S1635" s="4">
        <f>(H1635*INDEX('Stages'!$D$2:$D$7,MATCH(F1635,'Stages'!$A$2:$A$7,0)))</f>
        <v>0</v>
      </c>
      <c r="T1635" s="4">
        <f>(H1635*I1635)</f>
        <v>14300</v>
      </c>
      <c r="U1635" s="4">
        <f>(H1635*(I1635-1))</f>
        <v>0</v>
      </c>
      <c r="V1635" s="0" t="str">
        <f>INDEX('Account executives'!$B$2:$B$25,MATCH(C1635,'Account executives'!$A$2:$A$25,0))</f>
        <v>amer_east</v>
      </c>
      <c r="W1635" s="0" t="str">
        <f>INDEX('Account executives'!$C$2:$C$25,MATCH(C1635,'Account executives'!$A$2:$A$25,0))</f>
        <v>smb</v>
      </c>
      <c r="X1635" s="0" t="str">
        <f>SUBSTITUTE(LOWER(INDEX('Periods'!$G$2:$G$22,MATCH(N1635,'Periods'!$A$2:$A$22,0)))," ","_")</f>
        <v>q2_2025</v>
      </c>
    </row>
    <row r="1636">
      <c r="A1636" s="0" t="inlineStr">
        <is>
          <t xml:space="preserve">o1635</t>
        </is>
      </c>
      <c r="B1636" s="0" t="inlineStr">
        <is>
          <t xml:space="preserve">a0896</t>
        </is>
      </c>
      <c r="C1636" s="0" t="inlineStr">
        <is>
          <t xml:space="preserve">r06</t>
        </is>
      </c>
      <c r="D1636" s="0" t="inlineStr">
        <is>
          <t xml:space="preserve">s_amer_east_in</t>
        </is>
      </c>
      <c r="E1636" s="0" t="inlineStr">
        <is>
          <t xml:space="preserve">paid</t>
        </is>
      </c>
      <c r="F1636" s="0" t="inlineStr">
        <is>
          <t xml:space="preserve">closed_lost</t>
        </is>
      </c>
      <c r="G1636" s="4">
        <v>1</v>
      </c>
      <c r="H1636" s="4">
        <v>30500</v>
      </c>
      <c r="I1636" s="4">
        <v>1</v>
      </c>
      <c r="J1636" s="4">
        <v>0</v>
      </c>
      <c r="K1636" s="16">
        <v>46152</v>
      </c>
      <c r="L1636" s="16">
        <v>46183</v>
      </c>
      <c r="M1636" s="0" t="inlineStr">
        <is>
          <t xml:space="preserve">may26</t>
        </is>
      </c>
      <c r="N1636" s="0" t="inlineStr">
        <is>
          <t xml:space="preserve">jun26</t>
        </is>
      </c>
      <c r="O1636" s="4">
        <v>31</v>
      </c>
      <c r="P1636" s="4">
        <v>0</v>
      </c>
      <c r="Q1636" s="4">
        <v>1</v>
      </c>
      <c r="R1636" s="4">
        <v>0</v>
      </c>
      <c r="S1636" s="4">
        <f>(H1636*INDEX('Stages'!$D$2:$D$7,MATCH(F1636,'Stages'!$A$2:$A$7,0)))</f>
        <v>0</v>
      </c>
      <c r="T1636" s="4">
        <f>(H1636*I1636)</f>
        <v>30500</v>
      </c>
      <c r="U1636" s="4">
        <f>(H1636*(I1636-1))</f>
        <v>0</v>
      </c>
      <c r="V1636" s="0" t="str">
        <f>INDEX('Account executives'!$B$2:$B$25,MATCH(C1636,'Account executives'!$A$2:$A$25,0))</f>
        <v>amer_east</v>
      </c>
      <c r="W1636" s="0" t="str">
        <f>INDEX('Account executives'!$C$2:$C$25,MATCH(C1636,'Account executives'!$A$2:$A$25,0))</f>
        <v>smb</v>
      </c>
      <c r="X1636" s="0" t="str">
        <f>SUBSTITUTE(LOWER(INDEX('Periods'!$G$2:$G$22,MATCH(N1636,'Periods'!$A$2:$A$22,0)))," ","_")</f>
        <v>q2_2026</v>
      </c>
    </row>
    <row r="1637">
      <c r="A1637" s="0" t="inlineStr">
        <is>
          <t xml:space="preserve">o1636</t>
        </is>
      </c>
      <c r="B1637" s="0" t="inlineStr">
        <is>
          <t xml:space="preserve">a1015</t>
        </is>
      </c>
      <c r="C1637" s="0" t="inlineStr">
        <is>
          <t xml:space="preserve">r18</t>
        </is>
      </c>
      <c r="D1637" s="0" t="inlineStr">
        <is>
          <t xml:space="preserve">s_emea_in</t>
        </is>
      </c>
      <c r="E1637" s="0" t="inlineStr">
        <is>
          <t xml:space="preserve">inbound</t>
        </is>
      </c>
      <c r="F1637" s="0" t="inlineStr">
        <is>
          <t xml:space="preserve">closed_won</t>
        </is>
      </c>
      <c r="G1637" s="4">
        <v>1</v>
      </c>
      <c r="H1637" s="4">
        <v>8800</v>
      </c>
      <c r="I1637" s="4">
        <v>1</v>
      </c>
      <c r="J1637" s="4">
        <v>0</v>
      </c>
      <c r="K1637" s="16">
        <v>46189</v>
      </c>
      <c r="L1637" s="16">
        <v>46215</v>
      </c>
      <c r="M1637" s="0" t="inlineStr">
        <is>
          <t xml:space="preserve">jun26</t>
        </is>
      </c>
      <c r="N1637" s="0" t="inlineStr">
        <is>
          <t xml:space="preserve">jul26</t>
        </is>
      </c>
      <c r="O1637" s="4">
        <v>26</v>
      </c>
      <c r="P1637" s="4">
        <v>1</v>
      </c>
      <c r="Q1637" s="4">
        <v>0</v>
      </c>
      <c r="R1637" s="4">
        <v>0</v>
      </c>
      <c r="S1637" s="4">
        <f>(H1637*INDEX('Stages'!$D$2:$D$7,MATCH(F1637,'Stages'!$A$2:$A$7,0)))</f>
        <v>8800</v>
      </c>
      <c r="T1637" s="4">
        <f>(H1637*I1637)</f>
        <v>8800</v>
      </c>
      <c r="U1637" s="4">
        <f>(H1637*(I1637-1))</f>
        <v>0</v>
      </c>
      <c r="V1637" s="0" t="str">
        <f>INDEX('Account executives'!$B$2:$B$25,MATCH(C1637,'Account executives'!$A$2:$A$25,0))</f>
        <v>emea</v>
      </c>
      <c r="W1637" s="0" t="str">
        <f>INDEX('Account executives'!$C$2:$C$25,MATCH(C1637,'Account executives'!$A$2:$A$25,0))</f>
        <v>smb</v>
      </c>
      <c r="X1637" s="0" t="str">
        <f>SUBSTITUTE(LOWER(INDEX('Periods'!$G$2:$G$22,MATCH(N1637,'Periods'!$A$2:$A$22,0)))," ","_")</f>
        <v>q3_2026</v>
      </c>
    </row>
    <row r="1638">
      <c r="A1638" s="0" t="inlineStr">
        <is>
          <t xml:space="preserve">o1637</t>
        </is>
      </c>
      <c r="B1638" s="0" t="inlineStr">
        <is>
          <t xml:space="preserve">a0850</t>
        </is>
      </c>
      <c r="C1638" s="0" t="inlineStr">
        <is>
          <t xml:space="preserve">r07</t>
        </is>
      </c>
      <c r="D1638" s="0" t="inlineStr">
        <is>
          <t xml:space="preserve">s_amer_west_in</t>
        </is>
      </c>
      <c r="E1638" s="0" t="inlineStr">
        <is>
          <t xml:space="preserve">paid</t>
        </is>
      </c>
      <c r="F1638" s="0" t="inlineStr">
        <is>
          <t xml:space="preserve">closed_lost</t>
        </is>
      </c>
      <c r="G1638" s="4">
        <v>1</v>
      </c>
      <c r="H1638" s="4">
        <v>72700</v>
      </c>
      <c r="I1638" s="4">
        <v>2</v>
      </c>
      <c r="J1638" s="4">
        <v>0</v>
      </c>
      <c r="K1638" s="16">
        <v>46119</v>
      </c>
      <c r="L1638" s="16">
        <v>46176</v>
      </c>
      <c r="M1638" s="0" t="inlineStr">
        <is>
          <t xml:space="preserve">apr26</t>
        </is>
      </c>
      <c r="N1638" s="0" t="inlineStr">
        <is>
          <t xml:space="preserve">jun26</t>
        </is>
      </c>
      <c r="O1638" s="4">
        <v>57</v>
      </c>
      <c r="P1638" s="4">
        <v>0</v>
      </c>
      <c r="Q1638" s="4">
        <v>1</v>
      </c>
      <c r="R1638" s="4">
        <v>0</v>
      </c>
      <c r="S1638" s="4">
        <f>(H1638*INDEX('Stages'!$D$2:$D$7,MATCH(F1638,'Stages'!$A$2:$A$7,0)))</f>
        <v>0</v>
      </c>
      <c r="T1638" s="4">
        <f>(H1638*I1638)</f>
        <v>145400</v>
      </c>
      <c r="U1638" s="4">
        <f>(H1638*(I1638-1))</f>
        <v>72700</v>
      </c>
      <c r="V1638" s="0" t="str">
        <f>INDEX('Account executives'!$B$2:$B$25,MATCH(C1638,'Account executives'!$A$2:$A$25,0))</f>
        <v>amer_west</v>
      </c>
      <c r="W1638" s="0" t="str">
        <f>INDEX('Account executives'!$C$2:$C$25,MATCH(C1638,'Account executives'!$A$2:$A$25,0))</f>
        <v>enterprise</v>
      </c>
      <c r="X1638" s="0" t="str">
        <f>SUBSTITUTE(LOWER(INDEX('Periods'!$G$2:$G$22,MATCH(N1638,'Periods'!$A$2:$A$22,0)))," ","_")</f>
        <v>q2_2026</v>
      </c>
    </row>
    <row r="1639">
      <c r="A1639" s="0" t="inlineStr">
        <is>
          <t xml:space="preserve">o1638</t>
        </is>
      </c>
      <c r="B1639" s="0" t="inlineStr">
        <is>
          <t xml:space="preserve">a0461</t>
        </is>
      </c>
      <c r="C1639" s="0" t="inlineStr">
        <is>
          <t xml:space="preserve">r18</t>
        </is>
      </c>
      <c r="D1639" s="0" t="inlineStr">
        <is>
          <t xml:space="preserve">s_emea_in</t>
        </is>
      </c>
      <c r="E1639" s="0" t="inlineStr">
        <is>
          <t xml:space="preserve">inbound</t>
        </is>
      </c>
      <c r="F1639" s="0" t="inlineStr">
        <is>
          <t xml:space="preserve">closed_won</t>
        </is>
      </c>
      <c r="G1639" s="4">
        <v>0</v>
      </c>
      <c r="H1639" s="4">
        <v>2500</v>
      </c>
      <c r="I1639" s="4">
        <v>1</v>
      </c>
      <c r="J1639" s="4">
        <v>0</v>
      </c>
      <c r="K1639" s="16">
        <v>45997</v>
      </c>
      <c r="L1639" s="16">
        <v>46011</v>
      </c>
      <c r="M1639" s="0" t="inlineStr">
        <is>
          <t xml:space="preserve">dec25</t>
        </is>
      </c>
      <c r="N1639" s="0" t="inlineStr">
        <is>
          <t xml:space="preserve">dec25</t>
        </is>
      </c>
      <c r="O1639" s="4">
        <v>14</v>
      </c>
      <c r="P1639" s="4">
        <v>1</v>
      </c>
      <c r="Q1639" s="4">
        <v>0</v>
      </c>
      <c r="R1639" s="4">
        <v>0</v>
      </c>
      <c r="S1639" s="4">
        <f>(H1639*INDEX('Stages'!$D$2:$D$7,MATCH(F1639,'Stages'!$A$2:$A$7,0)))</f>
        <v>2500</v>
      </c>
      <c r="T1639" s="4">
        <f>(H1639*I1639)</f>
        <v>2500</v>
      </c>
      <c r="U1639" s="4">
        <f>(H1639*(I1639-1))</f>
        <v>0</v>
      </c>
      <c r="V1639" s="0" t="str">
        <f>INDEX('Account executives'!$B$2:$B$25,MATCH(C1639,'Account executives'!$A$2:$A$25,0))</f>
        <v>emea</v>
      </c>
      <c r="W1639" s="0" t="str">
        <f>INDEX('Account executives'!$C$2:$C$25,MATCH(C1639,'Account executives'!$A$2:$A$25,0))</f>
        <v>smb</v>
      </c>
      <c r="X1639" s="0" t="str">
        <f>SUBSTITUTE(LOWER(INDEX('Periods'!$G$2:$G$22,MATCH(N1639,'Periods'!$A$2:$A$22,0)))," ","_")</f>
        <v>q4_2025</v>
      </c>
    </row>
    <row r="1640">
      <c r="A1640" s="0" t="inlineStr">
        <is>
          <t xml:space="preserve">o1639</t>
        </is>
      </c>
      <c r="B1640" s="0" t="inlineStr">
        <is>
          <t xml:space="preserve">a1233</t>
        </is>
      </c>
      <c r="C1640" s="0" t="inlineStr">
        <is>
          <t xml:space="preserve">r06</t>
        </is>
      </c>
      <c r="D1640" s="0"/>
      <c r="E1640" s="0" t="inlineStr">
        <is>
          <t xml:space="preserve">referral</t>
        </is>
      </c>
      <c r="F1640" s="0" t="inlineStr">
        <is>
          <t xml:space="preserve">discovery</t>
        </is>
      </c>
      <c r="G1640" s="4">
        <v>1</v>
      </c>
      <c r="H1640" s="4">
        <v>9900</v>
      </c>
      <c r="I1640" s="4">
        <v>2</v>
      </c>
      <c r="J1640" s="4">
        <v>0</v>
      </c>
      <c r="K1640" s="16">
        <v>46275</v>
      </c>
      <c r="L1640" s="16">
        <v>46293</v>
      </c>
      <c r="M1640" s="0" t="inlineStr">
        <is>
          <t xml:space="preserve">sep26</t>
        </is>
      </c>
      <c r="N1640" s="0" t="inlineStr">
        <is>
          <t xml:space="preserve">sep26</t>
        </is>
      </c>
      <c r="O1640" s="4">
        <v>20</v>
      </c>
      <c r="P1640" s="4">
        <v>0</v>
      </c>
      <c r="Q1640" s="4">
        <v>0</v>
      </c>
      <c r="R1640" s="4">
        <v>1</v>
      </c>
      <c r="S1640" s="4">
        <f>(H1640*INDEX('Stages'!$D$2:$D$7,MATCH(F1640,'Stages'!$A$2:$A$7,0)))</f>
        <v>990</v>
      </c>
      <c r="T1640" s="4">
        <f>(H1640*I1640)</f>
        <v>19800</v>
      </c>
      <c r="U1640" s="4">
        <f>(H1640*(I1640-1))</f>
        <v>9900</v>
      </c>
      <c r="V1640" s="0" t="str">
        <f>INDEX('Account executives'!$B$2:$B$25,MATCH(C1640,'Account executives'!$A$2:$A$25,0))</f>
        <v>amer_east</v>
      </c>
      <c r="W1640" s="0" t="str">
        <f>INDEX('Account executives'!$C$2:$C$25,MATCH(C1640,'Account executives'!$A$2:$A$25,0))</f>
        <v>smb</v>
      </c>
      <c r="X1640" s="0" t="str">
        <f>SUBSTITUTE(LOWER(INDEX('Periods'!$G$2:$G$22,MATCH(N1640,'Periods'!$A$2:$A$22,0)))," ","_")</f>
        <v>q3_2026</v>
      </c>
    </row>
    <row r="1641">
      <c r="A1641" s="0" t="inlineStr">
        <is>
          <t xml:space="preserve">o1640</t>
        </is>
      </c>
      <c r="B1641" s="0" t="inlineStr">
        <is>
          <t xml:space="preserve">a0908</t>
        </is>
      </c>
      <c r="C1641" s="0" t="inlineStr">
        <is>
          <t xml:space="preserve">r03</t>
        </is>
      </c>
      <c r="D1641" s="0"/>
      <c r="E1641" s="0" t="inlineStr">
        <is>
          <t xml:space="preserve">referral</t>
        </is>
      </c>
      <c r="F1641" s="0" t="inlineStr">
        <is>
          <t xml:space="preserve">closed_lost</t>
        </is>
      </c>
      <c r="G1641" s="4">
        <v>1</v>
      </c>
      <c r="H1641" s="4">
        <v>132100</v>
      </c>
      <c r="I1641" s="4">
        <v>3</v>
      </c>
      <c r="J1641" s="4">
        <v>0</v>
      </c>
      <c r="K1641" s="16">
        <v>46168</v>
      </c>
      <c r="L1641" s="16">
        <v>46235</v>
      </c>
      <c r="M1641" s="0" t="inlineStr">
        <is>
          <t xml:space="preserve">may26</t>
        </is>
      </c>
      <c r="N1641" s="0" t="inlineStr">
        <is>
          <t xml:space="preserve">aug26</t>
        </is>
      </c>
      <c r="O1641" s="4">
        <v>67</v>
      </c>
      <c r="P1641" s="4">
        <v>0</v>
      </c>
      <c r="Q1641" s="4">
        <v>1</v>
      </c>
      <c r="R1641" s="4">
        <v>0</v>
      </c>
      <c r="S1641" s="4">
        <f>(H1641*INDEX('Stages'!$D$2:$D$7,MATCH(F1641,'Stages'!$A$2:$A$7,0)))</f>
        <v>0</v>
      </c>
      <c r="T1641" s="4">
        <f>(H1641*I1641)</f>
        <v>396300</v>
      </c>
      <c r="U1641" s="4">
        <f>(H1641*(I1641-1))</f>
        <v>264200</v>
      </c>
      <c r="V1641" s="0" t="str">
        <f>INDEX('Account executives'!$B$2:$B$25,MATCH(C1641,'Account executives'!$A$2:$A$25,0))</f>
        <v>amer_east</v>
      </c>
      <c r="W1641" s="0" t="str">
        <f>INDEX('Account executives'!$C$2:$C$25,MATCH(C1641,'Account executives'!$A$2:$A$25,0))</f>
        <v>mid_market</v>
      </c>
      <c r="X1641" s="0" t="str">
        <f>SUBSTITUTE(LOWER(INDEX('Periods'!$G$2:$G$22,MATCH(N1641,'Periods'!$A$2:$A$22,0)))," ","_")</f>
        <v>q3_2026</v>
      </c>
    </row>
    <row r="1642">
      <c r="A1642" s="0" t="inlineStr">
        <is>
          <t xml:space="preserve">o1641</t>
        </is>
      </c>
      <c r="B1642" s="0" t="inlineStr">
        <is>
          <t xml:space="preserve">a0266</t>
        </is>
      </c>
      <c r="C1642" s="0" t="inlineStr">
        <is>
          <t xml:space="preserve">r09</t>
        </is>
      </c>
      <c r="D1642" s="0" t="inlineStr">
        <is>
          <t xml:space="preserve">s_amer_west_out</t>
        </is>
      </c>
      <c r="E1642" s="0" t="inlineStr">
        <is>
          <t xml:space="preserve">outbound</t>
        </is>
      </c>
      <c r="F1642" s="0" t="inlineStr">
        <is>
          <t xml:space="preserve">closed_lost</t>
        </is>
      </c>
      <c r="G1642" s="4">
        <v>1</v>
      </c>
      <c r="H1642" s="4">
        <v>15200</v>
      </c>
      <c r="I1642" s="4">
        <v>1</v>
      </c>
      <c r="J1642" s="4">
        <v>0</v>
      </c>
      <c r="K1642" s="16">
        <v>45859</v>
      </c>
      <c r="L1642" s="16">
        <v>45918</v>
      </c>
      <c r="M1642" s="0" t="inlineStr">
        <is>
          <t xml:space="preserve">jul25</t>
        </is>
      </c>
      <c r="N1642" s="0" t="inlineStr">
        <is>
          <t xml:space="preserve">sep25</t>
        </is>
      </c>
      <c r="O1642" s="4">
        <v>59</v>
      </c>
      <c r="P1642" s="4">
        <v>0</v>
      </c>
      <c r="Q1642" s="4">
        <v>1</v>
      </c>
      <c r="R1642" s="4">
        <v>0</v>
      </c>
      <c r="S1642" s="4">
        <f>(H1642*INDEX('Stages'!$D$2:$D$7,MATCH(F1642,'Stages'!$A$2:$A$7,0)))</f>
        <v>0</v>
      </c>
      <c r="T1642" s="4">
        <f>(H1642*I1642)</f>
        <v>15200</v>
      </c>
      <c r="U1642" s="4">
        <f>(H1642*(I1642-1))</f>
        <v>0</v>
      </c>
      <c r="V1642" s="0" t="str">
        <f>INDEX('Account executives'!$B$2:$B$25,MATCH(C1642,'Account executives'!$A$2:$A$25,0))</f>
        <v>amer_west</v>
      </c>
      <c r="W1642" s="0" t="str">
        <f>INDEX('Account executives'!$C$2:$C$25,MATCH(C1642,'Account executives'!$A$2:$A$25,0))</f>
        <v>mid_market</v>
      </c>
      <c r="X1642" s="0" t="str">
        <f>SUBSTITUTE(LOWER(INDEX('Periods'!$G$2:$G$22,MATCH(N1642,'Periods'!$A$2:$A$22,0)))," ","_")</f>
        <v>q3_2025</v>
      </c>
    </row>
    <row r="1643">
      <c r="A1643" s="0" t="inlineStr">
        <is>
          <t xml:space="preserve">o1642</t>
        </is>
      </c>
      <c r="B1643" s="0" t="inlineStr">
        <is>
          <t xml:space="preserve">a0750</t>
        </is>
      </c>
      <c r="C1643" s="0" t="inlineStr">
        <is>
          <t xml:space="preserve">r04</t>
        </is>
      </c>
      <c r="D1643" s="0"/>
      <c r="E1643" s="0" t="inlineStr">
        <is>
          <t xml:space="preserve">referral</t>
        </is>
      </c>
      <c r="F1643" s="0" t="inlineStr">
        <is>
          <t xml:space="preserve">closed_lost</t>
        </is>
      </c>
      <c r="G1643" s="4">
        <v>1</v>
      </c>
      <c r="H1643" s="4">
        <v>79800</v>
      </c>
      <c r="I1643" s="4">
        <v>2</v>
      </c>
      <c r="J1643" s="4">
        <v>1</v>
      </c>
      <c r="K1643" s="16">
        <v>46102</v>
      </c>
      <c r="L1643" s="16">
        <v>46158</v>
      </c>
      <c r="M1643" s="0" t="inlineStr">
        <is>
          <t xml:space="preserve">mar26</t>
        </is>
      </c>
      <c r="N1643" s="0" t="inlineStr">
        <is>
          <t xml:space="preserve">may26</t>
        </is>
      </c>
      <c r="O1643" s="4">
        <v>56</v>
      </c>
      <c r="P1643" s="4">
        <v>0</v>
      </c>
      <c r="Q1643" s="4">
        <v>1</v>
      </c>
      <c r="R1643" s="4">
        <v>0</v>
      </c>
      <c r="S1643" s="4">
        <f>(H1643*INDEX('Stages'!$D$2:$D$7,MATCH(F1643,'Stages'!$A$2:$A$7,0)))</f>
        <v>0</v>
      </c>
      <c r="T1643" s="4">
        <f>(H1643*I1643)</f>
        <v>159600</v>
      </c>
      <c r="U1643" s="4">
        <f>(H1643*(I1643-1))</f>
        <v>79800</v>
      </c>
      <c r="V1643" s="0" t="str">
        <f>INDEX('Account executives'!$B$2:$B$25,MATCH(C1643,'Account executives'!$A$2:$A$25,0))</f>
        <v>amer_east</v>
      </c>
      <c r="W1643" s="0" t="str">
        <f>INDEX('Account executives'!$C$2:$C$25,MATCH(C1643,'Account executives'!$A$2:$A$25,0))</f>
        <v>mid_market</v>
      </c>
      <c r="X1643" s="0" t="str">
        <f>SUBSTITUTE(LOWER(INDEX('Periods'!$G$2:$G$22,MATCH(N1643,'Periods'!$A$2:$A$22,0)))," ","_")</f>
        <v>q2_2026</v>
      </c>
    </row>
    <row r="1644">
      <c r="A1644" s="0" t="inlineStr">
        <is>
          <t xml:space="preserve">o1643</t>
        </is>
      </c>
      <c r="B1644" s="0" t="inlineStr">
        <is>
          <t xml:space="preserve">a0146</t>
        </is>
      </c>
      <c r="C1644" s="0" t="inlineStr">
        <is>
          <t xml:space="preserve">r20</t>
        </is>
      </c>
      <c r="D1644" s="0" t="inlineStr">
        <is>
          <t xml:space="preserve">s_apac_in</t>
        </is>
      </c>
      <c r="E1644" s="0" t="inlineStr">
        <is>
          <t xml:space="preserve">paid</t>
        </is>
      </c>
      <c r="F1644" s="0" t="inlineStr">
        <is>
          <t xml:space="preserve">closed_won</t>
        </is>
      </c>
      <c r="G1644" s="4">
        <v>1</v>
      </c>
      <c r="H1644" s="4">
        <v>139000</v>
      </c>
      <c r="I1644" s="4">
        <v>3</v>
      </c>
      <c r="J1644" s="4">
        <v>1</v>
      </c>
      <c r="K1644" s="16">
        <v>45801</v>
      </c>
      <c r="L1644" s="16">
        <v>45909</v>
      </c>
      <c r="M1644" s="0" t="inlineStr">
        <is>
          <t xml:space="preserve">may25</t>
        </is>
      </c>
      <c r="N1644" s="0" t="inlineStr">
        <is>
          <t xml:space="preserve">sep25</t>
        </is>
      </c>
      <c r="O1644" s="4">
        <v>108</v>
      </c>
      <c r="P1644" s="4">
        <v>1</v>
      </c>
      <c r="Q1644" s="4">
        <v>0</v>
      </c>
      <c r="R1644" s="4">
        <v>0</v>
      </c>
      <c r="S1644" s="4">
        <f>(H1644*INDEX('Stages'!$D$2:$D$7,MATCH(F1644,'Stages'!$A$2:$A$7,0)))</f>
        <v>139000</v>
      </c>
      <c r="T1644" s="4">
        <f>(H1644*I1644)</f>
        <v>417000</v>
      </c>
      <c r="U1644" s="4">
        <f>(H1644*(I1644-1))</f>
        <v>278000</v>
      </c>
      <c r="V1644" s="0" t="str">
        <f>INDEX('Account executives'!$B$2:$B$25,MATCH(C1644,'Account executives'!$A$2:$A$25,0))</f>
        <v>apac</v>
      </c>
      <c r="W1644" s="0" t="str">
        <f>INDEX('Account executives'!$C$2:$C$25,MATCH(C1644,'Account executives'!$A$2:$A$25,0))</f>
        <v>enterprise</v>
      </c>
      <c r="X1644" s="0" t="str">
        <f>SUBSTITUTE(LOWER(INDEX('Periods'!$G$2:$G$22,MATCH(N1644,'Periods'!$A$2:$A$22,0)))," ","_")</f>
        <v>q3_2025</v>
      </c>
    </row>
    <row r="1645">
      <c r="A1645" s="0" t="inlineStr">
        <is>
          <t xml:space="preserve">o1644</t>
        </is>
      </c>
      <c r="B1645" s="0" t="inlineStr">
        <is>
          <t xml:space="preserve">a0067</t>
        </is>
      </c>
      <c r="C1645" s="0" t="inlineStr">
        <is>
          <t xml:space="preserve">r06</t>
        </is>
      </c>
      <c r="D1645" s="0" t="inlineStr">
        <is>
          <t xml:space="preserve">s_amer_east_out</t>
        </is>
      </c>
      <c r="E1645" s="0" t="inlineStr">
        <is>
          <t xml:space="preserve">outbound</t>
        </is>
      </c>
      <c r="F1645" s="0" t="inlineStr">
        <is>
          <t xml:space="preserve">closed_won</t>
        </is>
      </c>
      <c r="G1645" s="4">
        <v>0</v>
      </c>
      <c r="H1645" s="4">
        <v>4000</v>
      </c>
      <c r="I1645" s="4">
        <v>1</v>
      </c>
      <c r="J1645" s="4">
        <v>1</v>
      </c>
      <c r="K1645" s="16">
        <v>46179</v>
      </c>
      <c r="L1645" s="16">
        <v>46193</v>
      </c>
      <c r="M1645" s="0" t="inlineStr">
        <is>
          <t xml:space="preserve">jun26</t>
        </is>
      </c>
      <c r="N1645" s="0" t="inlineStr">
        <is>
          <t xml:space="preserve">jun26</t>
        </is>
      </c>
      <c r="O1645" s="4">
        <v>14</v>
      </c>
      <c r="P1645" s="4">
        <v>1</v>
      </c>
      <c r="Q1645" s="4">
        <v>0</v>
      </c>
      <c r="R1645" s="4">
        <v>0</v>
      </c>
      <c r="S1645" s="4">
        <f>(H1645*INDEX('Stages'!$D$2:$D$7,MATCH(F1645,'Stages'!$A$2:$A$7,0)))</f>
        <v>4000</v>
      </c>
      <c r="T1645" s="4">
        <f>(H1645*I1645)</f>
        <v>4000</v>
      </c>
      <c r="U1645" s="4">
        <f>(H1645*(I1645-1))</f>
        <v>0</v>
      </c>
      <c r="V1645" s="0" t="str">
        <f>INDEX('Account executives'!$B$2:$B$25,MATCH(C1645,'Account executives'!$A$2:$A$25,0))</f>
        <v>amer_east</v>
      </c>
      <c r="W1645" s="0" t="str">
        <f>INDEX('Account executives'!$C$2:$C$25,MATCH(C1645,'Account executives'!$A$2:$A$25,0))</f>
        <v>smb</v>
      </c>
      <c r="X1645" s="0" t="str">
        <f>SUBSTITUTE(LOWER(INDEX('Periods'!$G$2:$G$22,MATCH(N1645,'Periods'!$A$2:$A$22,0)))," ","_")</f>
        <v>q2_2026</v>
      </c>
    </row>
    <row r="1646">
      <c r="A1646" s="0" t="inlineStr">
        <is>
          <t xml:space="preserve">o1645</t>
        </is>
      </c>
      <c r="B1646" s="0" t="inlineStr">
        <is>
          <t xml:space="preserve">a1175</t>
        </is>
      </c>
      <c r="C1646" s="0" t="inlineStr">
        <is>
          <t xml:space="preserve">r12</t>
        </is>
      </c>
      <c r="D1646" s="0" t="inlineStr">
        <is>
          <t xml:space="preserve">s_amer_west_in</t>
        </is>
      </c>
      <c r="E1646" s="0" t="inlineStr">
        <is>
          <t xml:space="preserve">paid</t>
        </is>
      </c>
      <c r="F1646" s="0" t="inlineStr">
        <is>
          <t xml:space="preserve">proposal</t>
        </is>
      </c>
      <c r="G1646" s="4">
        <v>1</v>
      </c>
      <c r="H1646" s="4">
        <v>15100</v>
      </c>
      <c r="I1646" s="4">
        <v>1</v>
      </c>
      <c r="J1646" s="4">
        <v>0</v>
      </c>
      <c r="K1646" s="16">
        <v>46255</v>
      </c>
      <c r="L1646" s="16">
        <v>46314</v>
      </c>
      <c r="M1646" s="0" t="inlineStr">
        <is>
          <t xml:space="preserve">aug26</t>
        </is>
      </c>
      <c r="N1646" s="0" t="inlineStr">
        <is>
          <t xml:space="preserve">oct26</t>
        </is>
      </c>
      <c r="O1646" s="4">
        <v>38</v>
      </c>
      <c r="P1646" s="4">
        <v>0</v>
      </c>
      <c r="Q1646" s="4">
        <v>0</v>
      </c>
      <c r="R1646" s="4">
        <v>1</v>
      </c>
      <c r="S1646" s="4">
        <f>(H1646*INDEX('Stages'!$D$2:$D$7,MATCH(F1646,'Stages'!$A$2:$A$7,0)))</f>
        <v>7550</v>
      </c>
      <c r="T1646" s="4">
        <f>(H1646*I1646)</f>
        <v>15100</v>
      </c>
      <c r="U1646" s="4">
        <f>(H1646*(I1646-1))</f>
        <v>0</v>
      </c>
      <c r="V1646" s="0" t="str">
        <f>INDEX('Account executives'!$B$2:$B$25,MATCH(C1646,'Account executives'!$A$2:$A$25,0))</f>
        <v>amer_west</v>
      </c>
      <c r="W1646" s="0" t="str">
        <f>INDEX('Account executives'!$C$2:$C$25,MATCH(C1646,'Account executives'!$A$2:$A$25,0))</f>
        <v>smb</v>
      </c>
      <c r="X1646" s="0" t="str">
        <f>SUBSTITUTE(LOWER(INDEX('Periods'!$G$2:$G$22,MATCH(N1646,'Periods'!$A$2:$A$22,0)))," ","_")</f>
        <v>q4_2026</v>
      </c>
    </row>
    <row r="1647">
      <c r="A1647" s="0" t="inlineStr">
        <is>
          <t xml:space="preserve">o1646</t>
        </is>
      </c>
      <c r="B1647" s="0" t="inlineStr">
        <is>
          <t xml:space="preserve">a0211</t>
        </is>
      </c>
      <c r="C1647" s="0" t="inlineStr">
        <is>
          <t xml:space="preserve">r18</t>
        </is>
      </c>
      <c r="D1647" s="0" t="inlineStr">
        <is>
          <t xml:space="preserve">s_emea_in</t>
        </is>
      </c>
      <c r="E1647" s="0" t="inlineStr">
        <is>
          <t xml:space="preserve">inbound</t>
        </is>
      </c>
      <c r="F1647" s="0" t="inlineStr">
        <is>
          <t xml:space="preserve">closed_lost</t>
        </is>
      </c>
      <c r="G1647" s="4">
        <v>0</v>
      </c>
      <c r="H1647" s="4">
        <v>5800</v>
      </c>
      <c r="I1647" s="4">
        <v>1</v>
      </c>
      <c r="J1647" s="4">
        <v>1</v>
      </c>
      <c r="K1647" s="16">
        <v>45887</v>
      </c>
      <c r="L1647" s="16">
        <v>45923</v>
      </c>
      <c r="M1647" s="0" t="inlineStr">
        <is>
          <t xml:space="preserve">aug25</t>
        </is>
      </c>
      <c r="N1647" s="0" t="inlineStr">
        <is>
          <t xml:space="preserve">sep25</t>
        </is>
      </c>
      <c r="O1647" s="4">
        <v>36</v>
      </c>
      <c r="P1647" s="4">
        <v>0</v>
      </c>
      <c r="Q1647" s="4">
        <v>1</v>
      </c>
      <c r="R1647" s="4">
        <v>0</v>
      </c>
      <c r="S1647" s="4">
        <f>(H1647*INDEX('Stages'!$D$2:$D$7,MATCH(F1647,'Stages'!$A$2:$A$7,0)))</f>
        <v>0</v>
      </c>
      <c r="T1647" s="4">
        <f>(H1647*I1647)</f>
        <v>5800</v>
      </c>
      <c r="U1647" s="4">
        <f>(H1647*(I1647-1))</f>
        <v>0</v>
      </c>
      <c r="V1647" s="0" t="str">
        <f>INDEX('Account executives'!$B$2:$B$25,MATCH(C1647,'Account executives'!$A$2:$A$25,0))</f>
        <v>emea</v>
      </c>
      <c r="W1647" s="0" t="str">
        <f>INDEX('Account executives'!$C$2:$C$25,MATCH(C1647,'Account executives'!$A$2:$A$25,0))</f>
        <v>smb</v>
      </c>
      <c r="X1647" s="0" t="str">
        <f>SUBSTITUTE(LOWER(INDEX('Periods'!$G$2:$G$22,MATCH(N1647,'Periods'!$A$2:$A$22,0)))," ","_")</f>
        <v>q3_2025</v>
      </c>
    </row>
    <row r="1648">
      <c r="A1648" s="0" t="inlineStr">
        <is>
          <t xml:space="preserve">o1647</t>
        </is>
      </c>
      <c r="B1648" s="0" t="inlineStr">
        <is>
          <t xml:space="preserve">a0281</t>
        </is>
      </c>
      <c r="C1648" s="0" t="inlineStr">
        <is>
          <t xml:space="preserve">r16</t>
        </is>
      </c>
      <c r="D1648" s="0"/>
      <c r="E1648" s="0" t="inlineStr">
        <is>
          <t xml:space="preserve">events</t>
        </is>
      </c>
      <c r="F1648" s="0" t="inlineStr">
        <is>
          <t xml:space="preserve">closed_won</t>
        </is>
      </c>
      <c r="G1648" s="4">
        <v>0</v>
      </c>
      <c r="H1648" s="4">
        <v>19000</v>
      </c>
      <c r="I1648" s="4">
        <v>2</v>
      </c>
      <c r="J1648" s="4">
        <v>1</v>
      </c>
      <c r="K1648" s="16">
        <v>46024</v>
      </c>
      <c r="L1648" s="16">
        <v>46095</v>
      </c>
      <c r="M1648" s="0" t="inlineStr">
        <is>
          <t xml:space="preserve">jan26</t>
        </is>
      </c>
      <c r="N1648" s="0" t="inlineStr">
        <is>
          <t xml:space="preserve">mar26</t>
        </is>
      </c>
      <c r="O1648" s="4">
        <v>71</v>
      </c>
      <c r="P1648" s="4">
        <v>1</v>
      </c>
      <c r="Q1648" s="4">
        <v>0</v>
      </c>
      <c r="R1648" s="4">
        <v>0</v>
      </c>
      <c r="S1648" s="4">
        <f>(H1648*INDEX('Stages'!$D$2:$D$7,MATCH(F1648,'Stages'!$A$2:$A$7,0)))</f>
        <v>19000</v>
      </c>
      <c r="T1648" s="4">
        <f>(H1648*I1648)</f>
        <v>38000</v>
      </c>
      <c r="U1648" s="4">
        <f>(H1648*(I1648-1))</f>
        <v>19000</v>
      </c>
      <c r="V1648" s="0" t="str">
        <f>INDEX('Account executives'!$B$2:$B$25,MATCH(C1648,'Account executives'!$A$2:$A$25,0))</f>
        <v>emea</v>
      </c>
      <c r="W1648" s="0" t="str">
        <f>INDEX('Account executives'!$C$2:$C$25,MATCH(C1648,'Account executives'!$A$2:$A$25,0))</f>
        <v>mid_market</v>
      </c>
      <c r="X1648" s="0" t="str">
        <f>SUBSTITUTE(LOWER(INDEX('Periods'!$G$2:$G$22,MATCH(N1648,'Periods'!$A$2:$A$22,0)))," ","_")</f>
        <v>q1_2026</v>
      </c>
    </row>
    <row r="1649">
      <c r="A1649" s="0" t="inlineStr">
        <is>
          <t xml:space="preserve">o1648</t>
        </is>
      </c>
      <c r="B1649" s="0" t="inlineStr">
        <is>
          <t xml:space="preserve">a0030</t>
        </is>
      </c>
      <c r="C1649" s="0" t="inlineStr">
        <is>
          <t xml:space="preserve">r11</t>
        </is>
      </c>
      <c r="D1649" s="0" t="inlineStr">
        <is>
          <t xml:space="preserve">s_amer_west_in</t>
        </is>
      </c>
      <c r="E1649" s="0" t="inlineStr">
        <is>
          <t xml:space="preserve">paid</t>
        </is>
      </c>
      <c r="F1649" s="0" t="inlineStr">
        <is>
          <t xml:space="preserve">closed_won</t>
        </is>
      </c>
      <c r="G1649" s="4">
        <v>1</v>
      </c>
      <c r="H1649" s="4">
        <v>32500</v>
      </c>
      <c r="I1649" s="4">
        <v>1</v>
      </c>
      <c r="J1649" s="4">
        <v>0</v>
      </c>
      <c r="K1649" s="16">
        <v>45757</v>
      </c>
      <c r="L1649" s="16">
        <v>45776</v>
      </c>
      <c r="M1649" s="0" t="inlineStr">
        <is>
          <t xml:space="preserve">apr25</t>
        </is>
      </c>
      <c r="N1649" s="0" t="inlineStr">
        <is>
          <t xml:space="preserve">apr25</t>
        </is>
      </c>
      <c r="O1649" s="4">
        <v>19</v>
      </c>
      <c r="P1649" s="4">
        <v>1</v>
      </c>
      <c r="Q1649" s="4">
        <v>0</v>
      </c>
      <c r="R1649" s="4">
        <v>0</v>
      </c>
      <c r="S1649" s="4">
        <f>(H1649*INDEX('Stages'!$D$2:$D$7,MATCH(F1649,'Stages'!$A$2:$A$7,0)))</f>
        <v>32500</v>
      </c>
      <c r="T1649" s="4">
        <f>(H1649*I1649)</f>
        <v>32500</v>
      </c>
      <c r="U1649" s="4">
        <f>(H1649*(I1649-1))</f>
        <v>0</v>
      </c>
      <c r="V1649" s="0" t="str">
        <f>INDEX('Account executives'!$B$2:$B$25,MATCH(C1649,'Account executives'!$A$2:$A$25,0))</f>
        <v>amer_west</v>
      </c>
      <c r="W1649" s="0" t="str">
        <f>INDEX('Account executives'!$C$2:$C$25,MATCH(C1649,'Account executives'!$A$2:$A$25,0))</f>
        <v>smb</v>
      </c>
      <c r="X1649" s="0" t="str">
        <f>SUBSTITUTE(LOWER(INDEX('Periods'!$G$2:$G$22,MATCH(N1649,'Periods'!$A$2:$A$22,0)))," ","_")</f>
        <v>q2_2025</v>
      </c>
    </row>
    <row r="1650">
      <c r="A1650" s="0" t="inlineStr">
        <is>
          <t xml:space="preserve">o1649</t>
        </is>
      </c>
      <c r="B1650" s="0" t="inlineStr">
        <is>
          <t xml:space="preserve">a0698</t>
        </is>
      </c>
      <c r="C1650" s="0" t="inlineStr">
        <is>
          <t xml:space="preserve">r17</t>
        </is>
      </c>
      <c r="D1650" s="0" t="inlineStr">
        <is>
          <t xml:space="preserve">s_emea_in</t>
        </is>
      </c>
      <c r="E1650" s="0" t="inlineStr">
        <is>
          <t xml:space="preserve">paid</t>
        </is>
      </c>
      <c r="F1650" s="0" t="inlineStr">
        <is>
          <t xml:space="preserve">closed_won</t>
        </is>
      </c>
      <c r="G1650" s="4">
        <v>1</v>
      </c>
      <c r="H1650" s="4">
        <v>5400</v>
      </c>
      <c r="I1650" s="4">
        <v>1</v>
      </c>
      <c r="J1650" s="4">
        <v>0</v>
      </c>
      <c r="K1650" s="16">
        <v>46070</v>
      </c>
      <c r="L1650" s="16">
        <v>46087</v>
      </c>
      <c r="M1650" s="0" t="inlineStr">
        <is>
          <t xml:space="preserve">feb26</t>
        </is>
      </c>
      <c r="N1650" s="0" t="inlineStr">
        <is>
          <t xml:space="preserve">mar26</t>
        </is>
      </c>
      <c r="O1650" s="4">
        <v>17</v>
      </c>
      <c r="P1650" s="4">
        <v>1</v>
      </c>
      <c r="Q1650" s="4">
        <v>0</v>
      </c>
      <c r="R1650" s="4">
        <v>0</v>
      </c>
      <c r="S1650" s="4">
        <f>(H1650*INDEX('Stages'!$D$2:$D$7,MATCH(F1650,'Stages'!$A$2:$A$7,0)))</f>
        <v>5400</v>
      </c>
      <c r="T1650" s="4">
        <f>(H1650*I1650)</f>
        <v>5400</v>
      </c>
      <c r="U1650" s="4">
        <f>(H1650*(I1650-1))</f>
        <v>0</v>
      </c>
      <c r="V1650" s="0" t="str">
        <f>INDEX('Account executives'!$B$2:$B$25,MATCH(C1650,'Account executives'!$A$2:$A$25,0))</f>
        <v>emea</v>
      </c>
      <c r="W1650" s="0" t="str">
        <f>INDEX('Account executives'!$C$2:$C$25,MATCH(C1650,'Account executives'!$A$2:$A$25,0))</f>
        <v>smb</v>
      </c>
      <c r="X1650" s="0" t="str">
        <f>SUBSTITUTE(LOWER(INDEX('Periods'!$G$2:$G$22,MATCH(N1650,'Periods'!$A$2:$A$22,0)))," ","_")</f>
        <v>q1_2026</v>
      </c>
    </row>
    <row r="1651">
      <c r="A1651" s="0" t="inlineStr">
        <is>
          <t xml:space="preserve">o1650</t>
        </is>
      </c>
      <c r="B1651" s="0" t="inlineStr">
        <is>
          <t xml:space="preserve">a0119</t>
        </is>
      </c>
      <c r="C1651" s="0" t="inlineStr">
        <is>
          <t xml:space="preserve">r15</t>
        </is>
      </c>
      <c r="D1651" s="0" t="inlineStr">
        <is>
          <t xml:space="preserve">s_emea_in</t>
        </is>
      </c>
      <c r="E1651" s="0" t="inlineStr">
        <is>
          <t xml:space="preserve">paid</t>
        </is>
      </c>
      <c r="F1651" s="0" t="inlineStr">
        <is>
          <t xml:space="preserve">closed_won</t>
        </is>
      </c>
      <c r="G1651" s="4">
        <v>0</v>
      </c>
      <c r="H1651" s="4">
        <v>37200</v>
      </c>
      <c r="I1651" s="4">
        <v>2</v>
      </c>
      <c r="J1651" s="4">
        <v>0</v>
      </c>
      <c r="K1651" s="16">
        <v>45891</v>
      </c>
      <c r="L1651" s="16">
        <v>45930</v>
      </c>
      <c r="M1651" s="0" t="inlineStr">
        <is>
          <t xml:space="preserve">aug25</t>
        </is>
      </c>
      <c r="N1651" s="0" t="inlineStr">
        <is>
          <t xml:space="preserve">sep25</t>
        </is>
      </c>
      <c r="O1651" s="4">
        <v>39</v>
      </c>
      <c r="P1651" s="4">
        <v>1</v>
      </c>
      <c r="Q1651" s="4">
        <v>0</v>
      </c>
      <c r="R1651" s="4">
        <v>0</v>
      </c>
      <c r="S1651" s="4">
        <f>(H1651*INDEX('Stages'!$D$2:$D$7,MATCH(F1651,'Stages'!$A$2:$A$7,0)))</f>
        <v>37200</v>
      </c>
      <c r="T1651" s="4">
        <f>(H1651*I1651)</f>
        <v>74400</v>
      </c>
      <c r="U1651" s="4">
        <f>(H1651*(I1651-1))</f>
        <v>37200</v>
      </c>
      <c r="V1651" s="0" t="str">
        <f>INDEX('Account executives'!$B$2:$B$25,MATCH(C1651,'Account executives'!$A$2:$A$25,0))</f>
        <v>emea</v>
      </c>
      <c r="W1651" s="0" t="str">
        <f>INDEX('Account executives'!$C$2:$C$25,MATCH(C1651,'Account executives'!$A$2:$A$25,0))</f>
        <v>mid_market</v>
      </c>
      <c r="X1651" s="0" t="str">
        <f>SUBSTITUTE(LOWER(INDEX('Periods'!$G$2:$G$22,MATCH(N1651,'Periods'!$A$2:$A$22,0)))," ","_")</f>
        <v>q3_2025</v>
      </c>
    </row>
    <row r="1652">
      <c r="A1652" s="0" t="inlineStr">
        <is>
          <t xml:space="preserve">o1651</t>
        </is>
      </c>
      <c r="B1652" s="0" t="inlineStr">
        <is>
          <t xml:space="preserve">a0870</t>
        </is>
      </c>
      <c r="C1652" s="0" t="inlineStr">
        <is>
          <t xml:space="preserve">r17</t>
        </is>
      </c>
      <c r="D1652" s="0"/>
      <c r="E1652" s="0" t="inlineStr">
        <is>
          <t xml:space="preserve">partner</t>
        </is>
      </c>
      <c r="F1652" s="0" t="inlineStr">
        <is>
          <t xml:space="preserve">closed_lost</t>
        </is>
      </c>
      <c r="G1652" s="4">
        <v>1</v>
      </c>
      <c r="H1652" s="4">
        <v>11300</v>
      </c>
      <c r="I1652" s="4">
        <v>1</v>
      </c>
      <c r="J1652" s="4">
        <v>1</v>
      </c>
      <c r="K1652" s="16">
        <v>46115</v>
      </c>
      <c r="L1652" s="16">
        <v>46201</v>
      </c>
      <c r="M1652" s="0" t="inlineStr">
        <is>
          <t xml:space="preserve">apr26</t>
        </is>
      </c>
      <c r="N1652" s="0" t="inlineStr">
        <is>
          <t xml:space="preserve">jun26</t>
        </is>
      </c>
      <c r="O1652" s="4">
        <v>86</v>
      </c>
      <c r="P1652" s="4">
        <v>0</v>
      </c>
      <c r="Q1652" s="4">
        <v>1</v>
      </c>
      <c r="R1652" s="4">
        <v>0</v>
      </c>
      <c r="S1652" s="4">
        <f>(H1652*INDEX('Stages'!$D$2:$D$7,MATCH(F1652,'Stages'!$A$2:$A$7,0)))</f>
        <v>0</v>
      </c>
      <c r="T1652" s="4">
        <f>(H1652*I1652)</f>
        <v>11300</v>
      </c>
      <c r="U1652" s="4">
        <f>(H1652*(I1652-1))</f>
        <v>0</v>
      </c>
      <c r="V1652" s="0" t="str">
        <f>INDEX('Account executives'!$B$2:$B$25,MATCH(C1652,'Account executives'!$A$2:$A$25,0))</f>
        <v>emea</v>
      </c>
      <c r="W1652" s="0" t="str">
        <f>INDEX('Account executives'!$C$2:$C$25,MATCH(C1652,'Account executives'!$A$2:$A$25,0))</f>
        <v>smb</v>
      </c>
      <c r="X1652" s="0" t="str">
        <f>SUBSTITUTE(LOWER(INDEX('Periods'!$G$2:$G$22,MATCH(N1652,'Periods'!$A$2:$A$22,0)))," ","_")</f>
        <v>q2_2026</v>
      </c>
    </row>
    <row r="1653">
      <c r="A1653" s="0" t="inlineStr">
        <is>
          <t xml:space="preserve">o1652</t>
        </is>
      </c>
      <c r="B1653" s="0" t="inlineStr">
        <is>
          <t xml:space="preserve">a1104</t>
        </is>
      </c>
      <c r="C1653" s="0" t="inlineStr">
        <is>
          <t xml:space="preserve">r09</t>
        </is>
      </c>
      <c r="D1653" s="0"/>
      <c r="E1653" s="0" t="inlineStr">
        <is>
          <t xml:space="preserve">events</t>
        </is>
      </c>
      <c r="F1653" s="0" t="inlineStr">
        <is>
          <t xml:space="preserve">closed_lost</t>
        </is>
      </c>
      <c r="G1653" s="4">
        <v>1</v>
      </c>
      <c r="H1653" s="4">
        <v>27500</v>
      </c>
      <c r="I1653" s="4">
        <v>1</v>
      </c>
      <c r="J1653" s="4">
        <v>0</v>
      </c>
      <c r="K1653" s="16">
        <v>46210</v>
      </c>
      <c r="L1653" s="16">
        <v>46249</v>
      </c>
      <c r="M1653" s="0" t="inlineStr">
        <is>
          <t xml:space="preserve">jul26</t>
        </is>
      </c>
      <c r="N1653" s="0" t="inlineStr">
        <is>
          <t xml:space="preserve">aug26</t>
        </is>
      </c>
      <c r="O1653" s="4">
        <v>39</v>
      </c>
      <c r="P1653" s="4">
        <v>0</v>
      </c>
      <c r="Q1653" s="4">
        <v>1</v>
      </c>
      <c r="R1653" s="4">
        <v>0</v>
      </c>
      <c r="S1653" s="4">
        <f>(H1653*INDEX('Stages'!$D$2:$D$7,MATCH(F1653,'Stages'!$A$2:$A$7,0)))</f>
        <v>0</v>
      </c>
      <c r="T1653" s="4">
        <f>(H1653*I1653)</f>
        <v>27500</v>
      </c>
      <c r="U1653" s="4">
        <f>(H1653*(I1653-1))</f>
        <v>0</v>
      </c>
      <c r="V1653" s="0" t="str">
        <f>INDEX('Account executives'!$B$2:$B$25,MATCH(C1653,'Account executives'!$A$2:$A$25,0))</f>
        <v>amer_west</v>
      </c>
      <c r="W1653" s="0" t="str">
        <f>INDEX('Account executives'!$C$2:$C$25,MATCH(C1653,'Account executives'!$A$2:$A$25,0))</f>
        <v>mid_market</v>
      </c>
      <c r="X1653" s="0" t="str">
        <f>SUBSTITUTE(LOWER(INDEX('Periods'!$G$2:$G$22,MATCH(N1653,'Periods'!$A$2:$A$22,0)))," ","_")</f>
        <v>q3_2026</v>
      </c>
    </row>
    <row r="1654">
      <c r="A1654" s="0" t="inlineStr">
        <is>
          <t xml:space="preserve">o1653</t>
        </is>
      </c>
      <c r="B1654" s="0" t="inlineStr">
        <is>
          <t xml:space="preserve">a0550</t>
        </is>
      </c>
      <c r="C1654" s="0" t="inlineStr">
        <is>
          <t xml:space="preserve">r03</t>
        </is>
      </c>
      <c r="D1654" s="0"/>
      <c r="E1654" s="0" t="inlineStr">
        <is>
          <t xml:space="preserve">partner</t>
        </is>
      </c>
      <c r="F1654" s="0" t="inlineStr">
        <is>
          <t xml:space="preserve">closed_lost</t>
        </is>
      </c>
      <c r="G1654" s="4">
        <v>1</v>
      </c>
      <c r="H1654" s="4">
        <v>111000</v>
      </c>
      <c r="I1654" s="4">
        <v>1</v>
      </c>
      <c r="J1654" s="4">
        <v>1</v>
      </c>
      <c r="K1654" s="16">
        <v>45995</v>
      </c>
      <c r="L1654" s="16">
        <v>46060</v>
      </c>
      <c r="M1654" s="0" t="inlineStr">
        <is>
          <t xml:space="preserve">dec25</t>
        </is>
      </c>
      <c r="N1654" s="0" t="inlineStr">
        <is>
          <t xml:space="preserve">feb26</t>
        </is>
      </c>
      <c r="O1654" s="4">
        <v>65</v>
      </c>
      <c r="P1654" s="4">
        <v>0</v>
      </c>
      <c r="Q1654" s="4">
        <v>1</v>
      </c>
      <c r="R1654" s="4">
        <v>0</v>
      </c>
      <c r="S1654" s="4">
        <f>(H1654*INDEX('Stages'!$D$2:$D$7,MATCH(F1654,'Stages'!$A$2:$A$7,0)))</f>
        <v>0</v>
      </c>
      <c r="T1654" s="4">
        <f>(H1654*I1654)</f>
        <v>111000</v>
      </c>
      <c r="U1654" s="4">
        <f>(H1654*(I1654-1))</f>
        <v>0</v>
      </c>
      <c r="V1654" s="0" t="str">
        <f>INDEX('Account executives'!$B$2:$B$25,MATCH(C1654,'Account executives'!$A$2:$A$25,0))</f>
        <v>amer_east</v>
      </c>
      <c r="W1654" s="0" t="str">
        <f>INDEX('Account executives'!$C$2:$C$25,MATCH(C1654,'Account executives'!$A$2:$A$25,0))</f>
        <v>mid_market</v>
      </c>
      <c r="X1654" s="0" t="str">
        <f>SUBSTITUTE(LOWER(INDEX('Periods'!$G$2:$G$22,MATCH(N1654,'Periods'!$A$2:$A$22,0)))," ","_")</f>
        <v>q1_2026</v>
      </c>
    </row>
    <row r="1655">
      <c r="A1655" s="0" t="inlineStr">
        <is>
          <t xml:space="preserve">o1654</t>
        </is>
      </c>
      <c r="B1655" s="0" t="inlineStr">
        <is>
          <t xml:space="preserve">a0960</t>
        </is>
      </c>
      <c r="C1655" s="0" t="inlineStr">
        <is>
          <t xml:space="preserve">r03</t>
        </is>
      </c>
      <c r="D1655" s="0"/>
      <c r="E1655" s="0" t="inlineStr">
        <is>
          <t xml:space="preserve">events</t>
        </is>
      </c>
      <c r="F1655" s="0" t="inlineStr">
        <is>
          <t xml:space="preserve">closed_lost</t>
        </is>
      </c>
      <c r="G1655" s="4">
        <v>0</v>
      </c>
      <c r="H1655" s="4">
        <v>16200</v>
      </c>
      <c r="I1655" s="4">
        <v>2</v>
      </c>
      <c r="J1655" s="4">
        <v>0</v>
      </c>
      <c r="K1655" s="16">
        <v>46200</v>
      </c>
      <c r="L1655" s="16">
        <v>46263</v>
      </c>
      <c r="M1655" s="0" t="inlineStr">
        <is>
          <t xml:space="preserve">jun26</t>
        </is>
      </c>
      <c r="N1655" s="0" t="inlineStr">
        <is>
          <t xml:space="preserve">aug26</t>
        </is>
      </c>
      <c r="O1655" s="4">
        <v>63</v>
      </c>
      <c r="P1655" s="4">
        <v>0</v>
      </c>
      <c r="Q1655" s="4">
        <v>1</v>
      </c>
      <c r="R1655" s="4">
        <v>0</v>
      </c>
      <c r="S1655" s="4">
        <f>(H1655*INDEX('Stages'!$D$2:$D$7,MATCH(F1655,'Stages'!$A$2:$A$7,0)))</f>
        <v>0</v>
      </c>
      <c r="T1655" s="4">
        <f>(H1655*I1655)</f>
        <v>32400</v>
      </c>
      <c r="U1655" s="4">
        <f>(H1655*(I1655-1))</f>
        <v>16200</v>
      </c>
      <c r="V1655" s="0" t="str">
        <f>INDEX('Account executives'!$B$2:$B$25,MATCH(C1655,'Account executives'!$A$2:$A$25,0))</f>
        <v>amer_east</v>
      </c>
      <c r="W1655" s="0" t="str">
        <f>INDEX('Account executives'!$C$2:$C$25,MATCH(C1655,'Account executives'!$A$2:$A$25,0))</f>
        <v>mid_market</v>
      </c>
      <c r="X1655" s="0" t="str">
        <f>SUBSTITUTE(LOWER(INDEX('Periods'!$G$2:$G$22,MATCH(N1655,'Periods'!$A$2:$A$22,0)))," ","_")</f>
        <v>q3_2026</v>
      </c>
    </row>
    <row r="1656">
      <c r="A1656" s="0" t="inlineStr">
        <is>
          <t xml:space="preserve">o1655</t>
        </is>
      </c>
      <c r="B1656" s="0" t="inlineStr">
        <is>
          <t xml:space="preserve">a1105</t>
        </is>
      </c>
      <c r="C1656" s="0" t="inlineStr">
        <is>
          <t xml:space="preserve">r12</t>
        </is>
      </c>
      <c r="D1656" s="0"/>
      <c r="E1656" s="0" t="inlineStr">
        <is>
          <t xml:space="preserve">partner</t>
        </is>
      </c>
      <c r="F1656" s="0" t="inlineStr">
        <is>
          <t xml:space="preserve">closed_lost</t>
        </is>
      </c>
      <c r="G1656" s="4">
        <v>1</v>
      </c>
      <c r="H1656" s="4">
        <v>15200</v>
      </c>
      <c r="I1656" s="4">
        <v>1</v>
      </c>
      <c r="J1656" s="4">
        <v>1</v>
      </c>
      <c r="K1656" s="16">
        <v>46227</v>
      </c>
      <c r="L1656" s="16">
        <v>46260</v>
      </c>
      <c r="M1656" s="0" t="inlineStr">
        <is>
          <t xml:space="preserve">jul26</t>
        </is>
      </c>
      <c r="N1656" s="0" t="inlineStr">
        <is>
          <t xml:space="preserve">aug26</t>
        </is>
      </c>
      <c r="O1656" s="4">
        <v>33</v>
      </c>
      <c r="P1656" s="4">
        <v>0</v>
      </c>
      <c r="Q1656" s="4">
        <v>1</v>
      </c>
      <c r="R1656" s="4">
        <v>0</v>
      </c>
      <c r="S1656" s="4">
        <f>(H1656*INDEX('Stages'!$D$2:$D$7,MATCH(F1656,'Stages'!$A$2:$A$7,0)))</f>
        <v>0</v>
      </c>
      <c r="T1656" s="4">
        <f>(H1656*I1656)</f>
        <v>15200</v>
      </c>
      <c r="U1656" s="4">
        <f>(H1656*(I1656-1))</f>
        <v>0</v>
      </c>
      <c r="V1656" s="0" t="str">
        <f>INDEX('Account executives'!$B$2:$B$25,MATCH(C1656,'Account executives'!$A$2:$A$25,0))</f>
        <v>amer_west</v>
      </c>
      <c r="W1656" s="0" t="str">
        <f>INDEX('Account executives'!$C$2:$C$25,MATCH(C1656,'Account executives'!$A$2:$A$25,0))</f>
        <v>smb</v>
      </c>
      <c r="X1656" s="0" t="str">
        <f>SUBSTITUTE(LOWER(INDEX('Periods'!$G$2:$G$22,MATCH(N1656,'Periods'!$A$2:$A$22,0)))," ","_")</f>
        <v>q3_2026</v>
      </c>
    </row>
    <row r="1657">
      <c r="A1657" s="0" t="inlineStr">
        <is>
          <t xml:space="preserve">o1656</t>
        </is>
      </c>
      <c r="B1657" s="0" t="inlineStr">
        <is>
          <t xml:space="preserve">a0080</t>
        </is>
      </c>
      <c r="C1657" s="0" t="inlineStr">
        <is>
          <t xml:space="preserve">r06</t>
        </is>
      </c>
      <c r="D1657" s="0"/>
      <c r="E1657" s="0" t="inlineStr">
        <is>
          <t xml:space="preserve">events</t>
        </is>
      </c>
      <c r="F1657" s="0" t="inlineStr">
        <is>
          <t xml:space="preserve">closed_won</t>
        </is>
      </c>
      <c r="G1657" s="4">
        <v>1</v>
      </c>
      <c r="H1657" s="4">
        <v>8300</v>
      </c>
      <c r="I1657" s="4">
        <v>1</v>
      </c>
      <c r="J1657" s="4">
        <v>0</v>
      </c>
      <c r="K1657" s="16">
        <v>45783</v>
      </c>
      <c r="L1657" s="16">
        <v>45811</v>
      </c>
      <c r="M1657" s="0" t="inlineStr">
        <is>
          <t xml:space="preserve">may25</t>
        </is>
      </c>
      <c r="N1657" s="0" t="inlineStr">
        <is>
          <t xml:space="preserve">jun25</t>
        </is>
      </c>
      <c r="O1657" s="4">
        <v>28</v>
      </c>
      <c r="P1657" s="4">
        <v>1</v>
      </c>
      <c r="Q1657" s="4">
        <v>0</v>
      </c>
      <c r="R1657" s="4">
        <v>0</v>
      </c>
      <c r="S1657" s="4">
        <f>(H1657*INDEX('Stages'!$D$2:$D$7,MATCH(F1657,'Stages'!$A$2:$A$7,0)))</f>
        <v>8300</v>
      </c>
      <c r="T1657" s="4">
        <f>(H1657*I1657)</f>
        <v>8300</v>
      </c>
      <c r="U1657" s="4">
        <f>(H1657*(I1657-1))</f>
        <v>0</v>
      </c>
      <c r="V1657" s="0" t="str">
        <f>INDEX('Account executives'!$B$2:$B$25,MATCH(C1657,'Account executives'!$A$2:$A$25,0))</f>
        <v>amer_east</v>
      </c>
      <c r="W1657" s="0" t="str">
        <f>INDEX('Account executives'!$C$2:$C$25,MATCH(C1657,'Account executives'!$A$2:$A$25,0))</f>
        <v>smb</v>
      </c>
      <c r="X1657" s="0" t="str">
        <f>SUBSTITUTE(LOWER(INDEX('Periods'!$G$2:$G$22,MATCH(N1657,'Periods'!$A$2:$A$22,0)))," ","_")</f>
        <v>q2_2025</v>
      </c>
    </row>
    <row r="1658">
      <c r="A1658" s="0" t="inlineStr">
        <is>
          <t xml:space="preserve">o1657</t>
        </is>
      </c>
      <c r="B1658" s="0" t="inlineStr">
        <is>
          <t xml:space="preserve">a0815</t>
        </is>
      </c>
      <c r="C1658" s="0" t="inlineStr">
        <is>
          <t xml:space="preserve">r01</t>
        </is>
      </c>
      <c r="D1658" s="0" t="inlineStr">
        <is>
          <t xml:space="preserve">s_amer_east_in</t>
        </is>
      </c>
      <c r="E1658" s="0" t="inlineStr">
        <is>
          <t xml:space="preserve">inbound</t>
        </is>
      </c>
      <c r="F1658" s="0" t="inlineStr">
        <is>
          <t xml:space="preserve">closed_lost</t>
        </is>
      </c>
      <c r="G1658" s="4">
        <v>1</v>
      </c>
      <c r="H1658" s="4">
        <v>66800</v>
      </c>
      <c r="I1658" s="4">
        <v>1</v>
      </c>
      <c r="J1658" s="4">
        <v>1</v>
      </c>
      <c r="K1658" s="16">
        <v>46131</v>
      </c>
      <c r="L1658" s="16">
        <v>46188</v>
      </c>
      <c r="M1658" s="0" t="inlineStr">
        <is>
          <t xml:space="preserve">apr26</t>
        </is>
      </c>
      <c r="N1658" s="0" t="inlineStr">
        <is>
          <t xml:space="preserve">jun26</t>
        </is>
      </c>
      <c r="O1658" s="4">
        <v>57</v>
      </c>
      <c r="P1658" s="4">
        <v>0</v>
      </c>
      <c r="Q1658" s="4">
        <v>1</v>
      </c>
      <c r="R1658" s="4">
        <v>0</v>
      </c>
      <c r="S1658" s="4">
        <f>(H1658*INDEX('Stages'!$D$2:$D$7,MATCH(F1658,'Stages'!$A$2:$A$7,0)))</f>
        <v>0</v>
      </c>
      <c r="T1658" s="4">
        <f>(H1658*I1658)</f>
        <v>66800</v>
      </c>
      <c r="U1658" s="4">
        <f>(H1658*(I1658-1))</f>
        <v>0</v>
      </c>
      <c r="V1658" s="0" t="str">
        <f>INDEX('Account executives'!$B$2:$B$25,MATCH(C1658,'Account executives'!$A$2:$A$25,0))</f>
        <v>amer_east</v>
      </c>
      <c r="W1658" s="0" t="str">
        <f>INDEX('Account executives'!$C$2:$C$25,MATCH(C1658,'Account executives'!$A$2:$A$25,0))</f>
        <v>enterprise</v>
      </c>
      <c r="X1658" s="0" t="str">
        <f>SUBSTITUTE(LOWER(INDEX('Periods'!$G$2:$G$22,MATCH(N1658,'Periods'!$A$2:$A$22,0)))," ","_")</f>
        <v>q2_2026</v>
      </c>
    </row>
    <row r="1659">
      <c r="A1659" s="0" t="inlineStr">
        <is>
          <t xml:space="preserve">o1658</t>
        </is>
      </c>
      <c r="B1659" s="0" t="inlineStr">
        <is>
          <t xml:space="preserve">a0034</t>
        </is>
      </c>
      <c r="C1659" s="0" t="inlineStr">
        <is>
          <t xml:space="preserve">r12</t>
        </is>
      </c>
      <c r="D1659" s="0" t="inlineStr">
        <is>
          <t xml:space="preserve">s_amer_west_in</t>
        </is>
      </c>
      <c r="E1659" s="0" t="inlineStr">
        <is>
          <t xml:space="preserve">inbound</t>
        </is>
      </c>
      <c r="F1659" s="0" t="inlineStr">
        <is>
          <t xml:space="preserve">closed_lost</t>
        </is>
      </c>
      <c r="G1659" s="4">
        <v>0</v>
      </c>
      <c r="H1659" s="4">
        <v>4900</v>
      </c>
      <c r="I1659" s="4">
        <v>1</v>
      </c>
      <c r="J1659" s="4">
        <v>0</v>
      </c>
      <c r="K1659" s="16">
        <v>45795</v>
      </c>
      <c r="L1659" s="16">
        <v>45832</v>
      </c>
      <c r="M1659" s="0" t="inlineStr">
        <is>
          <t xml:space="preserve">may25</t>
        </is>
      </c>
      <c r="N1659" s="0" t="inlineStr">
        <is>
          <t xml:space="preserve">jun25</t>
        </is>
      </c>
      <c r="O1659" s="4">
        <v>37</v>
      </c>
      <c r="P1659" s="4">
        <v>0</v>
      </c>
      <c r="Q1659" s="4">
        <v>1</v>
      </c>
      <c r="R1659" s="4">
        <v>0</v>
      </c>
      <c r="S1659" s="4">
        <f>(H1659*INDEX('Stages'!$D$2:$D$7,MATCH(F1659,'Stages'!$A$2:$A$7,0)))</f>
        <v>0</v>
      </c>
      <c r="T1659" s="4">
        <f>(H1659*I1659)</f>
        <v>4900</v>
      </c>
      <c r="U1659" s="4">
        <f>(H1659*(I1659-1))</f>
        <v>0</v>
      </c>
      <c r="V1659" s="0" t="str">
        <f>INDEX('Account executives'!$B$2:$B$25,MATCH(C1659,'Account executives'!$A$2:$A$25,0))</f>
        <v>amer_west</v>
      </c>
      <c r="W1659" s="0" t="str">
        <f>INDEX('Account executives'!$C$2:$C$25,MATCH(C1659,'Account executives'!$A$2:$A$25,0))</f>
        <v>smb</v>
      </c>
      <c r="X1659" s="0" t="str">
        <f>SUBSTITUTE(LOWER(INDEX('Periods'!$G$2:$G$22,MATCH(N1659,'Periods'!$A$2:$A$22,0)))," ","_")</f>
        <v>q2_2025</v>
      </c>
    </row>
    <row r="1660">
      <c r="A1660" s="0" t="inlineStr">
        <is>
          <t xml:space="preserve">o1659</t>
        </is>
      </c>
      <c r="B1660" s="0" t="inlineStr">
        <is>
          <t xml:space="preserve">a0326</t>
        </is>
      </c>
      <c r="C1660" s="0" t="inlineStr">
        <is>
          <t xml:space="preserve">r12</t>
        </is>
      </c>
      <c r="D1660" s="0"/>
      <c r="E1660" s="0" t="inlineStr">
        <is>
          <t xml:space="preserve">events</t>
        </is>
      </c>
      <c r="F1660" s="0" t="inlineStr">
        <is>
          <t xml:space="preserve">closed_won</t>
        </is>
      </c>
      <c r="G1660" s="4">
        <v>0</v>
      </c>
      <c r="H1660" s="4">
        <v>11500</v>
      </c>
      <c r="I1660" s="4">
        <v>1</v>
      </c>
      <c r="J1660" s="4">
        <v>0</v>
      </c>
      <c r="K1660" s="16">
        <v>46101</v>
      </c>
      <c r="L1660" s="16">
        <v>46133</v>
      </c>
      <c r="M1660" s="0" t="inlineStr">
        <is>
          <t xml:space="preserve">mar26</t>
        </is>
      </c>
      <c r="N1660" s="0" t="inlineStr">
        <is>
          <t xml:space="preserve">apr26</t>
        </is>
      </c>
      <c r="O1660" s="4">
        <v>32</v>
      </c>
      <c r="P1660" s="4">
        <v>1</v>
      </c>
      <c r="Q1660" s="4">
        <v>0</v>
      </c>
      <c r="R1660" s="4">
        <v>0</v>
      </c>
      <c r="S1660" s="4">
        <f>(H1660*INDEX('Stages'!$D$2:$D$7,MATCH(F1660,'Stages'!$A$2:$A$7,0)))</f>
        <v>11500</v>
      </c>
      <c r="T1660" s="4">
        <f>(H1660*I1660)</f>
        <v>11500</v>
      </c>
      <c r="U1660" s="4">
        <f>(H1660*(I1660-1))</f>
        <v>0</v>
      </c>
      <c r="V1660" s="0" t="str">
        <f>INDEX('Account executives'!$B$2:$B$25,MATCH(C1660,'Account executives'!$A$2:$A$25,0))</f>
        <v>amer_west</v>
      </c>
      <c r="W1660" s="0" t="str">
        <f>INDEX('Account executives'!$C$2:$C$25,MATCH(C1660,'Account executives'!$A$2:$A$25,0))</f>
        <v>smb</v>
      </c>
      <c r="X1660" s="0" t="str">
        <f>SUBSTITUTE(LOWER(INDEX('Periods'!$G$2:$G$22,MATCH(N1660,'Periods'!$A$2:$A$22,0)))," ","_")</f>
        <v>q2_2026</v>
      </c>
    </row>
    <row r="1661">
      <c r="A1661" s="0" t="inlineStr">
        <is>
          <t xml:space="preserve">o1660</t>
        </is>
      </c>
      <c r="B1661" s="0" t="inlineStr">
        <is>
          <t xml:space="preserve">a0197</t>
        </is>
      </c>
      <c r="C1661" s="0" t="inlineStr">
        <is>
          <t xml:space="preserve">r12</t>
        </is>
      </c>
      <c r="D1661" s="0"/>
      <c r="E1661" s="0" t="inlineStr">
        <is>
          <t xml:space="preserve">referral</t>
        </is>
      </c>
      <c r="F1661" s="0" t="inlineStr">
        <is>
          <t xml:space="preserve">closed_won</t>
        </is>
      </c>
      <c r="G1661" s="4">
        <v>0</v>
      </c>
      <c r="H1661" s="4">
        <v>4400</v>
      </c>
      <c r="I1661" s="4">
        <v>1</v>
      </c>
      <c r="J1661" s="4">
        <v>0</v>
      </c>
      <c r="K1661" s="16">
        <v>46149</v>
      </c>
      <c r="L1661" s="16">
        <v>46190</v>
      </c>
      <c r="M1661" s="0" t="inlineStr">
        <is>
          <t xml:space="preserve">may26</t>
        </is>
      </c>
      <c r="N1661" s="0" t="inlineStr">
        <is>
          <t xml:space="preserve">jun26</t>
        </is>
      </c>
      <c r="O1661" s="4">
        <v>41</v>
      </c>
      <c r="P1661" s="4">
        <v>1</v>
      </c>
      <c r="Q1661" s="4">
        <v>0</v>
      </c>
      <c r="R1661" s="4">
        <v>0</v>
      </c>
      <c r="S1661" s="4">
        <f>(H1661*INDEX('Stages'!$D$2:$D$7,MATCH(F1661,'Stages'!$A$2:$A$7,0)))</f>
        <v>4400</v>
      </c>
      <c r="T1661" s="4">
        <f>(H1661*I1661)</f>
        <v>4400</v>
      </c>
      <c r="U1661" s="4">
        <f>(H1661*(I1661-1))</f>
        <v>0</v>
      </c>
      <c r="V1661" s="0" t="str">
        <f>INDEX('Account executives'!$B$2:$B$25,MATCH(C1661,'Account executives'!$A$2:$A$25,0))</f>
        <v>amer_west</v>
      </c>
      <c r="W1661" s="0" t="str">
        <f>INDEX('Account executives'!$C$2:$C$25,MATCH(C1661,'Account executives'!$A$2:$A$25,0))</f>
        <v>smb</v>
      </c>
      <c r="X1661" s="0" t="str">
        <f>SUBSTITUTE(LOWER(INDEX('Periods'!$G$2:$G$22,MATCH(N1661,'Periods'!$A$2:$A$22,0)))," ","_")</f>
        <v>q2_2026</v>
      </c>
    </row>
    <row r="1662">
      <c r="A1662" s="0" t="inlineStr">
        <is>
          <t xml:space="preserve">o1661</t>
        </is>
      </c>
      <c r="B1662" s="0" t="inlineStr">
        <is>
          <t xml:space="preserve">a0446</t>
        </is>
      </c>
      <c r="C1662" s="0" t="inlineStr">
        <is>
          <t xml:space="preserve">r15</t>
        </is>
      </c>
      <c r="D1662" s="0" t="inlineStr">
        <is>
          <t xml:space="preserve">s_emea_in</t>
        </is>
      </c>
      <c r="E1662" s="0" t="inlineStr">
        <is>
          <t xml:space="preserve">inbound</t>
        </is>
      </c>
      <c r="F1662" s="0" t="inlineStr">
        <is>
          <t xml:space="preserve">closed_won</t>
        </is>
      </c>
      <c r="G1662" s="4">
        <v>1</v>
      </c>
      <c r="H1662" s="4">
        <v>35800</v>
      </c>
      <c r="I1662" s="4">
        <v>1</v>
      </c>
      <c r="J1662" s="4">
        <v>1</v>
      </c>
      <c r="K1662" s="16">
        <v>45949</v>
      </c>
      <c r="L1662" s="16">
        <v>46053</v>
      </c>
      <c r="M1662" s="0" t="inlineStr">
        <is>
          <t xml:space="preserve">oct25</t>
        </is>
      </c>
      <c r="N1662" s="0" t="inlineStr">
        <is>
          <t xml:space="preserve">jan26</t>
        </is>
      </c>
      <c r="O1662" s="4">
        <v>104</v>
      </c>
      <c r="P1662" s="4">
        <v>1</v>
      </c>
      <c r="Q1662" s="4">
        <v>0</v>
      </c>
      <c r="R1662" s="4">
        <v>0</v>
      </c>
      <c r="S1662" s="4">
        <f>(H1662*INDEX('Stages'!$D$2:$D$7,MATCH(F1662,'Stages'!$A$2:$A$7,0)))</f>
        <v>35800</v>
      </c>
      <c r="T1662" s="4">
        <f>(H1662*I1662)</f>
        <v>35800</v>
      </c>
      <c r="U1662" s="4">
        <f>(H1662*(I1662-1))</f>
        <v>0</v>
      </c>
      <c r="V1662" s="0" t="str">
        <f>INDEX('Account executives'!$B$2:$B$25,MATCH(C1662,'Account executives'!$A$2:$A$25,0))</f>
        <v>emea</v>
      </c>
      <c r="W1662" s="0" t="str">
        <f>INDEX('Account executives'!$C$2:$C$25,MATCH(C1662,'Account executives'!$A$2:$A$25,0))</f>
        <v>mid_market</v>
      </c>
      <c r="X1662" s="0" t="str">
        <f>SUBSTITUTE(LOWER(INDEX('Periods'!$G$2:$G$22,MATCH(N1662,'Periods'!$A$2:$A$22,0)))," ","_")</f>
        <v>q1_2026</v>
      </c>
    </row>
    <row r="1663">
      <c r="A1663" s="0" t="inlineStr">
        <is>
          <t xml:space="preserve">o1662</t>
        </is>
      </c>
      <c r="B1663" s="0" t="inlineStr">
        <is>
          <t xml:space="preserve">a0057</t>
        </is>
      </c>
      <c r="C1663" s="0" t="inlineStr">
        <is>
          <t xml:space="preserve">r22</t>
        </is>
      </c>
      <c r="D1663" s="0" t="inlineStr">
        <is>
          <t xml:space="preserve">s_apac_in</t>
        </is>
      </c>
      <c r="E1663" s="0" t="inlineStr">
        <is>
          <t xml:space="preserve">inbound</t>
        </is>
      </c>
      <c r="F1663" s="0" t="inlineStr">
        <is>
          <t xml:space="preserve">discovery</t>
        </is>
      </c>
      <c r="G1663" s="4">
        <v>0</v>
      </c>
      <c r="H1663" s="4">
        <v>44000</v>
      </c>
      <c r="I1663" s="4">
        <v>1</v>
      </c>
      <c r="J1663" s="4">
        <v>0</v>
      </c>
      <c r="K1663" s="16">
        <v>46260</v>
      </c>
      <c r="L1663" s="16">
        <v>46320</v>
      </c>
      <c r="M1663" s="0" t="inlineStr">
        <is>
          <t xml:space="preserve">aug26</t>
        </is>
      </c>
      <c r="N1663" s="0" t="inlineStr">
        <is>
          <t xml:space="preserve">oct26</t>
        </is>
      </c>
      <c r="O1663" s="4">
        <v>75</v>
      </c>
      <c r="P1663" s="4">
        <v>0</v>
      </c>
      <c r="Q1663" s="4">
        <v>0</v>
      </c>
      <c r="R1663" s="4">
        <v>1</v>
      </c>
      <c r="S1663" s="4">
        <f>(H1663*INDEX('Stages'!$D$2:$D$7,MATCH(F1663,'Stages'!$A$2:$A$7,0)))</f>
        <v>4400</v>
      </c>
      <c r="T1663" s="4">
        <f>(H1663*I1663)</f>
        <v>44000</v>
      </c>
      <c r="U1663" s="4">
        <f>(H1663*(I1663-1))</f>
        <v>0</v>
      </c>
      <c r="V1663" s="0" t="str">
        <f>INDEX('Account executives'!$B$2:$B$25,MATCH(C1663,'Account executives'!$A$2:$A$25,0))</f>
        <v>apac</v>
      </c>
      <c r="W1663" s="0" t="str">
        <f>INDEX('Account executives'!$C$2:$C$25,MATCH(C1663,'Account executives'!$A$2:$A$25,0))</f>
        <v>mid_market</v>
      </c>
      <c r="X1663" s="0" t="str">
        <f>SUBSTITUTE(LOWER(INDEX('Periods'!$G$2:$G$22,MATCH(N1663,'Periods'!$A$2:$A$22,0)))," ","_")</f>
        <v>q4_2026</v>
      </c>
    </row>
    <row r="1664">
      <c r="A1664" s="0" t="inlineStr">
        <is>
          <t xml:space="preserve">o1663</t>
        </is>
      </c>
      <c r="B1664" s="0" t="inlineStr">
        <is>
          <t xml:space="preserve">a0689</t>
        </is>
      </c>
      <c r="C1664" s="0" t="inlineStr">
        <is>
          <t xml:space="preserve">r11</t>
        </is>
      </c>
      <c r="D1664" s="0" t="inlineStr">
        <is>
          <t xml:space="preserve">s_amer_west_out</t>
        </is>
      </c>
      <c r="E1664" s="0" t="inlineStr">
        <is>
          <t xml:space="preserve">outbound</t>
        </is>
      </c>
      <c r="F1664" s="0" t="inlineStr">
        <is>
          <t xml:space="preserve">closed_won</t>
        </is>
      </c>
      <c r="G1664" s="4">
        <v>1</v>
      </c>
      <c r="H1664" s="4">
        <v>15300</v>
      </c>
      <c r="I1664" s="4">
        <v>1</v>
      </c>
      <c r="J1664" s="4">
        <v>1</v>
      </c>
      <c r="K1664" s="16">
        <v>46076</v>
      </c>
      <c r="L1664" s="16">
        <v>46108</v>
      </c>
      <c r="M1664" s="0" t="inlineStr">
        <is>
          <t xml:space="preserve">feb26</t>
        </is>
      </c>
      <c r="N1664" s="0" t="inlineStr">
        <is>
          <t xml:space="preserve">mar26</t>
        </is>
      </c>
      <c r="O1664" s="4">
        <v>32</v>
      </c>
      <c r="P1664" s="4">
        <v>1</v>
      </c>
      <c r="Q1664" s="4">
        <v>0</v>
      </c>
      <c r="R1664" s="4">
        <v>0</v>
      </c>
      <c r="S1664" s="4">
        <f>(H1664*INDEX('Stages'!$D$2:$D$7,MATCH(F1664,'Stages'!$A$2:$A$7,0)))</f>
        <v>15300</v>
      </c>
      <c r="T1664" s="4">
        <f>(H1664*I1664)</f>
        <v>15300</v>
      </c>
      <c r="U1664" s="4">
        <f>(H1664*(I1664-1))</f>
        <v>0</v>
      </c>
      <c r="V1664" s="0" t="str">
        <f>INDEX('Account executives'!$B$2:$B$25,MATCH(C1664,'Account executives'!$A$2:$A$25,0))</f>
        <v>amer_west</v>
      </c>
      <c r="W1664" s="0" t="str">
        <f>INDEX('Account executives'!$C$2:$C$25,MATCH(C1664,'Account executives'!$A$2:$A$25,0))</f>
        <v>smb</v>
      </c>
      <c r="X1664" s="0" t="str">
        <f>SUBSTITUTE(LOWER(INDEX('Periods'!$G$2:$G$22,MATCH(N1664,'Periods'!$A$2:$A$22,0)))," ","_")</f>
        <v>q1_2026</v>
      </c>
    </row>
    <row r="1665">
      <c r="A1665" s="0" t="inlineStr">
        <is>
          <t xml:space="preserve">o1664</t>
        </is>
      </c>
      <c r="B1665" s="0" t="inlineStr">
        <is>
          <t xml:space="preserve">a0423</t>
        </is>
      </c>
      <c r="C1665" s="0" t="inlineStr">
        <is>
          <t xml:space="preserve">r06</t>
        </is>
      </c>
      <c r="D1665" s="0"/>
      <c r="E1665" s="0" t="inlineStr">
        <is>
          <t xml:space="preserve">referral</t>
        </is>
      </c>
      <c r="F1665" s="0" t="inlineStr">
        <is>
          <t xml:space="preserve">closed_lost</t>
        </is>
      </c>
      <c r="G1665" s="4">
        <v>0</v>
      </c>
      <c r="H1665" s="4">
        <v>14400</v>
      </c>
      <c r="I1665" s="4">
        <v>1</v>
      </c>
      <c r="J1665" s="4">
        <v>0</v>
      </c>
      <c r="K1665" s="16">
        <v>46018</v>
      </c>
      <c r="L1665" s="16">
        <v>46044</v>
      </c>
      <c r="M1665" s="0" t="inlineStr">
        <is>
          <t xml:space="preserve">dec25</t>
        </is>
      </c>
      <c r="N1665" s="0" t="inlineStr">
        <is>
          <t xml:space="preserve">jan26</t>
        </is>
      </c>
      <c r="O1665" s="4">
        <v>26</v>
      </c>
      <c r="P1665" s="4">
        <v>0</v>
      </c>
      <c r="Q1665" s="4">
        <v>1</v>
      </c>
      <c r="R1665" s="4">
        <v>0</v>
      </c>
      <c r="S1665" s="4">
        <f>(H1665*INDEX('Stages'!$D$2:$D$7,MATCH(F1665,'Stages'!$A$2:$A$7,0)))</f>
        <v>0</v>
      </c>
      <c r="T1665" s="4">
        <f>(H1665*I1665)</f>
        <v>14400</v>
      </c>
      <c r="U1665" s="4">
        <f>(H1665*(I1665-1))</f>
        <v>0</v>
      </c>
      <c r="V1665" s="0" t="str">
        <f>INDEX('Account executives'!$B$2:$B$25,MATCH(C1665,'Account executives'!$A$2:$A$25,0))</f>
        <v>amer_east</v>
      </c>
      <c r="W1665" s="0" t="str">
        <f>INDEX('Account executives'!$C$2:$C$25,MATCH(C1665,'Account executives'!$A$2:$A$25,0))</f>
        <v>smb</v>
      </c>
      <c r="X1665" s="0" t="str">
        <f>SUBSTITUTE(LOWER(INDEX('Periods'!$G$2:$G$22,MATCH(N1665,'Periods'!$A$2:$A$22,0)))," ","_")</f>
        <v>q1_2026</v>
      </c>
    </row>
    <row r="1666">
      <c r="A1666" s="0" t="inlineStr">
        <is>
          <t xml:space="preserve">o1665</t>
        </is>
      </c>
      <c r="B1666" s="0" t="inlineStr">
        <is>
          <t xml:space="preserve">a0844</t>
        </is>
      </c>
      <c r="C1666" s="0" t="inlineStr">
        <is>
          <t xml:space="preserve">r10</t>
        </is>
      </c>
      <c r="D1666" s="0" t="inlineStr">
        <is>
          <t xml:space="preserve">s_amer_west_in</t>
        </is>
      </c>
      <c r="E1666" s="0" t="inlineStr">
        <is>
          <t xml:space="preserve">inbound</t>
        </is>
      </c>
      <c r="F1666" s="0" t="inlineStr">
        <is>
          <t xml:space="preserve">closed_won</t>
        </is>
      </c>
      <c r="G1666" s="4">
        <v>1</v>
      </c>
      <c r="H1666" s="4">
        <v>40900</v>
      </c>
      <c r="I1666" s="4">
        <v>2</v>
      </c>
      <c r="J1666" s="4">
        <v>1</v>
      </c>
      <c r="K1666" s="16">
        <v>46126</v>
      </c>
      <c r="L1666" s="16">
        <v>46175</v>
      </c>
      <c r="M1666" s="0" t="inlineStr">
        <is>
          <t xml:space="preserve">apr26</t>
        </is>
      </c>
      <c r="N1666" s="0" t="inlineStr">
        <is>
          <t xml:space="preserve">jun26</t>
        </is>
      </c>
      <c r="O1666" s="4">
        <v>49</v>
      </c>
      <c r="P1666" s="4">
        <v>1</v>
      </c>
      <c r="Q1666" s="4">
        <v>0</v>
      </c>
      <c r="R1666" s="4">
        <v>0</v>
      </c>
      <c r="S1666" s="4">
        <f>(H1666*INDEX('Stages'!$D$2:$D$7,MATCH(F1666,'Stages'!$A$2:$A$7,0)))</f>
        <v>40900</v>
      </c>
      <c r="T1666" s="4">
        <f>(H1666*I1666)</f>
        <v>81800</v>
      </c>
      <c r="U1666" s="4">
        <f>(H1666*(I1666-1))</f>
        <v>40900</v>
      </c>
      <c r="V1666" s="0" t="str">
        <f>INDEX('Account executives'!$B$2:$B$25,MATCH(C1666,'Account executives'!$A$2:$A$25,0))</f>
        <v>amer_west</v>
      </c>
      <c r="W1666" s="0" t="str">
        <f>INDEX('Account executives'!$C$2:$C$25,MATCH(C1666,'Account executives'!$A$2:$A$25,0))</f>
        <v>mid_market</v>
      </c>
      <c r="X1666" s="0" t="str">
        <f>SUBSTITUTE(LOWER(INDEX('Periods'!$G$2:$G$22,MATCH(N1666,'Periods'!$A$2:$A$22,0)))," ","_")</f>
        <v>q2_2026</v>
      </c>
    </row>
    <row r="1667">
      <c r="A1667" s="0" t="inlineStr">
        <is>
          <t xml:space="preserve">o1666</t>
        </is>
      </c>
      <c r="B1667" s="0" t="inlineStr">
        <is>
          <t xml:space="preserve">a0073</t>
        </is>
      </c>
      <c r="C1667" s="0" t="inlineStr">
        <is>
          <t xml:space="preserve">r05</t>
        </is>
      </c>
      <c r="D1667" s="0" t="inlineStr">
        <is>
          <t xml:space="preserve">s_amer_east_out</t>
        </is>
      </c>
      <c r="E1667" s="0" t="inlineStr">
        <is>
          <t xml:space="preserve">outbound</t>
        </is>
      </c>
      <c r="F1667" s="0" t="inlineStr">
        <is>
          <t xml:space="preserve">closed_lost</t>
        </is>
      </c>
      <c r="G1667" s="4">
        <v>0</v>
      </c>
      <c r="H1667" s="4">
        <v>9000</v>
      </c>
      <c r="I1667" s="4">
        <v>1</v>
      </c>
      <c r="J1667" s="4">
        <v>1</v>
      </c>
      <c r="K1667" s="16">
        <v>46133</v>
      </c>
      <c r="L1667" s="16">
        <v>46201</v>
      </c>
      <c r="M1667" s="0" t="inlineStr">
        <is>
          <t xml:space="preserve">apr26</t>
        </is>
      </c>
      <c r="N1667" s="0" t="inlineStr">
        <is>
          <t xml:space="preserve">jun26</t>
        </is>
      </c>
      <c r="O1667" s="4">
        <v>68</v>
      </c>
      <c r="P1667" s="4">
        <v>0</v>
      </c>
      <c r="Q1667" s="4">
        <v>1</v>
      </c>
      <c r="R1667" s="4">
        <v>0</v>
      </c>
      <c r="S1667" s="4">
        <f>(H1667*INDEX('Stages'!$D$2:$D$7,MATCH(F1667,'Stages'!$A$2:$A$7,0)))</f>
        <v>0</v>
      </c>
      <c r="T1667" s="4">
        <f>(H1667*I1667)</f>
        <v>9000</v>
      </c>
      <c r="U1667" s="4">
        <f>(H1667*(I1667-1))</f>
        <v>0</v>
      </c>
      <c r="V1667" s="0" t="str">
        <f>INDEX('Account executives'!$B$2:$B$25,MATCH(C1667,'Account executives'!$A$2:$A$25,0))</f>
        <v>amer_east</v>
      </c>
      <c r="W1667" s="0" t="str">
        <f>INDEX('Account executives'!$C$2:$C$25,MATCH(C1667,'Account executives'!$A$2:$A$25,0))</f>
        <v>smb</v>
      </c>
      <c r="X1667" s="0" t="str">
        <f>SUBSTITUTE(LOWER(INDEX('Periods'!$G$2:$G$22,MATCH(N1667,'Periods'!$A$2:$A$22,0)))," ","_")</f>
        <v>q2_2026</v>
      </c>
    </row>
    <row r="1668">
      <c r="A1668" s="0" t="inlineStr">
        <is>
          <t xml:space="preserve">o1667</t>
        </is>
      </c>
      <c r="B1668" s="0" t="inlineStr">
        <is>
          <t xml:space="preserve">a0007</t>
        </is>
      </c>
      <c r="C1668" s="0" t="inlineStr">
        <is>
          <t xml:space="preserve">r04</t>
        </is>
      </c>
      <c r="D1668" s="0" t="inlineStr">
        <is>
          <t xml:space="preserve">s_amer_east_in</t>
        </is>
      </c>
      <c r="E1668" s="0" t="inlineStr">
        <is>
          <t xml:space="preserve">inbound</t>
        </is>
      </c>
      <c r="F1668" s="0" t="inlineStr">
        <is>
          <t xml:space="preserve">closed_lost</t>
        </is>
      </c>
      <c r="G1668" s="4">
        <v>0</v>
      </c>
      <c r="H1668" s="4">
        <v>23400</v>
      </c>
      <c r="I1668" s="4">
        <v>1</v>
      </c>
      <c r="J1668" s="4">
        <v>1</v>
      </c>
      <c r="K1668" s="16">
        <v>45748</v>
      </c>
      <c r="L1668" s="16">
        <v>45836</v>
      </c>
      <c r="M1668" s="0" t="inlineStr">
        <is>
          <t xml:space="preserve">apr25</t>
        </is>
      </c>
      <c r="N1668" s="0" t="inlineStr">
        <is>
          <t xml:space="preserve">jun25</t>
        </is>
      </c>
      <c r="O1668" s="4">
        <v>88</v>
      </c>
      <c r="P1668" s="4">
        <v>0</v>
      </c>
      <c r="Q1668" s="4">
        <v>1</v>
      </c>
      <c r="R1668" s="4">
        <v>0</v>
      </c>
      <c r="S1668" s="4">
        <f>(H1668*INDEX('Stages'!$D$2:$D$7,MATCH(F1668,'Stages'!$A$2:$A$7,0)))</f>
        <v>0</v>
      </c>
      <c r="T1668" s="4">
        <f>(H1668*I1668)</f>
        <v>23400</v>
      </c>
      <c r="U1668" s="4">
        <f>(H1668*(I1668-1))</f>
        <v>0</v>
      </c>
      <c r="V1668" s="0" t="str">
        <f>INDEX('Account executives'!$B$2:$B$25,MATCH(C1668,'Account executives'!$A$2:$A$25,0))</f>
        <v>amer_east</v>
      </c>
      <c r="W1668" s="0" t="str">
        <f>INDEX('Account executives'!$C$2:$C$25,MATCH(C1668,'Account executives'!$A$2:$A$25,0))</f>
        <v>mid_market</v>
      </c>
      <c r="X1668" s="0" t="str">
        <f>SUBSTITUTE(LOWER(INDEX('Periods'!$G$2:$G$22,MATCH(N1668,'Periods'!$A$2:$A$22,0)))," ","_")</f>
        <v>q2_2025</v>
      </c>
    </row>
    <row r="1669">
      <c r="A1669" s="0" t="inlineStr">
        <is>
          <t xml:space="preserve">o1668</t>
        </is>
      </c>
      <c r="B1669" s="0" t="inlineStr">
        <is>
          <t xml:space="preserve">a0163</t>
        </is>
      </c>
      <c r="C1669" s="0" t="inlineStr">
        <is>
          <t xml:space="preserve">r04</t>
        </is>
      </c>
      <c r="D1669" s="0" t="inlineStr">
        <is>
          <t xml:space="preserve">s_amer_east_in</t>
        </is>
      </c>
      <c r="E1669" s="0" t="inlineStr">
        <is>
          <t xml:space="preserve">inbound</t>
        </is>
      </c>
      <c r="F1669" s="0" t="inlineStr">
        <is>
          <t xml:space="preserve">closed_lost</t>
        </is>
      </c>
      <c r="G1669" s="4">
        <v>1</v>
      </c>
      <c r="H1669" s="4">
        <v>24400</v>
      </c>
      <c r="I1669" s="4">
        <v>1</v>
      </c>
      <c r="J1669" s="4">
        <v>0</v>
      </c>
      <c r="K1669" s="16">
        <v>45812</v>
      </c>
      <c r="L1669" s="16">
        <v>45864</v>
      </c>
      <c r="M1669" s="0" t="inlineStr">
        <is>
          <t xml:space="preserve">jun25</t>
        </is>
      </c>
      <c r="N1669" s="0" t="inlineStr">
        <is>
          <t xml:space="preserve">jul25</t>
        </is>
      </c>
      <c r="O1669" s="4">
        <v>52</v>
      </c>
      <c r="P1669" s="4">
        <v>0</v>
      </c>
      <c r="Q1669" s="4">
        <v>1</v>
      </c>
      <c r="R1669" s="4">
        <v>0</v>
      </c>
      <c r="S1669" s="4">
        <f>(H1669*INDEX('Stages'!$D$2:$D$7,MATCH(F1669,'Stages'!$A$2:$A$7,0)))</f>
        <v>0</v>
      </c>
      <c r="T1669" s="4">
        <f>(H1669*I1669)</f>
        <v>24400</v>
      </c>
      <c r="U1669" s="4">
        <f>(H1669*(I1669-1))</f>
        <v>0</v>
      </c>
      <c r="V1669" s="0" t="str">
        <f>INDEX('Account executives'!$B$2:$B$25,MATCH(C1669,'Account executives'!$A$2:$A$25,0))</f>
        <v>amer_east</v>
      </c>
      <c r="W1669" s="0" t="str">
        <f>INDEX('Account executives'!$C$2:$C$25,MATCH(C1669,'Account executives'!$A$2:$A$25,0))</f>
        <v>mid_market</v>
      </c>
      <c r="X1669" s="0" t="str">
        <f>SUBSTITUTE(LOWER(INDEX('Periods'!$G$2:$G$22,MATCH(N1669,'Periods'!$A$2:$A$22,0)))," ","_")</f>
        <v>q3_2025</v>
      </c>
    </row>
    <row r="1670">
      <c r="A1670" s="0" t="inlineStr">
        <is>
          <t xml:space="preserve">o1669</t>
        </is>
      </c>
      <c r="B1670" s="0" t="inlineStr">
        <is>
          <t xml:space="preserve">a0611</t>
        </is>
      </c>
      <c r="C1670" s="0" t="inlineStr">
        <is>
          <t xml:space="preserve">r01</t>
        </is>
      </c>
      <c r="D1670" s="0" t="inlineStr">
        <is>
          <t xml:space="preserve">s_amer_east_in</t>
        </is>
      </c>
      <c r="E1670" s="0" t="inlineStr">
        <is>
          <t xml:space="preserve">paid</t>
        </is>
      </c>
      <c r="F1670" s="0" t="inlineStr">
        <is>
          <t xml:space="preserve">closed_lost</t>
        </is>
      </c>
      <c r="G1670" s="4">
        <v>1</v>
      </c>
      <c r="H1670" s="4">
        <v>59600</v>
      </c>
      <c r="I1670" s="4">
        <v>2</v>
      </c>
      <c r="J1670" s="4">
        <v>1</v>
      </c>
      <c r="K1670" s="16">
        <v>46036</v>
      </c>
      <c r="L1670" s="16">
        <v>46138</v>
      </c>
      <c r="M1670" s="0" t="inlineStr">
        <is>
          <t xml:space="preserve">jan26</t>
        </is>
      </c>
      <c r="N1670" s="0" t="inlineStr">
        <is>
          <t xml:space="preserve">apr26</t>
        </is>
      </c>
      <c r="O1670" s="4">
        <v>102</v>
      </c>
      <c r="P1670" s="4">
        <v>0</v>
      </c>
      <c r="Q1670" s="4">
        <v>1</v>
      </c>
      <c r="R1670" s="4">
        <v>0</v>
      </c>
      <c r="S1670" s="4">
        <f>(H1670*INDEX('Stages'!$D$2:$D$7,MATCH(F1670,'Stages'!$A$2:$A$7,0)))</f>
        <v>0</v>
      </c>
      <c r="T1670" s="4">
        <f>(H1670*I1670)</f>
        <v>119200</v>
      </c>
      <c r="U1670" s="4">
        <f>(H1670*(I1670-1))</f>
        <v>59600</v>
      </c>
      <c r="V1670" s="0" t="str">
        <f>INDEX('Account executives'!$B$2:$B$25,MATCH(C1670,'Account executives'!$A$2:$A$25,0))</f>
        <v>amer_east</v>
      </c>
      <c r="W1670" s="0" t="str">
        <f>INDEX('Account executives'!$C$2:$C$25,MATCH(C1670,'Account executives'!$A$2:$A$25,0))</f>
        <v>enterprise</v>
      </c>
      <c r="X1670" s="0" t="str">
        <f>SUBSTITUTE(LOWER(INDEX('Periods'!$G$2:$G$22,MATCH(N1670,'Periods'!$A$2:$A$22,0)))," ","_")</f>
        <v>q2_2026</v>
      </c>
    </row>
    <row r="1671">
      <c r="A1671" s="0" t="inlineStr">
        <is>
          <t xml:space="preserve">o1670</t>
        </is>
      </c>
      <c r="B1671" s="0" t="inlineStr">
        <is>
          <t xml:space="preserve">a0117</t>
        </is>
      </c>
      <c r="C1671" s="0" t="inlineStr">
        <is>
          <t xml:space="preserve">r15</t>
        </is>
      </c>
      <c r="D1671" s="0"/>
      <c r="E1671" s="0" t="inlineStr">
        <is>
          <t xml:space="preserve">referral</t>
        </is>
      </c>
      <c r="F1671" s="0" t="inlineStr">
        <is>
          <t xml:space="preserve">evaluation</t>
        </is>
      </c>
      <c r="G1671" s="4">
        <v>0</v>
      </c>
      <c r="H1671" s="4">
        <v>15200</v>
      </c>
      <c r="I1671" s="4">
        <v>1</v>
      </c>
      <c r="J1671" s="4">
        <v>1</v>
      </c>
      <c r="K1671" s="16">
        <v>46237</v>
      </c>
      <c r="L1671" s="16">
        <v>46307</v>
      </c>
      <c r="M1671" s="0" t="inlineStr">
        <is>
          <t xml:space="preserve">aug26</t>
        </is>
      </c>
      <c r="N1671" s="0" t="inlineStr">
        <is>
          <t xml:space="preserve">oct26</t>
        </is>
      </c>
      <c r="O1671" s="4">
        <v>57</v>
      </c>
      <c r="P1671" s="4">
        <v>0</v>
      </c>
      <c r="Q1671" s="4">
        <v>0</v>
      </c>
      <c r="R1671" s="4">
        <v>1</v>
      </c>
      <c r="S1671" s="4">
        <f>(H1671*INDEX('Stages'!$D$2:$D$7,MATCH(F1671,'Stages'!$A$2:$A$7,0)))</f>
        <v>3800</v>
      </c>
      <c r="T1671" s="4">
        <f>(H1671*I1671)</f>
        <v>15200</v>
      </c>
      <c r="U1671" s="4">
        <f>(H1671*(I1671-1))</f>
        <v>0</v>
      </c>
      <c r="V1671" s="0" t="str">
        <f>INDEX('Account executives'!$B$2:$B$25,MATCH(C1671,'Account executives'!$A$2:$A$25,0))</f>
        <v>emea</v>
      </c>
      <c r="W1671" s="0" t="str">
        <f>INDEX('Account executives'!$C$2:$C$25,MATCH(C1671,'Account executives'!$A$2:$A$25,0))</f>
        <v>mid_market</v>
      </c>
      <c r="X1671" s="0" t="str">
        <f>SUBSTITUTE(LOWER(INDEX('Periods'!$G$2:$G$22,MATCH(N1671,'Periods'!$A$2:$A$22,0)))," ","_")</f>
        <v>q4_2026</v>
      </c>
    </row>
    <row r="1672">
      <c r="A1672" s="0" t="inlineStr">
        <is>
          <t xml:space="preserve">o1671</t>
        </is>
      </c>
      <c r="B1672" s="0" t="inlineStr">
        <is>
          <t xml:space="preserve">a0336</t>
        </is>
      </c>
      <c r="C1672" s="0" t="inlineStr">
        <is>
          <t xml:space="preserve">r16</t>
        </is>
      </c>
      <c r="D1672" s="0" t="inlineStr">
        <is>
          <t xml:space="preserve">s_emea_in</t>
        </is>
      </c>
      <c r="E1672" s="0" t="inlineStr">
        <is>
          <t xml:space="preserve">inbound</t>
        </is>
      </c>
      <c r="F1672" s="0" t="inlineStr">
        <is>
          <t xml:space="preserve">closed_lost</t>
        </is>
      </c>
      <c r="G1672" s="4">
        <v>1</v>
      </c>
      <c r="H1672" s="4">
        <v>52600</v>
      </c>
      <c r="I1672" s="4">
        <v>1</v>
      </c>
      <c r="J1672" s="4">
        <v>0</v>
      </c>
      <c r="K1672" s="16">
        <v>45892</v>
      </c>
      <c r="L1672" s="16">
        <v>45943</v>
      </c>
      <c r="M1672" s="0" t="inlineStr">
        <is>
          <t xml:space="preserve">aug25</t>
        </is>
      </c>
      <c r="N1672" s="0" t="inlineStr">
        <is>
          <t xml:space="preserve">oct25</t>
        </is>
      </c>
      <c r="O1672" s="4">
        <v>51</v>
      </c>
      <c r="P1672" s="4">
        <v>0</v>
      </c>
      <c r="Q1672" s="4">
        <v>1</v>
      </c>
      <c r="R1672" s="4">
        <v>0</v>
      </c>
      <c r="S1672" s="4">
        <f>(H1672*INDEX('Stages'!$D$2:$D$7,MATCH(F1672,'Stages'!$A$2:$A$7,0)))</f>
        <v>0</v>
      </c>
      <c r="T1672" s="4">
        <f>(H1672*I1672)</f>
        <v>52600</v>
      </c>
      <c r="U1672" s="4">
        <f>(H1672*(I1672-1))</f>
        <v>0</v>
      </c>
      <c r="V1672" s="0" t="str">
        <f>INDEX('Account executives'!$B$2:$B$25,MATCH(C1672,'Account executives'!$A$2:$A$25,0))</f>
        <v>emea</v>
      </c>
      <c r="W1672" s="0" t="str">
        <f>INDEX('Account executives'!$C$2:$C$25,MATCH(C1672,'Account executives'!$A$2:$A$25,0))</f>
        <v>mid_market</v>
      </c>
      <c r="X1672" s="0" t="str">
        <f>SUBSTITUTE(LOWER(INDEX('Periods'!$G$2:$G$22,MATCH(N1672,'Periods'!$A$2:$A$22,0)))," ","_")</f>
        <v>q4_2025</v>
      </c>
    </row>
    <row r="1673">
      <c r="A1673" s="0" t="inlineStr">
        <is>
          <t xml:space="preserve">o1672</t>
        </is>
      </c>
      <c r="B1673" s="0" t="inlineStr">
        <is>
          <t xml:space="preserve">a0048</t>
        </is>
      </c>
      <c r="C1673" s="0" t="inlineStr">
        <is>
          <t xml:space="preserve">r13</t>
        </is>
      </c>
      <c r="D1673" s="0" t="inlineStr">
        <is>
          <t xml:space="preserve">s_emea_in</t>
        </is>
      </c>
      <c r="E1673" s="0" t="inlineStr">
        <is>
          <t xml:space="preserve">inbound</t>
        </is>
      </c>
      <c r="F1673" s="0" t="inlineStr">
        <is>
          <t xml:space="preserve">closed_lost</t>
        </is>
      </c>
      <c r="G1673" s="4">
        <v>0</v>
      </c>
      <c r="H1673" s="4">
        <v>40300</v>
      </c>
      <c r="I1673" s="4">
        <v>1</v>
      </c>
      <c r="J1673" s="4">
        <v>1</v>
      </c>
      <c r="K1673" s="16">
        <v>45828</v>
      </c>
      <c r="L1673" s="16">
        <v>45906</v>
      </c>
      <c r="M1673" s="0" t="inlineStr">
        <is>
          <t xml:space="preserve">jun25</t>
        </is>
      </c>
      <c r="N1673" s="0" t="inlineStr">
        <is>
          <t xml:space="preserve">sep25</t>
        </is>
      </c>
      <c r="O1673" s="4">
        <v>78</v>
      </c>
      <c r="P1673" s="4">
        <v>0</v>
      </c>
      <c r="Q1673" s="4">
        <v>1</v>
      </c>
      <c r="R1673" s="4">
        <v>0</v>
      </c>
      <c r="S1673" s="4">
        <f>(H1673*INDEX('Stages'!$D$2:$D$7,MATCH(F1673,'Stages'!$A$2:$A$7,0)))</f>
        <v>0</v>
      </c>
      <c r="T1673" s="4">
        <f>(H1673*I1673)</f>
        <v>40300</v>
      </c>
      <c r="U1673" s="4">
        <f>(H1673*(I1673-1))</f>
        <v>0</v>
      </c>
      <c r="V1673" s="0" t="str">
        <f>INDEX('Account executives'!$B$2:$B$25,MATCH(C1673,'Account executives'!$A$2:$A$25,0))</f>
        <v>emea</v>
      </c>
      <c r="W1673" s="0" t="str">
        <f>INDEX('Account executives'!$C$2:$C$25,MATCH(C1673,'Account executives'!$A$2:$A$25,0))</f>
        <v>enterprise</v>
      </c>
      <c r="X1673" s="0" t="str">
        <f>SUBSTITUTE(LOWER(INDEX('Periods'!$G$2:$G$22,MATCH(N1673,'Periods'!$A$2:$A$22,0)))," ","_")</f>
        <v>q3_2025</v>
      </c>
    </row>
    <row r="1674">
      <c r="A1674" s="0" t="inlineStr">
        <is>
          <t xml:space="preserve">o1673</t>
        </is>
      </c>
      <c r="B1674" s="0" t="inlineStr">
        <is>
          <t xml:space="preserve">a0462</t>
        </is>
      </c>
      <c r="C1674" s="0" t="inlineStr">
        <is>
          <t xml:space="preserve">r17</t>
        </is>
      </c>
      <c r="D1674" s="0"/>
      <c r="E1674" s="0" t="inlineStr">
        <is>
          <t xml:space="preserve">partner</t>
        </is>
      </c>
      <c r="F1674" s="0" t="inlineStr">
        <is>
          <t xml:space="preserve">closed_lost</t>
        </is>
      </c>
      <c r="G1674" s="4">
        <v>1</v>
      </c>
      <c r="H1674" s="4">
        <v>8100</v>
      </c>
      <c r="I1674" s="4">
        <v>1</v>
      </c>
      <c r="J1674" s="4">
        <v>1</v>
      </c>
      <c r="K1674" s="16">
        <v>45953</v>
      </c>
      <c r="L1674" s="16">
        <v>45995</v>
      </c>
      <c r="M1674" s="0" t="inlineStr">
        <is>
          <t xml:space="preserve">oct25</t>
        </is>
      </c>
      <c r="N1674" s="0" t="inlineStr">
        <is>
          <t xml:space="preserve">dec25</t>
        </is>
      </c>
      <c r="O1674" s="4">
        <v>42</v>
      </c>
      <c r="P1674" s="4">
        <v>0</v>
      </c>
      <c r="Q1674" s="4">
        <v>1</v>
      </c>
      <c r="R1674" s="4">
        <v>0</v>
      </c>
      <c r="S1674" s="4">
        <f>(H1674*INDEX('Stages'!$D$2:$D$7,MATCH(F1674,'Stages'!$A$2:$A$7,0)))</f>
        <v>0</v>
      </c>
      <c r="T1674" s="4">
        <f>(H1674*I1674)</f>
        <v>8100</v>
      </c>
      <c r="U1674" s="4">
        <f>(H1674*(I1674-1))</f>
        <v>0</v>
      </c>
      <c r="V1674" s="0" t="str">
        <f>INDEX('Account executives'!$B$2:$B$25,MATCH(C1674,'Account executives'!$A$2:$A$25,0))</f>
        <v>emea</v>
      </c>
      <c r="W1674" s="0" t="str">
        <f>INDEX('Account executives'!$C$2:$C$25,MATCH(C1674,'Account executives'!$A$2:$A$25,0))</f>
        <v>smb</v>
      </c>
      <c r="X1674" s="0" t="str">
        <f>SUBSTITUTE(LOWER(INDEX('Periods'!$G$2:$G$22,MATCH(N1674,'Periods'!$A$2:$A$22,0)))," ","_")</f>
        <v>q4_2025</v>
      </c>
    </row>
    <row r="1675">
      <c r="A1675" s="0" t="inlineStr">
        <is>
          <t xml:space="preserve">o1674</t>
        </is>
      </c>
      <c r="B1675" s="0" t="inlineStr">
        <is>
          <t xml:space="preserve">a0414</t>
        </is>
      </c>
      <c r="C1675" s="0" t="inlineStr">
        <is>
          <t xml:space="preserve">r21</t>
        </is>
      </c>
      <c r="D1675" s="0"/>
      <c r="E1675" s="0" t="inlineStr">
        <is>
          <t xml:space="preserve">referral</t>
        </is>
      </c>
      <c r="F1675" s="0" t="inlineStr">
        <is>
          <t xml:space="preserve">closed_won</t>
        </is>
      </c>
      <c r="G1675" s="4">
        <v>1</v>
      </c>
      <c r="H1675" s="4">
        <v>32500</v>
      </c>
      <c r="I1675" s="4">
        <v>2</v>
      </c>
      <c r="J1675" s="4">
        <v>0</v>
      </c>
      <c r="K1675" s="16">
        <v>45903</v>
      </c>
      <c r="L1675" s="16">
        <v>45950</v>
      </c>
      <c r="M1675" s="0" t="inlineStr">
        <is>
          <t xml:space="preserve">sep25</t>
        </is>
      </c>
      <c r="N1675" s="0" t="inlineStr">
        <is>
          <t xml:space="preserve">oct25</t>
        </is>
      </c>
      <c r="O1675" s="4">
        <v>47</v>
      </c>
      <c r="P1675" s="4">
        <v>1</v>
      </c>
      <c r="Q1675" s="4">
        <v>0</v>
      </c>
      <c r="R1675" s="4">
        <v>0</v>
      </c>
      <c r="S1675" s="4">
        <f>(H1675*INDEX('Stages'!$D$2:$D$7,MATCH(F1675,'Stages'!$A$2:$A$7,0)))</f>
        <v>32500</v>
      </c>
      <c r="T1675" s="4">
        <f>(H1675*I1675)</f>
        <v>65000</v>
      </c>
      <c r="U1675" s="4">
        <f>(H1675*(I1675-1))</f>
        <v>32500</v>
      </c>
      <c r="V1675" s="0" t="str">
        <f>INDEX('Account executives'!$B$2:$B$25,MATCH(C1675,'Account executives'!$A$2:$A$25,0))</f>
        <v>apac</v>
      </c>
      <c r="W1675" s="0" t="str">
        <f>INDEX('Account executives'!$C$2:$C$25,MATCH(C1675,'Account executives'!$A$2:$A$25,0))</f>
        <v>mid_market</v>
      </c>
      <c r="X1675" s="0" t="str">
        <f>SUBSTITUTE(LOWER(INDEX('Periods'!$G$2:$G$22,MATCH(N1675,'Periods'!$A$2:$A$22,0)))," ","_")</f>
        <v>q4_2025</v>
      </c>
    </row>
    <row r="1676">
      <c r="A1676" s="0" t="inlineStr">
        <is>
          <t xml:space="preserve">o1675</t>
        </is>
      </c>
      <c r="B1676" s="0" t="inlineStr">
        <is>
          <t xml:space="preserve">a0793</t>
        </is>
      </c>
      <c r="C1676" s="0" t="inlineStr">
        <is>
          <t xml:space="preserve">r19</t>
        </is>
      </c>
      <c r="D1676" s="0" t="inlineStr">
        <is>
          <t xml:space="preserve">s_apac_in</t>
        </is>
      </c>
      <c r="E1676" s="0" t="inlineStr">
        <is>
          <t xml:space="preserve">inbound</t>
        </is>
      </c>
      <c r="F1676" s="0" t="inlineStr">
        <is>
          <t xml:space="preserve">closed_won</t>
        </is>
      </c>
      <c r="G1676" s="4">
        <v>1</v>
      </c>
      <c r="H1676" s="4">
        <v>157600</v>
      </c>
      <c r="I1676" s="4">
        <v>2</v>
      </c>
      <c r="J1676" s="4">
        <v>1</v>
      </c>
      <c r="K1676" s="16">
        <v>46094</v>
      </c>
      <c r="L1676" s="16">
        <v>46256</v>
      </c>
      <c r="M1676" s="0" t="inlineStr">
        <is>
          <t xml:space="preserve">mar26</t>
        </is>
      </c>
      <c r="N1676" s="0" t="inlineStr">
        <is>
          <t xml:space="preserve">aug26</t>
        </is>
      </c>
      <c r="O1676" s="4">
        <v>162</v>
      </c>
      <c r="P1676" s="4">
        <v>1</v>
      </c>
      <c r="Q1676" s="4">
        <v>0</v>
      </c>
      <c r="R1676" s="4">
        <v>0</v>
      </c>
      <c r="S1676" s="4">
        <f>(H1676*INDEX('Stages'!$D$2:$D$7,MATCH(F1676,'Stages'!$A$2:$A$7,0)))</f>
        <v>157600</v>
      </c>
      <c r="T1676" s="4">
        <f>(H1676*I1676)</f>
        <v>315200</v>
      </c>
      <c r="U1676" s="4">
        <f>(H1676*(I1676-1))</f>
        <v>157600</v>
      </c>
      <c r="V1676" s="0" t="str">
        <f>INDEX('Account executives'!$B$2:$B$25,MATCH(C1676,'Account executives'!$A$2:$A$25,0))</f>
        <v>apac</v>
      </c>
      <c r="W1676" s="0" t="str">
        <f>INDEX('Account executives'!$C$2:$C$25,MATCH(C1676,'Account executives'!$A$2:$A$25,0))</f>
        <v>enterprise</v>
      </c>
      <c r="X1676" s="0" t="str">
        <f>SUBSTITUTE(LOWER(INDEX('Periods'!$G$2:$G$22,MATCH(N1676,'Periods'!$A$2:$A$22,0)))," ","_")</f>
        <v>q3_2026</v>
      </c>
    </row>
    <row r="1677">
      <c r="A1677" s="0" t="inlineStr">
        <is>
          <t xml:space="preserve">o1676</t>
        </is>
      </c>
      <c r="B1677" s="0" t="inlineStr">
        <is>
          <t xml:space="preserve">a0024</t>
        </is>
      </c>
      <c r="C1677" s="0" t="inlineStr">
        <is>
          <t xml:space="preserve">r12</t>
        </is>
      </c>
      <c r="D1677" s="0" t="inlineStr">
        <is>
          <t xml:space="preserve">s_amer_west_in</t>
        </is>
      </c>
      <c r="E1677" s="0" t="inlineStr">
        <is>
          <t xml:space="preserve">inbound</t>
        </is>
      </c>
      <c r="F1677" s="0" t="inlineStr">
        <is>
          <t xml:space="preserve">closed_won</t>
        </is>
      </c>
      <c r="G1677" s="4">
        <v>0</v>
      </c>
      <c r="H1677" s="4">
        <v>12300</v>
      </c>
      <c r="I1677" s="4">
        <v>1</v>
      </c>
      <c r="J1677" s="4">
        <v>0</v>
      </c>
      <c r="K1677" s="16">
        <v>45768</v>
      </c>
      <c r="L1677" s="16">
        <v>45804</v>
      </c>
      <c r="M1677" s="0" t="inlineStr">
        <is>
          <t xml:space="preserve">apr25</t>
        </is>
      </c>
      <c r="N1677" s="0" t="inlineStr">
        <is>
          <t xml:space="preserve">may25</t>
        </is>
      </c>
      <c r="O1677" s="4">
        <v>36</v>
      </c>
      <c r="P1677" s="4">
        <v>1</v>
      </c>
      <c r="Q1677" s="4">
        <v>0</v>
      </c>
      <c r="R1677" s="4">
        <v>0</v>
      </c>
      <c r="S1677" s="4">
        <f>(H1677*INDEX('Stages'!$D$2:$D$7,MATCH(F1677,'Stages'!$A$2:$A$7,0)))</f>
        <v>12300</v>
      </c>
      <c r="T1677" s="4">
        <f>(H1677*I1677)</f>
        <v>12300</v>
      </c>
      <c r="U1677" s="4">
        <f>(H1677*(I1677-1))</f>
        <v>0</v>
      </c>
      <c r="V1677" s="0" t="str">
        <f>INDEX('Account executives'!$B$2:$B$25,MATCH(C1677,'Account executives'!$A$2:$A$25,0))</f>
        <v>amer_west</v>
      </c>
      <c r="W1677" s="0" t="str">
        <f>INDEX('Account executives'!$C$2:$C$25,MATCH(C1677,'Account executives'!$A$2:$A$25,0))</f>
        <v>smb</v>
      </c>
      <c r="X1677" s="0" t="str">
        <f>SUBSTITUTE(LOWER(INDEX('Periods'!$G$2:$G$22,MATCH(N1677,'Periods'!$A$2:$A$22,0)))," ","_")</f>
        <v>q2_2025</v>
      </c>
    </row>
    <row r="1678">
      <c r="A1678" s="0" t="inlineStr">
        <is>
          <t xml:space="preserve">o1677</t>
        </is>
      </c>
      <c r="B1678" s="0" t="inlineStr">
        <is>
          <t xml:space="preserve">a0498</t>
        </is>
      </c>
      <c r="C1678" s="0" t="inlineStr">
        <is>
          <t xml:space="preserve">r08</t>
        </is>
      </c>
      <c r="D1678" s="0" t="inlineStr">
        <is>
          <t xml:space="preserve">s_amer_west_in</t>
        </is>
      </c>
      <c r="E1678" s="0" t="inlineStr">
        <is>
          <t xml:space="preserve">inbound</t>
        </is>
      </c>
      <c r="F1678" s="0" t="inlineStr">
        <is>
          <t xml:space="preserve">evaluation</t>
        </is>
      </c>
      <c r="G1678" s="4">
        <v>0</v>
      </c>
      <c r="H1678" s="4">
        <v>94700</v>
      </c>
      <c r="I1678" s="4">
        <v>1</v>
      </c>
      <c r="J1678" s="4">
        <v>0</v>
      </c>
      <c r="K1678" s="16">
        <v>46220</v>
      </c>
      <c r="L1678" s="16">
        <v>46348</v>
      </c>
      <c r="M1678" s="0" t="inlineStr">
        <is>
          <t xml:space="preserve">jul26</t>
        </is>
      </c>
      <c r="N1678" s="0" t="inlineStr">
        <is>
          <t xml:space="preserve">nov26</t>
        </is>
      </c>
      <c r="O1678" s="4">
        <v>130</v>
      </c>
      <c r="P1678" s="4">
        <v>0</v>
      </c>
      <c r="Q1678" s="4">
        <v>0</v>
      </c>
      <c r="R1678" s="4">
        <v>1</v>
      </c>
      <c r="S1678" s="4">
        <f>(H1678*INDEX('Stages'!$D$2:$D$7,MATCH(F1678,'Stages'!$A$2:$A$7,0)))</f>
        <v>23675</v>
      </c>
      <c r="T1678" s="4">
        <f>(H1678*I1678)</f>
        <v>94700</v>
      </c>
      <c r="U1678" s="4">
        <f>(H1678*(I1678-1))</f>
        <v>0</v>
      </c>
      <c r="V1678" s="0" t="str">
        <f>INDEX('Account executives'!$B$2:$B$25,MATCH(C1678,'Account executives'!$A$2:$A$25,0))</f>
        <v>amer_west</v>
      </c>
      <c r="W1678" s="0" t="str">
        <f>INDEX('Account executives'!$C$2:$C$25,MATCH(C1678,'Account executives'!$A$2:$A$25,0))</f>
        <v>enterprise</v>
      </c>
      <c r="X1678" s="0" t="str">
        <f>SUBSTITUTE(LOWER(INDEX('Periods'!$G$2:$G$22,MATCH(N1678,'Periods'!$A$2:$A$22,0)))," ","_")</f>
        <v>q4_2026</v>
      </c>
    </row>
    <row r="1679">
      <c r="A1679" s="0" t="inlineStr">
        <is>
          <t xml:space="preserve">o1678</t>
        </is>
      </c>
      <c r="B1679" s="0" t="inlineStr">
        <is>
          <t xml:space="preserve">a0005</t>
        </is>
      </c>
      <c r="C1679" s="0" t="inlineStr">
        <is>
          <t xml:space="preserve">r12</t>
        </is>
      </c>
      <c r="D1679" s="0" t="inlineStr">
        <is>
          <t xml:space="preserve">s_amer_west_in</t>
        </is>
      </c>
      <c r="E1679" s="0" t="inlineStr">
        <is>
          <t xml:space="preserve">inbound</t>
        </is>
      </c>
      <c r="F1679" s="0" t="inlineStr">
        <is>
          <t xml:space="preserve">closed_won</t>
        </is>
      </c>
      <c r="G1679" s="4">
        <v>0</v>
      </c>
      <c r="H1679" s="4">
        <v>2900</v>
      </c>
      <c r="I1679" s="4">
        <v>1</v>
      </c>
      <c r="J1679" s="4">
        <v>0</v>
      </c>
      <c r="K1679" s="16">
        <v>45767</v>
      </c>
      <c r="L1679" s="16">
        <v>45802</v>
      </c>
      <c r="M1679" s="0" t="inlineStr">
        <is>
          <t xml:space="preserve">apr25</t>
        </is>
      </c>
      <c r="N1679" s="0" t="inlineStr">
        <is>
          <t xml:space="preserve">may25</t>
        </is>
      </c>
      <c r="O1679" s="4">
        <v>35</v>
      </c>
      <c r="P1679" s="4">
        <v>1</v>
      </c>
      <c r="Q1679" s="4">
        <v>0</v>
      </c>
      <c r="R1679" s="4">
        <v>0</v>
      </c>
      <c r="S1679" s="4">
        <f>(H1679*INDEX('Stages'!$D$2:$D$7,MATCH(F1679,'Stages'!$A$2:$A$7,0)))</f>
        <v>2900</v>
      </c>
      <c r="T1679" s="4">
        <f>(H1679*I1679)</f>
        <v>2900</v>
      </c>
      <c r="U1679" s="4">
        <f>(H1679*(I1679-1))</f>
        <v>0</v>
      </c>
      <c r="V1679" s="0" t="str">
        <f>INDEX('Account executives'!$B$2:$B$25,MATCH(C1679,'Account executives'!$A$2:$A$25,0))</f>
        <v>amer_west</v>
      </c>
      <c r="W1679" s="0" t="str">
        <f>INDEX('Account executives'!$C$2:$C$25,MATCH(C1679,'Account executives'!$A$2:$A$25,0))</f>
        <v>smb</v>
      </c>
      <c r="X1679" s="0" t="str">
        <f>SUBSTITUTE(LOWER(INDEX('Periods'!$G$2:$G$22,MATCH(N1679,'Periods'!$A$2:$A$22,0)))," ","_")</f>
        <v>q2_2025</v>
      </c>
    </row>
    <row r="1680">
      <c r="A1680" s="0" t="inlineStr">
        <is>
          <t xml:space="preserve">o1679</t>
        </is>
      </c>
      <c r="B1680" s="0" t="inlineStr">
        <is>
          <t xml:space="preserve">a0127</t>
        </is>
      </c>
      <c r="C1680" s="0" t="inlineStr">
        <is>
          <t xml:space="preserve">r18</t>
        </is>
      </c>
      <c r="D1680" s="0" t="inlineStr">
        <is>
          <t xml:space="preserve">s_emea_out</t>
        </is>
      </c>
      <c r="E1680" s="0" t="inlineStr">
        <is>
          <t xml:space="preserve">outbound</t>
        </is>
      </c>
      <c r="F1680" s="0" t="inlineStr">
        <is>
          <t xml:space="preserve">closed_lost</t>
        </is>
      </c>
      <c r="G1680" s="4">
        <v>0</v>
      </c>
      <c r="H1680" s="4">
        <v>7400</v>
      </c>
      <c r="I1680" s="4">
        <v>1</v>
      </c>
      <c r="J1680" s="4">
        <v>0</v>
      </c>
      <c r="K1680" s="16">
        <v>45953</v>
      </c>
      <c r="L1680" s="16">
        <v>45982</v>
      </c>
      <c r="M1680" s="0" t="inlineStr">
        <is>
          <t xml:space="preserve">oct25</t>
        </is>
      </c>
      <c r="N1680" s="0" t="inlineStr">
        <is>
          <t xml:space="preserve">nov25</t>
        </is>
      </c>
      <c r="O1680" s="4">
        <v>29</v>
      </c>
      <c r="P1680" s="4">
        <v>0</v>
      </c>
      <c r="Q1680" s="4">
        <v>1</v>
      </c>
      <c r="R1680" s="4">
        <v>0</v>
      </c>
      <c r="S1680" s="4">
        <f>(H1680*INDEX('Stages'!$D$2:$D$7,MATCH(F1680,'Stages'!$A$2:$A$7,0)))</f>
        <v>0</v>
      </c>
      <c r="T1680" s="4">
        <f>(H1680*I1680)</f>
        <v>7400</v>
      </c>
      <c r="U1680" s="4">
        <f>(H1680*(I1680-1))</f>
        <v>0</v>
      </c>
      <c r="V1680" s="0" t="str">
        <f>INDEX('Account executives'!$B$2:$B$25,MATCH(C1680,'Account executives'!$A$2:$A$25,0))</f>
        <v>emea</v>
      </c>
      <c r="W1680" s="0" t="str">
        <f>INDEX('Account executives'!$C$2:$C$25,MATCH(C1680,'Account executives'!$A$2:$A$25,0))</f>
        <v>smb</v>
      </c>
      <c r="X1680" s="0" t="str">
        <f>SUBSTITUTE(LOWER(INDEX('Periods'!$G$2:$G$22,MATCH(N1680,'Periods'!$A$2:$A$22,0)))," ","_")</f>
        <v>q4_2025</v>
      </c>
    </row>
    <row r="1681">
      <c r="A1681" s="0" t="inlineStr">
        <is>
          <t xml:space="preserve">o1680</t>
        </is>
      </c>
      <c r="B1681" s="0" t="inlineStr">
        <is>
          <t xml:space="preserve">a0960</t>
        </is>
      </c>
      <c r="C1681" s="0" t="inlineStr">
        <is>
          <t xml:space="preserve">r03</t>
        </is>
      </c>
      <c r="D1681" s="0" t="inlineStr">
        <is>
          <t xml:space="preserve">s_amer_east_in</t>
        </is>
      </c>
      <c r="E1681" s="0" t="inlineStr">
        <is>
          <t xml:space="preserve">inbound</t>
        </is>
      </c>
      <c r="F1681" s="0" t="inlineStr">
        <is>
          <t xml:space="preserve">closed_won</t>
        </is>
      </c>
      <c r="G1681" s="4">
        <v>1</v>
      </c>
      <c r="H1681" s="4">
        <v>59900</v>
      </c>
      <c r="I1681" s="4">
        <v>1</v>
      </c>
      <c r="J1681" s="4">
        <v>0</v>
      </c>
      <c r="K1681" s="16">
        <v>46184</v>
      </c>
      <c r="L1681" s="16">
        <v>46234</v>
      </c>
      <c r="M1681" s="0" t="inlineStr">
        <is>
          <t xml:space="preserve">jun26</t>
        </is>
      </c>
      <c r="N1681" s="0" t="inlineStr">
        <is>
          <t xml:space="preserve">jul26</t>
        </is>
      </c>
      <c r="O1681" s="4">
        <v>50</v>
      </c>
      <c r="P1681" s="4">
        <v>1</v>
      </c>
      <c r="Q1681" s="4">
        <v>0</v>
      </c>
      <c r="R1681" s="4">
        <v>0</v>
      </c>
      <c r="S1681" s="4">
        <f>(H1681*INDEX('Stages'!$D$2:$D$7,MATCH(F1681,'Stages'!$A$2:$A$7,0)))</f>
        <v>59900</v>
      </c>
      <c r="T1681" s="4">
        <f>(H1681*I1681)</f>
        <v>59900</v>
      </c>
      <c r="U1681" s="4">
        <f>(H1681*(I1681-1))</f>
        <v>0</v>
      </c>
      <c r="V1681" s="0" t="str">
        <f>INDEX('Account executives'!$B$2:$B$25,MATCH(C1681,'Account executives'!$A$2:$A$25,0))</f>
        <v>amer_east</v>
      </c>
      <c r="W1681" s="0" t="str">
        <f>INDEX('Account executives'!$C$2:$C$25,MATCH(C1681,'Account executives'!$A$2:$A$25,0))</f>
        <v>mid_market</v>
      </c>
      <c r="X1681" s="0" t="str">
        <f>SUBSTITUTE(LOWER(INDEX('Periods'!$G$2:$G$22,MATCH(N1681,'Periods'!$A$2:$A$22,0)))," ","_")</f>
        <v>q3_2026</v>
      </c>
    </row>
    <row r="1682">
      <c r="A1682" s="0" t="inlineStr">
        <is>
          <t xml:space="preserve">o1681</t>
        </is>
      </c>
      <c r="B1682" s="0" t="inlineStr">
        <is>
          <t xml:space="preserve">a0305</t>
        </is>
      </c>
      <c r="C1682" s="0" t="inlineStr">
        <is>
          <t xml:space="preserve">r24</t>
        </is>
      </c>
      <c r="D1682" s="0"/>
      <c r="E1682" s="0" t="inlineStr">
        <is>
          <t xml:space="preserve">referral</t>
        </is>
      </c>
      <c r="F1682" s="0" t="inlineStr">
        <is>
          <t xml:space="preserve">closed_lost</t>
        </is>
      </c>
      <c r="G1682" s="4">
        <v>1</v>
      </c>
      <c r="H1682" s="4">
        <v>8100</v>
      </c>
      <c r="I1682" s="4">
        <v>1</v>
      </c>
      <c r="J1682" s="4">
        <v>0</v>
      </c>
      <c r="K1682" s="16">
        <v>45864</v>
      </c>
      <c r="L1682" s="16">
        <v>45882</v>
      </c>
      <c r="M1682" s="0" t="inlineStr">
        <is>
          <t xml:space="preserve">jul25</t>
        </is>
      </c>
      <c r="N1682" s="0" t="inlineStr">
        <is>
          <t xml:space="preserve">aug25</t>
        </is>
      </c>
      <c r="O1682" s="4">
        <v>18</v>
      </c>
      <c r="P1682" s="4">
        <v>0</v>
      </c>
      <c r="Q1682" s="4">
        <v>1</v>
      </c>
      <c r="R1682" s="4">
        <v>0</v>
      </c>
      <c r="S1682" s="4">
        <f>(H1682*INDEX('Stages'!$D$2:$D$7,MATCH(F1682,'Stages'!$A$2:$A$7,0)))</f>
        <v>0</v>
      </c>
      <c r="T1682" s="4">
        <f>(H1682*I1682)</f>
        <v>8100</v>
      </c>
      <c r="U1682" s="4">
        <f>(H1682*(I1682-1))</f>
        <v>0</v>
      </c>
      <c r="V1682" s="0" t="str">
        <f>INDEX('Account executives'!$B$2:$B$25,MATCH(C1682,'Account executives'!$A$2:$A$25,0))</f>
        <v>apac</v>
      </c>
      <c r="W1682" s="0" t="str">
        <f>INDEX('Account executives'!$C$2:$C$25,MATCH(C1682,'Account executives'!$A$2:$A$25,0))</f>
        <v>smb</v>
      </c>
      <c r="X1682" s="0" t="str">
        <f>SUBSTITUTE(LOWER(INDEX('Periods'!$G$2:$G$22,MATCH(N1682,'Periods'!$A$2:$A$22,0)))," ","_")</f>
        <v>q3_2025</v>
      </c>
    </row>
    <row r="1683">
      <c r="A1683" s="0" t="inlineStr">
        <is>
          <t xml:space="preserve">o1682</t>
        </is>
      </c>
      <c r="B1683" s="0" t="inlineStr">
        <is>
          <t xml:space="preserve">a0015</t>
        </is>
      </c>
      <c r="C1683" s="0" t="inlineStr">
        <is>
          <t xml:space="preserve">r04</t>
        </is>
      </c>
      <c r="D1683" s="0"/>
      <c r="E1683" s="0" t="inlineStr">
        <is>
          <t xml:space="preserve">partner</t>
        </is>
      </c>
      <c r="F1683" s="0" t="inlineStr">
        <is>
          <t xml:space="preserve">closed_lost</t>
        </is>
      </c>
      <c r="G1683" s="4">
        <v>1</v>
      </c>
      <c r="H1683" s="4">
        <v>42600</v>
      </c>
      <c r="I1683" s="4">
        <v>1</v>
      </c>
      <c r="J1683" s="4">
        <v>0</v>
      </c>
      <c r="K1683" s="16">
        <v>45750</v>
      </c>
      <c r="L1683" s="16">
        <v>45817</v>
      </c>
      <c r="M1683" s="0" t="inlineStr">
        <is>
          <t xml:space="preserve">apr25</t>
        </is>
      </c>
      <c r="N1683" s="0" t="inlineStr">
        <is>
          <t xml:space="preserve">jun25</t>
        </is>
      </c>
      <c r="O1683" s="4">
        <v>67</v>
      </c>
      <c r="P1683" s="4">
        <v>0</v>
      </c>
      <c r="Q1683" s="4">
        <v>1</v>
      </c>
      <c r="R1683" s="4">
        <v>0</v>
      </c>
      <c r="S1683" s="4">
        <f>(H1683*INDEX('Stages'!$D$2:$D$7,MATCH(F1683,'Stages'!$A$2:$A$7,0)))</f>
        <v>0</v>
      </c>
      <c r="T1683" s="4">
        <f>(H1683*I1683)</f>
        <v>42600</v>
      </c>
      <c r="U1683" s="4">
        <f>(H1683*(I1683-1))</f>
        <v>0</v>
      </c>
      <c r="V1683" s="0" t="str">
        <f>INDEX('Account executives'!$B$2:$B$25,MATCH(C1683,'Account executives'!$A$2:$A$25,0))</f>
        <v>amer_east</v>
      </c>
      <c r="W1683" s="0" t="str">
        <f>INDEX('Account executives'!$C$2:$C$25,MATCH(C1683,'Account executives'!$A$2:$A$25,0))</f>
        <v>mid_market</v>
      </c>
      <c r="X1683" s="0" t="str">
        <f>SUBSTITUTE(LOWER(INDEX('Periods'!$G$2:$G$22,MATCH(N1683,'Periods'!$A$2:$A$22,0)))," ","_")</f>
        <v>q2_2025</v>
      </c>
    </row>
    <row r="1684">
      <c r="A1684" s="0" t="inlineStr">
        <is>
          <t xml:space="preserve">o1683</t>
        </is>
      </c>
      <c r="B1684" s="0" t="inlineStr">
        <is>
          <t xml:space="preserve">a0799</t>
        </is>
      </c>
      <c r="C1684" s="0" t="inlineStr">
        <is>
          <t xml:space="preserve">r24</t>
        </is>
      </c>
      <c r="D1684" s="0" t="inlineStr">
        <is>
          <t xml:space="preserve">s_apac_in</t>
        </is>
      </c>
      <c r="E1684" s="0" t="inlineStr">
        <is>
          <t xml:space="preserve">paid</t>
        </is>
      </c>
      <c r="F1684" s="0" t="inlineStr">
        <is>
          <t xml:space="preserve">closed_lost</t>
        </is>
      </c>
      <c r="G1684" s="4">
        <v>1</v>
      </c>
      <c r="H1684" s="4">
        <v>8900</v>
      </c>
      <c r="I1684" s="4">
        <v>1</v>
      </c>
      <c r="J1684" s="4">
        <v>1</v>
      </c>
      <c r="K1684" s="16">
        <v>46101</v>
      </c>
      <c r="L1684" s="16">
        <v>46119</v>
      </c>
      <c r="M1684" s="0" t="inlineStr">
        <is>
          <t xml:space="preserve">mar26</t>
        </is>
      </c>
      <c r="N1684" s="0" t="inlineStr">
        <is>
          <t xml:space="preserve">apr26</t>
        </is>
      </c>
      <c r="O1684" s="4">
        <v>18</v>
      </c>
      <c r="P1684" s="4">
        <v>0</v>
      </c>
      <c r="Q1684" s="4">
        <v>1</v>
      </c>
      <c r="R1684" s="4">
        <v>0</v>
      </c>
      <c r="S1684" s="4">
        <f>(H1684*INDEX('Stages'!$D$2:$D$7,MATCH(F1684,'Stages'!$A$2:$A$7,0)))</f>
        <v>0</v>
      </c>
      <c r="T1684" s="4">
        <f>(H1684*I1684)</f>
        <v>8900</v>
      </c>
      <c r="U1684" s="4">
        <f>(H1684*(I1684-1))</f>
        <v>0</v>
      </c>
      <c r="V1684" s="0" t="str">
        <f>INDEX('Account executives'!$B$2:$B$25,MATCH(C1684,'Account executives'!$A$2:$A$25,0))</f>
        <v>apac</v>
      </c>
      <c r="W1684" s="0" t="str">
        <f>INDEX('Account executives'!$C$2:$C$25,MATCH(C1684,'Account executives'!$A$2:$A$25,0))</f>
        <v>smb</v>
      </c>
      <c r="X1684" s="0" t="str">
        <f>SUBSTITUTE(LOWER(INDEX('Periods'!$G$2:$G$22,MATCH(N1684,'Periods'!$A$2:$A$22,0)))," ","_")</f>
        <v>q2_2026</v>
      </c>
    </row>
    <row r="1685">
      <c r="A1685" s="0" t="inlineStr">
        <is>
          <t xml:space="preserve">o1684</t>
        </is>
      </c>
      <c r="B1685" s="0" t="inlineStr">
        <is>
          <t xml:space="preserve">a0537</t>
        </is>
      </c>
      <c r="C1685" s="0" t="inlineStr">
        <is>
          <t xml:space="preserve">r06</t>
        </is>
      </c>
      <c r="D1685" s="0" t="inlineStr">
        <is>
          <t xml:space="preserve">s_amer_east_in</t>
        </is>
      </c>
      <c r="E1685" s="0" t="inlineStr">
        <is>
          <t xml:space="preserve">inbound</t>
        </is>
      </c>
      <c r="F1685" s="0" t="inlineStr">
        <is>
          <t xml:space="preserve">closed_won</t>
        </is>
      </c>
      <c r="G1685" s="4">
        <v>1</v>
      </c>
      <c r="H1685" s="4">
        <v>11500</v>
      </c>
      <c r="I1685" s="4">
        <v>1</v>
      </c>
      <c r="J1685" s="4">
        <v>1</v>
      </c>
      <c r="K1685" s="16">
        <v>46019</v>
      </c>
      <c r="L1685" s="16">
        <v>46075</v>
      </c>
      <c r="M1685" s="0" t="inlineStr">
        <is>
          <t xml:space="preserve">dec25</t>
        </is>
      </c>
      <c r="N1685" s="0" t="inlineStr">
        <is>
          <t xml:space="preserve">feb26</t>
        </is>
      </c>
      <c r="O1685" s="4">
        <v>56</v>
      </c>
      <c r="P1685" s="4">
        <v>1</v>
      </c>
      <c r="Q1685" s="4">
        <v>0</v>
      </c>
      <c r="R1685" s="4">
        <v>0</v>
      </c>
      <c r="S1685" s="4">
        <f>(H1685*INDEX('Stages'!$D$2:$D$7,MATCH(F1685,'Stages'!$A$2:$A$7,0)))</f>
        <v>11500</v>
      </c>
      <c r="T1685" s="4">
        <f>(H1685*I1685)</f>
        <v>11500</v>
      </c>
      <c r="U1685" s="4">
        <f>(H1685*(I1685-1))</f>
        <v>0</v>
      </c>
      <c r="V1685" s="0" t="str">
        <f>INDEX('Account executives'!$B$2:$B$25,MATCH(C1685,'Account executives'!$A$2:$A$25,0))</f>
        <v>amer_east</v>
      </c>
      <c r="W1685" s="0" t="str">
        <f>INDEX('Account executives'!$C$2:$C$25,MATCH(C1685,'Account executives'!$A$2:$A$25,0))</f>
        <v>smb</v>
      </c>
      <c r="X1685" s="0" t="str">
        <f>SUBSTITUTE(LOWER(INDEX('Periods'!$G$2:$G$22,MATCH(N1685,'Periods'!$A$2:$A$22,0)))," ","_")</f>
        <v>q1_2026</v>
      </c>
    </row>
    <row r="1686">
      <c r="A1686" s="0" t="inlineStr">
        <is>
          <t xml:space="preserve">o1685</t>
        </is>
      </c>
      <c r="B1686" s="0" t="inlineStr">
        <is>
          <t xml:space="preserve">a1182</t>
        </is>
      </c>
      <c r="C1686" s="0" t="inlineStr">
        <is>
          <t xml:space="preserve">r14</t>
        </is>
      </c>
      <c r="D1686" s="0" t="inlineStr">
        <is>
          <t xml:space="preserve">s_emea_in</t>
        </is>
      </c>
      <c r="E1686" s="0" t="inlineStr">
        <is>
          <t xml:space="preserve">inbound</t>
        </is>
      </c>
      <c r="F1686" s="0" t="inlineStr">
        <is>
          <t xml:space="preserve">discovery</t>
        </is>
      </c>
      <c r="G1686" s="4">
        <v>1</v>
      </c>
      <c r="H1686" s="4">
        <v>121400</v>
      </c>
      <c r="I1686" s="4">
        <v>1</v>
      </c>
      <c r="J1686" s="4">
        <v>1</v>
      </c>
      <c r="K1686" s="16">
        <v>46246</v>
      </c>
      <c r="L1686" s="16">
        <v>46353</v>
      </c>
      <c r="M1686" s="0" t="inlineStr">
        <is>
          <t xml:space="preserve">aug26</t>
        </is>
      </c>
      <c r="N1686" s="0" t="inlineStr">
        <is>
          <t xml:space="preserve">nov26</t>
        </is>
      </c>
      <c r="O1686" s="4">
        <v>125</v>
      </c>
      <c r="P1686" s="4">
        <v>0</v>
      </c>
      <c r="Q1686" s="4">
        <v>0</v>
      </c>
      <c r="R1686" s="4">
        <v>1</v>
      </c>
      <c r="S1686" s="4">
        <f>(H1686*INDEX('Stages'!$D$2:$D$7,MATCH(F1686,'Stages'!$A$2:$A$7,0)))</f>
        <v>12140</v>
      </c>
      <c r="T1686" s="4">
        <f>(H1686*I1686)</f>
        <v>121400</v>
      </c>
      <c r="U1686" s="4">
        <f>(H1686*(I1686-1))</f>
        <v>0</v>
      </c>
      <c r="V1686" s="0" t="str">
        <f>INDEX('Account executives'!$B$2:$B$25,MATCH(C1686,'Account executives'!$A$2:$A$25,0))</f>
        <v>emea</v>
      </c>
      <c r="W1686" s="0" t="str">
        <f>INDEX('Account executives'!$C$2:$C$25,MATCH(C1686,'Account executives'!$A$2:$A$25,0))</f>
        <v>enterprise</v>
      </c>
      <c r="X1686" s="0" t="str">
        <f>SUBSTITUTE(LOWER(INDEX('Periods'!$G$2:$G$22,MATCH(N1686,'Periods'!$A$2:$A$22,0)))," ","_")</f>
        <v>q4_2026</v>
      </c>
    </row>
    <row r="1687">
      <c r="A1687" s="0" t="inlineStr">
        <is>
          <t xml:space="preserve">o1686</t>
        </is>
      </c>
      <c r="B1687" s="0" t="inlineStr">
        <is>
          <t xml:space="preserve">a0797</t>
        </is>
      </c>
      <c r="C1687" s="0" t="inlineStr">
        <is>
          <t xml:space="preserve">r22</t>
        </is>
      </c>
      <c r="D1687" s="0" t="inlineStr">
        <is>
          <t xml:space="preserve">s_apac_in</t>
        </is>
      </c>
      <c r="E1687" s="0" t="inlineStr">
        <is>
          <t xml:space="preserve">paid</t>
        </is>
      </c>
      <c r="F1687" s="0" t="inlineStr">
        <is>
          <t xml:space="preserve">closed_lost</t>
        </is>
      </c>
      <c r="G1687" s="4">
        <v>1</v>
      </c>
      <c r="H1687" s="4">
        <v>15300</v>
      </c>
      <c r="I1687" s="4">
        <v>1</v>
      </c>
      <c r="J1687" s="4">
        <v>0</v>
      </c>
      <c r="K1687" s="16">
        <v>46095</v>
      </c>
      <c r="L1687" s="16">
        <v>46148</v>
      </c>
      <c r="M1687" s="0" t="inlineStr">
        <is>
          <t xml:space="preserve">mar26</t>
        </is>
      </c>
      <c r="N1687" s="0" t="inlineStr">
        <is>
          <t xml:space="preserve">may26</t>
        </is>
      </c>
      <c r="O1687" s="4">
        <v>53</v>
      </c>
      <c r="P1687" s="4">
        <v>0</v>
      </c>
      <c r="Q1687" s="4">
        <v>1</v>
      </c>
      <c r="R1687" s="4">
        <v>0</v>
      </c>
      <c r="S1687" s="4">
        <f>(H1687*INDEX('Stages'!$D$2:$D$7,MATCH(F1687,'Stages'!$A$2:$A$7,0)))</f>
        <v>0</v>
      </c>
      <c r="T1687" s="4">
        <f>(H1687*I1687)</f>
        <v>15300</v>
      </c>
      <c r="U1687" s="4">
        <f>(H1687*(I1687-1))</f>
        <v>0</v>
      </c>
      <c r="V1687" s="0" t="str">
        <f>INDEX('Account executives'!$B$2:$B$25,MATCH(C1687,'Account executives'!$A$2:$A$25,0))</f>
        <v>apac</v>
      </c>
      <c r="W1687" s="0" t="str">
        <f>INDEX('Account executives'!$C$2:$C$25,MATCH(C1687,'Account executives'!$A$2:$A$25,0))</f>
        <v>mid_market</v>
      </c>
      <c r="X1687" s="0" t="str">
        <f>SUBSTITUTE(LOWER(INDEX('Periods'!$G$2:$G$22,MATCH(N1687,'Periods'!$A$2:$A$22,0)))," ","_")</f>
        <v>q2_2026</v>
      </c>
    </row>
    <row r="1688">
      <c r="A1688" s="0" t="inlineStr">
        <is>
          <t xml:space="preserve">o1687</t>
        </is>
      </c>
      <c r="B1688" s="0" t="inlineStr">
        <is>
          <t xml:space="preserve">a0996</t>
        </is>
      </c>
      <c r="C1688" s="0" t="inlineStr">
        <is>
          <t xml:space="preserve">r07</t>
        </is>
      </c>
      <c r="D1688" s="0"/>
      <c r="E1688" s="0" t="inlineStr">
        <is>
          <t xml:space="preserve">events</t>
        </is>
      </c>
      <c r="F1688" s="0" t="inlineStr">
        <is>
          <t xml:space="preserve">negotiation</t>
        </is>
      </c>
      <c r="G1688" s="4">
        <v>1</v>
      </c>
      <c r="H1688" s="4">
        <v>193600</v>
      </c>
      <c r="I1688" s="4">
        <v>2</v>
      </c>
      <c r="J1688" s="4">
        <v>0</v>
      </c>
      <c r="K1688" s="16">
        <v>46192</v>
      </c>
      <c r="L1688" s="16">
        <v>46293</v>
      </c>
      <c r="M1688" s="0" t="inlineStr">
        <is>
          <t xml:space="preserve">jun26</t>
        </is>
      </c>
      <c r="N1688" s="0" t="inlineStr">
        <is>
          <t xml:space="preserve">sep26</t>
        </is>
      </c>
      <c r="O1688" s="4">
        <v>101</v>
      </c>
      <c r="P1688" s="4">
        <v>0</v>
      </c>
      <c r="Q1688" s="4">
        <v>0</v>
      </c>
      <c r="R1688" s="4">
        <v>1</v>
      </c>
      <c r="S1688" s="4">
        <f>(H1688*INDEX('Stages'!$D$2:$D$7,MATCH(F1688,'Stages'!$A$2:$A$7,0)))</f>
        <v>145200</v>
      </c>
      <c r="T1688" s="4">
        <f>(H1688*I1688)</f>
        <v>387200</v>
      </c>
      <c r="U1688" s="4">
        <f>(H1688*(I1688-1))</f>
        <v>193600</v>
      </c>
      <c r="V1688" s="0" t="str">
        <f>INDEX('Account executives'!$B$2:$B$25,MATCH(C1688,'Account executives'!$A$2:$A$25,0))</f>
        <v>amer_west</v>
      </c>
      <c r="W1688" s="0" t="str">
        <f>INDEX('Account executives'!$C$2:$C$25,MATCH(C1688,'Account executives'!$A$2:$A$25,0))</f>
        <v>enterprise</v>
      </c>
      <c r="X1688" s="0" t="str">
        <f>SUBSTITUTE(LOWER(INDEX('Periods'!$G$2:$G$22,MATCH(N1688,'Periods'!$A$2:$A$22,0)))," ","_")</f>
        <v>q3_2026</v>
      </c>
    </row>
    <row r="1689">
      <c r="A1689" s="0" t="inlineStr">
        <is>
          <t xml:space="preserve">o1688</t>
        </is>
      </c>
      <c r="B1689" s="0" t="inlineStr">
        <is>
          <t xml:space="preserve">a0326</t>
        </is>
      </c>
      <c r="C1689" s="0" t="inlineStr">
        <is>
          <t xml:space="preserve">r11</t>
        </is>
      </c>
      <c r="D1689" s="0" t="inlineStr">
        <is>
          <t xml:space="preserve">s_amer_west_in</t>
        </is>
      </c>
      <c r="E1689" s="0" t="inlineStr">
        <is>
          <t xml:space="preserve">inbound</t>
        </is>
      </c>
      <c r="F1689" s="0" t="inlineStr">
        <is>
          <t xml:space="preserve">closed_lost</t>
        </is>
      </c>
      <c r="G1689" s="4">
        <v>0</v>
      </c>
      <c r="H1689" s="4">
        <v>4800</v>
      </c>
      <c r="I1689" s="4">
        <v>1</v>
      </c>
      <c r="J1689" s="4">
        <v>1</v>
      </c>
      <c r="K1689" s="16">
        <v>46138</v>
      </c>
      <c r="L1689" s="16">
        <v>46155</v>
      </c>
      <c r="M1689" s="0" t="inlineStr">
        <is>
          <t xml:space="preserve">apr26</t>
        </is>
      </c>
      <c r="N1689" s="0" t="inlineStr">
        <is>
          <t xml:space="preserve">may26</t>
        </is>
      </c>
      <c r="O1689" s="4">
        <v>17</v>
      </c>
      <c r="P1689" s="4">
        <v>0</v>
      </c>
      <c r="Q1689" s="4">
        <v>1</v>
      </c>
      <c r="R1689" s="4">
        <v>0</v>
      </c>
      <c r="S1689" s="4">
        <f>(H1689*INDEX('Stages'!$D$2:$D$7,MATCH(F1689,'Stages'!$A$2:$A$7,0)))</f>
        <v>0</v>
      </c>
      <c r="T1689" s="4">
        <f>(H1689*I1689)</f>
        <v>4800</v>
      </c>
      <c r="U1689" s="4">
        <f>(H1689*(I1689-1))</f>
        <v>0</v>
      </c>
      <c r="V1689" s="0" t="str">
        <f>INDEX('Account executives'!$B$2:$B$25,MATCH(C1689,'Account executives'!$A$2:$A$25,0))</f>
        <v>amer_west</v>
      </c>
      <c r="W1689" s="0" t="str">
        <f>INDEX('Account executives'!$C$2:$C$25,MATCH(C1689,'Account executives'!$A$2:$A$25,0))</f>
        <v>smb</v>
      </c>
      <c r="X1689" s="0" t="str">
        <f>SUBSTITUTE(LOWER(INDEX('Periods'!$G$2:$G$22,MATCH(N1689,'Periods'!$A$2:$A$22,0)))," ","_")</f>
        <v>q2_2026</v>
      </c>
    </row>
    <row r="1690">
      <c r="A1690" s="0" t="inlineStr">
        <is>
          <t xml:space="preserve">o1689</t>
        </is>
      </c>
      <c r="B1690" s="0" t="inlineStr">
        <is>
          <t xml:space="preserve">a0672</t>
        </is>
      </c>
      <c r="C1690" s="0" t="inlineStr">
        <is>
          <t xml:space="preserve">r06</t>
        </is>
      </c>
      <c r="D1690" s="0"/>
      <c r="E1690" s="0" t="inlineStr">
        <is>
          <t xml:space="preserve">referral</t>
        </is>
      </c>
      <c r="F1690" s="0" t="inlineStr">
        <is>
          <t xml:space="preserve">closed_lost</t>
        </is>
      </c>
      <c r="G1690" s="4">
        <v>1</v>
      </c>
      <c r="H1690" s="4">
        <v>26200</v>
      </c>
      <c r="I1690" s="4">
        <v>1</v>
      </c>
      <c r="J1690" s="4">
        <v>0</v>
      </c>
      <c r="K1690" s="16">
        <v>46060</v>
      </c>
      <c r="L1690" s="16">
        <v>46091</v>
      </c>
      <c r="M1690" s="0" t="inlineStr">
        <is>
          <t xml:space="preserve">feb26</t>
        </is>
      </c>
      <c r="N1690" s="0" t="inlineStr">
        <is>
          <t xml:space="preserve">mar26</t>
        </is>
      </c>
      <c r="O1690" s="4">
        <v>31</v>
      </c>
      <c r="P1690" s="4">
        <v>0</v>
      </c>
      <c r="Q1690" s="4">
        <v>1</v>
      </c>
      <c r="R1690" s="4">
        <v>0</v>
      </c>
      <c r="S1690" s="4">
        <f>(H1690*INDEX('Stages'!$D$2:$D$7,MATCH(F1690,'Stages'!$A$2:$A$7,0)))</f>
        <v>0</v>
      </c>
      <c r="T1690" s="4">
        <f>(H1690*I1690)</f>
        <v>26200</v>
      </c>
      <c r="U1690" s="4">
        <f>(H1690*(I1690-1))</f>
        <v>0</v>
      </c>
      <c r="V1690" s="0" t="str">
        <f>INDEX('Account executives'!$B$2:$B$25,MATCH(C1690,'Account executives'!$A$2:$A$25,0))</f>
        <v>amer_east</v>
      </c>
      <c r="W1690" s="0" t="str">
        <f>INDEX('Account executives'!$C$2:$C$25,MATCH(C1690,'Account executives'!$A$2:$A$25,0))</f>
        <v>smb</v>
      </c>
      <c r="X1690" s="0" t="str">
        <f>SUBSTITUTE(LOWER(INDEX('Periods'!$G$2:$G$22,MATCH(N1690,'Periods'!$A$2:$A$22,0)))," ","_")</f>
        <v>q1_2026</v>
      </c>
    </row>
    <row r="1691">
      <c r="A1691" s="0" t="inlineStr">
        <is>
          <t xml:space="preserve">o1690</t>
        </is>
      </c>
      <c r="B1691" s="0" t="inlineStr">
        <is>
          <t xml:space="preserve">a0779</t>
        </is>
      </c>
      <c r="C1691" s="0" t="inlineStr">
        <is>
          <t xml:space="preserve">r16</t>
        </is>
      </c>
      <c r="D1691" s="0" t="inlineStr">
        <is>
          <t xml:space="preserve">s_emea_in</t>
        </is>
      </c>
      <c r="E1691" s="0" t="inlineStr">
        <is>
          <t xml:space="preserve">paid</t>
        </is>
      </c>
      <c r="F1691" s="0" t="inlineStr">
        <is>
          <t xml:space="preserve">closed_won</t>
        </is>
      </c>
      <c r="G1691" s="4">
        <v>1</v>
      </c>
      <c r="H1691" s="4">
        <v>36400</v>
      </c>
      <c r="I1691" s="4">
        <v>1</v>
      </c>
      <c r="J1691" s="4">
        <v>0</v>
      </c>
      <c r="K1691" s="16">
        <v>46085</v>
      </c>
      <c r="L1691" s="16">
        <v>46126</v>
      </c>
      <c r="M1691" s="0" t="inlineStr">
        <is>
          <t xml:space="preserve">mar26</t>
        </is>
      </c>
      <c r="N1691" s="0" t="inlineStr">
        <is>
          <t xml:space="preserve">apr26</t>
        </is>
      </c>
      <c r="O1691" s="4">
        <v>41</v>
      </c>
      <c r="P1691" s="4">
        <v>1</v>
      </c>
      <c r="Q1691" s="4">
        <v>0</v>
      </c>
      <c r="R1691" s="4">
        <v>0</v>
      </c>
      <c r="S1691" s="4">
        <f>(H1691*INDEX('Stages'!$D$2:$D$7,MATCH(F1691,'Stages'!$A$2:$A$7,0)))</f>
        <v>36400</v>
      </c>
      <c r="T1691" s="4">
        <f>(H1691*I1691)</f>
        <v>36400</v>
      </c>
      <c r="U1691" s="4">
        <f>(H1691*(I1691-1))</f>
        <v>0</v>
      </c>
      <c r="V1691" s="0" t="str">
        <f>INDEX('Account executives'!$B$2:$B$25,MATCH(C1691,'Account executives'!$A$2:$A$25,0))</f>
        <v>emea</v>
      </c>
      <c r="W1691" s="0" t="str">
        <f>INDEX('Account executives'!$C$2:$C$25,MATCH(C1691,'Account executives'!$A$2:$A$25,0))</f>
        <v>mid_market</v>
      </c>
      <c r="X1691" s="0" t="str">
        <f>SUBSTITUTE(LOWER(INDEX('Periods'!$G$2:$G$22,MATCH(N1691,'Periods'!$A$2:$A$22,0)))," ","_")</f>
        <v>q2_2026</v>
      </c>
    </row>
    <row r="1692">
      <c r="A1692" s="0" t="inlineStr">
        <is>
          <t xml:space="preserve">o1691</t>
        </is>
      </c>
      <c r="B1692" s="0" t="inlineStr">
        <is>
          <t xml:space="preserve">a0935</t>
        </is>
      </c>
      <c r="C1692" s="0" t="inlineStr">
        <is>
          <t xml:space="preserve">r17</t>
        </is>
      </c>
      <c r="D1692" s="0" t="inlineStr">
        <is>
          <t xml:space="preserve">s_emea_in</t>
        </is>
      </c>
      <c r="E1692" s="0" t="inlineStr">
        <is>
          <t xml:space="preserve">paid</t>
        </is>
      </c>
      <c r="F1692" s="0" t="inlineStr">
        <is>
          <t xml:space="preserve">closed_lost</t>
        </is>
      </c>
      <c r="G1692" s="4">
        <v>1</v>
      </c>
      <c r="H1692" s="4">
        <v>18400</v>
      </c>
      <c r="I1692" s="4">
        <v>1</v>
      </c>
      <c r="J1692" s="4">
        <v>0</v>
      </c>
      <c r="K1692" s="16">
        <v>46153</v>
      </c>
      <c r="L1692" s="16">
        <v>46169</v>
      </c>
      <c r="M1692" s="0" t="inlineStr">
        <is>
          <t xml:space="preserve">may26</t>
        </is>
      </c>
      <c r="N1692" s="0" t="inlineStr">
        <is>
          <t xml:space="preserve">may26</t>
        </is>
      </c>
      <c r="O1692" s="4">
        <v>16</v>
      </c>
      <c r="P1692" s="4">
        <v>0</v>
      </c>
      <c r="Q1692" s="4">
        <v>1</v>
      </c>
      <c r="R1692" s="4">
        <v>0</v>
      </c>
      <c r="S1692" s="4">
        <f>(H1692*INDEX('Stages'!$D$2:$D$7,MATCH(F1692,'Stages'!$A$2:$A$7,0)))</f>
        <v>0</v>
      </c>
      <c r="T1692" s="4">
        <f>(H1692*I1692)</f>
        <v>18400</v>
      </c>
      <c r="U1692" s="4">
        <f>(H1692*(I1692-1))</f>
        <v>0</v>
      </c>
      <c r="V1692" s="0" t="str">
        <f>INDEX('Account executives'!$B$2:$B$25,MATCH(C1692,'Account executives'!$A$2:$A$25,0))</f>
        <v>emea</v>
      </c>
      <c r="W1692" s="0" t="str">
        <f>INDEX('Account executives'!$C$2:$C$25,MATCH(C1692,'Account executives'!$A$2:$A$25,0))</f>
        <v>smb</v>
      </c>
      <c r="X1692" s="0" t="str">
        <f>SUBSTITUTE(LOWER(INDEX('Periods'!$G$2:$G$22,MATCH(N1692,'Periods'!$A$2:$A$22,0)))," ","_")</f>
        <v>q2_2026</v>
      </c>
    </row>
    <row r="1693">
      <c r="A1693" s="0" t="inlineStr">
        <is>
          <t xml:space="preserve">o1692</t>
        </is>
      </c>
      <c r="B1693" s="0" t="inlineStr">
        <is>
          <t xml:space="preserve">a0403</t>
        </is>
      </c>
      <c r="C1693" s="0" t="inlineStr">
        <is>
          <t xml:space="preserve">r17</t>
        </is>
      </c>
      <c r="D1693" s="0"/>
      <c r="E1693" s="0" t="inlineStr">
        <is>
          <t xml:space="preserve">referral</t>
        </is>
      </c>
      <c r="F1693" s="0" t="inlineStr">
        <is>
          <t xml:space="preserve">closed_lost</t>
        </is>
      </c>
      <c r="G1693" s="4">
        <v>1</v>
      </c>
      <c r="H1693" s="4">
        <v>13200</v>
      </c>
      <c r="I1693" s="4">
        <v>1</v>
      </c>
      <c r="J1693" s="4">
        <v>0</v>
      </c>
      <c r="K1693" s="16">
        <v>45902</v>
      </c>
      <c r="L1693" s="16">
        <v>45920</v>
      </c>
      <c r="M1693" s="0" t="inlineStr">
        <is>
          <t xml:space="preserve">sep25</t>
        </is>
      </c>
      <c r="N1693" s="0" t="inlineStr">
        <is>
          <t xml:space="preserve">sep25</t>
        </is>
      </c>
      <c r="O1693" s="4">
        <v>18</v>
      </c>
      <c r="P1693" s="4">
        <v>0</v>
      </c>
      <c r="Q1693" s="4">
        <v>1</v>
      </c>
      <c r="R1693" s="4">
        <v>0</v>
      </c>
      <c r="S1693" s="4">
        <f>(H1693*INDEX('Stages'!$D$2:$D$7,MATCH(F1693,'Stages'!$A$2:$A$7,0)))</f>
        <v>0</v>
      </c>
      <c r="T1693" s="4">
        <f>(H1693*I1693)</f>
        <v>13200</v>
      </c>
      <c r="U1693" s="4">
        <f>(H1693*(I1693-1))</f>
        <v>0</v>
      </c>
      <c r="V1693" s="0" t="str">
        <f>INDEX('Account executives'!$B$2:$B$25,MATCH(C1693,'Account executives'!$A$2:$A$25,0))</f>
        <v>emea</v>
      </c>
      <c r="W1693" s="0" t="str">
        <f>INDEX('Account executives'!$C$2:$C$25,MATCH(C1693,'Account executives'!$A$2:$A$25,0))</f>
        <v>smb</v>
      </c>
      <c r="X1693" s="0" t="str">
        <f>SUBSTITUTE(LOWER(INDEX('Periods'!$G$2:$G$22,MATCH(N1693,'Periods'!$A$2:$A$22,0)))," ","_")</f>
        <v>q3_2025</v>
      </c>
    </row>
    <row r="1694">
      <c r="A1694" s="0" t="inlineStr">
        <is>
          <t xml:space="preserve">o1693</t>
        </is>
      </c>
      <c r="B1694" s="0" t="inlineStr">
        <is>
          <t xml:space="preserve">a0387</t>
        </is>
      </c>
      <c r="C1694" s="0" t="inlineStr">
        <is>
          <t xml:space="preserve">r09</t>
        </is>
      </c>
      <c r="D1694" s="0" t="inlineStr">
        <is>
          <t xml:space="preserve">s_amer_west_in</t>
        </is>
      </c>
      <c r="E1694" s="0" t="inlineStr">
        <is>
          <t xml:space="preserve">inbound</t>
        </is>
      </c>
      <c r="F1694" s="0" t="inlineStr">
        <is>
          <t xml:space="preserve">discovery</t>
        </is>
      </c>
      <c r="G1694" s="4">
        <v>0</v>
      </c>
      <c r="H1694" s="4">
        <v>15400</v>
      </c>
      <c r="I1694" s="4">
        <v>2</v>
      </c>
      <c r="J1694" s="4">
        <v>1</v>
      </c>
      <c r="K1694" s="16">
        <v>46280</v>
      </c>
      <c r="L1694" s="16">
        <v>46371</v>
      </c>
      <c r="M1694" s="0" t="inlineStr">
        <is>
          <t xml:space="preserve">sep26</t>
        </is>
      </c>
      <c r="N1694" s="0" t="inlineStr">
        <is>
          <t xml:space="preserve">dec26</t>
        </is>
      </c>
      <c r="O1694" s="4">
        <v>40</v>
      </c>
      <c r="P1694" s="4">
        <v>0</v>
      </c>
      <c r="Q1694" s="4">
        <v>0</v>
      </c>
      <c r="R1694" s="4">
        <v>1</v>
      </c>
      <c r="S1694" s="4">
        <f>(H1694*INDEX('Stages'!$D$2:$D$7,MATCH(F1694,'Stages'!$A$2:$A$7,0)))</f>
        <v>1540</v>
      </c>
      <c r="T1694" s="4">
        <f>(H1694*I1694)</f>
        <v>30800</v>
      </c>
      <c r="U1694" s="4">
        <f>(H1694*(I1694-1))</f>
        <v>15400</v>
      </c>
      <c r="V1694" s="0" t="str">
        <f>INDEX('Account executives'!$B$2:$B$25,MATCH(C1694,'Account executives'!$A$2:$A$25,0))</f>
        <v>amer_west</v>
      </c>
      <c r="W1694" s="0" t="str">
        <f>INDEX('Account executives'!$C$2:$C$25,MATCH(C1694,'Account executives'!$A$2:$A$25,0))</f>
        <v>mid_market</v>
      </c>
      <c r="X1694" s="0" t="str">
        <f>SUBSTITUTE(LOWER(INDEX('Periods'!$G$2:$G$22,MATCH(N1694,'Periods'!$A$2:$A$22,0)))," ","_")</f>
        <v>q4_2026</v>
      </c>
    </row>
    <row r="1695">
      <c r="A1695" s="0" t="inlineStr">
        <is>
          <t xml:space="preserve">o1694</t>
        </is>
      </c>
      <c r="B1695" s="0" t="inlineStr">
        <is>
          <t xml:space="preserve">a0308</t>
        </is>
      </c>
      <c r="C1695" s="0" t="inlineStr">
        <is>
          <t xml:space="preserve">r05</t>
        </is>
      </c>
      <c r="D1695" s="0" t="inlineStr">
        <is>
          <t xml:space="preserve">s_amer_east_in</t>
        </is>
      </c>
      <c r="E1695" s="0" t="inlineStr">
        <is>
          <t xml:space="preserve">inbound</t>
        </is>
      </c>
      <c r="F1695" s="0" t="inlineStr">
        <is>
          <t xml:space="preserve">closed_lost</t>
        </is>
      </c>
      <c r="G1695" s="4">
        <v>1</v>
      </c>
      <c r="H1695" s="4">
        <v>17300</v>
      </c>
      <c r="I1695" s="4">
        <v>1</v>
      </c>
      <c r="J1695" s="4">
        <v>1</v>
      </c>
      <c r="K1695" s="16">
        <v>45871</v>
      </c>
      <c r="L1695" s="16">
        <v>45904</v>
      </c>
      <c r="M1695" s="0" t="inlineStr">
        <is>
          <t xml:space="preserve">aug25</t>
        </is>
      </c>
      <c r="N1695" s="0" t="inlineStr">
        <is>
          <t xml:space="preserve">sep25</t>
        </is>
      </c>
      <c r="O1695" s="4">
        <v>33</v>
      </c>
      <c r="P1695" s="4">
        <v>0</v>
      </c>
      <c r="Q1695" s="4">
        <v>1</v>
      </c>
      <c r="R1695" s="4">
        <v>0</v>
      </c>
      <c r="S1695" s="4">
        <f>(H1695*INDEX('Stages'!$D$2:$D$7,MATCH(F1695,'Stages'!$A$2:$A$7,0)))</f>
        <v>0</v>
      </c>
      <c r="T1695" s="4">
        <f>(H1695*I1695)</f>
        <v>17300</v>
      </c>
      <c r="U1695" s="4">
        <f>(H1695*(I1695-1))</f>
        <v>0</v>
      </c>
      <c r="V1695" s="0" t="str">
        <f>INDEX('Account executives'!$B$2:$B$25,MATCH(C1695,'Account executives'!$A$2:$A$25,0))</f>
        <v>amer_east</v>
      </c>
      <c r="W1695" s="0" t="str">
        <f>INDEX('Account executives'!$C$2:$C$25,MATCH(C1695,'Account executives'!$A$2:$A$25,0))</f>
        <v>smb</v>
      </c>
      <c r="X1695" s="0" t="str">
        <f>SUBSTITUTE(LOWER(INDEX('Periods'!$G$2:$G$22,MATCH(N1695,'Periods'!$A$2:$A$22,0)))," ","_")</f>
        <v>q3_2025</v>
      </c>
    </row>
    <row r="1696">
      <c r="A1696" s="0" t="inlineStr">
        <is>
          <t xml:space="preserve">o1695</t>
        </is>
      </c>
      <c r="B1696" s="0" t="inlineStr">
        <is>
          <t xml:space="preserve">a0046</t>
        </is>
      </c>
      <c r="C1696" s="0" t="inlineStr">
        <is>
          <t xml:space="preserve">r17</t>
        </is>
      </c>
      <c r="D1696" s="0" t="inlineStr">
        <is>
          <t xml:space="preserve">s_emea_in</t>
        </is>
      </c>
      <c r="E1696" s="0" t="inlineStr">
        <is>
          <t xml:space="preserve">inbound</t>
        </is>
      </c>
      <c r="F1696" s="0" t="inlineStr">
        <is>
          <t xml:space="preserve">closed_lost</t>
        </is>
      </c>
      <c r="G1696" s="4">
        <v>0</v>
      </c>
      <c r="H1696" s="4">
        <v>6000</v>
      </c>
      <c r="I1696" s="4">
        <v>1</v>
      </c>
      <c r="J1696" s="4">
        <v>0</v>
      </c>
      <c r="K1696" s="16">
        <v>45794</v>
      </c>
      <c r="L1696" s="16">
        <v>45820</v>
      </c>
      <c r="M1696" s="0" t="inlineStr">
        <is>
          <t xml:space="preserve">may25</t>
        </is>
      </c>
      <c r="N1696" s="0" t="inlineStr">
        <is>
          <t xml:space="preserve">jun25</t>
        </is>
      </c>
      <c r="O1696" s="4">
        <v>26</v>
      </c>
      <c r="P1696" s="4">
        <v>0</v>
      </c>
      <c r="Q1696" s="4">
        <v>1</v>
      </c>
      <c r="R1696" s="4">
        <v>0</v>
      </c>
      <c r="S1696" s="4">
        <f>(H1696*INDEX('Stages'!$D$2:$D$7,MATCH(F1696,'Stages'!$A$2:$A$7,0)))</f>
        <v>0</v>
      </c>
      <c r="T1696" s="4">
        <f>(H1696*I1696)</f>
        <v>6000</v>
      </c>
      <c r="U1696" s="4">
        <f>(H1696*(I1696-1))</f>
        <v>0</v>
      </c>
      <c r="V1696" s="0" t="str">
        <f>INDEX('Account executives'!$B$2:$B$25,MATCH(C1696,'Account executives'!$A$2:$A$25,0))</f>
        <v>emea</v>
      </c>
      <c r="W1696" s="0" t="str">
        <f>INDEX('Account executives'!$C$2:$C$25,MATCH(C1696,'Account executives'!$A$2:$A$25,0))</f>
        <v>smb</v>
      </c>
      <c r="X1696" s="0" t="str">
        <f>SUBSTITUTE(LOWER(INDEX('Periods'!$G$2:$G$22,MATCH(N1696,'Periods'!$A$2:$A$22,0)))," ","_")</f>
        <v>q2_2025</v>
      </c>
    </row>
    <row r="1697">
      <c r="A1697" s="0" t="inlineStr">
        <is>
          <t xml:space="preserve">o1696</t>
        </is>
      </c>
      <c r="B1697" s="0" t="inlineStr">
        <is>
          <t xml:space="preserve">a0306</t>
        </is>
      </c>
      <c r="C1697" s="0" t="inlineStr">
        <is>
          <t xml:space="preserve">r22</t>
        </is>
      </c>
      <c r="D1697" s="0" t="inlineStr">
        <is>
          <t xml:space="preserve">s_apac_in</t>
        </is>
      </c>
      <c r="E1697" s="0" t="inlineStr">
        <is>
          <t xml:space="preserve">inbound</t>
        </is>
      </c>
      <c r="F1697" s="0" t="inlineStr">
        <is>
          <t xml:space="preserve">closed_won</t>
        </is>
      </c>
      <c r="G1697" s="4">
        <v>0</v>
      </c>
      <c r="H1697" s="4">
        <v>30500</v>
      </c>
      <c r="I1697" s="4">
        <v>2</v>
      </c>
      <c r="J1697" s="4">
        <v>0</v>
      </c>
      <c r="K1697" s="16">
        <v>46196</v>
      </c>
      <c r="L1697" s="16">
        <v>46259</v>
      </c>
      <c r="M1697" s="0" t="inlineStr">
        <is>
          <t xml:space="preserve">jun26</t>
        </is>
      </c>
      <c r="N1697" s="0" t="inlineStr">
        <is>
          <t xml:space="preserve">aug26</t>
        </is>
      </c>
      <c r="O1697" s="4">
        <v>63</v>
      </c>
      <c r="P1697" s="4">
        <v>1</v>
      </c>
      <c r="Q1697" s="4">
        <v>0</v>
      </c>
      <c r="R1697" s="4">
        <v>0</v>
      </c>
      <c r="S1697" s="4">
        <f>(H1697*INDEX('Stages'!$D$2:$D$7,MATCH(F1697,'Stages'!$A$2:$A$7,0)))</f>
        <v>30500</v>
      </c>
      <c r="T1697" s="4">
        <f>(H1697*I1697)</f>
        <v>61000</v>
      </c>
      <c r="U1697" s="4">
        <f>(H1697*(I1697-1))</f>
        <v>30500</v>
      </c>
      <c r="V1697" s="0" t="str">
        <f>INDEX('Account executives'!$B$2:$B$25,MATCH(C1697,'Account executives'!$A$2:$A$25,0))</f>
        <v>apac</v>
      </c>
      <c r="W1697" s="0" t="str">
        <f>INDEX('Account executives'!$C$2:$C$25,MATCH(C1697,'Account executives'!$A$2:$A$25,0))</f>
        <v>mid_market</v>
      </c>
      <c r="X1697" s="0" t="str">
        <f>SUBSTITUTE(LOWER(INDEX('Periods'!$G$2:$G$22,MATCH(N1697,'Periods'!$A$2:$A$22,0)))," ","_")</f>
        <v>q3_2026</v>
      </c>
    </row>
    <row r="1698">
      <c r="A1698" s="0" t="inlineStr">
        <is>
          <t xml:space="preserve">o1697</t>
        </is>
      </c>
      <c r="B1698" s="0" t="inlineStr">
        <is>
          <t xml:space="preserve">a0460</t>
        </is>
      </c>
      <c r="C1698" s="0" t="inlineStr">
        <is>
          <t xml:space="preserve">r18</t>
        </is>
      </c>
      <c r="D1698" s="0" t="inlineStr">
        <is>
          <t xml:space="preserve">s_emea_in</t>
        </is>
      </c>
      <c r="E1698" s="0" t="inlineStr">
        <is>
          <t xml:space="preserve">inbound</t>
        </is>
      </c>
      <c r="F1698" s="0" t="inlineStr">
        <is>
          <t xml:space="preserve">closed_won</t>
        </is>
      </c>
      <c r="G1698" s="4">
        <v>0</v>
      </c>
      <c r="H1698" s="4">
        <v>2500</v>
      </c>
      <c r="I1698" s="4">
        <v>1</v>
      </c>
      <c r="J1698" s="4">
        <v>0</v>
      </c>
      <c r="K1698" s="16">
        <v>46038</v>
      </c>
      <c r="L1698" s="16">
        <v>46058</v>
      </c>
      <c r="M1698" s="0" t="inlineStr">
        <is>
          <t xml:space="preserve">jan26</t>
        </is>
      </c>
      <c r="N1698" s="0" t="inlineStr">
        <is>
          <t xml:space="preserve">feb26</t>
        </is>
      </c>
      <c r="O1698" s="4">
        <v>20</v>
      </c>
      <c r="P1698" s="4">
        <v>1</v>
      </c>
      <c r="Q1698" s="4">
        <v>0</v>
      </c>
      <c r="R1698" s="4">
        <v>0</v>
      </c>
      <c r="S1698" s="4">
        <f>(H1698*INDEX('Stages'!$D$2:$D$7,MATCH(F1698,'Stages'!$A$2:$A$7,0)))</f>
        <v>2500</v>
      </c>
      <c r="T1698" s="4">
        <f>(H1698*I1698)</f>
        <v>2500</v>
      </c>
      <c r="U1698" s="4">
        <f>(H1698*(I1698-1))</f>
        <v>0</v>
      </c>
      <c r="V1698" s="0" t="str">
        <f>INDEX('Account executives'!$B$2:$B$25,MATCH(C1698,'Account executives'!$A$2:$A$25,0))</f>
        <v>emea</v>
      </c>
      <c r="W1698" s="0" t="str">
        <f>INDEX('Account executives'!$C$2:$C$25,MATCH(C1698,'Account executives'!$A$2:$A$25,0))</f>
        <v>smb</v>
      </c>
      <c r="X1698" s="0" t="str">
        <f>SUBSTITUTE(LOWER(INDEX('Periods'!$G$2:$G$22,MATCH(N1698,'Periods'!$A$2:$A$22,0)))," ","_")</f>
        <v>q1_2026</v>
      </c>
    </row>
    <row r="1699">
      <c r="A1699" s="0" t="inlineStr">
        <is>
          <t xml:space="preserve">o1698</t>
        </is>
      </c>
      <c r="B1699" s="0" t="inlineStr">
        <is>
          <t xml:space="preserve">a0337</t>
        </is>
      </c>
      <c r="C1699" s="0" t="inlineStr">
        <is>
          <t xml:space="preserve">r15</t>
        </is>
      </c>
      <c r="D1699" s="0" t="inlineStr">
        <is>
          <t xml:space="preserve">s_emea_in</t>
        </is>
      </c>
      <c r="E1699" s="0" t="inlineStr">
        <is>
          <t xml:space="preserve">inbound</t>
        </is>
      </c>
      <c r="F1699" s="0" t="inlineStr">
        <is>
          <t xml:space="preserve">closed_lost</t>
        </is>
      </c>
      <c r="G1699" s="4">
        <v>1</v>
      </c>
      <c r="H1699" s="4">
        <v>47000</v>
      </c>
      <c r="I1699" s="4">
        <v>1</v>
      </c>
      <c r="J1699" s="4">
        <v>1</v>
      </c>
      <c r="K1699" s="16">
        <v>45890</v>
      </c>
      <c r="L1699" s="16">
        <v>45974</v>
      </c>
      <c r="M1699" s="0" t="inlineStr">
        <is>
          <t xml:space="preserve">aug25</t>
        </is>
      </c>
      <c r="N1699" s="0" t="inlineStr">
        <is>
          <t xml:space="preserve">nov25</t>
        </is>
      </c>
      <c r="O1699" s="4">
        <v>84</v>
      </c>
      <c r="P1699" s="4">
        <v>0</v>
      </c>
      <c r="Q1699" s="4">
        <v>1</v>
      </c>
      <c r="R1699" s="4">
        <v>0</v>
      </c>
      <c r="S1699" s="4">
        <f>(H1699*INDEX('Stages'!$D$2:$D$7,MATCH(F1699,'Stages'!$A$2:$A$7,0)))</f>
        <v>0</v>
      </c>
      <c r="T1699" s="4">
        <f>(H1699*I1699)</f>
        <v>47000</v>
      </c>
      <c r="U1699" s="4">
        <f>(H1699*(I1699-1))</f>
        <v>0</v>
      </c>
      <c r="V1699" s="0" t="str">
        <f>INDEX('Account executives'!$B$2:$B$25,MATCH(C1699,'Account executives'!$A$2:$A$25,0))</f>
        <v>emea</v>
      </c>
      <c r="W1699" s="0" t="str">
        <f>INDEX('Account executives'!$C$2:$C$25,MATCH(C1699,'Account executives'!$A$2:$A$25,0))</f>
        <v>mid_market</v>
      </c>
      <c r="X1699" s="0" t="str">
        <f>SUBSTITUTE(LOWER(INDEX('Periods'!$G$2:$G$22,MATCH(N1699,'Periods'!$A$2:$A$22,0)))," ","_")</f>
        <v>q4_2025</v>
      </c>
    </row>
    <row r="1700">
      <c r="A1700" s="0" t="inlineStr">
        <is>
          <t xml:space="preserve">o1699</t>
        </is>
      </c>
      <c r="B1700" s="0" t="inlineStr">
        <is>
          <t xml:space="preserve">a0141</t>
        </is>
      </c>
      <c r="C1700" s="0" t="inlineStr">
        <is>
          <t xml:space="preserve">r13</t>
        </is>
      </c>
      <c r="D1700" s="0"/>
      <c r="E1700" s="0" t="inlineStr">
        <is>
          <t xml:space="preserve">referral</t>
        </is>
      </c>
      <c r="F1700" s="0" t="inlineStr">
        <is>
          <t xml:space="preserve">closed_lost</t>
        </is>
      </c>
      <c r="G1700" s="4">
        <v>1</v>
      </c>
      <c r="H1700" s="4">
        <v>103500</v>
      </c>
      <c r="I1700" s="4">
        <v>1</v>
      </c>
      <c r="J1700" s="4">
        <v>1</v>
      </c>
      <c r="K1700" s="16">
        <v>45780</v>
      </c>
      <c r="L1700" s="16">
        <v>45874</v>
      </c>
      <c r="M1700" s="0" t="inlineStr">
        <is>
          <t xml:space="preserve">may25</t>
        </is>
      </c>
      <c r="N1700" s="0" t="inlineStr">
        <is>
          <t xml:space="preserve">aug25</t>
        </is>
      </c>
      <c r="O1700" s="4">
        <v>94</v>
      </c>
      <c r="P1700" s="4">
        <v>0</v>
      </c>
      <c r="Q1700" s="4">
        <v>1</v>
      </c>
      <c r="R1700" s="4">
        <v>0</v>
      </c>
      <c r="S1700" s="4">
        <f>(H1700*INDEX('Stages'!$D$2:$D$7,MATCH(F1700,'Stages'!$A$2:$A$7,0)))</f>
        <v>0</v>
      </c>
      <c r="T1700" s="4">
        <f>(H1700*I1700)</f>
        <v>103500</v>
      </c>
      <c r="U1700" s="4">
        <f>(H1700*(I1700-1))</f>
        <v>0</v>
      </c>
      <c r="V1700" s="0" t="str">
        <f>INDEX('Account executives'!$B$2:$B$25,MATCH(C1700,'Account executives'!$A$2:$A$25,0))</f>
        <v>emea</v>
      </c>
      <c r="W1700" s="0" t="str">
        <f>INDEX('Account executives'!$C$2:$C$25,MATCH(C1700,'Account executives'!$A$2:$A$25,0))</f>
        <v>enterprise</v>
      </c>
      <c r="X1700" s="0" t="str">
        <f>SUBSTITUTE(LOWER(INDEX('Periods'!$G$2:$G$22,MATCH(N1700,'Periods'!$A$2:$A$22,0)))," ","_")</f>
        <v>q3_2025</v>
      </c>
    </row>
    <row r="1701">
      <c r="A1701" s="0" t="inlineStr">
        <is>
          <t xml:space="preserve">o1700</t>
        </is>
      </c>
      <c r="B1701" s="0" t="inlineStr">
        <is>
          <t xml:space="preserve">a0769</t>
        </is>
      </c>
      <c r="C1701" s="0" t="inlineStr">
        <is>
          <t xml:space="preserve">r10</t>
        </is>
      </c>
      <c r="D1701" s="0" t="inlineStr">
        <is>
          <t xml:space="preserve">s_amer_west_out</t>
        </is>
      </c>
      <c r="E1701" s="0" t="inlineStr">
        <is>
          <t xml:space="preserve">outbound</t>
        </is>
      </c>
      <c r="F1701" s="0" t="inlineStr">
        <is>
          <t xml:space="preserve">closed_lost</t>
        </is>
      </c>
      <c r="G1701" s="4">
        <v>1</v>
      </c>
      <c r="H1701" s="4">
        <v>49200</v>
      </c>
      <c r="I1701" s="4">
        <v>1</v>
      </c>
      <c r="J1701" s="4">
        <v>0</v>
      </c>
      <c r="K1701" s="16">
        <v>46082</v>
      </c>
      <c r="L1701" s="16">
        <v>46123</v>
      </c>
      <c r="M1701" s="0" t="inlineStr">
        <is>
          <t xml:space="preserve">mar26</t>
        </is>
      </c>
      <c r="N1701" s="0" t="inlineStr">
        <is>
          <t xml:space="preserve">apr26</t>
        </is>
      </c>
      <c r="O1701" s="4">
        <v>41</v>
      </c>
      <c r="P1701" s="4">
        <v>0</v>
      </c>
      <c r="Q1701" s="4">
        <v>1</v>
      </c>
      <c r="R1701" s="4">
        <v>0</v>
      </c>
      <c r="S1701" s="4">
        <f>(H1701*INDEX('Stages'!$D$2:$D$7,MATCH(F1701,'Stages'!$A$2:$A$7,0)))</f>
        <v>0</v>
      </c>
      <c r="T1701" s="4">
        <f>(H1701*I1701)</f>
        <v>49200</v>
      </c>
      <c r="U1701" s="4">
        <f>(H1701*(I1701-1))</f>
        <v>0</v>
      </c>
      <c r="V1701" s="0" t="str">
        <f>INDEX('Account executives'!$B$2:$B$25,MATCH(C1701,'Account executives'!$A$2:$A$25,0))</f>
        <v>amer_west</v>
      </c>
      <c r="W1701" s="0" t="str">
        <f>INDEX('Account executives'!$C$2:$C$25,MATCH(C1701,'Account executives'!$A$2:$A$25,0))</f>
        <v>mid_market</v>
      </c>
      <c r="X1701" s="0" t="str">
        <f>SUBSTITUTE(LOWER(INDEX('Periods'!$G$2:$G$22,MATCH(N1701,'Periods'!$A$2:$A$22,0)))," ","_")</f>
        <v>q2_2026</v>
      </c>
    </row>
    <row r="1702">
      <c r="A1702" s="0" t="inlineStr">
        <is>
          <t xml:space="preserve">o1701</t>
        </is>
      </c>
      <c r="B1702" s="0" t="inlineStr">
        <is>
          <t xml:space="preserve">a0448</t>
        </is>
      </c>
      <c r="C1702" s="0" t="inlineStr">
        <is>
          <t xml:space="preserve">r14</t>
        </is>
      </c>
      <c r="D1702" s="0" t="inlineStr">
        <is>
          <t xml:space="preserve">s_emea_in</t>
        </is>
      </c>
      <c r="E1702" s="0" t="inlineStr">
        <is>
          <t xml:space="preserve">inbound</t>
        </is>
      </c>
      <c r="F1702" s="0" t="inlineStr">
        <is>
          <t xml:space="preserve">closed_lost</t>
        </is>
      </c>
      <c r="G1702" s="4">
        <v>0</v>
      </c>
      <c r="H1702" s="4">
        <v>59100</v>
      </c>
      <c r="I1702" s="4">
        <v>2</v>
      </c>
      <c r="J1702" s="4">
        <v>0</v>
      </c>
      <c r="K1702" s="16">
        <v>46097</v>
      </c>
      <c r="L1702" s="16">
        <v>46232</v>
      </c>
      <c r="M1702" s="0" t="inlineStr">
        <is>
          <t xml:space="preserve">mar26</t>
        </is>
      </c>
      <c r="N1702" s="0" t="inlineStr">
        <is>
          <t xml:space="preserve">jul26</t>
        </is>
      </c>
      <c r="O1702" s="4">
        <v>135</v>
      </c>
      <c r="P1702" s="4">
        <v>0</v>
      </c>
      <c r="Q1702" s="4">
        <v>1</v>
      </c>
      <c r="R1702" s="4">
        <v>0</v>
      </c>
      <c r="S1702" s="4">
        <f>(H1702*INDEX('Stages'!$D$2:$D$7,MATCH(F1702,'Stages'!$A$2:$A$7,0)))</f>
        <v>0</v>
      </c>
      <c r="T1702" s="4">
        <f>(H1702*I1702)</f>
        <v>118200</v>
      </c>
      <c r="U1702" s="4">
        <f>(H1702*(I1702-1))</f>
        <v>59100</v>
      </c>
      <c r="V1702" s="0" t="str">
        <f>INDEX('Account executives'!$B$2:$B$25,MATCH(C1702,'Account executives'!$A$2:$A$25,0))</f>
        <v>emea</v>
      </c>
      <c r="W1702" s="0" t="str">
        <f>INDEX('Account executives'!$C$2:$C$25,MATCH(C1702,'Account executives'!$A$2:$A$25,0))</f>
        <v>enterprise</v>
      </c>
      <c r="X1702" s="0" t="str">
        <f>SUBSTITUTE(LOWER(INDEX('Periods'!$G$2:$G$22,MATCH(N1702,'Periods'!$A$2:$A$22,0)))," ","_")</f>
        <v>q3_2026</v>
      </c>
    </row>
    <row r="1703">
      <c r="A1703" s="0" t="inlineStr">
        <is>
          <t xml:space="preserve">o1702</t>
        </is>
      </c>
      <c r="B1703" s="0" t="inlineStr">
        <is>
          <t xml:space="preserve">a1202</t>
        </is>
      </c>
      <c r="C1703" s="0" t="inlineStr">
        <is>
          <t xml:space="preserve">r20</t>
        </is>
      </c>
      <c r="D1703" s="0"/>
      <c r="E1703" s="0" t="inlineStr">
        <is>
          <t xml:space="preserve">events</t>
        </is>
      </c>
      <c r="F1703" s="0" t="inlineStr">
        <is>
          <t xml:space="preserve">evaluation</t>
        </is>
      </c>
      <c r="G1703" s="4">
        <v>1</v>
      </c>
      <c r="H1703" s="4">
        <v>101000</v>
      </c>
      <c r="I1703" s="4">
        <v>1</v>
      </c>
      <c r="J1703" s="4">
        <v>0</v>
      </c>
      <c r="K1703" s="16">
        <v>46244</v>
      </c>
      <c r="L1703" s="16">
        <v>46371</v>
      </c>
      <c r="M1703" s="0" t="inlineStr">
        <is>
          <t xml:space="preserve">aug26</t>
        </is>
      </c>
      <c r="N1703" s="0" t="inlineStr">
        <is>
          <t xml:space="preserve">dec26</t>
        </is>
      </c>
      <c r="O1703" s="4">
        <v>114</v>
      </c>
      <c r="P1703" s="4">
        <v>0</v>
      </c>
      <c r="Q1703" s="4">
        <v>0</v>
      </c>
      <c r="R1703" s="4">
        <v>1</v>
      </c>
      <c r="S1703" s="4">
        <f>(H1703*INDEX('Stages'!$D$2:$D$7,MATCH(F1703,'Stages'!$A$2:$A$7,0)))</f>
        <v>25250</v>
      </c>
      <c r="T1703" s="4">
        <f>(H1703*I1703)</f>
        <v>101000</v>
      </c>
      <c r="U1703" s="4">
        <f>(H1703*(I1703-1))</f>
        <v>0</v>
      </c>
      <c r="V1703" s="0" t="str">
        <f>INDEX('Account executives'!$B$2:$B$25,MATCH(C1703,'Account executives'!$A$2:$A$25,0))</f>
        <v>apac</v>
      </c>
      <c r="W1703" s="0" t="str">
        <f>INDEX('Account executives'!$C$2:$C$25,MATCH(C1703,'Account executives'!$A$2:$A$25,0))</f>
        <v>enterprise</v>
      </c>
      <c r="X1703" s="0" t="str">
        <f>SUBSTITUTE(LOWER(INDEX('Periods'!$G$2:$G$22,MATCH(N1703,'Periods'!$A$2:$A$22,0)))," ","_")</f>
        <v>q4_2026</v>
      </c>
    </row>
    <row r="1704">
      <c r="A1704" s="0" t="inlineStr">
        <is>
          <t xml:space="preserve">o1703</t>
        </is>
      </c>
      <c r="B1704" s="0" t="inlineStr">
        <is>
          <t xml:space="preserve">a0524</t>
        </is>
      </c>
      <c r="C1704" s="0" t="inlineStr">
        <is>
          <t xml:space="preserve">r24</t>
        </is>
      </c>
      <c r="D1704" s="0" t="inlineStr">
        <is>
          <t xml:space="preserve">s_apac_in</t>
        </is>
      </c>
      <c r="E1704" s="0" t="inlineStr">
        <is>
          <t xml:space="preserve">inbound</t>
        </is>
      </c>
      <c r="F1704" s="0" t="inlineStr">
        <is>
          <t xml:space="preserve">closed_won</t>
        </is>
      </c>
      <c r="G1704" s="4">
        <v>1</v>
      </c>
      <c r="H1704" s="4">
        <v>15800</v>
      </c>
      <c r="I1704" s="4">
        <v>1</v>
      </c>
      <c r="J1704" s="4">
        <v>0</v>
      </c>
      <c r="K1704" s="16">
        <v>45982</v>
      </c>
      <c r="L1704" s="16">
        <v>46021</v>
      </c>
      <c r="M1704" s="0" t="inlineStr">
        <is>
          <t xml:space="preserve">nov25</t>
        </is>
      </c>
      <c r="N1704" s="0" t="inlineStr">
        <is>
          <t xml:space="preserve">dec25</t>
        </is>
      </c>
      <c r="O1704" s="4">
        <v>39</v>
      </c>
      <c r="P1704" s="4">
        <v>1</v>
      </c>
      <c r="Q1704" s="4">
        <v>0</v>
      </c>
      <c r="R1704" s="4">
        <v>0</v>
      </c>
      <c r="S1704" s="4">
        <f>(H1704*INDEX('Stages'!$D$2:$D$7,MATCH(F1704,'Stages'!$A$2:$A$7,0)))</f>
        <v>15800</v>
      </c>
      <c r="T1704" s="4">
        <f>(H1704*I1704)</f>
        <v>15800</v>
      </c>
      <c r="U1704" s="4">
        <f>(H1704*(I1704-1))</f>
        <v>0</v>
      </c>
      <c r="V1704" s="0" t="str">
        <f>INDEX('Account executives'!$B$2:$B$25,MATCH(C1704,'Account executives'!$A$2:$A$25,0))</f>
        <v>apac</v>
      </c>
      <c r="W1704" s="0" t="str">
        <f>INDEX('Account executives'!$C$2:$C$25,MATCH(C1704,'Account executives'!$A$2:$A$25,0))</f>
        <v>smb</v>
      </c>
      <c r="X1704" s="0" t="str">
        <f>SUBSTITUTE(LOWER(INDEX('Periods'!$G$2:$G$22,MATCH(N1704,'Periods'!$A$2:$A$22,0)))," ","_")</f>
        <v>q4_2025</v>
      </c>
    </row>
    <row r="1705">
      <c r="A1705" s="0" t="inlineStr">
        <is>
          <t xml:space="preserve">o1704</t>
        </is>
      </c>
      <c r="B1705" s="0" t="inlineStr">
        <is>
          <t xml:space="preserve">a0067</t>
        </is>
      </c>
      <c r="C1705" s="0" t="inlineStr">
        <is>
          <t xml:space="preserve">r05</t>
        </is>
      </c>
      <c r="D1705" s="0"/>
      <c r="E1705" s="0" t="inlineStr">
        <is>
          <t xml:space="preserve">partner</t>
        </is>
      </c>
      <c r="F1705" s="0" t="inlineStr">
        <is>
          <t xml:space="preserve">discovery</t>
        </is>
      </c>
      <c r="G1705" s="4">
        <v>0</v>
      </c>
      <c r="H1705" s="4">
        <v>7100</v>
      </c>
      <c r="I1705" s="4">
        <v>1</v>
      </c>
      <c r="J1705" s="4">
        <v>0</v>
      </c>
      <c r="K1705" s="16">
        <v>46278</v>
      </c>
      <c r="L1705" s="16">
        <v>46293</v>
      </c>
      <c r="M1705" s="0" t="inlineStr">
        <is>
          <t xml:space="preserve">sep26</t>
        </is>
      </c>
      <c r="N1705" s="0" t="inlineStr">
        <is>
          <t xml:space="preserve">sep26</t>
        </is>
      </c>
      <c r="O1705" s="4">
        <v>22</v>
      </c>
      <c r="P1705" s="4">
        <v>0</v>
      </c>
      <c r="Q1705" s="4">
        <v>0</v>
      </c>
      <c r="R1705" s="4">
        <v>1</v>
      </c>
      <c r="S1705" s="4">
        <f>(H1705*INDEX('Stages'!$D$2:$D$7,MATCH(F1705,'Stages'!$A$2:$A$7,0)))</f>
        <v>710</v>
      </c>
      <c r="T1705" s="4">
        <f>(H1705*I1705)</f>
        <v>7100</v>
      </c>
      <c r="U1705" s="4">
        <f>(H1705*(I1705-1))</f>
        <v>0</v>
      </c>
      <c r="V1705" s="0" t="str">
        <f>INDEX('Account executives'!$B$2:$B$25,MATCH(C1705,'Account executives'!$A$2:$A$25,0))</f>
        <v>amer_east</v>
      </c>
      <c r="W1705" s="0" t="str">
        <f>INDEX('Account executives'!$C$2:$C$25,MATCH(C1705,'Account executives'!$A$2:$A$25,0))</f>
        <v>smb</v>
      </c>
      <c r="X1705" s="0" t="str">
        <f>SUBSTITUTE(LOWER(INDEX('Periods'!$G$2:$G$22,MATCH(N1705,'Periods'!$A$2:$A$22,0)))," ","_")</f>
        <v>q3_2026</v>
      </c>
    </row>
    <row r="1706">
      <c r="A1706" s="0" t="inlineStr">
        <is>
          <t xml:space="preserve">o1705</t>
        </is>
      </c>
      <c r="B1706" s="0" t="inlineStr">
        <is>
          <t xml:space="preserve">a0206</t>
        </is>
      </c>
      <c r="C1706" s="0" t="inlineStr">
        <is>
          <t xml:space="preserve">r15</t>
        </is>
      </c>
      <c r="D1706" s="0" t="inlineStr">
        <is>
          <t xml:space="preserve">s_emea_out</t>
        </is>
      </c>
      <c r="E1706" s="0" t="inlineStr">
        <is>
          <t xml:space="preserve">outbound</t>
        </is>
      </c>
      <c r="F1706" s="0" t="inlineStr">
        <is>
          <t xml:space="preserve">closed_lost</t>
        </is>
      </c>
      <c r="G1706" s="4">
        <v>0</v>
      </c>
      <c r="H1706" s="4">
        <v>28300</v>
      </c>
      <c r="I1706" s="4">
        <v>1</v>
      </c>
      <c r="J1706" s="4">
        <v>0</v>
      </c>
      <c r="K1706" s="16">
        <v>46046</v>
      </c>
      <c r="L1706" s="16">
        <v>46128</v>
      </c>
      <c r="M1706" s="0" t="inlineStr">
        <is>
          <t xml:space="preserve">jan26</t>
        </is>
      </c>
      <c r="N1706" s="0" t="inlineStr">
        <is>
          <t xml:space="preserve">apr26</t>
        </is>
      </c>
      <c r="O1706" s="4">
        <v>82</v>
      </c>
      <c r="P1706" s="4">
        <v>0</v>
      </c>
      <c r="Q1706" s="4">
        <v>1</v>
      </c>
      <c r="R1706" s="4">
        <v>0</v>
      </c>
      <c r="S1706" s="4">
        <f>(H1706*INDEX('Stages'!$D$2:$D$7,MATCH(F1706,'Stages'!$A$2:$A$7,0)))</f>
        <v>0</v>
      </c>
      <c r="T1706" s="4">
        <f>(H1706*I1706)</f>
        <v>28300</v>
      </c>
      <c r="U1706" s="4">
        <f>(H1706*(I1706-1))</f>
        <v>0</v>
      </c>
      <c r="V1706" s="0" t="str">
        <f>INDEX('Account executives'!$B$2:$B$25,MATCH(C1706,'Account executives'!$A$2:$A$25,0))</f>
        <v>emea</v>
      </c>
      <c r="W1706" s="0" t="str">
        <f>INDEX('Account executives'!$C$2:$C$25,MATCH(C1706,'Account executives'!$A$2:$A$25,0))</f>
        <v>mid_market</v>
      </c>
      <c r="X1706" s="0" t="str">
        <f>SUBSTITUTE(LOWER(INDEX('Periods'!$G$2:$G$22,MATCH(N1706,'Periods'!$A$2:$A$22,0)))," ","_")</f>
        <v>q2_2026</v>
      </c>
    </row>
    <row r="1707">
      <c r="A1707" s="0" t="inlineStr">
        <is>
          <t xml:space="preserve">o1706</t>
        </is>
      </c>
      <c r="B1707" s="0" t="inlineStr">
        <is>
          <t xml:space="preserve">a1099</t>
        </is>
      </c>
      <c r="C1707" s="0" t="inlineStr">
        <is>
          <t xml:space="preserve">r09</t>
        </is>
      </c>
      <c r="D1707" s="0" t="inlineStr">
        <is>
          <t xml:space="preserve">s_amer_west_in</t>
        </is>
      </c>
      <c r="E1707" s="0" t="inlineStr">
        <is>
          <t xml:space="preserve">inbound</t>
        </is>
      </c>
      <c r="F1707" s="0" t="inlineStr">
        <is>
          <t xml:space="preserve">negotiation</t>
        </is>
      </c>
      <c r="G1707" s="4">
        <v>1</v>
      </c>
      <c r="H1707" s="4">
        <v>19300</v>
      </c>
      <c r="I1707" s="4">
        <v>1</v>
      </c>
      <c r="J1707" s="4">
        <v>0</v>
      </c>
      <c r="K1707" s="16">
        <v>46215</v>
      </c>
      <c r="L1707" s="16">
        <v>46293</v>
      </c>
      <c r="M1707" s="0" t="inlineStr">
        <is>
          <t xml:space="preserve">jul26</t>
        </is>
      </c>
      <c r="N1707" s="0" t="inlineStr">
        <is>
          <t xml:space="preserve">sep26</t>
        </is>
      </c>
      <c r="O1707" s="4">
        <v>80</v>
      </c>
      <c r="P1707" s="4">
        <v>0</v>
      </c>
      <c r="Q1707" s="4">
        <v>0</v>
      </c>
      <c r="R1707" s="4">
        <v>1</v>
      </c>
      <c r="S1707" s="4">
        <f>(H1707*INDEX('Stages'!$D$2:$D$7,MATCH(F1707,'Stages'!$A$2:$A$7,0)))</f>
        <v>14475</v>
      </c>
      <c r="T1707" s="4">
        <f>(H1707*I1707)</f>
        <v>19300</v>
      </c>
      <c r="U1707" s="4">
        <f>(H1707*(I1707-1))</f>
        <v>0</v>
      </c>
      <c r="V1707" s="0" t="str">
        <f>INDEX('Account executives'!$B$2:$B$25,MATCH(C1707,'Account executives'!$A$2:$A$25,0))</f>
        <v>amer_west</v>
      </c>
      <c r="W1707" s="0" t="str">
        <f>INDEX('Account executives'!$C$2:$C$25,MATCH(C1707,'Account executives'!$A$2:$A$25,0))</f>
        <v>mid_market</v>
      </c>
      <c r="X1707" s="0" t="str">
        <f>SUBSTITUTE(LOWER(INDEX('Periods'!$G$2:$G$22,MATCH(N1707,'Periods'!$A$2:$A$22,0)))," ","_")</f>
        <v>q3_2026</v>
      </c>
    </row>
    <row r="1708">
      <c r="A1708" s="0" t="inlineStr">
        <is>
          <t xml:space="preserve">o1707</t>
        </is>
      </c>
      <c r="B1708" s="0" t="inlineStr">
        <is>
          <t xml:space="preserve">a0515</t>
        </is>
      </c>
      <c r="C1708" s="0" t="inlineStr">
        <is>
          <t xml:space="preserve">r17</t>
        </is>
      </c>
      <c r="D1708" s="0" t="inlineStr">
        <is>
          <t xml:space="preserve">s_emea_in</t>
        </is>
      </c>
      <c r="E1708" s="0" t="inlineStr">
        <is>
          <t xml:space="preserve">inbound</t>
        </is>
      </c>
      <c r="F1708" s="0" t="inlineStr">
        <is>
          <t xml:space="preserve">closed_lost</t>
        </is>
      </c>
      <c r="G1708" s="4">
        <v>1</v>
      </c>
      <c r="H1708" s="4">
        <v>7200</v>
      </c>
      <c r="I1708" s="4">
        <v>1</v>
      </c>
      <c r="J1708" s="4">
        <v>0</v>
      </c>
      <c r="K1708" s="16">
        <v>45968</v>
      </c>
      <c r="L1708" s="16">
        <v>45989</v>
      </c>
      <c r="M1708" s="0" t="inlineStr">
        <is>
          <t xml:space="preserve">nov25</t>
        </is>
      </c>
      <c r="N1708" s="0" t="inlineStr">
        <is>
          <t xml:space="preserve">nov25</t>
        </is>
      </c>
      <c r="O1708" s="4">
        <v>21</v>
      </c>
      <c r="P1708" s="4">
        <v>0</v>
      </c>
      <c r="Q1708" s="4">
        <v>1</v>
      </c>
      <c r="R1708" s="4">
        <v>0</v>
      </c>
      <c r="S1708" s="4">
        <f>(H1708*INDEX('Stages'!$D$2:$D$7,MATCH(F1708,'Stages'!$A$2:$A$7,0)))</f>
        <v>0</v>
      </c>
      <c r="T1708" s="4">
        <f>(H1708*I1708)</f>
        <v>7200</v>
      </c>
      <c r="U1708" s="4">
        <f>(H1708*(I1708-1))</f>
        <v>0</v>
      </c>
      <c r="V1708" s="0" t="str">
        <f>INDEX('Account executives'!$B$2:$B$25,MATCH(C1708,'Account executives'!$A$2:$A$25,0))</f>
        <v>emea</v>
      </c>
      <c r="W1708" s="0" t="str">
        <f>INDEX('Account executives'!$C$2:$C$25,MATCH(C1708,'Account executives'!$A$2:$A$25,0))</f>
        <v>smb</v>
      </c>
      <c r="X1708" s="0" t="str">
        <f>SUBSTITUTE(LOWER(INDEX('Periods'!$G$2:$G$22,MATCH(N1708,'Periods'!$A$2:$A$22,0)))," ","_")</f>
        <v>q4_2025</v>
      </c>
    </row>
    <row r="1709">
      <c r="A1709" s="0" t="inlineStr">
        <is>
          <t xml:space="preserve">o1708</t>
        </is>
      </c>
      <c r="B1709" s="0" t="inlineStr">
        <is>
          <t xml:space="preserve">a1119</t>
        </is>
      </c>
      <c r="C1709" s="0" t="inlineStr">
        <is>
          <t xml:space="preserve">r18</t>
        </is>
      </c>
      <c r="D1709" s="0" t="inlineStr">
        <is>
          <t xml:space="preserve">s_emea_in</t>
        </is>
      </c>
      <c r="E1709" s="0" t="inlineStr">
        <is>
          <t xml:space="preserve">inbound</t>
        </is>
      </c>
      <c r="F1709" s="0" t="inlineStr">
        <is>
          <t xml:space="preserve">proposal</t>
        </is>
      </c>
      <c r="G1709" s="4">
        <v>1</v>
      </c>
      <c r="H1709" s="4">
        <v>29500</v>
      </c>
      <c r="I1709" s="4">
        <v>1</v>
      </c>
      <c r="J1709" s="4">
        <v>0</v>
      </c>
      <c r="K1709" s="16">
        <v>46220</v>
      </c>
      <c r="L1709" s="16">
        <v>46309</v>
      </c>
      <c r="M1709" s="0" t="inlineStr">
        <is>
          <t xml:space="preserve">jul26</t>
        </is>
      </c>
      <c r="N1709" s="0" t="inlineStr">
        <is>
          <t xml:space="preserve">oct26</t>
        </is>
      </c>
      <c r="O1709" s="4">
        <v>73</v>
      </c>
      <c r="P1709" s="4">
        <v>0</v>
      </c>
      <c r="Q1709" s="4">
        <v>0</v>
      </c>
      <c r="R1709" s="4">
        <v>1</v>
      </c>
      <c r="S1709" s="4">
        <f>(H1709*INDEX('Stages'!$D$2:$D$7,MATCH(F1709,'Stages'!$A$2:$A$7,0)))</f>
        <v>14750</v>
      </c>
      <c r="T1709" s="4">
        <f>(H1709*I1709)</f>
        <v>29500</v>
      </c>
      <c r="U1709" s="4">
        <f>(H1709*(I1709-1))</f>
        <v>0</v>
      </c>
      <c r="V1709" s="0" t="str">
        <f>INDEX('Account executives'!$B$2:$B$25,MATCH(C1709,'Account executives'!$A$2:$A$25,0))</f>
        <v>emea</v>
      </c>
      <c r="W1709" s="0" t="str">
        <f>INDEX('Account executives'!$C$2:$C$25,MATCH(C1709,'Account executives'!$A$2:$A$25,0))</f>
        <v>smb</v>
      </c>
      <c r="X1709" s="0" t="str">
        <f>SUBSTITUTE(LOWER(INDEX('Periods'!$G$2:$G$22,MATCH(N1709,'Periods'!$A$2:$A$22,0)))," ","_")</f>
        <v>q4_2026</v>
      </c>
    </row>
    <row r="1710">
      <c r="A1710" s="0" t="inlineStr">
        <is>
          <t xml:space="preserve">o1709</t>
        </is>
      </c>
      <c r="B1710" s="0" t="inlineStr">
        <is>
          <t xml:space="preserve">a0011</t>
        </is>
      </c>
      <c r="C1710" s="0" t="inlineStr">
        <is>
          <t xml:space="preserve">r04</t>
        </is>
      </c>
      <c r="D1710" s="0" t="inlineStr">
        <is>
          <t xml:space="preserve">s_amer_east_in</t>
        </is>
      </c>
      <c r="E1710" s="0" t="inlineStr">
        <is>
          <t xml:space="preserve">paid</t>
        </is>
      </c>
      <c r="F1710" s="0" t="inlineStr">
        <is>
          <t xml:space="preserve">closed_lost</t>
        </is>
      </c>
      <c r="G1710" s="4">
        <v>0</v>
      </c>
      <c r="H1710" s="4">
        <v>51800</v>
      </c>
      <c r="I1710" s="4">
        <v>1</v>
      </c>
      <c r="J1710" s="4">
        <v>1</v>
      </c>
      <c r="K1710" s="16">
        <v>45818</v>
      </c>
      <c r="L1710" s="16">
        <v>45871</v>
      </c>
      <c r="M1710" s="0" t="inlineStr">
        <is>
          <t xml:space="preserve">jun25</t>
        </is>
      </c>
      <c r="N1710" s="0" t="inlineStr">
        <is>
          <t xml:space="preserve">aug25</t>
        </is>
      </c>
      <c r="O1710" s="4">
        <v>53</v>
      </c>
      <c r="P1710" s="4">
        <v>0</v>
      </c>
      <c r="Q1710" s="4">
        <v>1</v>
      </c>
      <c r="R1710" s="4">
        <v>0</v>
      </c>
      <c r="S1710" s="4">
        <f>(H1710*INDEX('Stages'!$D$2:$D$7,MATCH(F1710,'Stages'!$A$2:$A$7,0)))</f>
        <v>0</v>
      </c>
      <c r="T1710" s="4">
        <f>(H1710*I1710)</f>
        <v>51800</v>
      </c>
      <c r="U1710" s="4">
        <f>(H1710*(I1710-1))</f>
        <v>0</v>
      </c>
      <c r="V1710" s="0" t="str">
        <f>INDEX('Account executives'!$B$2:$B$25,MATCH(C1710,'Account executives'!$A$2:$A$25,0))</f>
        <v>amer_east</v>
      </c>
      <c r="W1710" s="0" t="str">
        <f>INDEX('Account executives'!$C$2:$C$25,MATCH(C1710,'Account executives'!$A$2:$A$25,0))</f>
        <v>mid_market</v>
      </c>
      <c r="X1710" s="0" t="str">
        <f>SUBSTITUTE(LOWER(INDEX('Periods'!$G$2:$G$22,MATCH(N1710,'Periods'!$A$2:$A$22,0)))," ","_")</f>
        <v>q3_2025</v>
      </c>
    </row>
    <row r="1711">
      <c r="A1711" s="0" t="inlineStr">
        <is>
          <t xml:space="preserve">o1710</t>
        </is>
      </c>
      <c r="B1711" s="0" t="inlineStr">
        <is>
          <t xml:space="preserve">a0152</t>
        </is>
      </c>
      <c r="C1711" s="0" t="inlineStr">
        <is>
          <t xml:space="preserve">r21</t>
        </is>
      </c>
      <c r="D1711" s="0" t="inlineStr">
        <is>
          <t xml:space="preserve">s_apac_in</t>
        </is>
      </c>
      <c r="E1711" s="0" t="inlineStr">
        <is>
          <t xml:space="preserve">inbound</t>
        </is>
      </c>
      <c r="F1711" s="0" t="inlineStr">
        <is>
          <t xml:space="preserve">closed_lost</t>
        </is>
      </c>
      <c r="G1711" s="4">
        <v>0</v>
      </c>
      <c r="H1711" s="4">
        <v>25000</v>
      </c>
      <c r="I1711" s="4">
        <v>1</v>
      </c>
      <c r="J1711" s="4">
        <v>0</v>
      </c>
      <c r="K1711" s="16">
        <v>45826</v>
      </c>
      <c r="L1711" s="16">
        <v>45928</v>
      </c>
      <c r="M1711" s="0" t="inlineStr">
        <is>
          <t xml:space="preserve">jun25</t>
        </is>
      </c>
      <c r="N1711" s="0" t="inlineStr">
        <is>
          <t xml:space="preserve">sep25</t>
        </is>
      </c>
      <c r="O1711" s="4">
        <v>102</v>
      </c>
      <c r="P1711" s="4">
        <v>0</v>
      </c>
      <c r="Q1711" s="4">
        <v>1</v>
      </c>
      <c r="R1711" s="4">
        <v>0</v>
      </c>
      <c r="S1711" s="4">
        <f>(H1711*INDEX('Stages'!$D$2:$D$7,MATCH(F1711,'Stages'!$A$2:$A$7,0)))</f>
        <v>0</v>
      </c>
      <c r="T1711" s="4">
        <f>(H1711*I1711)</f>
        <v>25000</v>
      </c>
      <c r="U1711" s="4">
        <f>(H1711*(I1711-1))</f>
        <v>0</v>
      </c>
      <c r="V1711" s="0" t="str">
        <f>INDEX('Account executives'!$B$2:$B$25,MATCH(C1711,'Account executives'!$A$2:$A$25,0))</f>
        <v>apac</v>
      </c>
      <c r="W1711" s="0" t="str">
        <f>INDEX('Account executives'!$C$2:$C$25,MATCH(C1711,'Account executives'!$A$2:$A$25,0))</f>
        <v>mid_market</v>
      </c>
      <c r="X1711" s="0" t="str">
        <f>SUBSTITUTE(LOWER(INDEX('Periods'!$G$2:$G$22,MATCH(N1711,'Periods'!$A$2:$A$22,0)))," ","_")</f>
        <v>q3_2025</v>
      </c>
    </row>
    <row r="1712">
      <c r="A1712" s="0" t="inlineStr">
        <is>
          <t xml:space="preserve">o1711</t>
        </is>
      </c>
      <c r="B1712" s="0" t="inlineStr">
        <is>
          <t xml:space="preserve">a0130</t>
        </is>
      </c>
      <c r="C1712" s="0" t="inlineStr">
        <is>
          <t xml:space="preserve">r18</t>
        </is>
      </c>
      <c r="D1712" s="0"/>
      <c r="E1712" s="0" t="inlineStr">
        <is>
          <t xml:space="preserve">events</t>
        </is>
      </c>
      <c r="F1712" s="0" t="inlineStr">
        <is>
          <t xml:space="preserve">closed_won</t>
        </is>
      </c>
      <c r="G1712" s="4">
        <v>1</v>
      </c>
      <c r="H1712" s="4">
        <v>15700</v>
      </c>
      <c r="I1712" s="4">
        <v>1</v>
      </c>
      <c r="J1712" s="4">
        <v>1</v>
      </c>
      <c r="K1712" s="16">
        <v>45803</v>
      </c>
      <c r="L1712" s="16">
        <v>45845</v>
      </c>
      <c r="M1712" s="0" t="inlineStr">
        <is>
          <t xml:space="preserve">may25</t>
        </is>
      </c>
      <c r="N1712" s="0" t="inlineStr">
        <is>
          <t xml:space="preserve">jul25</t>
        </is>
      </c>
      <c r="O1712" s="4">
        <v>42</v>
      </c>
      <c r="P1712" s="4">
        <v>1</v>
      </c>
      <c r="Q1712" s="4">
        <v>0</v>
      </c>
      <c r="R1712" s="4">
        <v>0</v>
      </c>
      <c r="S1712" s="4">
        <f>(H1712*INDEX('Stages'!$D$2:$D$7,MATCH(F1712,'Stages'!$A$2:$A$7,0)))</f>
        <v>15700</v>
      </c>
      <c r="T1712" s="4">
        <f>(H1712*I1712)</f>
        <v>15700</v>
      </c>
      <c r="U1712" s="4">
        <f>(H1712*(I1712-1))</f>
        <v>0</v>
      </c>
      <c r="V1712" s="0" t="str">
        <f>INDEX('Account executives'!$B$2:$B$25,MATCH(C1712,'Account executives'!$A$2:$A$25,0))</f>
        <v>emea</v>
      </c>
      <c r="W1712" s="0" t="str">
        <f>INDEX('Account executives'!$C$2:$C$25,MATCH(C1712,'Account executives'!$A$2:$A$25,0))</f>
        <v>smb</v>
      </c>
      <c r="X1712" s="0" t="str">
        <f>SUBSTITUTE(LOWER(INDEX('Periods'!$G$2:$G$22,MATCH(N1712,'Periods'!$A$2:$A$22,0)))," ","_")</f>
        <v>q3_2025</v>
      </c>
    </row>
    <row r="1713">
      <c r="A1713" s="0" t="inlineStr">
        <is>
          <t xml:space="preserve">o1712</t>
        </is>
      </c>
      <c r="B1713" s="0" t="inlineStr">
        <is>
          <t xml:space="preserve">a0696</t>
        </is>
      </c>
      <c r="C1713" s="0" t="inlineStr">
        <is>
          <t xml:space="preserve">r17</t>
        </is>
      </c>
      <c r="D1713" s="0" t="inlineStr">
        <is>
          <t xml:space="preserve">s_emea_in</t>
        </is>
      </c>
      <c r="E1713" s="0" t="inlineStr">
        <is>
          <t xml:space="preserve">inbound</t>
        </is>
      </c>
      <c r="F1713" s="0" t="inlineStr">
        <is>
          <t xml:space="preserve">closed_won</t>
        </is>
      </c>
      <c r="G1713" s="4">
        <v>1</v>
      </c>
      <c r="H1713" s="4">
        <v>17300</v>
      </c>
      <c r="I1713" s="4">
        <v>2</v>
      </c>
      <c r="J1713" s="4">
        <v>0</v>
      </c>
      <c r="K1713" s="16">
        <v>46064</v>
      </c>
      <c r="L1713" s="16">
        <v>46092</v>
      </c>
      <c r="M1713" s="0" t="inlineStr">
        <is>
          <t xml:space="preserve">feb26</t>
        </is>
      </c>
      <c r="N1713" s="0" t="inlineStr">
        <is>
          <t xml:space="preserve">mar26</t>
        </is>
      </c>
      <c r="O1713" s="4">
        <v>28</v>
      </c>
      <c r="P1713" s="4">
        <v>1</v>
      </c>
      <c r="Q1713" s="4">
        <v>0</v>
      </c>
      <c r="R1713" s="4">
        <v>0</v>
      </c>
      <c r="S1713" s="4">
        <f>(H1713*INDEX('Stages'!$D$2:$D$7,MATCH(F1713,'Stages'!$A$2:$A$7,0)))</f>
        <v>17300</v>
      </c>
      <c r="T1713" s="4">
        <f>(H1713*I1713)</f>
        <v>34600</v>
      </c>
      <c r="U1713" s="4">
        <f>(H1713*(I1713-1))</f>
        <v>17300</v>
      </c>
      <c r="V1713" s="0" t="str">
        <f>INDEX('Account executives'!$B$2:$B$25,MATCH(C1713,'Account executives'!$A$2:$A$25,0))</f>
        <v>emea</v>
      </c>
      <c r="W1713" s="0" t="str">
        <f>INDEX('Account executives'!$C$2:$C$25,MATCH(C1713,'Account executives'!$A$2:$A$25,0))</f>
        <v>smb</v>
      </c>
      <c r="X1713" s="0" t="str">
        <f>SUBSTITUTE(LOWER(INDEX('Periods'!$G$2:$G$22,MATCH(N1713,'Periods'!$A$2:$A$22,0)))," ","_")</f>
        <v>q1_2026</v>
      </c>
    </row>
    <row r="1714">
      <c r="A1714" s="0" t="inlineStr">
        <is>
          <t xml:space="preserve">o1713</t>
        </is>
      </c>
      <c r="B1714" s="0" t="inlineStr">
        <is>
          <t xml:space="preserve">a0787</t>
        </is>
      </c>
      <c r="C1714" s="0" t="inlineStr">
        <is>
          <t xml:space="preserve">r21</t>
        </is>
      </c>
      <c r="D1714" s="0" t="inlineStr">
        <is>
          <t xml:space="preserve">s_apac_in</t>
        </is>
      </c>
      <c r="E1714" s="0" t="inlineStr">
        <is>
          <t xml:space="preserve">inbound</t>
        </is>
      </c>
      <c r="F1714" s="0" t="inlineStr">
        <is>
          <t xml:space="preserve">closed_won</t>
        </is>
      </c>
      <c r="G1714" s="4">
        <v>1</v>
      </c>
      <c r="H1714" s="4">
        <v>90600</v>
      </c>
      <c r="I1714" s="4">
        <v>1</v>
      </c>
      <c r="J1714" s="4">
        <v>1</v>
      </c>
      <c r="K1714" s="16">
        <v>46092</v>
      </c>
      <c r="L1714" s="16">
        <v>46201</v>
      </c>
      <c r="M1714" s="0" t="inlineStr">
        <is>
          <t xml:space="preserve">mar26</t>
        </is>
      </c>
      <c r="N1714" s="0" t="inlineStr">
        <is>
          <t xml:space="preserve">jun26</t>
        </is>
      </c>
      <c r="O1714" s="4">
        <v>109</v>
      </c>
      <c r="P1714" s="4">
        <v>1</v>
      </c>
      <c r="Q1714" s="4">
        <v>0</v>
      </c>
      <c r="R1714" s="4">
        <v>0</v>
      </c>
      <c r="S1714" s="4">
        <f>(H1714*INDEX('Stages'!$D$2:$D$7,MATCH(F1714,'Stages'!$A$2:$A$7,0)))</f>
        <v>90600</v>
      </c>
      <c r="T1714" s="4">
        <f>(H1714*I1714)</f>
        <v>90600</v>
      </c>
      <c r="U1714" s="4">
        <f>(H1714*(I1714-1))</f>
        <v>0</v>
      </c>
      <c r="V1714" s="0" t="str">
        <f>INDEX('Account executives'!$B$2:$B$25,MATCH(C1714,'Account executives'!$A$2:$A$25,0))</f>
        <v>apac</v>
      </c>
      <c r="W1714" s="0" t="str">
        <f>INDEX('Account executives'!$C$2:$C$25,MATCH(C1714,'Account executives'!$A$2:$A$25,0))</f>
        <v>mid_market</v>
      </c>
      <c r="X1714" s="0" t="str">
        <f>SUBSTITUTE(LOWER(INDEX('Periods'!$G$2:$G$22,MATCH(N1714,'Periods'!$A$2:$A$22,0)))," ","_")</f>
        <v>q2_2026</v>
      </c>
    </row>
    <row r="1715">
      <c r="A1715" s="0" t="inlineStr">
        <is>
          <t xml:space="preserve">o1714</t>
        </is>
      </c>
      <c r="B1715" s="0" t="inlineStr">
        <is>
          <t xml:space="preserve">a1084</t>
        </is>
      </c>
      <c r="C1715" s="0" t="inlineStr">
        <is>
          <t xml:space="preserve">r06</t>
        </is>
      </c>
      <c r="D1715" s="0" t="inlineStr">
        <is>
          <t xml:space="preserve">s_amer_east_out</t>
        </is>
      </c>
      <c r="E1715" s="0" t="inlineStr">
        <is>
          <t xml:space="preserve">outbound</t>
        </is>
      </c>
      <c r="F1715" s="0" t="inlineStr">
        <is>
          <t xml:space="preserve">closed_lost</t>
        </is>
      </c>
      <c r="G1715" s="4">
        <v>1</v>
      </c>
      <c r="H1715" s="4">
        <v>13600</v>
      </c>
      <c r="I1715" s="4">
        <v>1</v>
      </c>
      <c r="J1715" s="4">
        <v>0</v>
      </c>
      <c r="K1715" s="16">
        <v>46223</v>
      </c>
      <c r="L1715" s="16">
        <v>46243</v>
      </c>
      <c r="M1715" s="0" t="inlineStr">
        <is>
          <t xml:space="preserve">jul26</t>
        </is>
      </c>
      <c r="N1715" s="0" t="inlineStr">
        <is>
          <t xml:space="preserve">aug26</t>
        </is>
      </c>
      <c r="O1715" s="4">
        <v>20</v>
      </c>
      <c r="P1715" s="4">
        <v>0</v>
      </c>
      <c r="Q1715" s="4">
        <v>1</v>
      </c>
      <c r="R1715" s="4">
        <v>0</v>
      </c>
      <c r="S1715" s="4">
        <f>(H1715*INDEX('Stages'!$D$2:$D$7,MATCH(F1715,'Stages'!$A$2:$A$7,0)))</f>
        <v>0</v>
      </c>
      <c r="T1715" s="4">
        <f>(H1715*I1715)</f>
        <v>13600</v>
      </c>
      <c r="U1715" s="4">
        <f>(H1715*(I1715-1))</f>
        <v>0</v>
      </c>
      <c r="V1715" s="0" t="str">
        <f>INDEX('Account executives'!$B$2:$B$25,MATCH(C1715,'Account executives'!$A$2:$A$25,0))</f>
        <v>amer_east</v>
      </c>
      <c r="W1715" s="0" t="str">
        <f>INDEX('Account executives'!$C$2:$C$25,MATCH(C1715,'Account executives'!$A$2:$A$25,0))</f>
        <v>smb</v>
      </c>
      <c r="X1715" s="0" t="str">
        <f>SUBSTITUTE(LOWER(INDEX('Periods'!$G$2:$G$22,MATCH(N1715,'Periods'!$A$2:$A$22,0)))," ","_")</f>
        <v>q3_2026</v>
      </c>
    </row>
    <row r="1716">
      <c r="A1716" s="0" t="inlineStr">
        <is>
          <t xml:space="preserve">o1715</t>
        </is>
      </c>
      <c r="B1716" s="0" t="inlineStr">
        <is>
          <t xml:space="preserve">a0330</t>
        </is>
      </c>
      <c r="C1716" s="0" t="inlineStr">
        <is>
          <t xml:space="preserve">r09</t>
        </is>
      </c>
      <c r="D1716" s="0" t="inlineStr">
        <is>
          <t xml:space="preserve">s_amer_west_in</t>
        </is>
      </c>
      <c r="E1716" s="0" t="inlineStr">
        <is>
          <t xml:space="preserve">inbound</t>
        </is>
      </c>
      <c r="F1716" s="0" t="inlineStr">
        <is>
          <t xml:space="preserve">closed_lost</t>
        </is>
      </c>
      <c r="G1716" s="4">
        <v>0</v>
      </c>
      <c r="H1716" s="4">
        <v>9800</v>
      </c>
      <c r="I1716" s="4">
        <v>1</v>
      </c>
      <c r="J1716" s="4">
        <v>0</v>
      </c>
      <c r="K1716" s="16">
        <v>45916</v>
      </c>
      <c r="L1716" s="16">
        <v>45965</v>
      </c>
      <c r="M1716" s="0" t="inlineStr">
        <is>
          <t xml:space="preserve">sep25</t>
        </is>
      </c>
      <c r="N1716" s="0" t="inlineStr">
        <is>
          <t xml:space="preserve">nov25</t>
        </is>
      </c>
      <c r="O1716" s="4">
        <v>49</v>
      </c>
      <c r="P1716" s="4">
        <v>0</v>
      </c>
      <c r="Q1716" s="4">
        <v>1</v>
      </c>
      <c r="R1716" s="4">
        <v>0</v>
      </c>
      <c r="S1716" s="4">
        <f>(H1716*INDEX('Stages'!$D$2:$D$7,MATCH(F1716,'Stages'!$A$2:$A$7,0)))</f>
        <v>0</v>
      </c>
      <c r="T1716" s="4">
        <f>(H1716*I1716)</f>
        <v>9800</v>
      </c>
      <c r="U1716" s="4">
        <f>(H1716*(I1716-1))</f>
        <v>0</v>
      </c>
      <c r="V1716" s="0" t="str">
        <f>INDEX('Account executives'!$B$2:$B$25,MATCH(C1716,'Account executives'!$A$2:$A$25,0))</f>
        <v>amer_west</v>
      </c>
      <c r="W1716" s="0" t="str">
        <f>INDEX('Account executives'!$C$2:$C$25,MATCH(C1716,'Account executives'!$A$2:$A$25,0))</f>
        <v>mid_market</v>
      </c>
      <c r="X1716" s="0" t="str">
        <f>SUBSTITUTE(LOWER(INDEX('Periods'!$G$2:$G$22,MATCH(N1716,'Periods'!$A$2:$A$22,0)))," ","_")</f>
        <v>q4_2025</v>
      </c>
    </row>
    <row r="1717">
      <c r="A1717" s="0" t="inlineStr">
        <is>
          <t xml:space="preserve">o1716</t>
        </is>
      </c>
      <c r="B1717" s="0" t="inlineStr">
        <is>
          <t xml:space="preserve">a0393</t>
        </is>
      </c>
      <c r="C1717" s="0" t="inlineStr">
        <is>
          <t xml:space="preserve">r15</t>
        </is>
      </c>
      <c r="D1717" s="0" t="inlineStr">
        <is>
          <t xml:space="preserve">s_emea_in</t>
        </is>
      </c>
      <c r="E1717" s="0" t="inlineStr">
        <is>
          <t xml:space="preserve">inbound</t>
        </is>
      </c>
      <c r="F1717" s="0" t="inlineStr">
        <is>
          <t xml:space="preserve">closed_lost</t>
        </is>
      </c>
      <c r="G1717" s="4">
        <v>1</v>
      </c>
      <c r="H1717" s="4">
        <v>26100</v>
      </c>
      <c r="I1717" s="4">
        <v>2</v>
      </c>
      <c r="J1717" s="4">
        <v>0</v>
      </c>
      <c r="K1717" s="16">
        <v>45910</v>
      </c>
      <c r="L1717" s="16">
        <v>45964</v>
      </c>
      <c r="M1717" s="0" t="inlineStr">
        <is>
          <t xml:space="preserve">sep25</t>
        </is>
      </c>
      <c r="N1717" s="0" t="inlineStr">
        <is>
          <t xml:space="preserve">nov25</t>
        </is>
      </c>
      <c r="O1717" s="4">
        <v>54</v>
      </c>
      <c r="P1717" s="4">
        <v>0</v>
      </c>
      <c r="Q1717" s="4">
        <v>1</v>
      </c>
      <c r="R1717" s="4">
        <v>0</v>
      </c>
      <c r="S1717" s="4">
        <f>(H1717*INDEX('Stages'!$D$2:$D$7,MATCH(F1717,'Stages'!$A$2:$A$7,0)))</f>
        <v>0</v>
      </c>
      <c r="T1717" s="4">
        <f>(H1717*I1717)</f>
        <v>52200</v>
      </c>
      <c r="U1717" s="4">
        <f>(H1717*(I1717-1))</f>
        <v>26100</v>
      </c>
      <c r="V1717" s="0" t="str">
        <f>INDEX('Account executives'!$B$2:$B$25,MATCH(C1717,'Account executives'!$A$2:$A$25,0))</f>
        <v>emea</v>
      </c>
      <c r="W1717" s="0" t="str">
        <f>INDEX('Account executives'!$C$2:$C$25,MATCH(C1717,'Account executives'!$A$2:$A$25,0))</f>
        <v>mid_market</v>
      </c>
      <c r="X1717" s="0" t="str">
        <f>SUBSTITUTE(LOWER(INDEX('Periods'!$G$2:$G$22,MATCH(N1717,'Periods'!$A$2:$A$22,0)))," ","_")</f>
        <v>q4_2025</v>
      </c>
    </row>
    <row r="1718">
      <c r="A1718" s="0" t="inlineStr">
        <is>
          <t xml:space="preserve">o1717</t>
        </is>
      </c>
      <c r="B1718" s="0" t="inlineStr">
        <is>
          <t xml:space="preserve">a0179</t>
        </is>
      </c>
      <c r="C1718" s="0" t="inlineStr">
        <is>
          <t xml:space="preserve">r06</t>
        </is>
      </c>
      <c r="D1718" s="0"/>
      <c r="E1718" s="0" t="inlineStr">
        <is>
          <t xml:space="preserve">events</t>
        </is>
      </c>
      <c r="F1718" s="0" t="inlineStr">
        <is>
          <t xml:space="preserve">closed_won</t>
        </is>
      </c>
      <c r="G1718" s="4">
        <v>1</v>
      </c>
      <c r="H1718" s="4">
        <v>16800</v>
      </c>
      <c r="I1718" s="4">
        <v>1</v>
      </c>
      <c r="J1718" s="4">
        <v>0</v>
      </c>
      <c r="K1718" s="16">
        <v>45816</v>
      </c>
      <c r="L1718" s="16">
        <v>45855</v>
      </c>
      <c r="M1718" s="0" t="inlineStr">
        <is>
          <t xml:space="preserve">jun25</t>
        </is>
      </c>
      <c r="N1718" s="0" t="inlineStr">
        <is>
          <t xml:space="preserve">jul25</t>
        </is>
      </c>
      <c r="O1718" s="4">
        <v>39</v>
      </c>
      <c r="P1718" s="4">
        <v>1</v>
      </c>
      <c r="Q1718" s="4">
        <v>0</v>
      </c>
      <c r="R1718" s="4">
        <v>0</v>
      </c>
      <c r="S1718" s="4">
        <f>(H1718*INDEX('Stages'!$D$2:$D$7,MATCH(F1718,'Stages'!$A$2:$A$7,0)))</f>
        <v>16800</v>
      </c>
      <c r="T1718" s="4">
        <f>(H1718*I1718)</f>
        <v>16800</v>
      </c>
      <c r="U1718" s="4">
        <f>(H1718*(I1718-1))</f>
        <v>0</v>
      </c>
      <c r="V1718" s="0" t="str">
        <f>INDEX('Account executives'!$B$2:$B$25,MATCH(C1718,'Account executives'!$A$2:$A$25,0))</f>
        <v>amer_east</v>
      </c>
      <c r="W1718" s="0" t="str">
        <f>INDEX('Account executives'!$C$2:$C$25,MATCH(C1718,'Account executives'!$A$2:$A$25,0))</f>
        <v>smb</v>
      </c>
      <c r="X1718" s="0" t="str">
        <f>SUBSTITUTE(LOWER(INDEX('Periods'!$G$2:$G$22,MATCH(N1718,'Periods'!$A$2:$A$22,0)))," ","_")</f>
        <v>q3_2025</v>
      </c>
    </row>
    <row r="1719">
      <c r="A1719" s="0" t="inlineStr">
        <is>
          <t xml:space="preserve">o1718</t>
        </is>
      </c>
      <c r="B1719" s="0" t="inlineStr">
        <is>
          <t xml:space="preserve">a0709</t>
        </is>
      </c>
      <c r="C1719" s="0" t="inlineStr">
        <is>
          <t xml:space="preserve">r17</t>
        </is>
      </c>
      <c r="D1719" s="0"/>
      <c r="E1719" s="0" t="inlineStr">
        <is>
          <t xml:space="preserve">referral</t>
        </is>
      </c>
      <c r="F1719" s="0" t="inlineStr">
        <is>
          <t xml:space="preserve">closed_lost</t>
        </is>
      </c>
      <c r="G1719" s="4">
        <v>1</v>
      </c>
      <c r="H1719" s="4">
        <v>19900</v>
      </c>
      <c r="I1719" s="4">
        <v>1</v>
      </c>
      <c r="J1719" s="4">
        <v>0</v>
      </c>
      <c r="K1719" s="16">
        <v>46079</v>
      </c>
      <c r="L1719" s="16">
        <v>46106</v>
      </c>
      <c r="M1719" s="0" t="inlineStr">
        <is>
          <t xml:space="preserve">feb26</t>
        </is>
      </c>
      <c r="N1719" s="0" t="inlineStr">
        <is>
          <t xml:space="preserve">mar26</t>
        </is>
      </c>
      <c r="O1719" s="4">
        <v>27</v>
      </c>
      <c r="P1719" s="4">
        <v>0</v>
      </c>
      <c r="Q1719" s="4">
        <v>1</v>
      </c>
      <c r="R1719" s="4">
        <v>0</v>
      </c>
      <c r="S1719" s="4">
        <f>(H1719*INDEX('Stages'!$D$2:$D$7,MATCH(F1719,'Stages'!$A$2:$A$7,0)))</f>
        <v>0</v>
      </c>
      <c r="T1719" s="4">
        <f>(H1719*I1719)</f>
        <v>19900</v>
      </c>
      <c r="U1719" s="4">
        <f>(H1719*(I1719-1))</f>
        <v>0</v>
      </c>
      <c r="V1719" s="0" t="str">
        <f>INDEX('Account executives'!$B$2:$B$25,MATCH(C1719,'Account executives'!$A$2:$A$25,0))</f>
        <v>emea</v>
      </c>
      <c r="W1719" s="0" t="str">
        <f>INDEX('Account executives'!$C$2:$C$25,MATCH(C1719,'Account executives'!$A$2:$A$25,0))</f>
        <v>smb</v>
      </c>
      <c r="X1719" s="0" t="str">
        <f>SUBSTITUTE(LOWER(INDEX('Periods'!$G$2:$G$22,MATCH(N1719,'Periods'!$A$2:$A$22,0)))," ","_")</f>
        <v>q1_2026</v>
      </c>
    </row>
    <row r="1720">
      <c r="A1720" s="0" t="inlineStr">
        <is>
          <t xml:space="preserve">o1719</t>
        </is>
      </c>
      <c r="B1720" s="0" t="inlineStr">
        <is>
          <t xml:space="preserve">a0562</t>
        </is>
      </c>
      <c r="C1720" s="0" t="inlineStr">
        <is>
          <t xml:space="preserve">r12</t>
        </is>
      </c>
      <c r="D1720" s="0" t="inlineStr">
        <is>
          <t xml:space="preserve">s_amer_west_in</t>
        </is>
      </c>
      <c r="E1720" s="0" t="inlineStr">
        <is>
          <t xml:space="preserve">paid</t>
        </is>
      </c>
      <c r="F1720" s="0" t="inlineStr">
        <is>
          <t xml:space="preserve">closed_won</t>
        </is>
      </c>
      <c r="G1720" s="4">
        <v>0</v>
      </c>
      <c r="H1720" s="4">
        <v>6400</v>
      </c>
      <c r="I1720" s="4">
        <v>2</v>
      </c>
      <c r="J1720" s="4">
        <v>0</v>
      </c>
      <c r="K1720" s="16">
        <v>46037</v>
      </c>
      <c r="L1720" s="16">
        <v>46109</v>
      </c>
      <c r="M1720" s="0" t="inlineStr">
        <is>
          <t xml:space="preserve">jan26</t>
        </is>
      </c>
      <c r="N1720" s="0" t="inlineStr">
        <is>
          <t xml:space="preserve">mar26</t>
        </is>
      </c>
      <c r="O1720" s="4">
        <v>72</v>
      </c>
      <c r="P1720" s="4">
        <v>1</v>
      </c>
      <c r="Q1720" s="4">
        <v>0</v>
      </c>
      <c r="R1720" s="4">
        <v>0</v>
      </c>
      <c r="S1720" s="4">
        <f>(H1720*INDEX('Stages'!$D$2:$D$7,MATCH(F1720,'Stages'!$A$2:$A$7,0)))</f>
        <v>6400</v>
      </c>
      <c r="T1720" s="4">
        <f>(H1720*I1720)</f>
        <v>12800</v>
      </c>
      <c r="U1720" s="4">
        <f>(H1720*(I1720-1))</f>
        <v>6400</v>
      </c>
      <c r="V1720" s="0" t="str">
        <f>INDEX('Account executives'!$B$2:$B$25,MATCH(C1720,'Account executives'!$A$2:$A$25,0))</f>
        <v>amer_west</v>
      </c>
      <c r="W1720" s="0" t="str">
        <f>INDEX('Account executives'!$C$2:$C$25,MATCH(C1720,'Account executives'!$A$2:$A$25,0))</f>
        <v>smb</v>
      </c>
      <c r="X1720" s="0" t="str">
        <f>SUBSTITUTE(LOWER(INDEX('Periods'!$G$2:$G$22,MATCH(N1720,'Periods'!$A$2:$A$22,0)))," ","_")</f>
        <v>q1_2026</v>
      </c>
    </row>
    <row r="1721">
      <c r="A1721" s="0" t="inlineStr">
        <is>
          <t xml:space="preserve">o1720</t>
        </is>
      </c>
      <c r="B1721" s="0" t="inlineStr">
        <is>
          <t xml:space="preserve">a0183</t>
        </is>
      </c>
      <c r="C1721" s="0" t="inlineStr">
        <is>
          <t xml:space="preserve">r05</t>
        </is>
      </c>
      <c r="D1721" s="0" t="inlineStr">
        <is>
          <t xml:space="preserve">s_amer_east_out</t>
        </is>
      </c>
      <c r="E1721" s="0" t="inlineStr">
        <is>
          <t xml:space="preserve">outbound</t>
        </is>
      </c>
      <c r="F1721" s="0" t="inlineStr">
        <is>
          <t xml:space="preserve">closed_won</t>
        </is>
      </c>
      <c r="G1721" s="4">
        <v>1</v>
      </c>
      <c r="H1721" s="4">
        <v>16800</v>
      </c>
      <c r="I1721" s="4">
        <v>1</v>
      </c>
      <c r="J1721" s="4">
        <v>0</v>
      </c>
      <c r="K1721" s="16">
        <v>45822</v>
      </c>
      <c r="L1721" s="16">
        <v>45850</v>
      </c>
      <c r="M1721" s="0" t="inlineStr">
        <is>
          <t xml:space="preserve">jun25</t>
        </is>
      </c>
      <c r="N1721" s="0" t="inlineStr">
        <is>
          <t xml:space="preserve">jul25</t>
        </is>
      </c>
      <c r="O1721" s="4">
        <v>28</v>
      </c>
      <c r="P1721" s="4">
        <v>1</v>
      </c>
      <c r="Q1721" s="4">
        <v>0</v>
      </c>
      <c r="R1721" s="4">
        <v>0</v>
      </c>
      <c r="S1721" s="4">
        <f>(H1721*INDEX('Stages'!$D$2:$D$7,MATCH(F1721,'Stages'!$A$2:$A$7,0)))</f>
        <v>16800</v>
      </c>
      <c r="T1721" s="4">
        <f>(H1721*I1721)</f>
        <v>16800</v>
      </c>
      <c r="U1721" s="4">
        <f>(H1721*(I1721-1))</f>
        <v>0</v>
      </c>
      <c r="V1721" s="0" t="str">
        <f>INDEX('Account executives'!$B$2:$B$25,MATCH(C1721,'Account executives'!$A$2:$A$25,0))</f>
        <v>amer_east</v>
      </c>
      <c r="W1721" s="0" t="str">
        <f>INDEX('Account executives'!$C$2:$C$25,MATCH(C1721,'Account executives'!$A$2:$A$25,0))</f>
        <v>smb</v>
      </c>
      <c r="X1721" s="0" t="str">
        <f>SUBSTITUTE(LOWER(INDEX('Periods'!$G$2:$G$22,MATCH(N1721,'Periods'!$A$2:$A$22,0)))," ","_")</f>
        <v>q3_2025</v>
      </c>
    </row>
    <row r="1722">
      <c r="A1722" s="0" t="inlineStr">
        <is>
          <t xml:space="preserve">o1721</t>
        </is>
      </c>
      <c r="B1722" s="0" t="inlineStr">
        <is>
          <t xml:space="preserve">a0214</t>
        </is>
      </c>
      <c r="C1722" s="0" t="inlineStr">
        <is>
          <t xml:space="preserve">r17</t>
        </is>
      </c>
      <c r="D1722" s="0" t="inlineStr">
        <is>
          <t xml:space="preserve">s_emea_in</t>
        </is>
      </c>
      <c r="E1722" s="0" t="inlineStr">
        <is>
          <t xml:space="preserve">paid</t>
        </is>
      </c>
      <c r="F1722" s="0" t="inlineStr">
        <is>
          <t xml:space="preserve">closed_lost</t>
        </is>
      </c>
      <c r="G1722" s="4">
        <v>1</v>
      </c>
      <c r="H1722" s="4">
        <v>8200</v>
      </c>
      <c r="I1722" s="4">
        <v>1</v>
      </c>
      <c r="J1722" s="4">
        <v>0</v>
      </c>
      <c r="K1722" s="16">
        <v>45826</v>
      </c>
      <c r="L1722" s="16">
        <v>45849</v>
      </c>
      <c r="M1722" s="0" t="inlineStr">
        <is>
          <t xml:space="preserve">jun25</t>
        </is>
      </c>
      <c r="N1722" s="0" t="inlineStr">
        <is>
          <t xml:space="preserve">jul25</t>
        </is>
      </c>
      <c r="O1722" s="4">
        <v>23</v>
      </c>
      <c r="P1722" s="4">
        <v>0</v>
      </c>
      <c r="Q1722" s="4">
        <v>1</v>
      </c>
      <c r="R1722" s="4">
        <v>0</v>
      </c>
      <c r="S1722" s="4">
        <f>(H1722*INDEX('Stages'!$D$2:$D$7,MATCH(F1722,'Stages'!$A$2:$A$7,0)))</f>
        <v>0</v>
      </c>
      <c r="T1722" s="4">
        <f>(H1722*I1722)</f>
        <v>8200</v>
      </c>
      <c r="U1722" s="4">
        <f>(H1722*(I1722-1))</f>
        <v>0</v>
      </c>
      <c r="V1722" s="0" t="str">
        <f>INDEX('Account executives'!$B$2:$B$25,MATCH(C1722,'Account executives'!$A$2:$A$25,0))</f>
        <v>emea</v>
      </c>
      <c r="W1722" s="0" t="str">
        <f>INDEX('Account executives'!$C$2:$C$25,MATCH(C1722,'Account executives'!$A$2:$A$25,0))</f>
        <v>smb</v>
      </c>
      <c r="X1722" s="0" t="str">
        <f>SUBSTITUTE(LOWER(INDEX('Periods'!$G$2:$G$22,MATCH(N1722,'Periods'!$A$2:$A$22,0)))," ","_")</f>
        <v>q3_2025</v>
      </c>
    </row>
    <row r="1723">
      <c r="A1723" s="0" t="inlineStr">
        <is>
          <t xml:space="preserve">o1722</t>
        </is>
      </c>
      <c r="B1723" s="0" t="inlineStr">
        <is>
          <t xml:space="preserve">a0441</t>
        </is>
      </c>
      <c r="C1723" s="0" t="inlineStr">
        <is>
          <t xml:space="preserve">r12</t>
        </is>
      </c>
      <c r="D1723" s="0"/>
      <c r="E1723" s="0" t="inlineStr">
        <is>
          <t xml:space="preserve">referral</t>
        </is>
      </c>
      <c r="F1723" s="0" t="inlineStr">
        <is>
          <t xml:space="preserve">closed_lost</t>
        </is>
      </c>
      <c r="G1723" s="4">
        <v>1</v>
      </c>
      <c r="H1723" s="4">
        <v>8600</v>
      </c>
      <c r="I1723" s="4">
        <v>1</v>
      </c>
      <c r="J1723" s="4">
        <v>0</v>
      </c>
      <c r="K1723" s="16">
        <v>45952</v>
      </c>
      <c r="L1723" s="16">
        <v>45996</v>
      </c>
      <c r="M1723" s="0" t="inlineStr">
        <is>
          <t xml:space="preserve">oct25</t>
        </is>
      </c>
      <c r="N1723" s="0" t="inlineStr">
        <is>
          <t xml:space="preserve">dec25</t>
        </is>
      </c>
      <c r="O1723" s="4">
        <v>44</v>
      </c>
      <c r="P1723" s="4">
        <v>0</v>
      </c>
      <c r="Q1723" s="4">
        <v>1</v>
      </c>
      <c r="R1723" s="4">
        <v>0</v>
      </c>
      <c r="S1723" s="4">
        <f>(H1723*INDEX('Stages'!$D$2:$D$7,MATCH(F1723,'Stages'!$A$2:$A$7,0)))</f>
        <v>0</v>
      </c>
      <c r="T1723" s="4">
        <f>(H1723*I1723)</f>
        <v>8600</v>
      </c>
      <c r="U1723" s="4">
        <f>(H1723*(I1723-1))</f>
        <v>0</v>
      </c>
      <c r="V1723" s="0" t="str">
        <f>INDEX('Account executives'!$B$2:$B$25,MATCH(C1723,'Account executives'!$A$2:$A$25,0))</f>
        <v>amer_west</v>
      </c>
      <c r="W1723" s="0" t="str">
        <f>INDEX('Account executives'!$C$2:$C$25,MATCH(C1723,'Account executives'!$A$2:$A$25,0))</f>
        <v>smb</v>
      </c>
      <c r="X1723" s="0" t="str">
        <f>SUBSTITUTE(LOWER(INDEX('Periods'!$G$2:$G$22,MATCH(N1723,'Periods'!$A$2:$A$22,0)))," ","_")</f>
        <v>q4_2025</v>
      </c>
    </row>
    <row r="1724">
      <c r="A1724" s="0" t="inlineStr">
        <is>
          <t xml:space="preserve">o1723</t>
        </is>
      </c>
      <c r="B1724" s="0" t="inlineStr">
        <is>
          <t xml:space="preserve">a1016</t>
        </is>
      </c>
      <c r="C1724" s="0" t="inlineStr">
        <is>
          <t xml:space="preserve">r16</t>
        </is>
      </c>
      <c r="D1724" s="0" t="inlineStr">
        <is>
          <t xml:space="preserve">s_emea_in</t>
        </is>
      </c>
      <c r="E1724" s="0" t="inlineStr">
        <is>
          <t xml:space="preserve">inbound</t>
        </is>
      </c>
      <c r="F1724" s="0" t="inlineStr">
        <is>
          <t xml:space="preserve">closed_lost</t>
        </is>
      </c>
      <c r="G1724" s="4">
        <v>1</v>
      </c>
      <c r="H1724" s="4">
        <v>26300</v>
      </c>
      <c r="I1724" s="4">
        <v>1</v>
      </c>
      <c r="J1724" s="4">
        <v>1</v>
      </c>
      <c r="K1724" s="16">
        <v>46187</v>
      </c>
      <c r="L1724" s="16">
        <v>46241</v>
      </c>
      <c r="M1724" s="0" t="inlineStr">
        <is>
          <t xml:space="preserve">jun26</t>
        </is>
      </c>
      <c r="N1724" s="0" t="inlineStr">
        <is>
          <t xml:space="preserve">aug26</t>
        </is>
      </c>
      <c r="O1724" s="4">
        <v>54</v>
      </c>
      <c r="P1724" s="4">
        <v>0</v>
      </c>
      <c r="Q1724" s="4">
        <v>1</v>
      </c>
      <c r="R1724" s="4">
        <v>0</v>
      </c>
      <c r="S1724" s="4">
        <f>(H1724*INDEX('Stages'!$D$2:$D$7,MATCH(F1724,'Stages'!$A$2:$A$7,0)))</f>
        <v>0</v>
      </c>
      <c r="T1724" s="4">
        <f>(H1724*I1724)</f>
        <v>26300</v>
      </c>
      <c r="U1724" s="4">
        <f>(H1724*(I1724-1))</f>
        <v>0</v>
      </c>
      <c r="V1724" s="0" t="str">
        <f>INDEX('Account executives'!$B$2:$B$25,MATCH(C1724,'Account executives'!$A$2:$A$25,0))</f>
        <v>emea</v>
      </c>
      <c r="W1724" s="0" t="str">
        <f>INDEX('Account executives'!$C$2:$C$25,MATCH(C1724,'Account executives'!$A$2:$A$25,0))</f>
        <v>mid_market</v>
      </c>
      <c r="X1724" s="0" t="str">
        <f>SUBSTITUTE(LOWER(INDEX('Periods'!$G$2:$G$22,MATCH(N1724,'Periods'!$A$2:$A$22,0)))," ","_")</f>
        <v>q3_2026</v>
      </c>
    </row>
    <row r="1725">
      <c r="A1725" s="0" t="inlineStr">
        <is>
          <t xml:space="preserve">o1724</t>
        </is>
      </c>
      <c r="B1725" s="0" t="inlineStr">
        <is>
          <t xml:space="preserve">a1226</t>
        </is>
      </c>
      <c r="C1725" s="0" t="inlineStr">
        <is>
          <t xml:space="preserve">r06</t>
        </is>
      </c>
      <c r="D1725" s="0"/>
      <c r="E1725" s="0" t="inlineStr">
        <is>
          <t xml:space="preserve">partner</t>
        </is>
      </c>
      <c r="F1725" s="0" t="inlineStr">
        <is>
          <t xml:space="preserve">discovery</t>
        </is>
      </c>
      <c r="G1725" s="4">
        <v>1</v>
      </c>
      <c r="H1725" s="4">
        <v>29000</v>
      </c>
      <c r="I1725" s="4">
        <v>1</v>
      </c>
      <c r="J1725" s="4">
        <v>1</v>
      </c>
      <c r="K1725" s="16">
        <v>46283</v>
      </c>
      <c r="L1725" s="16">
        <v>46307</v>
      </c>
      <c r="M1725" s="0" t="inlineStr">
        <is>
          <t xml:space="preserve">sep26</t>
        </is>
      </c>
      <c r="N1725" s="0" t="inlineStr">
        <is>
          <t xml:space="preserve">oct26</t>
        </is>
      </c>
      <c r="O1725" s="4">
        <v>29</v>
      </c>
      <c r="P1725" s="4">
        <v>0</v>
      </c>
      <c r="Q1725" s="4">
        <v>0</v>
      </c>
      <c r="R1725" s="4">
        <v>1</v>
      </c>
      <c r="S1725" s="4">
        <f>(H1725*INDEX('Stages'!$D$2:$D$7,MATCH(F1725,'Stages'!$A$2:$A$7,0)))</f>
        <v>2900</v>
      </c>
      <c r="T1725" s="4">
        <f>(H1725*I1725)</f>
        <v>29000</v>
      </c>
      <c r="U1725" s="4">
        <f>(H1725*(I1725-1))</f>
        <v>0</v>
      </c>
      <c r="V1725" s="0" t="str">
        <f>INDEX('Account executives'!$B$2:$B$25,MATCH(C1725,'Account executives'!$A$2:$A$25,0))</f>
        <v>amer_east</v>
      </c>
      <c r="W1725" s="0" t="str">
        <f>INDEX('Account executives'!$C$2:$C$25,MATCH(C1725,'Account executives'!$A$2:$A$25,0))</f>
        <v>smb</v>
      </c>
      <c r="X1725" s="0" t="str">
        <f>SUBSTITUTE(LOWER(INDEX('Periods'!$G$2:$G$22,MATCH(N1725,'Periods'!$A$2:$A$22,0)))," ","_")</f>
        <v>q4_2026</v>
      </c>
    </row>
    <row r="1726">
      <c r="A1726" s="0" t="inlineStr">
        <is>
          <t xml:space="preserve">o1725</t>
        </is>
      </c>
      <c r="B1726" s="0" t="inlineStr">
        <is>
          <t xml:space="preserve">a0926</t>
        </is>
      </c>
      <c r="C1726" s="0" t="inlineStr">
        <is>
          <t xml:space="preserve">r12</t>
        </is>
      </c>
      <c r="D1726" s="0" t="inlineStr">
        <is>
          <t xml:space="preserve">s_amer_west_out</t>
        </is>
      </c>
      <c r="E1726" s="0" t="inlineStr">
        <is>
          <t xml:space="preserve">outbound</t>
        </is>
      </c>
      <c r="F1726" s="0" t="inlineStr">
        <is>
          <t xml:space="preserve">closed_won</t>
        </is>
      </c>
      <c r="G1726" s="4">
        <v>1</v>
      </c>
      <c r="H1726" s="4">
        <v>18300</v>
      </c>
      <c r="I1726" s="4">
        <v>1</v>
      </c>
      <c r="J1726" s="4">
        <v>1</v>
      </c>
      <c r="K1726" s="16">
        <v>46158</v>
      </c>
      <c r="L1726" s="16">
        <v>46190</v>
      </c>
      <c r="M1726" s="0" t="inlineStr">
        <is>
          <t xml:space="preserve">may26</t>
        </is>
      </c>
      <c r="N1726" s="0" t="inlineStr">
        <is>
          <t xml:space="preserve">jun26</t>
        </is>
      </c>
      <c r="O1726" s="4">
        <v>32</v>
      </c>
      <c r="P1726" s="4">
        <v>1</v>
      </c>
      <c r="Q1726" s="4">
        <v>0</v>
      </c>
      <c r="R1726" s="4">
        <v>0</v>
      </c>
      <c r="S1726" s="4">
        <f>(H1726*INDEX('Stages'!$D$2:$D$7,MATCH(F1726,'Stages'!$A$2:$A$7,0)))</f>
        <v>18300</v>
      </c>
      <c r="T1726" s="4">
        <f>(H1726*I1726)</f>
        <v>18300</v>
      </c>
      <c r="U1726" s="4">
        <f>(H1726*(I1726-1))</f>
        <v>0</v>
      </c>
      <c r="V1726" s="0" t="str">
        <f>INDEX('Account executives'!$B$2:$B$25,MATCH(C1726,'Account executives'!$A$2:$A$25,0))</f>
        <v>amer_west</v>
      </c>
      <c r="W1726" s="0" t="str">
        <f>INDEX('Account executives'!$C$2:$C$25,MATCH(C1726,'Account executives'!$A$2:$A$25,0))</f>
        <v>smb</v>
      </c>
      <c r="X1726" s="0" t="str">
        <f>SUBSTITUTE(LOWER(INDEX('Periods'!$G$2:$G$22,MATCH(N1726,'Periods'!$A$2:$A$22,0)))," ","_")</f>
        <v>q2_2026</v>
      </c>
    </row>
    <row r="1727">
      <c r="A1727" s="0" t="inlineStr">
        <is>
          <t xml:space="preserve">o1726</t>
        </is>
      </c>
      <c r="B1727" s="0" t="inlineStr">
        <is>
          <t xml:space="preserve">a0757</t>
        </is>
      </c>
      <c r="C1727" s="0" t="inlineStr">
        <is>
          <t xml:space="preserve">r08</t>
        </is>
      </c>
      <c r="D1727" s="0" t="inlineStr">
        <is>
          <t xml:space="preserve">s_amer_west_in</t>
        </is>
      </c>
      <c r="E1727" s="0" t="inlineStr">
        <is>
          <t xml:space="preserve">paid</t>
        </is>
      </c>
      <c r="F1727" s="0" t="inlineStr">
        <is>
          <t xml:space="preserve">closed_lost</t>
        </is>
      </c>
      <c r="G1727" s="4">
        <v>1</v>
      </c>
      <c r="H1727" s="4">
        <v>104400</v>
      </c>
      <c r="I1727" s="4">
        <v>1</v>
      </c>
      <c r="J1727" s="4">
        <v>0</v>
      </c>
      <c r="K1727" s="16">
        <v>46101</v>
      </c>
      <c r="L1727" s="16">
        <v>46221</v>
      </c>
      <c r="M1727" s="0" t="inlineStr">
        <is>
          <t xml:space="preserve">mar26</t>
        </is>
      </c>
      <c r="N1727" s="0" t="inlineStr">
        <is>
          <t xml:space="preserve">jul26</t>
        </is>
      </c>
      <c r="O1727" s="4">
        <v>120</v>
      </c>
      <c r="P1727" s="4">
        <v>0</v>
      </c>
      <c r="Q1727" s="4">
        <v>1</v>
      </c>
      <c r="R1727" s="4">
        <v>0</v>
      </c>
      <c r="S1727" s="4">
        <f>(H1727*INDEX('Stages'!$D$2:$D$7,MATCH(F1727,'Stages'!$A$2:$A$7,0)))</f>
        <v>0</v>
      </c>
      <c r="T1727" s="4">
        <f>(H1727*I1727)</f>
        <v>104400</v>
      </c>
      <c r="U1727" s="4">
        <f>(H1727*(I1727-1))</f>
        <v>0</v>
      </c>
      <c r="V1727" s="0" t="str">
        <f>INDEX('Account executives'!$B$2:$B$25,MATCH(C1727,'Account executives'!$A$2:$A$25,0))</f>
        <v>amer_west</v>
      </c>
      <c r="W1727" s="0" t="str">
        <f>INDEX('Account executives'!$C$2:$C$25,MATCH(C1727,'Account executives'!$A$2:$A$25,0))</f>
        <v>enterprise</v>
      </c>
      <c r="X1727" s="0" t="str">
        <f>SUBSTITUTE(LOWER(INDEX('Periods'!$G$2:$G$22,MATCH(N1727,'Periods'!$A$2:$A$22,0)))," ","_")</f>
        <v>q3_2026</v>
      </c>
    </row>
    <row r="1728">
      <c r="A1728" s="0" t="inlineStr">
        <is>
          <t xml:space="preserve">o1727</t>
        </is>
      </c>
      <c r="B1728" s="0" t="inlineStr">
        <is>
          <t xml:space="preserve">a0354</t>
        </is>
      </c>
      <c r="C1728" s="0" t="inlineStr">
        <is>
          <t xml:space="preserve">r22</t>
        </is>
      </c>
      <c r="D1728" s="0" t="inlineStr">
        <is>
          <t xml:space="preserve">s_apac_out</t>
        </is>
      </c>
      <c r="E1728" s="0" t="inlineStr">
        <is>
          <t xml:space="preserve">outbound</t>
        </is>
      </c>
      <c r="F1728" s="0" t="inlineStr">
        <is>
          <t xml:space="preserve">closed_lost</t>
        </is>
      </c>
      <c r="G1728" s="4">
        <v>0</v>
      </c>
      <c r="H1728" s="4">
        <v>20400</v>
      </c>
      <c r="I1728" s="4">
        <v>2</v>
      </c>
      <c r="J1728" s="4">
        <v>1</v>
      </c>
      <c r="K1728" s="16">
        <v>45874</v>
      </c>
      <c r="L1728" s="16">
        <v>45924</v>
      </c>
      <c r="M1728" s="0" t="inlineStr">
        <is>
          <t xml:space="preserve">aug25</t>
        </is>
      </c>
      <c r="N1728" s="0" t="inlineStr">
        <is>
          <t xml:space="preserve">sep25</t>
        </is>
      </c>
      <c r="O1728" s="4">
        <v>50</v>
      </c>
      <c r="P1728" s="4">
        <v>0</v>
      </c>
      <c r="Q1728" s="4">
        <v>1</v>
      </c>
      <c r="R1728" s="4">
        <v>0</v>
      </c>
      <c r="S1728" s="4">
        <f>(H1728*INDEX('Stages'!$D$2:$D$7,MATCH(F1728,'Stages'!$A$2:$A$7,0)))</f>
        <v>0</v>
      </c>
      <c r="T1728" s="4">
        <f>(H1728*I1728)</f>
        <v>40800</v>
      </c>
      <c r="U1728" s="4">
        <f>(H1728*(I1728-1))</f>
        <v>20400</v>
      </c>
      <c r="V1728" s="0" t="str">
        <f>INDEX('Account executives'!$B$2:$B$25,MATCH(C1728,'Account executives'!$A$2:$A$25,0))</f>
        <v>apac</v>
      </c>
      <c r="W1728" s="0" t="str">
        <f>INDEX('Account executives'!$C$2:$C$25,MATCH(C1728,'Account executives'!$A$2:$A$25,0))</f>
        <v>mid_market</v>
      </c>
      <c r="X1728" s="0" t="str">
        <f>SUBSTITUTE(LOWER(INDEX('Periods'!$G$2:$G$22,MATCH(N1728,'Periods'!$A$2:$A$22,0)))," ","_")</f>
        <v>q3_2025</v>
      </c>
    </row>
    <row r="1729">
      <c r="A1729" s="0" t="inlineStr">
        <is>
          <t xml:space="preserve">o1728</t>
        </is>
      </c>
      <c r="B1729" s="0" t="inlineStr">
        <is>
          <t xml:space="preserve">a0773</t>
        </is>
      </c>
      <c r="C1729" s="0" t="inlineStr">
        <is>
          <t xml:space="preserve">r17</t>
        </is>
      </c>
      <c r="D1729" s="0" t="inlineStr">
        <is>
          <t xml:space="preserve">s_emea_in</t>
        </is>
      </c>
      <c r="E1729" s="0" t="inlineStr">
        <is>
          <t xml:space="preserve">inbound</t>
        </is>
      </c>
      <c r="F1729" s="0" t="inlineStr">
        <is>
          <t xml:space="preserve">closed_lost</t>
        </is>
      </c>
      <c r="G1729" s="4">
        <v>1</v>
      </c>
      <c r="H1729" s="4">
        <v>7300</v>
      </c>
      <c r="I1729" s="4">
        <v>1</v>
      </c>
      <c r="J1729" s="4">
        <v>0</v>
      </c>
      <c r="K1729" s="16">
        <v>46092</v>
      </c>
      <c r="L1729" s="16">
        <v>46121</v>
      </c>
      <c r="M1729" s="0" t="inlineStr">
        <is>
          <t xml:space="preserve">mar26</t>
        </is>
      </c>
      <c r="N1729" s="0" t="inlineStr">
        <is>
          <t xml:space="preserve">apr26</t>
        </is>
      </c>
      <c r="O1729" s="4">
        <v>29</v>
      </c>
      <c r="P1729" s="4">
        <v>0</v>
      </c>
      <c r="Q1729" s="4">
        <v>1</v>
      </c>
      <c r="R1729" s="4">
        <v>0</v>
      </c>
      <c r="S1729" s="4">
        <f>(H1729*INDEX('Stages'!$D$2:$D$7,MATCH(F1729,'Stages'!$A$2:$A$7,0)))</f>
        <v>0</v>
      </c>
      <c r="T1729" s="4">
        <f>(H1729*I1729)</f>
        <v>7300</v>
      </c>
      <c r="U1729" s="4">
        <f>(H1729*(I1729-1))</f>
        <v>0</v>
      </c>
      <c r="V1729" s="0" t="str">
        <f>INDEX('Account executives'!$B$2:$B$25,MATCH(C1729,'Account executives'!$A$2:$A$25,0))</f>
        <v>emea</v>
      </c>
      <c r="W1729" s="0" t="str">
        <f>INDEX('Account executives'!$C$2:$C$25,MATCH(C1729,'Account executives'!$A$2:$A$25,0))</f>
        <v>smb</v>
      </c>
      <c r="X1729" s="0" t="str">
        <f>SUBSTITUTE(LOWER(INDEX('Periods'!$G$2:$G$22,MATCH(N1729,'Periods'!$A$2:$A$22,0)))," ","_")</f>
        <v>q2_2026</v>
      </c>
    </row>
    <row r="1730">
      <c r="A1730" s="0" t="inlineStr">
        <is>
          <t xml:space="preserve">o1729</t>
        </is>
      </c>
      <c r="B1730" s="0" t="inlineStr">
        <is>
          <t xml:space="preserve">a0057</t>
        </is>
      </c>
      <c r="C1730" s="0" t="inlineStr">
        <is>
          <t xml:space="preserve">r21</t>
        </is>
      </c>
      <c r="D1730" s="0" t="inlineStr">
        <is>
          <t xml:space="preserve">s_apac_out</t>
        </is>
      </c>
      <c r="E1730" s="0" t="inlineStr">
        <is>
          <t xml:space="preserve">outbound</t>
        </is>
      </c>
      <c r="F1730" s="0" t="inlineStr">
        <is>
          <t xml:space="preserve">closed_won</t>
        </is>
      </c>
      <c r="G1730" s="4">
        <v>0</v>
      </c>
      <c r="H1730" s="4">
        <v>48300</v>
      </c>
      <c r="I1730" s="4">
        <v>1</v>
      </c>
      <c r="J1730" s="4">
        <v>0</v>
      </c>
      <c r="K1730" s="16">
        <v>45762</v>
      </c>
      <c r="L1730" s="16">
        <v>45806</v>
      </c>
      <c r="M1730" s="0" t="inlineStr">
        <is>
          <t xml:space="preserve">apr25</t>
        </is>
      </c>
      <c r="N1730" s="0" t="inlineStr">
        <is>
          <t xml:space="preserve">may25</t>
        </is>
      </c>
      <c r="O1730" s="4">
        <v>44</v>
      </c>
      <c r="P1730" s="4">
        <v>1</v>
      </c>
      <c r="Q1730" s="4">
        <v>0</v>
      </c>
      <c r="R1730" s="4">
        <v>0</v>
      </c>
      <c r="S1730" s="4">
        <f>(H1730*INDEX('Stages'!$D$2:$D$7,MATCH(F1730,'Stages'!$A$2:$A$7,0)))</f>
        <v>48300</v>
      </c>
      <c r="T1730" s="4">
        <f>(H1730*I1730)</f>
        <v>48300</v>
      </c>
      <c r="U1730" s="4">
        <f>(H1730*(I1730-1))</f>
        <v>0</v>
      </c>
      <c r="V1730" s="0" t="str">
        <f>INDEX('Account executives'!$B$2:$B$25,MATCH(C1730,'Account executives'!$A$2:$A$25,0))</f>
        <v>apac</v>
      </c>
      <c r="W1730" s="0" t="str">
        <f>INDEX('Account executives'!$C$2:$C$25,MATCH(C1730,'Account executives'!$A$2:$A$25,0))</f>
        <v>mid_market</v>
      </c>
      <c r="X1730" s="0" t="str">
        <f>SUBSTITUTE(LOWER(INDEX('Periods'!$G$2:$G$22,MATCH(N1730,'Periods'!$A$2:$A$22,0)))," ","_")</f>
        <v>q2_2025</v>
      </c>
    </row>
    <row r="1731">
      <c r="A1731" s="0" t="inlineStr">
        <is>
          <t xml:space="preserve">o1730</t>
        </is>
      </c>
      <c r="B1731" s="0" t="inlineStr">
        <is>
          <t xml:space="preserve">a0124</t>
        </is>
      </c>
      <c r="C1731" s="0" t="inlineStr">
        <is>
          <t xml:space="preserve">r13</t>
        </is>
      </c>
      <c r="D1731" s="0"/>
      <c r="E1731" s="0" t="inlineStr">
        <is>
          <t xml:space="preserve">events</t>
        </is>
      </c>
      <c r="F1731" s="0" t="inlineStr">
        <is>
          <t xml:space="preserve">closed_lost</t>
        </is>
      </c>
      <c r="G1731" s="4">
        <v>0</v>
      </c>
      <c r="H1731" s="4">
        <v>156800</v>
      </c>
      <c r="I1731" s="4">
        <v>1</v>
      </c>
      <c r="J1731" s="4">
        <v>0</v>
      </c>
      <c r="K1731" s="16">
        <v>45798</v>
      </c>
      <c r="L1731" s="16">
        <v>45928</v>
      </c>
      <c r="M1731" s="0" t="inlineStr">
        <is>
          <t xml:space="preserve">may25</t>
        </is>
      </c>
      <c r="N1731" s="0" t="inlineStr">
        <is>
          <t xml:space="preserve">sep25</t>
        </is>
      </c>
      <c r="O1731" s="4">
        <v>130</v>
      </c>
      <c r="P1731" s="4">
        <v>0</v>
      </c>
      <c r="Q1731" s="4">
        <v>1</v>
      </c>
      <c r="R1731" s="4">
        <v>0</v>
      </c>
      <c r="S1731" s="4">
        <f>(H1731*INDEX('Stages'!$D$2:$D$7,MATCH(F1731,'Stages'!$A$2:$A$7,0)))</f>
        <v>0</v>
      </c>
      <c r="T1731" s="4">
        <f>(H1731*I1731)</f>
        <v>156800</v>
      </c>
      <c r="U1731" s="4">
        <f>(H1731*(I1731-1))</f>
        <v>0</v>
      </c>
      <c r="V1731" s="0" t="str">
        <f>INDEX('Account executives'!$B$2:$B$25,MATCH(C1731,'Account executives'!$A$2:$A$25,0))</f>
        <v>emea</v>
      </c>
      <c r="W1731" s="0" t="str">
        <f>INDEX('Account executives'!$C$2:$C$25,MATCH(C1731,'Account executives'!$A$2:$A$25,0))</f>
        <v>enterprise</v>
      </c>
      <c r="X1731" s="0" t="str">
        <f>SUBSTITUTE(LOWER(INDEX('Periods'!$G$2:$G$22,MATCH(N1731,'Periods'!$A$2:$A$22,0)))," ","_")</f>
        <v>q3_2025</v>
      </c>
    </row>
    <row r="1732">
      <c r="A1732" s="0" t="inlineStr">
        <is>
          <t xml:space="preserve">o1731</t>
        </is>
      </c>
      <c r="B1732" s="0" t="inlineStr">
        <is>
          <t xml:space="preserve">a1071</t>
        </is>
      </c>
      <c r="C1732" s="0" t="inlineStr">
        <is>
          <t xml:space="preserve">r06</t>
        </is>
      </c>
      <c r="D1732" s="0" t="inlineStr">
        <is>
          <t xml:space="preserve">s_amer_east_in</t>
        </is>
      </c>
      <c r="E1732" s="0" t="inlineStr">
        <is>
          <t xml:space="preserve">paid</t>
        </is>
      </c>
      <c r="F1732" s="0" t="inlineStr">
        <is>
          <t xml:space="preserve">closed_lost</t>
        </is>
      </c>
      <c r="G1732" s="4">
        <v>1</v>
      </c>
      <c r="H1732" s="4">
        <v>19100</v>
      </c>
      <c r="I1732" s="4">
        <v>1</v>
      </c>
      <c r="J1732" s="4">
        <v>1</v>
      </c>
      <c r="K1732" s="16">
        <v>46229</v>
      </c>
      <c r="L1732" s="16">
        <v>46267</v>
      </c>
      <c r="M1732" s="0" t="inlineStr">
        <is>
          <t xml:space="preserve">jul26</t>
        </is>
      </c>
      <c r="N1732" s="0" t="inlineStr">
        <is>
          <t xml:space="preserve">sep26</t>
        </is>
      </c>
      <c r="O1732" s="4">
        <v>38</v>
      </c>
      <c r="P1732" s="4">
        <v>0</v>
      </c>
      <c r="Q1732" s="4">
        <v>1</v>
      </c>
      <c r="R1732" s="4">
        <v>0</v>
      </c>
      <c r="S1732" s="4">
        <f>(H1732*INDEX('Stages'!$D$2:$D$7,MATCH(F1732,'Stages'!$A$2:$A$7,0)))</f>
        <v>0</v>
      </c>
      <c r="T1732" s="4">
        <f>(H1732*I1732)</f>
        <v>19100</v>
      </c>
      <c r="U1732" s="4">
        <f>(H1732*(I1732-1))</f>
        <v>0</v>
      </c>
      <c r="V1732" s="0" t="str">
        <f>INDEX('Account executives'!$B$2:$B$25,MATCH(C1732,'Account executives'!$A$2:$A$25,0))</f>
        <v>amer_east</v>
      </c>
      <c r="W1732" s="0" t="str">
        <f>INDEX('Account executives'!$C$2:$C$25,MATCH(C1732,'Account executives'!$A$2:$A$25,0))</f>
        <v>smb</v>
      </c>
      <c r="X1732" s="0" t="str">
        <f>SUBSTITUTE(LOWER(INDEX('Periods'!$G$2:$G$22,MATCH(N1732,'Periods'!$A$2:$A$22,0)))," ","_")</f>
        <v>q3_2026</v>
      </c>
    </row>
    <row r="1733">
      <c r="A1733" s="0" t="inlineStr">
        <is>
          <t xml:space="preserve">o1732</t>
        </is>
      </c>
      <c r="B1733" s="0" t="inlineStr">
        <is>
          <t xml:space="preserve">a0629</t>
        </is>
      </c>
      <c r="C1733" s="0" t="inlineStr">
        <is>
          <t xml:space="preserve">r09</t>
        </is>
      </c>
      <c r="D1733" s="0"/>
      <c r="E1733" s="0" t="inlineStr">
        <is>
          <t xml:space="preserve">events</t>
        </is>
      </c>
      <c r="F1733" s="0" t="inlineStr">
        <is>
          <t xml:space="preserve">closed_lost</t>
        </is>
      </c>
      <c r="G1733" s="4">
        <v>1</v>
      </c>
      <c r="H1733" s="4">
        <v>23900</v>
      </c>
      <c r="I1733" s="4">
        <v>1</v>
      </c>
      <c r="J1733" s="4">
        <v>0</v>
      </c>
      <c r="K1733" s="16">
        <v>46029</v>
      </c>
      <c r="L1733" s="16">
        <v>46099</v>
      </c>
      <c r="M1733" s="0" t="inlineStr">
        <is>
          <t xml:space="preserve">jan26</t>
        </is>
      </c>
      <c r="N1733" s="0" t="inlineStr">
        <is>
          <t xml:space="preserve">mar26</t>
        </is>
      </c>
      <c r="O1733" s="4">
        <v>70</v>
      </c>
      <c r="P1733" s="4">
        <v>0</v>
      </c>
      <c r="Q1733" s="4">
        <v>1</v>
      </c>
      <c r="R1733" s="4">
        <v>0</v>
      </c>
      <c r="S1733" s="4">
        <f>(H1733*INDEX('Stages'!$D$2:$D$7,MATCH(F1733,'Stages'!$A$2:$A$7,0)))</f>
        <v>0</v>
      </c>
      <c r="T1733" s="4">
        <f>(H1733*I1733)</f>
        <v>23900</v>
      </c>
      <c r="U1733" s="4">
        <f>(H1733*(I1733-1))</f>
        <v>0</v>
      </c>
      <c r="V1733" s="0" t="str">
        <f>INDEX('Account executives'!$B$2:$B$25,MATCH(C1733,'Account executives'!$A$2:$A$25,0))</f>
        <v>amer_west</v>
      </c>
      <c r="W1733" s="0" t="str">
        <f>INDEX('Account executives'!$C$2:$C$25,MATCH(C1733,'Account executives'!$A$2:$A$25,0))</f>
        <v>mid_market</v>
      </c>
      <c r="X1733" s="0" t="str">
        <f>SUBSTITUTE(LOWER(INDEX('Periods'!$G$2:$G$22,MATCH(N1733,'Periods'!$A$2:$A$22,0)))," ","_")</f>
        <v>q1_2026</v>
      </c>
    </row>
    <row r="1734">
      <c r="A1734" s="0" t="inlineStr">
        <is>
          <t xml:space="preserve">o1733</t>
        </is>
      </c>
      <c r="B1734" s="0" t="inlineStr">
        <is>
          <t xml:space="preserve">a0401</t>
        </is>
      </c>
      <c r="C1734" s="0" t="inlineStr">
        <is>
          <t xml:space="preserve">r15</t>
        </is>
      </c>
      <c r="D1734" s="0" t="inlineStr">
        <is>
          <t xml:space="preserve">s_emea_in</t>
        </is>
      </c>
      <c r="E1734" s="0" t="inlineStr">
        <is>
          <t xml:space="preserve">inbound</t>
        </is>
      </c>
      <c r="F1734" s="0" t="inlineStr">
        <is>
          <t xml:space="preserve">closed_lost</t>
        </is>
      </c>
      <c r="G1734" s="4">
        <v>0</v>
      </c>
      <c r="H1734" s="4">
        <v>36000</v>
      </c>
      <c r="I1734" s="4">
        <v>1</v>
      </c>
      <c r="J1734" s="4">
        <v>1</v>
      </c>
      <c r="K1734" s="16">
        <v>46127</v>
      </c>
      <c r="L1734" s="16">
        <v>46190</v>
      </c>
      <c r="M1734" s="0" t="inlineStr">
        <is>
          <t xml:space="preserve">apr26</t>
        </is>
      </c>
      <c r="N1734" s="0" t="inlineStr">
        <is>
          <t xml:space="preserve">jun26</t>
        </is>
      </c>
      <c r="O1734" s="4">
        <v>63</v>
      </c>
      <c r="P1734" s="4">
        <v>0</v>
      </c>
      <c r="Q1734" s="4">
        <v>1</v>
      </c>
      <c r="R1734" s="4">
        <v>0</v>
      </c>
      <c r="S1734" s="4">
        <f>(H1734*INDEX('Stages'!$D$2:$D$7,MATCH(F1734,'Stages'!$A$2:$A$7,0)))</f>
        <v>0</v>
      </c>
      <c r="T1734" s="4">
        <f>(H1734*I1734)</f>
        <v>36000</v>
      </c>
      <c r="U1734" s="4">
        <f>(H1734*(I1734-1))</f>
        <v>0</v>
      </c>
      <c r="V1734" s="0" t="str">
        <f>INDEX('Account executives'!$B$2:$B$25,MATCH(C1734,'Account executives'!$A$2:$A$25,0))</f>
        <v>emea</v>
      </c>
      <c r="W1734" s="0" t="str">
        <f>INDEX('Account executives'!$C$2:$C$25,MATCH(C1734,'Account executives'!$A$2:$A$25,0))</f>
        <v>mid_market</v>
      </c>
      <c r="X1734" s="0" t="str">
        <f>SUBSTITUTE(LOWER(INDEX('Periods'!$G$2:$G$22,MATCH(N1734,'Periods'!$A$2:$A$22,0)))," ","_")</f>
        <v>q2_2026</v>
      </c>
    </row>
    <row r="1735">
      <c r="A1735" s="0" t="inlineStr">
        <is>
          <t xml:space="preserve">o1734</t>
        </is>
      </c>
      <c r="B1735" s="0" t="inlineStr">
        <is>
          <t xml:space="preserve">a0494</t>
        </is>
      </c>
      <c r="C1735" s="0" t="inlineStr">
        <is>
          <t xml:space="preserve">r09</t>
        </is>
      </c>
      <c r="D1735" s="0" t="inlineStr">
        <is>
          <t xml:space="preserve">s_amer_west_in</t>
        </is>
      </c>
      <c r="E1735" s="0" t="inlineStr">
        <is>
          <t xml:space="preserve">inbound</t>
        </is>
      </c>
      <c r="F1735" s="0" t="inlineStr">
        <is>
          <t xml:space="preserve">closed_won</t>
        </is>
      </c>
      <c r="G1735" s="4">
        <v>1</v>
      </c>
      <c r="H1735" s="4">
        <v>55800</v>
      </c>
      <c r="I1735" s="4">
        <v>1</v>
      </c>
      <c r="J1735" s="4">
        <v>0</v>
      </c>
      <c r="K1735" s="16">
        <v>45962</v>
      </c>
      <c r="L1735" s="16">
        <v>46008</v>
      </c>
      <c r="M1735" s="0" t="inlineStr">
        <is>
          <t xml:space="preserve">nov25</t>
        </is>
      </c>
      <c r="N1735" s="0" t="inlineStr">
        <is>
          <t xml:space="preserve">dec25</t>
        </is>
      </c>
      <c r="O1735" s="4">
        <v>46</v>
      </c>
      <c r="P1735" s="4">
        <v>1</v>
      </c>
      <c r="Q1735" s="4">
        <v>0</v>
      </c>
      <c r="R1735" s="4">
        <v>0</v>
      </c>
      <c r="S1735" s="4">
        <f>(H1735*INDEX('Stages'!$D$2:$D$7,MATCH(F1735,'Stages'!$A$2:$A$7,0)))</f>
        <v>55800</v>
      </c>
      <c r="T1735" s="4">
        <f>(H1735*I1735)</f>
        <v>55800</v>
      </c>
      <c r="U1735" s="4">
        <f>(H1735*(I1735-1))</f>
        <v>0</v>
      </c>
      <c r="V1735" s="0" t="str">
        <f>INDEX('Account executives'!$B$2:$B$25,MATCH(C1735,'Account executives'!$A$2:$A$25,0))</f>
        <v>amer_west</v>
      </c>
      <c r="W1735" s="0" t="str">
        <f>INDEX('Account executives'!$C$2:$C$25,MATCH(C1735,'Account executives'!$A$2:$A$25,0))</f>
        <v>mid_market</v>
      </c>
      <c r="X1735" s="0" t="str">
        <f>SUBSTITUTE(LOWER(INDEX('Periods'!$G$2:$G$22,MATCH(N1735,'Periods'!$A$2:$A$22,0)))," ","_")</f>
        <v>q4_2025</v>
      </c>
    </row>
    <row r="1736">
      <c r="A1736" s="0" t="inlineStr">
        <is>
          <t xml:space="preserve">o1735</t>
        </is>
      </c>
      <c r="B1736" s="0" t="inlineStr">
        <is>
          <t xml:space="preserve">a1102</t>
        </is>
      </c>
      <c r="C1736" s="0" t="inlineStr">
        <is>
          <t xml:space="preserve">r11</t>
        </is>
      </c>
      <c r="D1736" s="0"/>
      <c r="E1736" s="0" t="inlineStr">
        <is>
          <t xml:space="preserve">events</t>
        </is>
      </c>
      <c r="F1736" s="0" t="inlineStr">
        <is>
          <t xml:space="preserve">closed_lost</t>
        </is>
      </c>
      <c r="G1736" s="4">
        <v>1</v>
      </c>
      <c r="H1736" s="4">
        <v>18600</v>
      </c>
      <c r="I1736" s="4">
        <v>1</v>
      </c>
      <c r="J1736" s="4">
        <v>1</v>
      </c>
      <c r="K1736" s="16">
        <v>46228</v>
      </c>
      <c r="L1736" s="16">
        <v>46254</v>
      </c>
      <c r="M1736" s="0" t="inlineStr">
        <is>
          <t xml:space="preserve">jul26</t>
        </is>
      </c>
      <c r="N1736" s="0" t="inlineStr">
        <is>
          <t xml:space="preserve">aug26</t>
        </is>
      </c>
      <c r="O1736" s="4">
        <v>26</v>
      </c>
      <c r="P1736" s="4">
        <v>0</v>
      </c>
      <c r="Q1736" s="4">
        <v>1</v>
      </c>
      <c r="R1736" s="4">
        <v>0</v>
      </c>
      <c r="S1736" s="4">
        <f>(H1736*INDEX('Stages'!$D$2:$D$7,MATCH(F1736,'Stages'!$A$2:$A$7,0)))</f>
        <v>0</v>
      </c>
      <c r="T1736" s="4">
        <f>(H1736*I1736)</f>
        <v>18600</v>
      </c>
      <c r="U1736" s="4">
        <f>(H1736*(I1736-1))</f>
        <v>0</v>
      </c>
      <c r="V1736" s="0" t="str">
        <f>INDEX('Account executives'!$B$2:$B$25,MATCH(C1736,'Account executives'!$A$2:$A$25,0))</f>
        <v>amer_west</v>
      </c>
      <c r="W1736" s="0" t="str">
        <f>INDEX('Account executives'!$C$2:$C$25,MATCH(C1736,'Account executives'!$A$2:$A$25,0))</f>
        <v>smb</v>
      </c>
      <c r="X1736" s="0" t="str">
        <f>SUBSTITUTE(LOWER(INDEX('Periods'!$G$2:$G$22,MATCH(N1736,'Periods'!$A$2:$A$22,0)))," ","_")</f>
        <v>q3_2026</v>
      </c>
    </row>
    <row r="1737">
      <c r="A1737" s="0" t="inlineStr">
        <is>
          <t xml:space="preserve">o1736</t>
        </is>
      </c>
      <c r="B1737" s="0" t="inlineStr">
        <is>
          <t xml:space="preserve">a0898</t>
        </is>
      </c>
      <c r="C1737" s="0" t="inlineStr">
        <is>
          <t xml:space="preserve">r01</t>
        </is>
      </c>
      <c r="D1737" s="0" t="inlineStr">
        <is>
          <t xml:space="preserve">s_amer_east_in</t>
        </is>
      </c>
      <c r="E1737" s="0" t="inlineStr">
        <is>
          <t xml:space="preserve">paid</t>
        </is>
      </c>
      <c r="F1737" s="0" t="inlineStr">
        <is>
          <t xml:space="preserve">negotiation</t>
        </is>
      </c>
      <c r="G1737" s="4">
        <v>1</v>
      </c>
      <c r="H1737" s="4">
        <v>318000</v>
      </c>
      <c r="I1737" s="4">
        <v>3</v>
      </c>
      <c r="J1737" s="4">
        <v>0</v>
      </c>
      <c r="K1737" s="16">
        <v>46159</v>
      </c>
      <c r="L1737" s="16">
        <v>46300</v>
      </c>
      <c r="M1737" s="0" t="inlineStr">
        <is>
          <t xml:space="preserve">may26</t>
        </is>
      </c>
      <c r="N1737" s="0" t="inlineStr">
        <is>
          <t xml:space="preserve">oct26</t>
        </is>
      </c>
      <c r="O1737" s="4">
        <v>129</v>
      </c>
      <c r="P1737" s="4">
        <v>0</v>
      </c>
      <c r="Q1737" s="4">
        <v>0</v>
      </c>
      <c r="R1737" s="4">
        <v>1</v>
      </c>
      <c r="S1737" s="4">
        <f>(H1737*INDEX('Stages'!$D$2:$D$7,MATCH(F1737,'Stages'!$A$2:$A$7,0)))</f>
        <v>238500</v>
      </c>
      <c r="T1737" s="4">
        <f>(H1737*I1737)</f>
        <v>954000</v>
      </c>
      <c r="U1737" s="4">
        <f>(H1737*(I1737-1))</f>
        <v>636000</v>
      </c>
      <c r="V1737" s="0" t="str">
        <f>INDEX('Account executives'!$B$2:$B$25,MATCH(C1737,'Account executives'!$A$2:$A$25,0))</f>
        <v>amer_east</v>
      </c>
      <c r="W1737" s="0" t="str">
        <f>INDEX('Account executives'!$C$2:$C$25,MATCH(C1737,'Account executives'!$A$2:$A$25,0))</f>
        <v>enterprise</v>
      </c>
      <c r="X1737" s="0" t="str">
        <f>SUBSTITUTE(LOWER(INDEX('Periods'!$G$2:$G$22,MATCH(N1737,'Periods'!$A$2:$A$22,0)))," ","_")</f>
        <v>q4_2026</v>
      </c>
    </row>
    <row r="1738">
      <c r="A1738" s="0" t="inlineStr">
        <is>
          <t xml:space="preserve">o1737</t>
        </is>
      </c>
      <c r="B1738" s="0" t="inlineStr">
        <is>
          <t xml:space="preserve">a0050</t>
        </is>
      </c>
      <c r="C1738" s="0" t="inlineStr">
        <is>
          <t xml:space="preserve">r16</t>
        </is>
      </c>
      <c r="D1738" s="0"/>
      <c r="E1738" s="0" t="inlineStr">
        <is>
          <t xml:space="preserve">partner</t>
        </is>
      </c>
      <c r="F1738" s="0" t="inlineStr">
        <is>
          <t xml:space="preserve">closed_won</t>
        </is>
      </c>
      <c r="G1738" s="4">
        <v>1</v>
      </c>
      <c r="H1738" s="4">
        <v>22900</v>
      </c>
      <c r="I1738" s="4">
        <v>1</v>
      </c>
      <c r="J1738" s="4">
        <v>0</v>
      </c>
      <c r="K1738" s="16">
        <v>45757</v>
      </c>
      <c r="L1738" s="16">
        <v>45833</v>
      </c>
      <c r="M1738" s="0" t="inlineStr">
        <is>
          <t xml:space="preserve">apr25</t>
        </is>
      </c>
      <c r="N1738" s="0" t="inlineStr">
        <is>
          <t xml:space="preserve">jun25</t>
        </is>
      </c>
      <c r="O1738" s="4">
        <v>76</v>
      </c>
      <c r="P1738" s="4">
        <v>1</v>
      </c>
      <c r="Q1738" s="4">
        <v>0</v>
      </c>
      <c r="R1738" s="4">
        <v>0</v>
      </c>
      <c r="S1738" s="4">
        <f>(H1738*INDEX('Stages'!$D$2:$D$7,MATCH(F1738,'Stages'!$A$2:$A$7,0)))</f>
        <v>22900</v>
      </c>
      <c r="T1738" s="4">
        <f>(H1738*I1738)</f>
        <v>22900</v>
      </c>
      <c r="U1738" s="4">
        <f>(H1738*(I1738-1))</f>
        <v>0</v>
      </c>
      <c r="V1738" s="0" t="str">
        <f>INDEX('Account executives'!$B$2:$B$25,MATCH(C1738,'Account executives'!$A$2:$A$25,0))</f>
        <v>emea</v>
      </c>
      <c r="W1738" s="0" t="str">
        <f>INDEX('Account executives'!$C$2:$C$25,MATCH(C1738,'Account executives'!$A$2:$A$25,0))</f>
        <v>mid_market</v>
      </c>
      <c r="X1738" s="0" t="str">
        <f>SUBSTITUTE(LOWER(INDEX('Periods'!$G$2:$G$22,MATCH(N1738,'Periods'!$A$2:$A$22,0)))," ","_")</f>
        <v>q2_2025</v>
      </c>
    </row>
    <row r="1739">
      <c r="A1739" s="0" t="inlineStr">
        <is>
          <t xml:space="preserve">o1738</t>
        </is>
      </c>
      <c r="B1739" s="0" t="inlineStr">
        <is>
          <t xml:space="preserve">a0814</t>
        </is>
      </c>
      <c r="C1739" s="0" t="inlineStr">
        <is>
          <t xml:space="preserve">r06</t>
        </is>
      </c>
      <c r="D1739" s="0" t="inlineStr">
        <is>
          <t xml:space="preserve">s_amer_east_out</t>
        </is>
      </c>
      <c r="E1739" s="0" t="inlineStr">
        <is>
          <t xml:space="preserve">outbound</t>
        </is>
      </c>
      <c r="F1739" s="0" t="inlineStr">
        <is>
          <t xml:space="preserve">closed_won</t>
        </is>
      </c>
      <c r="G1739" s="4">
        <v>0</v>
      </c>
      <c r="H1739" s="4">
        <v>14100</v>
      </c>
      <c r="I1739" s="4">
        <v>1</v>
      </c>
      <c r="J1739" s="4">
        <v>1</v>
      </c>
      <c r="K1739" s="16">
        <v>46132</v>
      </c>
      <c r="L1739" s="16">
        <v>46158</v>
      </c>
      <c r="M1739" s="0" t="inlineStr">
        <is>
          <t xml:space="preserve">apr26</t>
        </is>
      </c>
      <c r="N1739" s="0" t="inlineStr">
        <is>
          <t xml:space="preserve">may26</t>
        </is>
      </c>
      <c r="O1739" s="4">
        <v>26</v>
      </c>
      <c r="P1739" s="4">
        <v>1</v>
      </c>
      <c r="Q1739" s="4">
        <v>0</v>
      </c>
      <c r="R1739" s="4">
        <v>0</v>
      </c>
      <c r="S1739" s="4">
        <f>(H1739*INDEX('Stages'!$D$2:$D$7,MATCH(F1739,'Stages'!$A$2:$A$7,0)))</f>
        <v>14100</v>
      </c>
      <c r="T1739" s="4">
        <f>(H1739*I1739)</f>
        <v>14100</v>
      </c>
      <c r="U1739" s="4">
        <f>(H1739*(I1739-1))</f>
        <v>0</v>
      </c>
      <c r="V1739" s="0" t="str">
        <f>INDEX('Account executives'!$B$2:$B$25,MATCH(C1739,'Account executives'!$A$2:$A$25,0))</f>
        <v>amer_east</v>
      </c>
      <c r="W1739" s="0" t="str">
        <f>INDEX('Account executives'!$C$2:$C$25,MATCH(C1739,'Account executives'!$A$2:$A$25,0))</f>
        <v>smb</v>
      </c>
      <c r="X1739" s="0" t="str">
        <f>SUBSTITUTE(LOWER(INDEX('Periods'!$G$2:$G$22,MATCH(N1739,'Periods'!$A$2:$A$22,0)))," ","_")</f>
        <v>q2_2026</v>
      </c>
    </row>
    <row r="1740">
      <c r="A1740" s="0" t="inlineStr">
        <is>
          <t xml:space="preserve">o1739</t>
        </is>
      </c>
      <c r="B1740" s="0" t="inlineStr">
        <is>
          <t xml:space="preserve">a0326</t>
        </is>
      </c>
      <c r="C1740" s="0" t="inlineStr">
        <is>
          <t xml:space="preserve">r12</t>
        </is>
      </c>
      <c r="D1740" s="0"/>
      <c r="E1740" s="0" t="inlineStr">
        <is>
          <t xml:space="preserve">events</t>
        </is>
      </c>
      <c r="F1740" s="0" t="inlineStr">
        <is>
          <t xml:space="preserve">closed_won</t>
        </is>
      </c>
      <c r="G1740" s="4">
        <v>0</v>
      </c>
      <c r="H1740" s="4">
        <v>6500</v>
      </c>
      <c r="I1740" s="4">
        <v>1</v>
      </c>
      <c r="J1740" s="4">
        <v>1</v>
      </c>
      <c r="K1740" s="16">
        <v>46103</v>
      </c>
      <c r="L1740" s="16">
        <v>46126</v>
      </c>
      <c r="M1740" s="0" t="inlineStr">
        <is>
          <t xml:space="preserve">mar26</t>
        </is>
      </c>
      <c r="N1740" s="0" t="inlineStr">
        <is>
          <t xml:space="preserve">apr26</t>
        </is>
      </c>
      <c r="O1740" s="4">
        <v>23</v>
      </c>
      <c r="P1740" s="4">
        <v>1</v>
      </c>
      <c r="Q1740" s="4">
        <v>0</v>
      </c>
      <c r="R1740" s="4">
        <v>0</v>
      </c>
      <c r="S1740" s="4">
        <f>(H1740*INDEX('Stages'!$D$2:$D$7,MATCH(F1740,'Stages'!$A$2:$A$7,0)))</f>
        <v>6500</v>
      </c>
      <c r="T1740" s="4">
        <f>(H1740*I1740)</f>
        <v>6500</v>
      </c>
      <c r="U1740" s="4">
        <f>(H1740*(I1740-1))</f>
        <v>0</v>
      </c>
      <c r="V1740" s="0" t="str">
        <f>INDEX('Account executives'!$B$2:$B$25,MATCH(C1740,'Account executives'!$A$2:$A$25,0))</f>
        <v>amer_west</v>
      </c>
      <c r="W1740" s="0" t="str">
        <f>INDEX('Account executives'!$C$2:$C$25,MATCH(C1740,'Account executives'!$A$2:$A$25,0))</f>
        <v>smb</v>
      </c>
      <c r="X1740" s="0" t="str">
        <f>SUBSTITUTE(LOWER(INDEX('Periods'!$G$2:$G$22,MATCH(N1740,'Periods'!$A$2:$A$22,0)))," ","_")</f>
        <v>q2_2026</v>
      </c>
    </row>
    <row r="1741">
      <c r="A1741" s="0" t="inlineStr">
        <is>
          <t xml:space="preserve">o1740</t>
        </is>
      </c>
      <c r="B1741" s="0" t="inlineStr">
        <is>
          <t xml:space="preserve">a0802</t>
        </is>
      </c>
      <c r="C1741" s="0" t="inlineStr">
        <is>
          <t xml:space="preserve">r21</t>
        </is>
      </c>
      <c r="D1741" s="0"/>
      <c r="E1741" s="0" t="inlineStr">
        <is>
          <t xml:space="preserve">events</t>
        </is>
      </c>
      <c r="F1741" s="0" t="inlineStr">
        <is>
          <t xml:space="preserve">closed_lost</t>
        </is>
      </c>
      <c r="G1741" s="4">
        <v>1</v>
      </c>
      <c r="H1741" s="4">
        <v>24700</v>
      </c>
      <c r="I1741" s="4">
        <v>2</v>
      </c>
      <c r="J1741" s="4">
        <v>0</v>
      </c>
      <c r="K1741" s="16">
        <v>46093</v>
      </c>
      <c r="L1741" s="16">
        <v>46201</v>
      </c>
      <c r="M1741" s="0" t="inlineStr">
        <is>
          <t xml:space="preserve">mar26</t>
        </is>
      </c>
      <c r="N1741" s="0" t="inlineStr">
        <is>
          <t xml:space="preserve">jun26</t>
        </is>
      </c>
      <c r="O1741" s="4">
        <v>108</v>
      </c>
      <c r="P1741" s="4">
        <v>0</v>
      </c>
      <c r="Q1741" s="4">
        <v>1</v>
      </c>
      <c r="R1741" s="4">
        <v>0</v>
      </c>
      <c r="S1741" s="4">
        <f>(H1741*INDEX('Stages'!$D$2:$D$7,MATCH(F1741,'Stages'!$A$2:$A$7,0)))</f>
        <v>0</v>
      </c>
      <c r="T1741" s="4">
        <f>(H1741*I1741)</f>
        <v>49400</v>
      </c>
      <c r="U1741" s="4">
        <f>(H1741*(I1741-1))</f>
        <v>24700</v>
      </c>
      <c r="V1741" s="0" t="str">
        <f>INDEX('Account executives'!$B$2:$B$25,MATCH(C1741,'Account executives'!$A$2:$A$25,0))</f>
        <v>apac</v>
      </c>
      <c r="W1741" s="0" t="str">
        <f>INDEX('Account executives'!$C$2:$C$25,MATCH(C1741,'Account executives'!$A$2:$A$25,0))</f>
        <v>mid_market</v>
      </c>
      <c r="X1741" s="0" t="str">
        <f>SUBSTITUTE(LOWER(INDEX('Periods'!$G$2:$G$22,MATCH(N1741,'Periods'!$A$2:$A$22,0)))," ","_")</f>
        <v>q2_2026</v>
      </c>
    </row>
    <row r="1742">
      <c r="A1742" s="0" t="inlineStr">
        <is>
          <t xml:space="preserve">o1741</t>
        </is>
      </c>
      <c r="B1742" s="0" t="inlineStr">
        <is>
          <t xml:space="preserve">a0238</t>
        </is>
      </c>
      <c r="C1742" s="0" t="inlineStr">
        <is>
          <t xml:space="preserve">r05</t>
        </is>
      </c>
      <c r="D1742" s="0" t="inlineStr">
        <is>
          <t xml:space="preserve">s_amer_east_in</t>
        </is>
      </c>
      <c r="E1742" s="0" t="inlineStr">
        <is>
          <t xml:space="preserve">inbound</t>
        </is>
      </c>
      <c r="F1742" s="0" t="inlineStr">
        <is>
          <t xml:space="preserve">closed_lost</t>
        </is>
      </c>
      <c r="G1742" s="4">
        <v>1</v>
      </c>
      <c r="H1742" s="4">
        <v>6700</v>
      </c>
      <c r="I1742" s="4">
        <v>1</v>
      </c>
      <c r="J1742" s="4">
        <v>0</v>
      </c>
      <c r="K1742" s="16">
        <v>45858</v>
      </c>
      <c r="L1742" s="16">
        <v>45928</v>
      </c>
      <c r="M1742" s="0" t="inlineStr">
        <is>
          <t xml:space="preserve">jul25</t>
        </is>
      </c>
      <c r="N1742" s="0" t="inlineStr">
        <is>
          <t xml:space="preserve">sep25</t>
        </is>
      </c>
      <c r="O1742" s="4">
        <v>70</v>
      </c>
      <c r="P1742" s="4">
        <v>0</v>
      </c>
      <c r="Q1742" s="4">
        <v>1</v>
      </c>
      <c r="R1742" s="4">
        <v>0</v>
      </c>
      <c r="S1742" s="4">
        <f>(H1742*INDEX('Stages'!$D$2:$D$7,MATCH(F1742,'Stages'!$A$2:$A$7,0)))</f>
        <v>0</v>
      </c>
      <c r="T1742" s="4">
        <f>(H1742*I1742)</f>
        <v>6700</v>
      </c>
      <c r="U1742" s="4">
        <f>(H1742*(I1742-1))</f>
        <v>0</v>
      </c>
      <c r="V1742" s="0" t="str">
        <f>INDEX('Account executives'!$B$2:$B$25,MATCH(C1742,'Account executives'!$A$2:$A$25,0))</f>
        <v>amer_east</v>
      </c>
      <c r="W1742" s="0" t="str">
        <f>INDEX('Account executives'!$C$2:$C$25,MATCH(C1742,'Account executives'!$A$2:$A$25,0))</f>
        <v>smb</v>
      </c>
      <c r="X1742" s="0" t="str">
        <f>SUBSTITUTE(LOWER(INDEX('Periods'!$G$2:$G$22,MATCH(N1742,'Periods'!$A$2:$A$22,0)))," ","_")</f>
        <v>q3_2025</v>
      </c>
    </row>
    <row r="1743">
      <c r="A1743" s="0" t="inlineStr">
        <is>
          <t xml:space="preserve">o1742</t>
        </is>
      </c>
      <c r="B1743" s="0" t="inlineStr">
        <is>
          <t xml:space="preserve">a0449</t>
        </is>
      </c>
      <c r="C1743" s="0" t="inlineStr">
        <is>
          <t xml:space="preserve">r18</t>
        </is>
      </c>
      <c r="D1743" s="0" t="inlineStr">
        <is>
          <t xml:space="preserve">s_emea_in</t>
        </is>
      </c>
      <c r="E1743" s="0" t="inlineStr">
        <is>
          <t xml:space="preserve">inbound</t>
        </is>
      </c>
      <c r="F1743" s="0" t="inlineStr">
        <is>
          <t xml:space="preserve">closed_lost</t>
        </is>
      </c>
      <c r="G1743" s="4">
        <v>0</v>
      </c>
      <c r="H1743" s="4">
        <v>5100</v>
      </c>
      <c r="I1743" s="4">
        <v>1</v>
      </c>
      <c r="J1743" s="4">
        <v>0</v>
      </c>
      <c r="K1743" s="16">
        <v>46104</v>
      </c>
      <c r="L1743" s="16">
        <v>46111</v>
      </c>
      <c r="M1743" s="0" t="inlineStr">
        <is>
          <t xml:space="preserve">mar26</t>
        </is>
      </c>
      <c r="N1743" s="0" t="inlineStr">
        <is>
          <t xml:space="preserve">mar26</t>
        </is>
      </c>
      <c r="O1743" s="4">
        <v>7</v>
      </c>
      <c r="P1743" s="4">
        <v>0</v>
      </c>
      <c r="Q1743" s="4">
        <v>1</v>
      </c>
      <c r="R1743" s="4">
        <v>0</v>
      </c>
      <c r="S1743" s="4">
        <f>(H1743*INDEX('Stages'!$D$2:$D$7,MATCH(F1743,'Stages'!$A$2:$A$7,0)))</f>
        <v>0</v>
      </c>
      <c r="T1743" s="4">
        <f>(H1743*I1743)</f>
        <v>5100</v>
      </c>
      <c r="U1743" s="4">
        <f>(H1743*(I1743-1))</f>
        <v>0</v>
      </c>
      <c r="V1743" s="0" t="str">
        <f>INDEX('Account executives'!$B$2:$B$25,MATCH(C1743,'Account executives'!$A$2:$A$25,0))</f>
        <v>emea</v>
      </c>
      <c r="W1743" s="0" t="str">
        <f>INDEX('Account executives'!$C$2:$C$25,MATCH(C1743,'Account executives'!$A$2:$A$25,0))</f>
        <v>smb</v>
      </c>
      <c r="X1743" s="0" t="str">
        <f>SUBSTITUTE(LOWER(INDEX('Periods'!$G$2:$G$22,MATCH(N1743,'Periods'!$A$2:$A$22,0)))," ","_")</f>
        <v>q1_2026</v>
      </c>
    </row>
    <row r="1744">
      <c r="A1744" s="0" t="inlineStr">
        <is>
          <t xml:space="preserve">o1743</t>
        </is>
      </c>
      <c r="B1744" s="0" t="inlineStr">
        <is>
          <t xml:space="preserve">a0855</t>
        </is>
      </c>
      <c r="C1744" s="0" t="inlineStr">
        <is>
          <t xml:space="preserve">r09</t>
        </is>
      </c>
      <c r="D1744" s="0" t="inlineStr">
        <is>
          <t xml:space="preserve">s_amer_west_in</t>
        </is>
      </c>
      <c r="E1744" s="0" t="inlineStr">
        <is>
          <t xml:space="preserve">paid</t>
        </is>
      </c>
      <c r="F1744" s="0" t="inlineStr">
        <is>
          <t xml:space="preserve">discovery</t>
        </is>
      </c>
      <c r="G1744" s="4">
        <v>0</v>
      </c>
      <c r="H1744" s="4">
        <v>20700</v>
      </c>
      <c r="I1744" s="4">
        <v>1</v>
      </c>
      <c r="J1744" s="4">
        <v>1</v>
      </c>
      <c r="K1744" s="16">
        <v>46271</v>
      </c>
      <c r="L1744" s="16">
        <v>46323</v>
      </c>
      <c r="M1744" s="0" t="inlineStr">
        <is>
          <t xml:space="preserve">sep26</t>
        </is>
      </c>
      <c r="N1744" s="0" t="inlineStr">
        <is>
          <t xml:space="preserve">oct26</t>
        </is>
      </c>
      <c r="O1744" s="4">
        <v>54</v>
      </c>
      <c r="P1744" s="4">
        <v>0</v>
      </c>
      <c r="Q1744" s="4">
        <v>0</v>
      </c>
      <c r="R1744" s="4">
        <v>1</v>
      </c>
      <c r="S1744" s="4">
        <f>(H1744*INDEX('Stages'!$D$2:$D$7,MATCH(F1744,'Stages'!$A$2:$A$7,0)))</f>
        <v>2070</v>
      </c>
      <c r="T1744" s="4">
        <f>(H1744*I1744)</f>
        <v>20700</v>
      </c>
      <c r="U1744" s="4">
        <f>(H1744*(I1744-1))</f>
        <v>0</v>
      </c>
      <c r="V1744" s="0" t="str">
        <f>INDEX('Account executives'!$B$2:$B$25,MATCH(C1744,'Account executives'!$A$2:$A$25,0))</f>
        <v>amer_west</v>
      </c>
      <c r="W1744" s="0" t="str">
        <f>INDEX('Account executives'!$C$2:$C$25,MATCH(C1744,'Account executives'!$A$2:$A$25,0))</f>
        <v>mid_market</v>
      </c>
      <c r="X1744" s="0" t="str">
        <f>SUBSTITUTE(LOWER(INDEX('Periods'!$G$2:$G$22,MATCH(N1744,'Periods'!$A$2:$A$22,0)))," ","_")</f>
        <v>q4_2026</v>
      </c>
    </row>
    <row r="1745">
      <c r="A1745" s="0" t="inlineStr">
        <is>
          <t xml:space="preserve">o1744</t>
        </is>
      </c>
      <c r="B1745" s="0" t="inlineStr">
        <is>
          <t xml:space="preserve">a0434</t>
        </is>
      </c>
      <c r="C1745" s="0" t="inlineStr">
        <is>
          <t xml:space="preserve">r12</t>
        </is>
      </c>
      <c r="D1745" s="0" t="inlineStr">
        <is>
          <t xml:space="preserve">s_amer_west_in</t>
        </is>
      </c>
      <c r="E1745" s="0" t="inlineStr">
        <is>
          <t xml:space="preserve">inbound</t>
        </is>
      </c>
      <c r="F1745" s="0" t="inlineStr">
        <is>
          <t xml:space="preserve">closed_won</t>
        </is>
      </c>
      <c r="G1745" s="4">
        <v>0</v>
      </c>
      <c r="H1745" s="4">
        <v>5000</v>
      </c>
      <c r="I1745" s="4">
        <v>1</v>
      </c>
      <c r="J1745" s="4">
        <v>0</v>
      </c>
      <c r="K1745" s="16">
        <v>46114</v>
      </c>
      <c r="L1745" s="16">
        <v>46146</v>
      </c>
      <c r="M1745" s="0" t="inlineStr">
        <is>
          <t xml:space="preserve">apr26</t>
        </is>
      </c>
      <c r="N1745" s="0" t="inlineStr">
        <is>
          <t xml:space="preserve">may26</t>
        </is>
      </c>
      <c r="O1745" s="4">
        <v>32</v>
      </c>
      <c r="P1745" s="4">
        <v>1</v>
      </c>
      <c r="Q1745" s="4">
        <v>0</v>
      </c>
      <c r="R1745" s="4">
        <v>0</v>
      </c>
      <c r="S1745" s="4">
        <f>(H1745*INDEX('Stages'!$D$2:$D$7,MATCH(F1745,'Stages'!$A$2:$A$7,0)))</f>
        <v>5000</v>
      </c>
      <c r="T1745" s="4">
        <f>(H1745*I1745)</f>
        <v>5000</v>
      </c>
      <c r="U1745" s="4">
        <f>(H1745*(I1745-1))</f>
        <v>0</v>
      </c>
      <c r="V1745" s="0" t="str">
        <f>INDEX('Account executives'!$B$2:$B$25,MATCH(C1745,'Account executives'!$A$2:$A$25,0))</f>
        <v>amer_west</v>
      </c>
      <c r="W1745" s="0" t="str">
        <f>INDEX('Account executives'!$C$2:$C$25,MATCH(C1745,'Account executives'!$A$2:$A$25,0))</f>
        <v>smb</v>
      </c>
      <c r="X1745" s="0" t="str">
        <f>SUBSTITUTE(LOWER(INDEX('Periods'!$G$2:$G$22,MATCH(N1745,'Periods'!$A$2:$A$22,0)))," ","_")</f>
        <v>q2_2026</v>
      </c>
    </row>
    <row r="1746">
      <c r="A1746" s="0" t="inlineStr">
        <is>
          <t xml:space="preserve">o1745</t>
        </is>
      </c>
      <c r="B1746" s="0" t="inlineStr">
        <is>
          <t xml:space="preserve">a1098</t>
        </is>
      </c>
      <c r="C1746" s="0" t="inlineStr">
        <is>
          <t xml:space="preserve">r10</t>
        </is>
      </c>
      <c r="D1746" s="0" t="inlineStr">
        <is>
          <t xml:space="preserve">s_amer_west_in</t>
        </is>
      </c>
      <c r="E1746" s="0" t="inlineStr">
        <is>
          <t xml:space="preserve">inbound</t>
        </is>
      </c>
      <c r="F1746" s="0" t="inlineStr">
        <is>
          <t xml:space="preserve">closed_won</t>
        </is>
      </c>
      <c r="G1746" s="4">
        <v>1</v>
      </c>
      <c r="H1746" s="4">
        <v>35600</v>
      </c>
      <c r="I1746" s="4">
        <v>1</v>
      </c>
      <c r="J1746" s="4">
        <v>0</v>
      </c>
      <c r="K1746" s="16">
        <v>46205</v>
      </c>
      <c r="L1746" s="16">
        <v>46243</v>
      </c>
      <c r="M1746" s="0" t="inlineStr">
        <is>
          <t xml:space="preserve">jul26</t>
        </is>
      </c>
      <c r="N1746" s="0" t="inlineStr">
        <is>
          <t xml:space="preserve">aug26</t>
        </is>
      </c>
      <c r="O1746" s="4">
        <v>38</v>
      </c>
      <c r="P1746" s="4">
        <v>1</v>
      </c>
      <c r="Q1746" s="4">
        <v>0</v>
      </c>
      <c r="R1746" s="4">
        <v>0</v>
      </c>
      <c r="S1746" s="4">
        <f>(H1746*INDEX('Stages'!$D$2:$D$7,MATCH(F1746,'Stages'!$A$2:$A$7,0)))</f>
        <v>35600</v>
      </c>
      <c r="T1746" s="4">
        <f>(H1746*I1746)</f>
        <v>35600</v>
      </c>
      <c r="U1746" s="4">
        <f>(H1746*(I1746-1))</f>
        <v>0</v>
      </c>
      <c r="V1746" s="0" t="str">
        <f>INDEX('Account executives'!$B$2:$B$25,MATCH(C1746,'Account executives'!$A$2:$A$25,0))</f>
        <v>amer_west</v>
      </c>
      <c r="W1746" s="0" t="str">
        <f>INDEX('Account executives'!$C$2:$C$25,MATCH(C1746,'Account executives'!$A$2:$A$25,0))</f>
        <v>mid_market</v>
      </c>
      <c r="X1746" s="0" t="str">
        <f>SUBSTITUTE(LOWER(INDEX('Periods'!$G$2:$G$22,MATCH(N1746,'Periods'!$A$2:$A$22,0)))," ","_")</f>
        <v>q3_2026</v>
      </c>
    </row>
    <row r="1747">
      <c r="A1747" s="0" t="inlineStr">
        <is>
          <t xml:space="preserve">o1746</t>
        </is>
      </c>
      <c r="B1747" s="0" t="inlineStr">
        <is>
          <t xml:space="preserve">a0484</t>
        </is>
      </c>
      <c r="C1747" s="0" t="inlineStr">
        <is>
          <t xml:space="preserve">r06</t>
        </is>
      </c>
      <c r="D1747" s="0"/>
      <c r="E1747" s="0" t="inlineStr">
        <is>
          <t xml:space="preserve">partner</t>
        </is>
      </c>
      <c r="F1747" s="0" t="inlineStr">
        <is>
          <t xml:space="preserve">closed_lost</t>
        </is>
      </c>
      <c r="G1747" s="4">
        <v>1</v>
      </c>
      <c r="H1747" s="4">
        <v>24700</v>
      </c>
      <c r="I1747" s="4">
        <v>1</v>
      </c>
      <c r="J1747" s="4">
        <v>0</v>
      </c>
      <c r="K1747" s="16">
        <v>45974</v>
      </c>
      <c r="L1747" s="16">
        <v>45997</v>
      </c>
      <c r="M1747" s="0" t="inlineStr">
        <is>
          <t xml:space="preserve">nov25</t>
        </is>
      </c>
      <c r="N1747" s="0" t="inlineStr">
        <is>
          <t xml:space="preserve">dec25</t>
        </is>
      </c>
      <c r="O1747" s="4">
        <v>23</v>
      </c>
      <c r="P1747" s="4">
        <v>0</v>
      </c>
      <c r="Q1747" s="4">
        <v>1</v>
      </c>
      <c r="R1747" s="4">
        <v>0</v>
      </c>
      <c r="S1747" s="4">
        <f>(H1747*INDEX('Stages'!$D$2:$D$7,MATCH(F1747,'Stages'!$A$2:$A$7,0)))</f>
        <v>0</v>
      </c>
      <c r="T1747" s="4">
        <f>(H1747*I1747)</f>
        <v>24700</v>
      </c>
      <c r="U1747" s="4">
        <f>(H1747*(I1747-1))</f>
        <v>0</v>
      </c>
      <c r="V1747" s="0" t="str">
        <f>INDEX('Account executives'!$B$2:$B$25,MATCH(C1747,'Account executives'!$A$2:$A$25,0))</f>
        <v>amer_east</v>
      </c>
      <c r="W1747" s="0" t="str">
        <f>INDEX('Account executives'!$C$2:$C$25,MATCH(C1747,'Account executives'!$A$2:$A$25,0))</f>
        <v>smb</v>
      </c>
      <c r="X1747" s="0" t="str">
        <f>SUBSTITUTE(LOWER(INDEX('Periods'!$G$2:$G$22,MATCH(N1747,'Periods'!$A$2:$A$22,0)))," ","_")</f>
        <v>q4_2025</v>
      </c>
    </row>
    <row r="1748">
      <c r="A1748" s="0" t="inlineStr">
        <is>
          <t xml:space="preserve">o1747</t>
        </is>
      </c>
      <c r="B1748" s="0" t="inlineStr">
        <is>
          <t xml:space="preserve">a0560</t>
        </is>
      </c>
      <c r="C1748" s="0" t="inlineStr">
        <is>
          <t xml:space="preserve">r09</t>
        </is>
      </c>
      <c r="D1748" s="0"/>
      <c r="E1748" s="0" t="inlineStr">
        <is>
          <t xml:space="preserve">events</t>
        </is>
      </c>
      <c r="F1748" s="0" t="inlineStr">
        <is>
          <t xml:space="preserve">closed_won</t>
        </is>
      </c>
      <c r="G1748" s="4">
        <v>0</v>
      </c>
      <c r="H1748" s="4">
        <v>22700</v>
      </c>
      <c r="I1748" s="4">
        <v>1</v>
      </c>
      <c r="J1748" s="4">
        <v>1</v>
      </c>
      <c r="K1748" s="16">
        <v>46144</v>
      </c>
      <c r="L1748" s="16">
        <v>46233</v>
      </c>
      <c r="M1748" s="0" t="inlineStr">
        <is>
          <t xml:space="preserve">may26</t>
        </is>
      </c>
      <c r="N1748" s="0" t="inlineStr">
        <is>
          <t xml:space="preserve">jul26</t>
        </is>
      </c>
      <c r="O1748" s="4">
        <v>89</v>
      </c>
      <c r="P1748" s="4">
        <v>1</v>
      </c>
      <c r="Q1748" s="4">
        <v>0</v>
      </c>
      <c r="R1748" s="4">
        <v>0</v>
      </c>
      <c r="S1748" s="4">
        <f>(H1748*INDEX('Stages'!$D$2:$D$7,MATCH(F1748,'Stages'!$A$2:$A$7,0)))</f>
        <v>22700</v>
      </c>
      <c r="T1748" s="4">
        <f>(H1748*I1748)</f>
        <v>22700</v>
      </c>
      <c r="U1748" s="4">
        <f>(H1748*(I1748-1))</f>
        <v>0</v>
      </c>
      <c r="V1748" s="0" t="str">
        <f>INDEX('Account executives'!$B$2:$B$25,MATCH(C1748,'Account executives'!$A$2:$A$25,0))</f>
        <v>amer_west</v>
      </c>
      <c r="W1748" s="0" t="str">
        <f>INDEX('Account executives'!$C$2:$C$25,MATCH(C1748,'Account executives'!$A$2:$A$25,0))</f>
        <v>mid_market</v>
      </c>
      <c r="X1748" s="0" t="str">
        <f>SUBSTITUTE(LOWER(INDEX('Periods'!$G$2:$G$22,MATCH(N1748,'Periods'!$A$2:$A$22,0)))," ","_")</f>
        <v>q3_2026</v>
      </c>
    </row>
    <row r="1749">
      <c r="A1749" s="0" t="inlineStr">
        <is>
          <t xml:space="preserve">o1748</t>
        </is>
      </c>
      <c r="B1749" s="0" t="inlineStr">
        <is>
          <t xml:space="preserve">a0767</t>
        </is>
      </c>
      <c r="C1749" s="0" t="inlineStr">
        <is>
          <t xml:space="preserve">r07</t>
        </is>
      </c>
      <c r="D1749" s="0"/>
      <c r="E1749" s="0" t="inlineStr">
        <is>
          <t xml:space="preserve">partner</t>
        </is>
      </c>
      <c r="F1749" s="0" t="inlineStr">
        <is>
          <t xml:space="preserve">closed_won</t>
        </is>
      </c>
      <c r="G1749" s="4">
        <v>1</v>
      </c>
      <c r="H1749" s="4">
        <v>209000</v>
      </c>
      <c r="I1749" s="4">
        <v>1</v>
      </c>
      <c r="J1749" s="4">
        <v>1</v>
      </c>
      <c r="K1749" s="16">
        <v>46094</v>
      </c>
      <c r="L1749" s="16">
        <v>46211</v>
      </c>
      <c r="M1749" s="0" t="inlineStr">
        <is>
          <t xml:space="preserve">mar26</t>
        </is>
      </c>
      <c r="N1749" s="0" t="inlineStr">
        <is>
          <t xml:space="preserve">jul26</t>
        </is>
      </c>
      <c r="O1749" s="4">
        <v>117</v>
      </c>
      <c r="P1749" s="4">
        <v>1</v>
      </c>
      <c r="Q1749" s="4">
        <v>0</v>
      </c>
      <c r="R1749" s="4">
        <v>0</v>
      </c>
      <c r="S1749" s="4">
        <f>(H1749*INDEX('Stages'!$D$2:$D$7,MATCH(F1749,'Stages'!$A$2:$A$7,0)))</f>
        <v>209000</v>
      </c>
      <c r="T1749" s="4">
        <f>(H1749*I1749)</f>
        <v>209000</v>
      </c>
      <c r="U1749" s="4">
        <f>(H1749*(I1749-1))</f>
        <v>0</v>
      </c>
      <c r="V1749" s="0" t="str">
        <f>INDEX('Account executives'!$B$2:$B$25,MATCH(C1749,'Account executives'!$A$2:$A$25,0))</f>
        <v>amer_west</v>
      </c>
      <c r="W1749" s="0" t="str">
        <f>INDEX('Account executives'!$C$2:$C$25,MATCH(C1749,'Account executives'!$A$2:$A$25,0))</f>
        <v>enterprise</v>
      </c>
      <c r="X1749" s="0" t="str">
        <f>SUBSTITUTE(LOWER(INDEX('Periods'!$G$2:$G$22,MATCH(N1749,'Periods'!$A$2:$A$22,0)))," ","_")</f>
        <v>q3_2026</v>
      </c>
    </row>
    <row r="1750">
      <c r="A1750" s="0" t="inlineStr">
        <is>
          <t xml:space="preserve">o1749</t>
        </is>
      </c>
      <c r="B1750" s="0" t="inlineStr">
        <is>
          <t xml:space="preserve">a0700</t>
        </is>
      </c>
      <c r="C1750" s="0" t="inlineStr">
        <is>
          <t xml:space="preserve">r17</t>
        </is>
      </c>
      <c r="D1750" s="0"/>
      <c r="E1750" s="0" t="inlineStr">
        <is>
          <t xml:space="preserve">events</t>
        </is>
      </c>
      <c r="F1750" s="0" t="inlineStr">
        <is>
          <t xml:space="preserve">closed_lost</t>
        </is>
      </c>
      <c r="G1750" s="4">
        <v>1</v>
      </c>
      <c r="H1750" s="4">
        <v>18200</v>
      </c>
      <c r="I1750" s="4">
        <v>1</v>
      </c>
      <c r="J1750" s="4">
        <v>0</v>
      </c>
      <c r="K1750" s="16">
        <v>46061</v>
      </c>
      <c r="L1750" s="16">
        <v>46103</v>
      </c>
      <c r="M1750" s="0" t="inlineStr">
        <is>
          <t xml:space="preserve">feb26</t>
        </is>
      </c>
      <c r="N1750" s="0" t="inlineStr">
        <is>
          <t xml:space="preserve">mar26</t>
        </is>
      </c>
      <c r="O1750" s="4">
        <v>42</v>
      </c>
      <c r="P1750" s="4">
        <v>0</v>
      </c>
      <c r="Q1750" s="4">
        <v>1</v>
      </c>
      <c r="R1750" s="4">
        <v>0</v>
      </c>
      <c r="S1750" s="4">
        <f>(H1750*INDEX('Stages'!$D$2:$D$7,MATCH(F1750,'Stages'!$A$2:$A$7,0)))</f>
        <v>0</v>
      </c>
      <c r="T1750" s="4">
        <f>(H1750*I1750)</f>
        <v>18200</v>
      </c>
      <c r="U1750" s="4">
        <f>(H1750*(I1750-1))</f>
        <v>0</v>
      </c>
      <c r="V1750" s="0" t="str">
        <f>INDEX('Account executives'!$B$2:$B$25,MATCH(C1750,'Account executives'!$A$2:$A$25,0))</f>
        <v>emea</v>
      </c>
      <c r="W1750" s="0" t="str">
        <f>INDEX('Account executives'!$C$2:$C$25,MATCH(C1750,'Account executives'!$A$2:$A$25,0))</f>
        <v>smb</v>
      </c>
      <c r="X1750" s="0" t="str">
        <f>SUBSTITUTE(LOWER(INDEX('Periods'!$G$2:$G$22,MATCH(N1750,'Periods'!$A$2:$A$22,0)))," ","_")</f>
        <v>q1_2026</v>
      </c>
    </row>
    <row r="1751">
      <c r="A1751" s="0" t="inlineStr">
        <is>
          <t xml:space="preserve">o1750</t>
        </is>
      </c>
      <c r="B1751" s="0" t="inlineStr">
        <is>
          <t xml:space="preserve">a0739</t>
        </is>
      </c>
      <c r="C1751" s="0" t="inlineStr">
        <is>
          <t xml:space="preserve">r06</t>
        </is>
      </c>
      <c r="D1751" s="0"/>
      <c r="E1751" s="0" t="inlineStr">
        <is>
          <t xml:space="preserve">events</t>
        </is>
      </c>
      <c r="F1751" s="0" t="inlineStr">
        <is>
          <t xml:space="preserve">closed_lost</t>
        </is>
      </c>
      <c r="G1751" s="4">
        <v>1</v>
      </c>
      <c r="H1751" s="4">
        <v>19200</v>
      </c>
      <c r="I1751" s="4">
        <v>1</v>
      </c>
      <c r="J1751" s="4">
        <v>1</v>
      </c>
      <c r="K1751" s="16">
        <v>46108</v>
      </c>
      <c r="L1751" s="16">
        <v>46201</v>
      </c>
      <c r="M1751" s="0" t="inlineStr">
        <is>
          <t xml:space="preserve">mar26</t>
        </is>
      </c>
      <c r="N1751" s="0" t="inlineStr">
        <is>
          <t xml:space="preserve">jun26</t>
        </is>
      </c>
      <c r="O1751" s="4">
        <v>93</v>
      </c>
      <c r="P1751" s="4">
        <v>0</v>
      </c>
      <c r="Q1751" s="4">
        <v>1</v>
      </c>
      <c r="R1751" s="4">
        <v>0</v>
      </c>
      <c r="S1751" s="4">
        <f>(H1751*INDEX('Stages'!$D$2:$D$7,MATCH(F1751,'Stages'!$A$2:$A$7,0)))</f>
        <v>0</v>
      </c>
      <c r="T1751" s="4">
        <f>(H1751*I1751)</f>
        <v>19200</v>
      </c>
      <c r="U1751" s="4">
        <f>(H1751*(I1751-1))</f>
        <v>0</v>
      </c>
      <c r="V1751" s="0" t="str">
        <f>INDEX('Account executives'!$B$2:$B$25,MATCH(C1751,'Account executives'!$A$2:$A$25,0))</f>
        <v>amer_east</v>
      </c>
      <c r="W1751" s="0" t="str">
        <f>INDEX('Account executives'!$C$2:$C$25,MATCH(C1751,'Account executives'!$A$2:$A$25,0))</f>
        <v>smb</v>
      </c>
      <c r="X1751" s="0" t="str">
        <f>SUBSTITUTE(LOWER(INDEX('Periods'!$G$2:$G$22,MATCH(N1751,'Periods'!$A$2:$A$22,0)))," ","_")</f>
        <v>q2_2026</v>
      </c>
    </row>
    <row r="1752">
      <c r="A1752" s="0" t="inlineStr">
        <is>
          <t xml:space="preserve">o1751</t>
        </is>
      </c>
      <c r="B1752" s="0" t="inlineStr">
        <is>
          <t xml:space="preserve">a0571</t>
        </is>
      </c>
      <c r="C1752" s="0" t="inlineStr">
        <is>
          <t xml:space="preserve">r11</t>
        </is>
      </c>
      <c r="D1752" s="0"/>
      <c r="E1752" s="0" t="inlineStr">
        <is>
          <t xml:space="preserve">partner</t>
        </is>
      </c>
      <c r="F1752" s="0" t="inlineStr">
        <is>
          <t xml:space="preserve">closed_lost</t>
        </is>
      </c>
      <c r="G1752" s="4">
        <v>1</v>
      </c>
      <c r="H1752" s="4">
        <v>11700</v>
      </c>
      <c r="I1752" s="4">
        <v>1</v>
      </c>
      <c r="J1752" s="4">
        <v>1</v>
      </c>
      <c r="K1752" s="16">
        <v>46001</v>
      </c>
      <c r="L1752" s="16">
        <v>46109</v>
      </c>
      <c r="M1752" s="0" t="inlineStr">
        <is>
          <t xml:space="preserve">dec25</t>
        </is>
      </c>
      <c r="N1752" s="0" t="inlineStr">
        <is>
          <t xml:space="preserve">mar26</t>
        </is>
      </c>
      <c r="O1752" s="4">
        <v>108</v>
      </c>
      <c r="P1752" s="4">
        <v>0</v>
      </c>
      <c r="Q1752" s="4">
        <v>1</v>
      </c>
      <c r="R1752" s="4">
        <v>0</v>
      </c>
      <c r="S1752" s="4">
        <f>(H1752*INDEX('Stages'!$D$2:$D$7,MATCH(F1752,'Stages'!$A$2:$A$7,0)))</f>
        <v>0</v>
      </c>
      <c r="T1752" s="4">
        <f>(H1752*I1752)</f>
        <v>11700</v>
      </c>
      <c r="U1752" s="4">
        <f>(H1752*(I1752-1))</f>
        <v>0</v>
      </c>
      <c r="V1752" s="0" t="str">
        <f>INDEX('Account executives'!$B$2:$B$25,MATCH(C1752,'Account executives'!$A$2:$A$25,0))</f>
        <v>amer_west</v>
      </c>
      <c r="W1752" s="0" t="str">
        <f>INDEX('Account executives'!$C$2:$C$25,MATCH(C1752,'Account executives'!$A$2:$A$25,0))</f>
        <v>smb</v>
      </c>
      <c r="X1752" s="0" t="str">
        <f>SUBSTITUTE(LOWER(INDEX('Periods'!$G$2:$G$22,MATCH(N1752,'Periods'!$A$2:$A$22,0)))," ","_")</f>
        <v>q1_2026</v>
      </c>
    </row>
    <row r="1753">
      <c r="A1753" s="0" t="inlineStr">
        <is>
          <t xml:space="preserve">o1752</t>
        </is>
      </c>
      <c r="B1753" s="0" t="inlineStr">
        <is>
          <t xml:space="preserve">a0239</t>
        </is>
      </c>
      <c r="C1753" s="0" t="inlineStr">
        <is>
          <t xml:space="preserve">r06</t>
        </is>
      </c>
      <c r="D1753" s="0" t="inlineStr">
        <is>
          <t xml:space="preserve">s_amer_east_in</t>
        </is>
      </c>
      <c r="E1753" s="0" t="inlineStr">
        <is>
          <t xml:space="preserve">inbound</t>
        </is>
      </c>
      <c r="F1753" s="0" t="inlineStr">
        <is>
          <t xml:space="preserve">closed_lost</t>
        </is>
      </c>
      <c r="G1753" s="4">
        <v>1</v>
      </c>
      <c r="H1753" s="4">
        <v>23300</v>
      </c>
      <c r="I1753" s="4">
        <v>1</v>
      </c>
      <c r="J1753" s="4">
        <v>1</v>
      </c>
      <c r="K1753" s="16">
        <v>45852</v>
      </c>
      <c r="L1753" s="16">
        <v>45883</v>
      </c>
      <c r="M1753" s="0" t="inlineStr">
        <is>
          <t xml:space="preserve">jul25</t>
        </is>
      </c>
      <c r="N1753" s="0" t="inlineStr">
        <is>
          <t xml:space="preserve">aug25</t>
        </is>
      </c>
      <c r="O1753" s="4">
        <v>31</v>
      </c>
      <c r="P1753" s="4">
        <v>0</v>
      </c>
      <c r="Q1753" s="4">
        <v>1</v>
      </c>
      <c r="R1753" s="4">
        <v>0</v>
      </c>
      <c r="S1753" s="4">
        <f>(H1753*INDEX('Stages'!$D$2:$D$7,MATCH(F1753,'Stages'!$A$2:$A$7,0)))</f>
        <v>0</v>
      </c>
      <c r="T1753" s="4">
        <f>(H1753*I1753)</f>
        <v>23300</v>
      </c>
      <c r="U1753" s="4">
        <f>(H1753*(I1753-1))</f>
        <v>0</v>
      </c>
      <c r="V1753" s="0" t="str">
        <f>INDEX('Account executives'!$B$2:$B$25,MATCH(C1753,'Account executives'!$A$2:$A$25,0))</f>
        <v>amer_east</v>
      </c>
      <c r="W1753" s="0" t="str">
        <f>INDEX('Account executives'!$C$2:$C$25,MATCH(C1753,'Account executives'!$A$2:$A$25,0))</f>
        <v>smb</v>
      </c>
      <c r="X1753" s="0" t="str">
        <f>SUBSTITUTE(LOWER(INDEX('Periods'!$G$2:$G$22,MATCH(N1753,'Periods'!$A$2:$A$22,0)))," ","_")</f>
        <v>q3_2025</v>
      </c>
    </row>
    <row r="1754">
      <c r="A1754" s="0" t="inlineStr">
        <is>
          <t xml:space="preserve">o1753</t>
        </is>
      </c>
      <c r="B1754" s="0" t="inlineStr">
        <is>
          <t xml:space="preserve">a0354</t>
        </is>
      </c>
      <c r="C1754" s="0" t="inlineStr">
        <is>
          <t xml:space="preserve">r22</t>
        </is>
      </c>
      <c r="D1754" s="0" t="inlineStr">
        <is>
          <t xml:space="preserve">s_apac_in</t>
        </is>
      </c>
      <c r="E1754" s="0" t="inlineStr">
        <is>
          <t xml:space="preserve">paid</t>
        </is>
      </c>
      <c r="F1754" s="0" t="inlineStr">
        <is>
          <t xml:space="preserve">closed_lost</t>
        </is>
      </c>
      <c r="G1754" s="4">
        <v>0</v>
      </c>
      <c r="H1754" s="4">
        <v>11900</v>
      </c>
      <c r="I1754" s="4">
        <v>1</v>
      </c>
      <c r="J1754" s="4">
        <v>0</v>
      </c>
      <c r="K1754" s="16">
        <v>46116</v>
      </c>
      <c r="L1754" s="16">
        <v>46169</v>
      </c>
      <c r="M1754" s="0" t="inlineStr">
        <is>
          <t xml:space="preserve">apr26</t>
        </is>
      </c>
      <c r="N1754" s="0" t="inlineStr">
        <is>
          <t xml:space="preserve">may26</t>
        </is>
      </c>
      <c r="O1754" s="4">
        <v>53</v>
      </c>
      <c r="P1754" s="4">
        <v>0</v>
      </c>
      <c r="Q1754" s="4">
        <v>1</v>
      </c>
      <c r="R1754" s="4">
        <v>0</v>
      </c>
      <c r="S1754" s="4">
        <f>(H1754*INDEX('Stages'!$D$2:$D$7,MATCH(F1754,'Stages'!$A$2:$A$7,0)))</f>
        <v>0</v>
      </c>
      <c r="T1754" s="4">
        <f>(H1754*I1754)</f>
        <v>11900</v>
      </c>
      <c r="U1754" s="4">
        <f>(H1754*(I1754-1))</f>
        <v>0</v>
      </c>
      <c r="V1754" s="0" t="str">
        <f>INDEX('Account executives'!$B$2:$B$25,MATCH(C1754,'Account executives'!$A$2:$A$25,0))</f>
        <v>apac</v>
      </c>
      <c r="W1754" s="0" t="str">
        <f>INDEX('Account executives'!$C$2:$C$25,MATCH(C1754,'Account executives'!$A$2:$A$25,0))</f>
        <v>mid_market</v>
      </c>
      <c r="X1754" s="0" t="str">
        <f>SUBSTITUTE(LOWER(INDEX('Periods'!$G$2:$G$22,MATCH(N1754,'Periods'!$A$2:$A$22,0)))," ","_")</f>
        <v>q2_2026</v>
      </c>
    </row>
    <row r="1755">
      <c r="A1755" s="0" t="inlineStr">
        <is>
          <t xml:space="preserve">o1754</t>
        </is>
      </c>
      <c r="B1755" s="0" t="inlineStr">
        <is>
          <t xml:space="preserve">a0664</t>
        </is>
      </c>
      <c r="C1755" s="0" t="inlineStr">
        <is>
          <t xml:space="preserve">r01</t>
        </is>
      </c>
      <c r="D1755" s="0"/>
      <c r="E1755" s="0" t="inlineStr">
        <is>
          <t xml:space="preserve">events</t>
        </is>
      </c>
      <c r="F1755" s="0" t="inlineStr">
        <is>
          <t xml:space="preserve">negotiation</t>
        </is>
      </c>
      <c r="G1755" s="4">
        <v>1</v>
      </c>
      <c r="H1755" s="4">
        <v>103300</v>
      </c>
      <c r="I1755" s="4">
        <v>2</v>
      </c>
      <c r="J1755" s="4">
        <v>1</v>
      </c>
      <c r="K1755" s="16">
        <v>46079</v>
      </c>
      <c r="L1755" s="16">
        <v>46302</v>
      </c>
      <c r="M1755" s="0" t="inlineStr">
        <is>
          <t xml:space="preserve">feb26</t>
        </is>
      </c>
      <c r="N1755" s="0" t="inlineStr">
        <is>
          <t xml:space="preserve">oct26</t>
        </is>
      </c>
      <c r="O1755" s="4">
        <v>214</v>
      </c>
      <c r="P1755" s="4">
        <v>0</v>
      </c>
      <c r="Q1755" s="4">
        <v>0</v>
      </c>
      <c r="R1755" s="4">
        <v>1</v>
      </c>
      <c r="S1755" s="4">
        <f>(H1755*INDEX('Stages'!$D$2:$D$7,MATCH(F1755,'Stages'!$A$2:$A$7,0)))</f>
        <v>77475</v>
      </c>
      <c r="T1755" s="4">
        <f>(H1755*I1755)</f>
        <v>206600</v>
      </c>
      <c r="U1755" s="4">
        <f>(H1755*(I1755-1))</f>
        <v>103300</v>
      </c>
      <c r="V1755" s="0" t="str">
        <f>INDEX('Account executives'!$B$2:$B$25,MATCH(C1755,'Account executives'!$A$2:$A$25,0))</f>
        <v>amer_east</v>
      </c>
      <c r="W1755" s="0" t="str">
        <f>INDEX('Account executives'!$C$2:$C$25,MATCH(C1755,'Account executives'!$A$2:$A$25,0))</f>
        <v>enterprise</v>
      </c>
      <c r="X1755" s="0" t="str">
        <f>SUBSTITUTE(LOWER(INDEX('Periods'!$G$2:$G$22,MATCH(N1755,'Periods'!$A$2:$A$22,0)))," ","_")</f>
        <v>q4_2026</v>
      </c>
    </row>
    <row r="1756">
      <c r="A1756" s="0" t="inlineStr">
        <is>
          <t xml:space="preserve">o1755</t>
        </is>
      </c>
      <c r="B1756" s="0" t="inlineStr">
        <is>
          <t xml:space="preserve">a0028</t>
        </is>
      </c>
      <c r="C1756" s="0" t="inlineStr">
        <is>
          <t xml:space="preserve">r07</t>
        </is>
      </c>
      <c r="D1756" s="0" t="inlineStr">
        <is>
          <t xml:space="preserve">s_amer_west_in</t>
        </is>
      </c>
      <c r="E1756" s="0" t="inlineStr">
        <is>
          <t xml:space="preserve">inbound</t>
        </is>
      </c>
      <c r="F1756" s="0" t="inlineStr">
        <is>
          <t xml:space="preserve">closed_lost</t>
        </is>
      </c>
      <c r="G1756" s="4">
        <v>1</v>
      </c>
      <c r="H1756" s="4">
        <v>157400</v>
      </c>
      <c r="I1756" s="4">
        <v>2</v>
      </c>
      <c r="J1756" s="4">
        <v>0</v>
      </c>
      <c r="K1756" s="16">
        <v>45771</v>
      </c>
      <c r="L1756" s="16">
        <v>45864</v>
      </c>
      <c r="M1756" s="0" t="inlineStr">
        <is>
          <t xml:space="preserve">apr25</t>
        </is>
      </c>
      <c r="N1756" s="0" t="inlineStr">
        <is>
          <t xml:space="preserve">jul25</t>
        </is>
      </c>
      <c r="O1756" s="4">
        <v>93</v>
      </c>
      <c r="P1756" s="4">
        <v>0</v>
      </c>
      <c r="Q1756" s="4">
        <v>1</v>
      </c>
      <c r="R1756" s="4">
        <v>0</v>
      </c>
      <c r="S1756" s="4">
        <f>(H1756*INDEX('Stages'!$D$2:$D$7,MATCH(F1756,'Stages'!$A$2:$A$7,0)))</f>
        <v>0</v>
      </c>
      <c r="T1756" s="4">
        <f>(H1756*I1756)</f>
        <v>314800</v>
      </c>
      <c r="U1756" s="4">
        <f>(H1756*(I1756-1))</f>
        <v>157400</v>
      </c>
      <c r="V1756" s="0" t="str">
        <f>INDEX('Account executives'!$B$2:$B$25,MATCH(C1756,'Account executives'!$A$2:$A$25,0))</f>
        <v>amer_west</v>
      </c>
      <c r="W1756" s="0" t="str">
        <f>INDEX('Account executives'!$C$2:$C$25,MATCH(C1756,'Account executives'!$A$2:$A$25,0))</f>
        <v>enterprise</v>
      </c>
      <c r="X1756" s="0" t="str">
        <f>SUBSTITUTE(LOWER(INDEX('Periods'!$G$2:$G$22,MATCH(N1756,'Periods'!$A$2:$A$22,0)))," ","_")</f>
        <v>q3_2025</v>
      </c>
    </row>
    <row r="1757">
      <c r="A1757" s="0" t="inlineStr">
        <is>
          <t xml:space="preserve">o1756</t>
        </is>
      </c>
      <c r="B1757" s="0" t="inlineStr">
        <is>
          <t xml:space="preserve">a0847</t>
        </is>
      </c>
      <c r="C1757" s="0" t="inlineStr">
        <is>
          <t xml:space="preserve">r09</t>
        </is>
      </c>
      <c r="D1757" s="0" t="inlineStr">
        <is>
          <t xml:space="preserve">s_amer_west_in</t>
        </is>
      </c>
      <c r="E1757" s="0" t="inlineStr">
        <is>
          <t xml:space="preserve">paid</t>
        </is>
      </c>
      <c r="F1757" s="0" t="inlineStr">
        <is>
          <t xml:space="preserve">closed_won</t>
        </is>
      </c>
      <c r="G1757" s="4">
        <v>1</v>
      </c>
      <c r="H1757" s="4">
        <v>51100</v>
      </c>
      <c r="I1757" s="4">
        <v>1</v>
      </c>
      <c r="J1757" s="4">
        <v>1</v>
      </c>
      <c r="K1757" s="16">
        <v>46114</v>
      </c>
      <c r="L1757" s="16">
        <v>46178</v>
      </c>
      <c r="M1757" s="0" t="inlineStr">
        <is>
          <t xml:space="preserve">apr26</t>
        </is>
      </c>
      <c r="N1757" s="0" t="inlineStr">
        <is>
          <t xml:space="preserve">jun26</t>
        </is>
      </c>
      <c r="O1757" s="4">
        <v>64</v>
      </c>
      <c r="P1757" s="4">
        <v>1</v>
      </c>
      <c r="Q1757" s="4">
        <v>0</v>
      </c>
      <c r="R1757" s="4">
        <v>0</v>
      </c>
      <c r="S1757" s="4">
        <f>(H1757*INDEX('Stages'!$D$2:$D$7,MATCH(F1757,'Stages'!$A$2:$A$7,0)))</f>
        <v>51100</v>
      </c>
      <c r="T1757" s="4">
        <f>(H1757*I1757)</f>
        <v>51100</v>
      </c>
      <c r="U1757" s="4">
        <f>(H1757*(I1757-1))</f>
        <v>0</v>
      </c>
      <c r="V1757" s="0" t="str">
        <f>INDEX('Account executives'!$B$2:$B$25,MATCH(C1757,'Account executives'!$A$2:$A$25,0))</f>
        <v>amer_west</v>
      </c>
      <c r="W1757" s="0" t="str">
        <f>INDEX('Account executives'!$C$2:$C$25,MATCH(C1757,'Account executives'!$A$2:$A$25,0))</f>
        <v>mid_market</v>
      </c>
      <c r="X1757" s="0" t="str">
        <f>SUBSTITUTE(LOWER(INDEX('Periods'!$G$2:$G$22,MATCH(N1757,'Periods'!$A$2:$A$22,0)))," ","_")</f>
        <v>q2_2026</v>
      </c>
    </row>
    <row r="1758">
      <c r="A1758" s="0" t="inlineStr">
        <is>
          <t xml:space="preserve">o1757</t>
        </is>
      </c>
      <c r="B1758" s="0" t="inlineStr">
        <is>
          <t xml:space="preserve">a0075</t>
        </is>
      </c>
      <c r="C1758" s="0" t="inlineStr">
        <is>
          <t xml:space="preserve">r05</t>
        </is>
      </c>
      <c r="D1758" s="0" t="inlineStr">
        <is>
          <t xml:space="preserve">s_amer_east_in</t>
        </is>
      </c>
      <c r="E1758" s="0" t="inlineStr">
        <is>
          <t xml:space="preserve">inbound</t>
        </is>
      </c>
      <c r="F1758" s="0" t="inlineStr">
        <is>
          <t xml:space="preserve">closed_lost</t>
        </is>
      </c>
      <c r="G1758" s="4">
        <v>0</v>
      </c>
      <c r="H1758" s="4">
        <v>4700</v>
      </c>
      <c r="I1758" s="4">
        <v>1</v>
      </c>
      <c r="J1758" s="4">
        <v>1</v>
      </c>
      <c r="K1758" s="16">
        <v>46046</v>
      </c>
      <c r="L1758" s="16">
        <v>46077</v>
      </c>
      <c r="M1758" s="0" t="inlineStr">
        <is>
          <t xml:space="preserve">jan26</t>
        </is>
      </c>
      <c r="N1758" s="0" t="inlineStr">
        <is>
          <t xml:space="preserve">feb26</t>
        </is>
      </c>
      <c r="O1758" s="4">
        <v>31</v>
      </c>
      <c r="P1758" s="4">
        <v>0</v>
      </c>
      <c r="Q1758" s="4">
        <v>1</v>
      </c>
      <c r="R1758" s="4">
        <v>0</v>
      </c>
      <c r="S1758" s="4">
        <f>(H1758*INDEX('Stages'!$D$2:$D$7,MATCH(F1758,'Stages'!$A$2:$A$7,0)))</f>
        <v>0</v>
      </c>
      <c r="T1758" s="4">
        <f>(H1758*I1758)</f>
        <v>4700</v>
      </c>
      <c r="U1758" s="4">
        <f>(H1758*(I1758-1))</f>
        <v>0</v>
      </c>
      <c r="V1758" s="0" t="str">
        <f>INDEX('Account executives'!$B$2:$B$25,MATCH(C1758,'Account executives'!$A$2:$A$25,0))</f>
        <v>amer_east</v>
      </c>
      <c r="W1758" s="0" t="str">
        <f>INDEX('Account executives'!$C$2:$C$25,MATCH(C1758,'Account executives'!$A$2:$A$25,0))</f>
        <v>smb</v>
      </c>
      <c r="X1758" s="0" t="str">
        <f>SUBSTITUTE(LOWER(INDEX('Periods'!$G$2:$G$22,MATCH(N1758,'Periods'!$A$2:$A$22,0)))," ","_")</f>
        <v>q1_2026</v>
      </c>
    </row>
    <row r="1759">
      <c r="A1759" s="0" t="inlineStr">
        <is>
          <t xml:space="preserve">o1758</t>
        </is>
      </c>
      <c r="B1759" s="0" t="inlineStr">
        <is>
          <t xml:space="preserve">a0654</t>
        </is>
      </c>
      <c r="C1759" s="0" t="inlineStr">
        <is>
          <t xml:space="preserve">r24</t>
        </is>
      </c>
      <c r="D1759" s="0" t="inlineStr">
        <is>
          <t xml:space="preserve">s_apac_out</t>
        </is>
      </c>
      <c r="E1759" s="0" t="inlineStr">
        <is>
          <t xml:space="preserve">outbound</t>
        </is>
      </c>
      <c r="F1759" s="0" t="inlineStr">
        <is>
          <t xml:space="preserve">closed_won</t>
        </is>
      </c>
      <c r="G1759" s="4">
        <v>1</v>
      </c>
      <c r="H1759" s="4">
        <v>8900</v>
      </c>
      <c r="I1759" s="4">
        <v>1</v>
      </c>
      <c r="J1759" s="4">
        <v>0</v>
      </c>
      <c r="K1759" s="16">
        <v>46050</v>
      </c>
      <c r="L1759" s="16">
        <v>46092</v>
      </c>
      <c r="M1759" s="0" t="inlineStr">
        <is>
          <t xml:space="preserve">jan26</t>
        </is>
      </c>
      <c r="N1759" s="0" t="inlineStr">
        <is>
          <t xml:space="preserve">mar26</t>
        </is>
      </c>
      <c r="O1759" s="4">
        <v>42</v>
      </c>
      <c r="P1759" s="4">
        <v>1</v>
      </c>
      <c r="Q1759" s="4">
        <v>0</v>
      </c>
      <c r="R1759" s="4">
        <v>0</v>
      </c>
      <c r="S1759" s="4">
        <f>(H1759*INDEX('Stages'!$D$2:$D$7,MATCH(F1759,'Stages'!$A$2:$A$7,0)))</f>
        <v>8900</v>
      </c>
      <c r="T1759" s="4">
        <f>(H1759*I1759)</f>
        <v>8900</v>
      </c>
      <c r="U1759" s="4">
        <f>(H1759*(I1759-1))</f>
        <v>0</v>
      </c>
      <c r="V1759" s="0" t="str">
        <f>INDEX('Account executives'!$B$2:$B$25,MATCH(C1759,'Account executives'!$A$2:$A$25,0))</f>
        <v>apac</v>
      </c>
      <c r="W1759" s="0" t="str">
        <f>INDEX('Account executives'!$C$2:$C$25,MATCH(C1759,'Account executives'!$A$2:$A$25,0))</f>
        <v>smb</v>
      </c>
      <c r="X1759" s="0" t="str">
        <f>SUBSTITUTE(LOWER(INDEX('Periods'!$G$2:$G$22,MATCH(N1759,'Periods'!$A$2:$A$22,0)))," ","_")</f>
        <v>q1_2026</v>
      </c>
    </row>
    <row r="1760">
      <c r="A1760" s="0" t="inlineStr">
        <is>
          <t xml:space="preserve">o1759</t>
        </is>
      </c>
      <c r="B1760" s="0" t="inlineStr">
        <is>
          <t xml:space="preserve">a0553</t>
        </is>
      </c>
      <c r="C1760" s="0" t="inlineStr">
        <is>
          <t xml:space="preserve">r05</t>
        </is>
      </c>
      <c r="D1760" s="0"/>
      <c r="E1760" s="0" t="inlineStr">
        <is>
          <t xml:space="preserve">referral</t>
        </is>
      </c>
      <c r="F1760" s="0" t="inlineStr">
        <is>
          <t xml:space="preserve">closed_lost</t>
        </is>
      </c>
      <c r="G1760" s="4">
        <v>1</v>
      </c>
      <c r="H1760" s="4">
        <v>10800</v>
      </c>
      <c r="I1760" s="4">
        <v>1</v>
      </c>
      <c r="J1760" s="4">
        <v>0</v>
      </c>
      <c r="K1760" s="16">
        <v>46012</v>
      </c>
      <c r="L1760" s="16">
        <v>46023</v>
      </c>
      <c r="M1760" s="0" t="inlineStr">
        <is>
          <t xml:space="preserve">dec25</t>
        </is>
      </c>
      <c r="N1760" s="0" t="inlineStr">
        <is>
          <t xml:space="preserve">jan26</t>
        </is>
      </c>
      <c r="O1760" s="4">
        <v>11</v>
      </c>
      <c r="P1760" s="4">
        <v>0</v>
      </c>
      <c r="Q1760" s="4">
        <v>1</v>
      </c>
      <c r="R1760" s="4">
        <v>0</v>
      </c>
      <c r="S1760" s="4">
        <f>(H1760*INDEX('Stages'!$D$2:$D$7,MATCH(F1760,'Stages'!$A$2:$A$7,0)))</f>
        <v>0</v>
      </c>
      <c r="T1760" s="4">
        <f>(H1760*I1760)</f>
        <v>10800</v>
      </c>
      <c r="U1760" s="4">
        <f>(H1760*(I1760-1))</f>
        <v>0</v>
      </c>
      <c r="V1760" s="0" t="str">
        <f>INDEX('Account executives'!$B$2:$B$25,MATCH(C1760,'Account executives'!$A$2:$A$25,0))</f>
        <v>amer_east</v>
      </c>
      <c r="W1760" s="0" t="str">
        <f>INDEX('Account executives'!$C$2:$C$25,MATCH(C1760,'Account executives'!$A$2:$A$25,0))</f>
        <v>smb</v>
      </c>
      <c r="X1760" s="0" t="str">
        <f>SUBSTITUTE(LOWER(INDEX('Periods'!$G$2:$G$22,MATCH(N1760,'Periods'!$A$2:$A$22,0)))," ","_")</f>
        <v>q1_2026</v>
      </c>
    </row>
    <row r="1761">
      <c r="A1761" s="0" t="inlineStr">
        <is>
          <t xml:space="preserve">o1760</t>
        </is>
      </c>
      <c r="B1761" s="0" t="inlineStr">
        <is>
          <t xml:space="preserve">a1192</t>
        </is>
      </c>
      <c r="C1761" s="0" t="inlineStr">
        <is>
          <t xml:space="preserve">r18</t>
        </is>
      </c>
      <c r="D1761" s="0"/>
      <c r="E1761" s="0" t="inlineStr">
        <is>
          <t xml:space="preserve">partner</t>
        </is>
      </c>
      <c r="F1761" s="0" t="inlineStr">
        <is>
          <t xml:space="preserve">closed_won</t>
        </is>
      </c>
      <c r="G1761" s="4">
        <v>1</v>
      </c>
      <c r="H1761" s="4">
        <v>13500</v>
      </c>
      <c r="I1761" s="4">
        <v>1</v>
      </c>
      <c r="J1761" s="4">
        <v>0</v>
      </c>
      <c r="K1761" s="16">
        <v>46250</v>
      </c>
      <c r="L1761" s="16">
        <v>46272</v>
      </c>
      <c r="M1761" s="0" t="inlineStr">
        <is>
          <t xml:space="preserve">aug26</t>
        </is>
      </c>
      <c r="N1761" s="0" t="inlineStr">
        <is>
          <t xml:space="preserve">sep26</t>
        </is>
      </c>
      <c r="O1761" s="4">
        <v>22</v>
      </c>
      <c r="P1761" s="4">
        <v>1</v>
      </c>
      <c r="Q1761" s="4">
        <v>0</v>
      </c>
      <c r="R1761" s="4">
        <v>0</v>
      </c>
      <c r="S1761" s="4">
        <f>(H1761*INDEX('Stages'!$D$2:$D$7,MATCH(F1761,'Stages'!$A$2:$A$7,0)))</f>
        <v>13500</v>
      </c>
      <c r="T1761" s="4">
        <f>(H1761*I1761)</f>
        <v>13500</v>
      </c>
      <c r="U1761" s="4">
        <f>(H1761*(I1761-1))</f>
        <v>0</v>
      </c>
      <c r="V1761" s="0" t="str">
        <f>INDEX('Account executives'!$B$2:$B$25,MATCH(C1761,'Account executives'!$A$2:$A$25,0))</f>
        <v>emea</v>
      </c>
      <c r="W1761" s="0" t="str">
        <f>INDEX('Account executives'!$C$2:$C$25,MATCH(C1761,'Account executives'!$A$2:$A$25,0))</f>
        <v>smb</v>
      </c>
      <c r="X1761" s="0" t="str">
        <f>SUBSTITUTE(LOWER(INDEX('Periods'!$G$2:$G$22,MATCH(N1761,'Periods'!$A$2:$A$22,0)))," ","_")</f>
        <v>q3_2026</v>
      </c>
    </row>
    <row r="1762">
      <c r="A1762" s="0" t="inlineStr">
        <is>
          <t xml:space="preserve">o1761</t>
        </is>
      </c>
      <c r="B1762" s="0" t="inlineStr">
        <is>
          <t xml:space="preserve">a0431</t>
        </is>
      </c>
      <c r="C1762" s="0" t="inlineStr">
        <is>
          <t xml:space="preserve">r12</t>
        </is>
      </c>
      <c r="D1762" s="0" t="inlineStr">
        <is>
          <t xml:space="preserve">s_amer_west_in</t>
        </is>
      </c>
      <c r="E1762" s="0" t="inlineStr">
        <is>
          <t xml:space="preserve">inbound</t>
        </is>
      </c>
      <c r="F1762" s="0" t="inlineStr">
        <is>
          <t xml:space="preserve">closed_lost</t>
        </is>
      </c>
      <c r="G1762" s="4">
        <v>0</v>
      </c>
      <c r="H1762" s="4">
        <v>5700</v>
      </c>
      <c r="I1762" s="4">
        <v>1</v>
      </c>
      <c r="J1762" s="4">
        <v>0</v>
      </c>
      <c r="K1762" s="16">
        <v>46113</v>
      </c>
      <c r="L1762" s="16">
        <v>46135</v>
      </c>
      <c r="M1762" s="0" t="inlineStr">
        <is>
          <t xml:space="preserve">apr26</t>
        </is>
      </c>
      <c r="N1762" s="0" t="inlineStr">
        <is>
          <t xml:space="preserve">apr26</t>
        </is>
      </c>
      <c r="O1762" s="4">
        <v>22</v>
      </c>
      <c r="P1762" s="4">
        <v>0</v>
      </c>
      <c r="Q1762" s="4">
        <v>1</v>
      </c>
      <c r="R1762" s="4">
        <v>0</v>
      </c>
      <c r="S1762" s="4">
        <f>(H1762*INDEX('Stages'!$D$2:$D$7,MATCH(F1762,'Stages'!$A$2:$A$7,0)))</f>
        <v>0</v>
      </c>
      <c r="T1762" s="4">
        <f>(H1762*I1762)</f>
        <v>5700</v>
      </c>
      <c r="U1762" s="4">
        <f>(H1762*(I1762-1))</f>
        <v>0</v>
      </c>
      <c r="V1762" s="0" t="str">
        <f>INDEX('Account executives'!$B$2:$B$25,MATCH(C1762,'Account executives'!$A$2:$A$25,0))</f>
        <v>amer_west</v>
      </c>
      <c r="W1762" s="0" t="str">
        <f>INDEX('Account executives'!$C$2:$C$25,MATCH(C1762,'Account executives'!$A$2:$A$25,0))</f>
        <v>smb</v>
      </c>
      <c r="X1762" s="0" t="str">
        <f>SUBSTITUTE(LOWER(INDEX('Periods'!$G$2:$G$22,MATCH(N1762,'Periods'!$A$2:$A$22,0)))," ","_")</f>
        <v>q2_2026</v>
      </c>
    </row>
    <row r="1763">
      <c r="A1763" s="0" t="inlineStr">
        <is>
          <t xml:space="preserve">o1762</t>
        </is>
      </c>
      <c r="B1763" s="0" t="inlineStr">
        <is>
          <t xml:space="preserve">a0780</t>
        </is>
      </c>
      <c r="C1763" s="0" t="inlineStr">
        <is>
          <t xml:space="preserve">r18</t>
        </is>
      </c>
      <c r="D1763" s="0" t="inlineStr">
        <is>
          <t xml:space="preserve">s_emea_in</t>
        </is>
      </c>
      <c r="E1763" s="0" t="inlineStr">
        <is>
          <t xml:space="preserve">inbound</t>
        </is>
      </c>
      <c r="F1763" s="0" t="inlineStr">
        <is>
          <t xml:space="preserve">discovery</t>
        </is>
      </c>
      <c r="G1763" s="4">
        <v>0</v>
      </c>
      <c r="H1763" s="4">
        <v>2500</v>
      </c>
      <c r="I1763" s="4">
        <v>1</v>
      </c>
      <c r="J1763" s="4">
        <v>0</v>
      </c>
      <c r="K1763" s="16">
        <v>46276</v>
      </c>
      <c r="L1763" s="16">
        <v>46301</v>
      </c>
      <c r="M1763" s="0" t="inlineStr">
        <is>
          <t xml:space="preserve">sep26</t>
        </is>
      </c>
      <c r="N1763" s="0" t="inlineStr">
        <is>
          <t xml:space="preserve">oct26</t>
        </is>
      </c>
      <c r="O1763" s="4">
        <v>27</v>
      </c>
      <c r="P1763" s="4">
        <v>0</v>
      </c>
      <c r="Q1763" s="4">
        <v>0</v>
      </c>
      <c r="R1763" s="4">
        <v>1</v>
      </c>
      <c r="S1763" s="4">
        <f>(H1763*INDEX('Stages'!$D$2:$D$7,MATCH(F1763,'Stages'!$A$2:$A$7,0)))</f>
        <v>250</v>
      </c>
      <c r="T1763" s="4">
        <f>(H1763*I1763)</f>
        <v>2500</v>
      </c>
      <c r="U1763" s="4">
        <f>(H1763*(I1763-1))</f>
        <v>0</v>
      </c>
      <c r="V1763" s="0" t="str">
        <f>INDEX('Account executives'!$B$2:$B$25,MATCH(C1763,'Account executives'!$A$2:$A$25,0))</f>
        <v>emea</v>
      </c>
      <c r="W1763" s="0" t="str">
        <f>INDEX('Account executives'!$C$2:$C$25,MATCH(C1763,'Account executives'!$A$2:$A$25,0))</f>
        <v>smb</v>
      </c>
      <c r="X1763" s="0" t="str">
        <f>SUBSTITUTE(LOWER(INDEX('Periods'!$G$2:$G$22,MATCH(N1763,'Periods'!$A$2:$A$22,0)))," ","_")</f>
        <v>q4_2026</v>
      </c>
    </row>
    <row r="1764">
      <c r="A1764" s="0" t="inlineStr">
        <is>
          <t xml:space="preserve">o1763</t>
        </is>
      </c>
      <c r="B1764" s="0" t="inlineStr">
        <is>
          <t xml:space="preserve">a1117</t>
        </is>
      </c>
      <c r="C1764" s="0" t="inlineStr">
        <is>
          <t xml:space="preserve">r17</t>
        </is>
      </c>
      <c r="D1764" s="0" t="inlineStr">
        <is>
          <t xml:space="preserve">s_emea_in</t>
        </is>
      </c>
      <c r="E1764" s="0" t="inlineStr">
        <is>
          <t xml:space="preserve">inbound</t>
        </is>
      </c>
      <c r="F1764" s="0" t="inlineStr">
        <is>
          <t xml:space="preserve">closed_lost</t>
        </is>
      </c>
      <c r="G1764" s="4">
        <v>1</v>
      </c>
      <c r="H1764" s="4">
        <v>11000</v>
      </c>
      <c r="I1764" s="4">
        <v>1</v>
      </c>
      <c r="J1764" s="4">
        <v>1</v>
      </c>
      <c r="K1764" s="16">
        <v>46204</v>
      </c>
      <c r="L1764" s="16">
        <v>46226</v>
      </c>
      <c r="M1764" s="0" t="inlineStr">
        <is>
          <t xml:space="preserve">jul26</t>
        </is>
      </c>
      <c r="N1764" s="0" t="inlineStr">
        <is>
          <t xml:space="preserve">jul26</t>
        </is>
      </c>
      <c r="O1764" s="4">
        <v>22</v>
      </c>
      <c r="P1764" s="4">
        <v>0</v>
      </c>
      <c r="Q1764" s="4">
        <v>1</v>
      </c>
      <c r="R1764" s="4">
        <v>0</v>
      </c>
      <c r="S1764" s="4">
        <f>(H1764*INDEX('Stages'!$D$2:$D$7,MATCH(F1764,'Stages'!$A$2:$A$7,0)))</f>
        <v>0</v>
      </c>
      <c r="T1764" s="4">
        <f>(H1764*I1764)</f>
        <v>11000</v>
      </c>
      <c r="U1764" s="4">
        <f>(H1764*(I1764-1))</f>
        <v>0</v>
      </c>
      <c r="V1764" s="0" t="str">
        <f>INDEX('Account executives'!$B$2:$B$25,MATCH(C1764,'Account executives'!$A$2:$A$25,0))</f>
        <v>emea</v>
      </c>
      <c r="W1764" s="0" t="str">
        <f>INDEX('Account executives'!$C$2:$C$25,MATCH(C1764,'Account executives'!$A$2:$A$25,0))</f>
        <v>smb</v>
      </c>
      <c r="X1764" s="0" t="str">
        <f>SUBSTITUTE(LOWER(INDEX('Periods'!$G$2:$G$22,MATCH(N1764,'Periods'!$A$2:$A$22,0)))," ","_")</f>
        <v>q3_2026</v>
      </c>
    </row>
    <row r="1765">
      <c r="A1765" s="0" t="inlineStr">
        <is>
          <t xml:space="preserve">o1764</t>
        </is>
      </c>
      <c r="B1765" s="0" t="inlineStr">
        <is>
          <t xml:space="preserve">a0701</t>
        </is>
      </c>
      <c r="C1765" s="0" t="inlineStr">
        <is>
          <t xml:space="preserve">r15</t>
        </is>
      </c>
      <c r="D1765" s="0"/>
      <c r="E1765" s="0" t="inlineStr">
        <is>
          <t xml:space="preserve">events</t>
        </is>
      </c>
      <c r="F1765" s="0" t="inlineStr">
        <is>
          <t xml:space="preserve">closed_won</t>
        </is>
      </c>
      <c r="G1765" s="4">
        <v>0</v>
      </c>
      <c r="H1765" s="4">
        <v>18000</v>
      </c>
      <c r="I1765" s="4">
        <v>1</v>
      </c>
      <c r="J1765" s="4">
        <v>1</v>
      </c>
      <c r="K1765" s="16">
        <v>46097</v>
      </c>
      <c r="L1765" s="16">
        <v>46150</v>
      </c>
      <c r="M1765" s="0" t="inlineStr">
        <is>
          <t xml:space="preserve">mar26</t>
        </is>
      </c>
      <c r="N1765" s="0" t="inlineStr">
        <is>
          <t xml:space="preserve">may26</t>
        </is>
      </c>
      <c r="O1765" s="4">
        <v>53</v>
      </c>
      <c r="P1765" s="4">
        <v>1</v>
      </c>
      <c r="Q1765" s="4">
        <v>0</v>
      </c>
      <c r="R1765" s="4">
        <v>0</v>
      </c>
      <c r="S1765" s="4">
        <f>(H1765*INDEX('Stages'!$D$2:$D$7,MATCH(F1765,'Stages'!$A$2:$A$7,0)))</f>
        <v>18000</v>
      </c>
      <c r="T1765" s="4">
        <f>(H1765*I1765)</f>
        <v>18000</v>
      </c>
      <c r="U1765" s="4">
        <f>(H1765*(I1765-1))</f>
        <v>0</v>
      </c>
      <c r="V1765" s="0" t="str">
        <f>INDEX('Account executives'!$B$2:$B$25,MATCH(C1765,'Account executives'!$A$2:$A$25,0))</f>
        <v>emea</v>
      </c>
      <c r="W1765" s="0" t="str">
        <f>INDEX('Account executives'!$C$2:$C$25,MATCH(C1765,'Account executives'!$A$2:$A$25,0))</f>
        <v>mid_market</v>
      </c>
      <c r="X1765" s="0" t="str">
        <f>SUBSTITUTE(LOWER(INDEX('Periods'!$G$2:$G$22,MATCH(N1765,'Periods'!$A$2:$A$22,0)))," ","_")</f>
        <v>q2_2026</v>
      </c>
    </row>
    <row r="1766">
      <c r="A1766" s="0" t="inlineStr">
        <is>
          <t xml:space="preserve">o1765</t>
        </is>
      </c>
      <c r="B1766" s="0" t="inlineStr">
        <is>
          <t xml:space="preserve">a0171</t>
        </is>
      </c>
      <c r="C1766" s="0" t="inlineStr">
        <is>
          <t xml:space="preserve">r05</t>
        </is>
      </c>
      <c r="D1766" s="0" t="inlineStr">
        <is>
          <t xml:space="preserve">s_amer_east_in</t>
        </is>
      </c>
      <c r="E1766" s="0" t="inlineStr">
        <is>
          <t xml:space="preserve">paid</t>
        </is>
      </c>
      <c r="F1766" s="0" t="inlineStr">
        <is>
          <t xml:space="preserve">closed_lost</t>
        </is>
      </c>
      <c r="G1766" s="4">
        <v>1</v>
      </c>
      <c r="H1766" s="4">
        <v>9900</v>
      </c>
      <c r="I1766" s="4">
        <v>1</v>
      </c>
      <c r="J1766" s="4">
        <v>1</v>
      </c>
      <c r="K1766" s="16">
        <v>45836</v>
      </c>
      <c r="L1766" s="16">
        <v>45853</v>
      </c>
      <c r="M1766" s="0" t="inlineStr">
        <is>
          <t xml:space="preserve">jun25</t>
        </is>
      </c>
      <c r="N1766" s="0" t="inlineStr">
        <is>
          <t xml:space="preserve">jul25</t>
        </is>
      </c>
      <c r="O1766" s="4">
        <v>17</v>
      </c>
      <c r="P1766" s="4">
        <v>0</v>
      </c>
      <c r="Q1766" s="4">
        <v>1</v>
      </c>
      <c r="R1766" s="4">
        <v>0</v>
      </c>
      <c r="S1766" s="4">
        <f>(H1766*INDEX('Stages'!$D$2:$D$7,MATCH(F1766,'Stages'!$A$2:$A$7,0)))</f>
        <v>0</v>
      </c>
      <c r="T1766" s="4">
        <f>(H1766*I1766)</f>
        <v>9900</v>
      </c>
      <c r="U1766" s="4">
        <f>(H1766*(I1766-1))</f>
        <v>0</v>
      </c>
      <c r="V1766" s="0" t="str">
        <f>INDEX('Account executives'!$B$2:$B$25,MATCH(C1766,'Account executives'!$A$2:$A$25,0))</f>
        <v>amer_east</v>
      </c>
      <c r="W1766" s="0" t="str">
        <f>INDEX('Account executives'!$C$2:$C$25,MATCH(C1766,'Account executives'!$A$2:$A$25,0))</f>
        <v>smb</v>
      </c>
      <c r="X1766" s="0" t="str">
        <f>SUBSTITUTE(LOWER(INDEX('Periods'!$G$2:$G$22,MATCH(N1766,'Periods'!$A$2:$A$22,0)))," ","_")</f>
        <v>q3_2025</v>
      </c>
    </row>
    <row r="1767">
      <c r="A1767" s="0" t="inlineStr">
        <is>
          <t xml:space="preserve">o1766</t>
        </is>
      </c>
      <c r="B1767" s="0" t="inlineStr">
        <is>
          <t xml:space="preserve">a0639</t>
        </is>
      </c>
      <c r="C1767" s="0" t="inlineStr">
        <is>
          <t xml:space="preserve">r15</t>
        </is>
      </c>
      <c r="D1767" s="0" t="inlineStr">
        <is>
          <t xml:space="preserve">s_emea_in</t>
        </is>
      </c>
      <c r="E1767" s="0" t="inlineStr">
        <is>
          <t xml:space="preserve">inbound</t>
        </is>
      </c>
      <c r="F1767" s="0" t="inlineStr">
        <is>
          <t xml:space="preserve">closed_lost</t>
        </is>
      </c>
      <c r="G1767" s="4">
        <v>1</v>
      </c>
      <c r="H1767" s="4">
        <v>47800</v>
      </c>
      <c r="I1767" s="4">
        <v>1</v>
      </c>
      <c r="J1767" s="4">
        <v>0</v>
      </c>
      <c r="K1767" s="16">
        <v>46025</v>
      </c>
      <c r="L1767" s="16">
        <v>46060</v>
      </c>
      <c r="M1767" s="0" t="inlineStr">
        <is>
          <t xml:space="preserve">jan26</t>
        </is>
      </c>
      <c r="N1767" s="0" t="inlineStr">
        <is>
          <t xml:space="preserve">feb26</t>
        </is>
      </c>
      <c r="O1767" s="4">
        <v>35</v>
      </c>
      <c r="P1767" s="4">
        <v>0</v>
      </c>
      <c r="Q1767" s="4">
        <v>1</v>
      </c>
      <c r="R1767" s="4">
        <v>0</v>
      </c>
      <c r="S1767" s="4">
        <f>(H1767*INDEX('Stages'!$D$2:$D$7,MATCH(F1767,'Stages'!$A$2:$A$7,0)))</f>
        <v>0</v>
      </c>
      <c r="T1767" s="4">
        <f>(H1767*I1767)</f>
        <v>47800</v>
      </c>
      <c r="U1767" s="4">
        <f>(H1767*(I1767-1))</f>
        <v>0</v>
      </c>
      <c r="V1767" s="0" t="str">
        <f>INDEX('Account executives'!$B$2:$B$25,MATCH(C1767,'Account executives'!$A$2:$A$25,0))</f>
        <v>emea</v>
      </c>
      <c r="W1767" s="0" t="str">
        <f>INDEX('Account executives'!$C$2:$C$25,MATCH(C1767,'Account executives'!$A$2:$A$25,0))</f>
        <v>mid_market</v>
      </c>
      <c r="X1767" s="0" t="str">
        <f>SUBSTITUTE(LOWER(INDEX('Periods'!$G$2:$G$22,MATCH(N1767,'Periods'!$A$2:$A$22,0)))," ","_")</f>
        <v>q1_2026</v>
      </c>
    </row>
    <row r="1768">
      <c r="A1768" s="0" t="inlineStr">
        <is>
          <t xml:space="preserve">o1767</t>
        </is>
      </c>
      <c r="B1768" s="0" t="inlineStr">
        <is>
          <t xml:space="preserve">a0352</t>
        </is>
      </c>
      <c r="C1768" s="0" t="inlineStr">
        <is>
          <t xml:space="preserve">r22</t>
        </is>
      </c>
      <c r="D1768" s="0" t="inlineStr">
        <is>
          <t xml:space="preserve">s_apac_in</t>
        </is>
      </c>
      <c r="E1768" s="0" t="inlineStr">
        <is>
          <t xml:space="preserve">inbound</t>
        </is>
      </c>
      <c r="F1768" s="0" t="inlineStr">
        <is>
          <t xml:space="preserve">closed_lost</t>
        </is>
      </c>
      <c r="G1768" s="4">
        <v>1</v>
      </c>
      <c r="H1768" s="4">
        <v>47400</v>
      </c>
      <c r="I1768" s="4">
        <v>1</v>
      </c>
      <c r="J1768" s="4">
        <v>1</v>
      </c>
      <c r="K1768" s="16">
        <v>45895</v>
      </c>
      <c r="L1768" s="16">
        <v>45952</v>
      </c>
      <c r="M1768" s="0" t="inlineStr">
        <is>
          <t xml:space="preserve">aug25</t>
        </is>
      </c>
      <c r="N1768" s="0" t="inlineStr">
        <is>
          <t xml:space="preserve">oct25</t>
        </is>
      </c>
      <c r="O1768" s="4">
        <v>57</v>
      </c>
      <c r="P1768" s="4">
        <v>0</v>
      </c>
      <c r="Q1768" s="4">
        <v>1</v>
      </c>
      <c r="R1768" s="4">
        <v>0</v>
      </c>
      <c r="S1768" s="4">
        <f>(H1768*INDEX('Stages'!$D$2:$D$7,MATCH(F1768,'Stages'!$A$2:$A$7,0)))</f>
        <v>0</v>
      </c>
      <c r="T1768" s="4">
        <f>(H1768*I1768)</f>
        <v>47400</v>
      </c>
      <c r="U1768" s="4">
        <f>(H1768*(I1768-1))</f>
        <v>0</v>
      </c>
      <c r="V1768" s="0" t="str">
        <f>INDEX('Account executives'!$B$2:$B$25,MATCH(C1768,'Account executives'!$A$2:$A$25,0))</f>
        <v>apac</v>
      </c>
      <c r="W1768" s="0" t="str">
        <f>INDEX('Account executives'!$C$2:$C$25,MATCH(C1768,'Account executives'!$A$2:$A$25,0))</f>
        <v>mid_market</v>
      </c>
      <c r="X1768" s="0" t="str">
        <f>SUBSTITUTE(LOWER(INDEX('Periods'!$G$2:$G$22,MATCH(N1768,'Periods'!$A$2:$A$22,0)))," ","_")</f>
        <v>q4_2025</v>
      </c>
    </row>
    <row r="1769">
      <c r="A1769" s="0" t="inlineStr">
        <is>
          <t xml:space="preserve">o1768</t>
        </is>
      </c>
      <c r="B1769" s="0" t="inlineStr">
        <is>
          <t xml:space="preserve">a0067</t>
        </is>
      </c>
      <c r="C1769" s="0" t="inlineStr">
        <is>
          <t xml:space="preserve">r05</t>
        </is>
      </c>
      <c r="D1769" s="0"/>
      <c r="E1769" s="0" t="inlineStr">
        <is>
          <t xml:space="preserve">referral</t>
        </is>
      </c>
      <c r="F1769" s="0" t="inlineStr">
        <is>
          <t xml:space="preserve">closed_won</t>
        </is>
      </c>
      <c r="G1769" s="4">
        <v>0</v>
      </c>
      <c r="H1769" s="4">
        <v>7300</v>
      </c>
      <c r="I1769" s="4">
        <v>1</v>
      </c>
      <c r="J1769" s="4">
        <v>0</v>
      </c>
      <c r="K1769" s="16">
        <v>45805</v>
      </c>
      <c r="L1769" s="16">
        <v>45834</v>
      </c>
      <c r="M1769" s="0" t="inlineStr">
        <is>
          <t xml:space="preserve">may25</t>
        </is>
      </c>
      <c r="N1769" s="0" t="inlineStr">
        <is>
          <t xml:space="preserve">jun25</t>
        </is>
      </c>
      <c r="O1769" s="4">
        <v>29</v>
      </c>
      <c r="P1769" s="4">
        <v>1</v>
      </c>
      <c r="Q1769" s="4">
        <v>0</v>
      </c>
      <c r="R1769" s="4">
        <v>0</v>
      </c>
      <c r="S1769" s="4">
        <f>(H1769*INDEX('Stages'!$D$2:$D$7,MATCH(F1769,'Stages'!$A$2:$A$7,0)))</f>
        <v>7300</v>
      </c>
      <c r="T1769" s="4">
        <f>(H1769*I1769)</f>
        <v>7300</v>
      </c>
      <c r="U1769" s="4">
        <f>(H1769*(I1769-1))</f>
        <v>0</v>
      </c>
      <c r="V1769" s="0" t="str">
        <f>INDEX('Account executives'!$B$2:$B$25,MATCH(C1769,'Account executives'!$A$2:$A$25,0))</f>
        <v>amer_east</v>
      </c>
      <c r="W1769" s="0" t="str">
        <f>INDEX('Account executives'!$C$2:$C$25,MATCH(C1769,'Account executives'!$A$2:$A$25,0))</f>
        <v>smb</v>
      </c>
      <c r="X1769" s="0" t="str">
        <f>SUBSTITUTE(LOWER(INDEX('Periods'!$G$2:$G$22,MATCH(N1769,'Periods'!$A$2:$A$22,0)))," ","_")</f>
        <v>q2_2025</v>
      </c>
    </row>
    <row r="1770">
      <c r="A1770" s="0" t="inlineStr">
        <is>
          <t xml:space="preserve">o1769</t>
        </is>
      </c>
      <c r="B1770" s="0" t="inlineStr">
        <is>
          <t xml:space="preserve">a0208</t>
        </is>
      </c>
      <c r="C1770" s="0" t="inlineStr">
        <is>
          <t xml:space="preserve">r15</t>
        </is>
      </c>
      <c r="D1770" s="0" t="inlineStr">
        <is>
          <t xml:space="preserve">s_emea_in</t>
        </is>
      </c>
      <c r="E1770" s="0" t="inlineStr">
        <is>
          <t xml:space="preserve">inbound</t>
        </is>
      </c>
      <c r="F1770" s="0" t="inlineStr">
        <is>
          <t xml:space="preserve">closed_lost</t>
        </is>
      </c>
      <c r="G1770" s="4">
        <v>1</v>
      </c>
      <c r="H1770" s="4">
        <v>13800</v>
      </c>
      <c r="I1770" s="4">
        <v>1</v>
      </c>
      <c r="J1770" s="4">
        <v>1</v>
      </c>
      <c r="K1770" s="16">
        <v>45830</v>
      </c>
      <c r="L1770" s="16">
        <v>45928</v>
      </c>
      <c r="M1770" s="0" t="inlineStr">
        <is>
          <t xml:space="preserve">jun25</t>
        </is>
      </c>
      <c r="N1770" s="0" t="inlineStr">
        <is>
          <t xml:space="preserve">sep25</t>
        </is>
      </c>
      <c r="O1770" s="4">
        <v>98</v>
      </c>
      <c r="P1770" s="4">
        <v>0</v>
      </c>
      <c r="Q1770" s="4">
        <v>1</v>
      </c>
      <c r="R1770" s="4">
        <v>0</v>
      </c>
      <c r="S1770" s="4">
        <f>(H1770*INDEX('Stages'!$D$2:$D$7,MATCH(F1770,'Stages'!$A$2:$A$7,0)))</f>
        <v>0</v>
      </c>
      <c r="T1770" s="4">
        <f>(H1770*I1770)</f>
        <v>13800</v>
      </c>
      <c r="U1770" s="4">
        <f>(H1770*(I1770-1))</f>
        <v>0</v>
      </c>
      <c r="V1770" s="0" t="str">
        <f>INDEX('Account executives'!$B$2:$B$25,MATCH(C1770,'Account executives'!$A$2:$A$25,0))</f>
        <v>emea</v>
      </c>
      <c r="W1770" s="0" t="str">
        <f>INDEX('Account executives'!$C$2:$C$25,MATCH(C1770,'Account executives'!$A$2:$A$25,0))</f>
        <v>mid_market</v>
      </c>
      <c r="X1770" s="0" t="str">
        <f>SUBSTITUTE(LOWER(INDEX('Periods'!$G$2:$G$22,MATCH(N1770,'Periods'!$A$2:$A$22,0)))," ","_")</f>
        <v>q3_2025</v>
      </c>
    </row>
    <row r="1771">
      <c r="A1771" s="0" t="inlineStr">
        <is>
          <t xml:space="preserve">o1770</t>
        </is>
      </c>
      <c r="B1771" s="0" t="inlineStr">
        <is>
          <t xml:space="preserve">a0646</t>
        </is>
      </c>
      <c r="C1771" s="0" t="inlineStr">
        <is>
          <t xml:space="preserve">r15</t>
        </is>
      </c>
      <c r="D1771" s="0" t="inlineStr">
        <is>
          <t xml:space="preserve">s_emea_in</t>
        </is>
      </c>
      <c r="E1771" s="0" t="inlineStr">
        <is>
          <t xml:space="preserve">paid</t>
        </is>
      </c>
      <c r="F1771" s="0" t="inlineStr">
        <is>
          <t xml:space="preserve">closed_lost</t>
        </is>
      </c>
      <c r="G1771" s="4">
        <v>1</v>
      </c>
      <c r="H1771" s="4">
        <v>32100</v>
      </c>
      <c r="I1771" s="4">
        <v>1</v>
      </c>
      <c r="J1771" s="4">
        <v>0</v>
      </c>
      <c r="K1771" s="16">
        <v>46042</v>
      </c>
      <c r="L1771" s="16">
        <v>46101</v>
      </c>
      <c r="M1771" s="0" t="inlineStr">
        <is>
          <t xml:space="preserve">jan26</t>
        </is>
      </c>
      <c r="N1771" s="0" t="inlineStr">
        <is>
          <t xml:space="preserve">mar26</t>
        </is>
      </c>
      <c r="O1771" s="4">
        <v>59</v>
      </c>
      <c r="P1771" s="4">
        <v>0</v>
      </c>
      <c r="Q1771" s="4">
        <v>1</v>
      </c>
      <c r="R1771" s="4">
        <v>0</v>
      </c>
      <c r="S1771" s="4">
        <f>(H1771*INDEX('Stages'!$D$2:$D$7,MATCH(F1771,'Stages'!$A$2:$A$7,0)))</f>
        <v>0</v>
      </c>
      <c r="T1771" s="4">
        <f>(H1771*I1771)</f>
        <v>32100</v>
      </c>
      <c r="U1771" s="4">
        <f>(H1771*(I1771-1))</f>
        <v>0</v>
      </c>
      <c r="V1771" s="0" t="str">
        <f>INDEX('Account executives'!$B$2:$B$25,MATCH(C1771,'Account executives'!$A$2:$A$25,0))</f>
        <v>emea</v>
      </c>
      <c r="W1771" s="0" t="str">
        <f>INDEX('Account executives'!$C$2:$C$25,MATCH(C1771,'Account executives'!$A$2:$A$25,0))</f>
        <v>mid_market</v>
      </c>
      <c r="X1771" s="0" t="str">
        <f>SUBSTITUTE(LOWER(INDEX('Periods'!$G$2:$G$22,MATCH(N1771,'Periods'!$A$2:$A$22,0)))," ","_")</f>
        <v>q1_2026</v>
      </c>
    </row>
    <row r="1772">
      <c r="A1772" s="0" t="inlineStr">
        <is>
          <t xml:space="preserve">o1771</t>
        </is>
      </c>
      <c r="B1772" s="0" t="inlineStr">
        <is>
          <t xml:space="preserve">a0366</t>
        </is>
      </c>
      <c r="C1772" s="0" t="inlineStr">
        <is>
          <t xml:space="preserve">r03</t>
        </is>
      </c>
      <c r="D1772" s="0"/>
      <c r="E1772" s="0" t="inlineStr">
        <is>
          <t xml:space="preserve">events</t>
        </is>
      </c>
      <c r="F1772" s="0" t="inlineStr">
        <is>
          <t xml:space="preserve">closed_won</t>
        </is>
      </c>
      <c r="G1772" s="4">
        <v>1</v>
      </c>
      <c r="H1772" s="4">
        <v>46100</v>
      </c>
      <c r="I1772" s="4">
        <v>1</v>
      </c>
      <c r="J1772" s="4">
        <v>0</v>
      </c>
      <c r="K1772" s="16">
        <v>45908</v>
      </c>
      <c r="L1772" s="16">
        <v>45986</v>
      </c>
      <c r="M1772" s="0" t="inlineStr">
        <is>
          <t xml:space="preserve">sep25</t>
        </is>
      </c>
      <c r="N1772" s="0" t="inlineStr">
        <is>
          <t xml:space="preserve">nov25</t>
        </is>
      </c>
      <c r="O1772" s="4">
        <v>78</v>
      </c>
      <c r="P1772" s="4">
        <v>1</v>
      </c>
      <c r="Q1772" s="4">
        <v>0</v>
      </c>
      <c r="R1772" s="4">
        <v>0</v>
      </c>
      <c r="S1772" s="4">
        <f>(H1772*INDEX('Stages'!$D$2:$D$7,MATCH(F1772,'Stages'!$A$2:$A$7,0)))</f>
        <v>46100</v>
      </c>
      <c r="T1772" s="4">
        <f>(H1772*I1772)</f>
        <v>46100</v>
      </c>
      <c r="U1772" s="4">
        <f>(H1772*(I1772-1))</f>
        <v>0</v>
      </c>
      <c r="V1772" s="0" t="str">
        <f>INDEX('Account executives'!$B$2:$B$25,MATCH(C1772,'Account executives'!$A$2:$A$25,0))</f>
        <v>amer_east</v>
      </c>
      <c r="W1772" s="0" t="str">
        <f>INDEX('Account executives'!$C$2:$C$25,MATCH(C1772,'Account executives'!$A$2:$A$25,0))</f>
        <v>mid_market</v>
      </c>
      <c r="X1772" s="0" t="str">
        <f>SUBSTITUTE(LOWER(INDEX('Periods'!$G$2:$G$22,MATCH(N1772,'Periods'!$A$2:$A$22,0)))," ","_")</f>
        <v>q4_2025</v>
      </c>
    </row>
    <row r="1773">
      <c r="A1773" s="0" t="inlineStr">
        <is>
          <t xml:space="preserve">o1772</t>
        </is>
      </c>
      <c r="B1773" s="0" t="inlineStr">
        <is>
          <t xml:space="preserve">a0535</t>
        </is>
      </c>
      <c r="C1773" s="0" t="inlineStr">
        <is>
          <t xml:space="preserve">r03</t>
        </is>
      </c>
      <c r="D1773" s="0" t="inlineStr">
        <is>
          <t xml:space="preserve">s_amer_east_in</t>
        </is>
      </c>
      <c r="E1773" s="0" t="inlineStr">
        <is>
          <t xml:space="preserve">inbound</t>
        </is>
      </c>
      <c r="F1773" s="0" t="inlineStr">
        <is>
          <t xml:space="preserve">closed_lost</t>
        </is>
      </c>
      <c r="G1773" s="4">
        <v>1</v>
      </c>
      <c r="H1773" s="4">
        <v>26400</v>
      </c>
      <c r="I1773" s="4">
        <v>2</v>
      </c>
      <c r="J1773" s="4">
        <v>0</v>
      </c>
      <c r="K1773" s="16">
        <v>46005</v>
      </c>
      <c r="L1773" s="16">
        <v>46109</v>
      </c>
      <c r="M1773" s="0" t="inlineStr">
        <is>
          <t xml:space="preserve">dec25</t>
        </is>
      </c>
      <c r="N1773" s="0" t="inlineStr">
        <is>
          <t xml:space="preserve">mar26</t>
        </is>
      </c>
      <c r="O1773" s="4">
        <v>104</v>
      </c>
      <c r="P1773" s="4">
        <v>0</v>
      </c>
      <c r="Q1773" s="4">
        <v>1</v>
      </c>
      <c r="R1773" s="4">
        <v>0</v>
      </c>
      <c r="S1773" s="4">
        <f>(H1773*INDEX('Stages'!$D$2:$D$7,MATCH(F1773,'Stages'!$A$2:$A$7,0)))</f>
        <v>0</v>
      </c>
      <c r="T1773" s="4">
        <f>(H1773*I1773)</f>
        <v>52800</v>
      </c>
      <c r="U1773" s="4">
        <f>(H1773*(I1773-1))</f>
        <v>26400</v>
      </c>
      <c r="V1773" s="0" t="str">
        <f>INDEX('Account executives'!$B$2:$B$25,MATCH(C1773,'Account executives'!$A$2:$A$25,0))</f>
        <v>amer_east</v>
      </c>
      <c r="W1773" s="0" t="str">
        <f>INDEX('Account executives'!$C$2:$C$25,MATCH(C1773,'Account executives'!$A$2:$A$25,0))</f>
        <v>mid_market</v>
      </c>
      <c r="X1773" s="0" t="str">
        <f>SUBSTITUTE(LOWER(INDEX('Periods'!$G$2:$G$22,MATCH(N1773,'Periods'!$A$2:$A$22,0)))," ","_")</f>
        <v>q1_2026</v>
      </c>
    </row>
    <row r="1774">
      <c r="A1774" s="0" t="inlineStr">
        <is>
          <t xml:space="preserve">o1773</t>
        </is>
      </c>
      <c r="B1774" s="0" t="inlineStr">
        <is>
          <t xml:space="preserve">a0033</t>
        </is>
      </c>
      <c r="C1774" s="0" t="inlineStr">
        <is>
          <t xml:space="preserve">r22</t>
        </is>
      </c>
      <c r="D1774" s="0" t="inlineStr">
        <is>
          <t xml:space="preserve">s_apac_in</t>
        </is>
      </c>
      <c r="E1774" s="0" t="inlineStr">
        <is>
          <t xml:space="preserve">inbound</t>
        </is>
      </c>
      <c r="F1774" s="0" t="inlineStr">
        <is>
          <t xml:space="preserve">closed_won</t>
        </is>
      </c>
      <c r="G1774" s="4">
        <v>0</v>
      </c>
      <c r="H1774" s="4">
        <v>25000</v>
      </c>
      <c r="I1774" s="4">
        <v>1</v>
      </c>
      <c r="J1774" s="4">
        <v>0</v>
      </c>
      <c r="K1774" s="16">
        <v>45753</v>
      </c>
      <c r="L1774" s="16">
        <v>45794</v>
      </c>
      <c r="M1774" s="0" t="inlineStr">
        <is>
          <t xml:space="preserve">apr25</t>
        </is>
      </c>
      <c r="N1774" s="0" t="inlineStr">
        <is>
          <t xml:space="preserve">may25</t>
        </is>
      </c>
      <c r="O1774" s="4">
        <v>41</v>
      </c>
      <c r="P1774" s="4">
        <v>1</v>
      </c>
      <c r="Q1774" s="4">
        <v>0</v>
      </c>
      <c r="R1774" s="4">
        <v>0</v>
      </c>
      <c r="S1774" s="4">
        <f>(H1774*INDEX('Stages'!$D$2:$D$7,MATCH(F1774,'Stages'!$A$2:$A$7,0)))</f>
        <v>25000</v>
      </c>
      <c r="T1774" s="4">
        <f>(H1774*I1774)</f>
        <v>25000</v>
      </c>
      <c r="U1774" s="4">
        <f>(H1774*(I1774-1))</f>
        <v>0</v>
      </c>
      <c r="V1774" s="0" t="str">
        <f>INDEX('Account executives'!$B$2:$B$25,MATCH(C1774,'Account executives'!$A$2:$A$25,0))</f>
        <v>apac</v>
      </c>
      <c r="W1774" s="0" t="str">
        <f>INDEX('Account executives'!$C$2:$C$25,MATCH(C1774,'Account executives'!$A$2:$A$25,0))</f>
        <v>mid_market</v>
      </c>
      <c r="X1774" s="0" t="str">
        <f>SUBSTITUTE(LOWER(INDEX('Periods'!$G$2:$G$22,MATCH(N1774,'Periods'!$A$2:$A$22,0)))," ","_")</f>
        <v>q2_2025</v>
      </c>
    </row>
    <row r="1775">
      <c r="A1775" s="0" t="inlineStr">
        <is>
          <t xml:space="preserve">o1774</t>
        </is>
      </c>
      <c r="B1775" s="0" t="inlineStr">
        <is>
          <t xml:space="preserve">a0729</t>
        </is>
      </c>
      <c r="C1775" s="0" t="inlineStr">
        <is>
          <t xml:space="preserve">r04</t>
        </is>
      </c>
      <c r="D1775" s="0" t="inlineStr">
        <is>
          <t xml:space="preserve">s_amer_east_in</t>
        </is>
      </c>
      <c r="E1775" s="0" t="inlineStr">
        <is>
          <t xml:space="preserve">paid</t>
        </is>
      </c>
      <c r="F1775" s="0" t="inlineStr">
        <is>
          <t xml:space="preserve">closed_lost</t>
        </is>
      </c>
      <c r="G1775" s="4">
        <v>1</v>
      </c>
      <c r="H1775" s="4">
        <v>48500</v>
      </c>
      <c r="I1775" s="4">
        <v>1</v>
      </c>
      <c r="J1775" s="4">
        <v>0</v>
      </c>
      <c r="K1775" s="16">
        <v>46084</v>
      </c>
      <c r="L1775" s="16">
        <v>46152</v>
      </c>
      <c r="M1775" s="0" t="inlineStr">
        <is>
          <t xml:space="preserve">mar26</t>
        </is>
      </c>
      <c r="N1775" s="0" t="inlineStr">
        <is>
          <t xml:space="preserve">may26</t>
        </is>
      </c>
      <c r="O1775" s="4">
        <v>68</v>
      </c>
      <c r="P1775" s="4">
        <v>0</v>
      </c>
      <c r="Q1775" s="4">
        <v>1</v>
      </c>
      <c r="R1775" s="4">
        <v>0</v>
      </c>
      <c r="S1775" s="4">
        <f>(H1775*INDEX('Stages'!$D$2:$D$7,MATCH(F1775,'Stages'!$A$2:$A$7,0)))</f>
        <v>0</v>
      </c>
      <c r="T1775" s="4">
        <f>(H1775*I1775)</f>
        <v>48500</v>
      </c>
      <c r="U1775" s="4">
        <f>(H1775*(I1775-1))</f>
        <v>0</v>
      </c>
      <c r="V1775" s="0" t="str">
        <f>INDEX('Account executives'!$B$2:$B$25,MATCH(C1775,'Account executives'!$A$2:$A$25,0))</f>
        <v>amer_east</v>
      </c>
      <c r="W1775" s="0" t="str">
        <f>INDEX('Account executives'!$C$2:$C$25,MATCH(C1775,'Account executives'!$A$2:$A$25,0))</f>
        <v>mid_market</v>
      </c>
      <c r="X1775" s="0" t="str">
        <f>SUBSTITUTE(LOWER(INDEX('Periods'!$G$2:$G$22,MATCH(N1775,'Periods'!$A$2:$A$22,0)))," ","_")</f>
        <v>q2_2026</v>
      </c>
    </row>
  </sheetData>
</worksheet>
</file>

<file path=xl/worksheets/sheet3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1" t="inlineStr">
        <is>
          <t xml:space="preserve">ID</t>
        </is>
      </c>
      <c r="B1" s="1" t="inlineStr">
        <is>
          <t xml:space="preserve">channel</t>
        </is>
      </c>
      <c r="C1" s="1" t="inlineStr">
        <is>
          <t xml:space="preserve">region</t>
        </is>
      </c>
      <c r="D1" s="1" t="inlineStr">
        <is>
          <t xml:space="preserve">period</t>
        </is>
      </c>
      <c r="E1" s="1" t="inlineStr">
        <is>
          <t xml:space="preserve">spend</t>
        </is>
      </c>
      <c r="F1" s="1" t="inlineStr">
        <is>
          <t xml:space="preserve">leads</t>
        </is>
      </c>
      <c r="G1" s="1" t="inlineStr">
        <is>
          <t xml:space="preserve">mqls</t>
        </is>
      </c>
    </row>
    <row r="2">
      <c r="A2" s="0" t="inlineStr">
        <is>
          <t xml:space="preserve">mk_inbound_amer_east_apr25</t>
        </is>
      </c>
      <c r="B2" s="0" t="inlineStr">
        <is>
          <t xml:space="preserve">inbound</t>
        </is>
      </c>
      <c r="C2" s="0" t="inlineStr">
        <is>
          <t xml:space="preserve">amer_east</t>
        </is>
      </c>
      <c r="D2" s="0" t="inlineStr">
        <is>
          <t xml:space="preserve">apr25</t>
        </is>
      </c>
      <c r="E2" s="4">
        <v>16750</v>
      </c>
      <c r="F2" s="4">
        <v>280</v>
      </c>
      <c r="G2" s="4">
        <v>43</v>
      </c>
    </row>
    <row r="3">
      <c r="A3" s="0" t="inlineStr">
        <is>
          <t xml:space="preserve">mk_inbound_amer_east_may25</t>
        </is>
      </c>
      <c r="B3" s="0" t="inlineStr">
        <is>
          <t xml:space="preserve">inbound</t>
        </is>
      </c>
      <c r="C3" s="0" t="inlineStr">
        <is>
          <t xml:space="preserve">amer_east</t>
        </is>
      </c>
      <c r="D3" s="0" t="inlineStr">
        <is>
          <t xml:space="preserve">may25</t>
        </is>
      </c>
      <c r="E3" s="4">
        <v>15260</v>
      </c>
      <c r="F3" s="4">
        <v>334</v>
      </c>
      <c r="G3" s="4">
        <v>53</v>
      </c>
    </row>
    <row r="4">
      <c r="A4" s="0" t="inlineStr">
        <is>
          <t xml:space="preserve">mk_inbound_amer_east_jun25</t>
        </is>
      </c>
      <c r="B4" s="0" t="inlineStr">
        <is>
          <t xml:space="preserve">inbound</t>
        </is>
      </c>
      <c r="C4" s="0" t="inlineStr">
        <is>
          <t xml:space="preserve">amer_east</t>
        </is>
      </c>
      <c r="D4" s="0" t="inlineStr">
        <is>
          <t xml:space="preserve">jun25</t>
        </is>
      </c>
      <c r="E4" s="4">
        <v>18280</v>
      </c>
      <c r="F4" s="4">
        <v>398</v>
      </c>
      <c r="G4" s="4">
        <v>69</v>
      </c>
    </row>
    <row r="5">
      <c r="A5" s="0" t="inlineStr">
        <is>
          <t xml:space="preserve">mk_inbound_amer_east_jul25</t>
        </is>
      </c>
      <c r="B5" s="0" t="inlineStr">
        <is>
          <t xml:space="preserve">inbound</t>
        </is>
      </c>
      <c r="C5" s="0" t="inlineStr">
        <is>
          <t xml:space="preserve">amer_east</t>
        </is>
      </c>
      <c r="D5" s="0" t="inlineStr">
        <is>
          <t xml:space="preserve">jul25</t>
        </is>
      </c>
      <c r="E5" s="4">
        <v>14890</v>
      </c>
      <c r="F5" s="4">
        <v>353</v>
      </c>
      <c r="G5" s="4">
        <v>64</v>
      </c>
    </row>
    <row r="6">
      <c r="A6" s="0" t="inlineStr">
        <is>
          <t xml:space="preserve">mk_inbound_amer_east_aug25</t>
        </is>
      </c>
      <c r="B6" s="0" t="inlineStr">
        <is>
          <t xml:space="preserve">inbound</t>
        </is>
      </c>
      <c r="C6" s="0" t="inlineStr">
        <is>
          <t xml:space="preserve">amer_east</t>
        </is>
      </c>
      <c r="D6" s="0" t="inlineStr">
        <is>
          <t xml:space="preserve">aug25</t>
        </is>
      </c>
      <c r="E6" s="4">
        <v>14360</v>
      </c>
      <c r="F6" s="4">
        <v>313</v>
      </c>
      <c r="G6" s="4">
        <v>48</v>
      </c>
    </row>
    <row r="7">
      <c r="A7" s="0" t="inlineStr">
        <is>
          <t xml:space="preserve">mk_inbound_amer_east_sep25</t>
        </is>
      </c>
      <c r="B7" s="0" t="inlineStr">
        <is>
          <t xml:space="preserve">inbound</t>
        </is>
      </c>
      <c r="C7" s="0" t="inlineStr">
        <is>
          <t xml:space="preserve">amer_east</t>
        </is>
      </c>
      <c r="D7" s="0" t="inlineStr">
        <is>
          <t xml:space="preserve">sep25</t>
        </is>
      </c>
      <c r="E7" s="4">
        <v>15400</v>
      </c>
      <c r="F7" s="4">
        <v>305</v>
      </c>
      <c r="G7" s="4">
        <v>55</v>
      </c>
    </row>
    <row r="8">
      <c r="A8" s="0" t="inlineStr">
        <is>
          <t xml:space="preserve">mk_inbound_amer_east_oct25</t>
        </is>
      </c>
      <c r="B8" s="0" t="inlineStr">
        <is>
          <t xml:space="preserve">inbound</t>
        </is>
      </c>
      <c r="C8" s="0" t="inlineStr">
        <is>
          <t xml:space="preserve">amer_east</t>
        </is>
      </c>
      <c r="D8" s="0" t="inlineStr">
        <is>
          <t xml:space="preserve">oct25</t>
        </is>
      </c>
      <c r="E8" s="4">
        <v>11700</v>
      </c>
      <c r="F8" s="4">
        <v>289</v>
      </c>
      <c r="G8" s="4">
        <v>51</v>
      </c>
    </row>
    <row r="9">
      <c r="A9" s="0" t="inlineStr">
        <is>
          <t xml:space="preserve">mk_inbound_amer_east_nov25</t>
        </is>
      </c>
      <c r="B9" s="0" t="inlineStr">
        <is>
          <t xml:space="preserve">inbound</t>
        </is>
      </c>
      <c r="C9" s="0" t="inlineStr">
        <is>
          <t xml:space="preserve">amer_east</t>
        </is>
      </c>
      <c r="D9" s="0" t="inlineStr">
        <is>
          <t xml:space="preserve">nov25</t>
        </is>
      </c>
      <c r="E9" s="4">
        <v>12590</v>
      </c>
      <c r="F9" s="4">
        <v>285</v>
      </c>
      <c r="G9" s="4">
        <v>46</v>
      </c>
    </row>
    <row r="10">
      <c r="A10" s="0" t="inlineStr">
        <is>
          <t xml:space="preserve">mk_inbound_amer_east_dec25</t>
        </is>
      </c>
      <c r="B10" s="0" t="inlineStr">
        <is>
          <t xml:space="preserve">inbound</t>
        </is>
      </c>
      <c r="C10" s="0" t="inlineStr">
        <is>
          <t xml:space="preserve">amer_east</t>
        </is>
      </c>
      <c r="D10" s="0" t="inlineStr">
        <is>
          <t xml:space="preserve">dec25</t>
        </is>
      </c>
      <c r="E10" s="4">
        <v>16580</v>
      </c>
      <c r="F10" s="4">
        <v>350</v>
      </c>
      <c r="G10" s="4">
        <v>50</v>
      </c>
    </row>
    <row r="11">
      <c r="A11" s="0" t="inlineStr">
        <is>
          <t xml:space="preserve">mk_inbound_amer_east_jan26</t>
        </is>
      </c>
      <c r="B11" s="0" t="inlineStr">
        <is>
          <t xml:space="preserve">inbound</t>
        </is>
      </c>
      <c r="C11" s="0" t="inlineStr">
        <is>
          <t xml:space="preserve">amer_east</t>
        </is>
      </c>
      <c r="D11" s="0" t="inlineStr">
        <is>
          <t xml:space="preserve">jan26</t>
        </is>
      </c>
      <c r="E11" s="4">
        <v>13900</v>
      </c>
      <c r="F11" s="4">
        <v>307</v>
      </c>
      <c r="G11" s="4">
        <v>43</v>
      </c>
    </row>
    <row r="12">
      <c r="A12" s="0" t="inlineStr">
        <is>
          <t xml:space="preserve">mk_inbound_amer_east_feb26</t>
        </is>
      </c>
      <c r="B12" s="0" t="inlineStr">
        <is>
          <t xml:space="preserve">inbound</t>
        </is>
      </c>
      <c r="C12" s="0" t="inlineStr">
        <is>
          <t xml:space="preserve">amer_east</t>
        </is>
      </c>
      <c r="D12" s="0" t="inlineStr">
        <is>
          <t xml:space="preserve">feb26</t>
        </is>
      </c>
      <c r="E12" s="4">
        <v>15670</v>
      </c>
      <c r="F12" s="4">
        <v>276</v>
      </c>
      <c r="G12" s="4">
        <v>48</v>
      </c>
    </row>
    <row r="13">
      <c r="A13" s="0" t="inlineStr">
        <is>
          <t xml:space="preserve">mk_inbound_amer_east_mar26</t>
        </is>
      </c>
      <c r="B13" s="0" t="inlineStr">
        <is>
          <t xml:space="preserve">inbound</t>
        </is>
      </c>
      <c r="C13" s="0" t="inlineStr">
        <is>
          <t xml:space="preserve">amer_east</t>
        </is>
      </c>
      <c r="D13" s="0" t="inlineStr">
        <is>
          <t xml:space="preserve">mar26</t>
        </is>
      </c>
      <c r="E13" s="4">
        <v>19020</v>
      </c>
      <c r="F13" s="4">
        <v>423</v>
      </c>
      <c r="G13" s="4">
        <v>66</v>
      </c>
    </row>
    <row r="14">
      <c r="A14" s="0" t="inlineStr">
        <is>
          <t xml:space="preserve">mk_inbound_amer_east_apr26</t>
        </is>
      </c>
      <c r="B14" s="0" t="inlineStr">
        <is>
          <t xml:space="preserve">inbound</t>
        </is>
      </c>
      <c r="C14" s="0" t="inlineStr">
        <is>
          <t xml:space="preserve">amer_east</t>
        </is>
      </c>
      <c r="D14" s="0" t="inlineStr">
        <is>
          <t xml:space="preserve">apr26</t>
        </is>
      </c>
      <c r="E14" s="4">
        <v>16570</v>
      </c>
      <c r="F14" s="4">
        <v>524</v>
      </c>
      <c r="G14" s="4">
        <v>76</v>
      </c>
    </row>
    <row r="15">
      <c r="A15" s="0" t="inlineStr">
        <is>
          <t xml:space="preserve">mk_inbound_amer_east_may26</t>
        </is>
      </c>
      <c r="B15" s="0" t="inlineStr">
        <is>
          <t xml:space="preserve">inbound</t>
        </is>
      </c>
      <c r="C15" s="0" t="inlineStr">
        <is>
          <t xml:space="preserve">amer_east</t>
        </is>
      </c>
      <c r="D15" s="0" t="inlineStr">
        <is>
          <t xml:space="preserve">may26</t>
        </is>
      </c>
      <c r="E15" s="4">
        <v>17100</v>
      </c>
      <c r="F15" s="4">
        <v>500</v>
      </c>
      <c r="G15" s="4">
        <v>70</v>
      </c>
    </row>
    <row r="16">
      <c r="A16" s="0" t="inlineStr">
        <is>
          <t xml:space="preserve">mk_inbound_amer_east_jun26</t>
        </is>
      </c>
      <c r="B16" s="0" t="inlineStr">
        <is>
          <t xml:space="preserve">inbound</t>
        </is>
      </c>
      <c r="C16" s="0" t="inlineStr">
        <is>
          <t xml:space="preserve">amer_east</t>
        </is>
      </c>
      <c r="D16" s="0" t="inlineStr">
        <is>
          <t xml:space="preserve">jun26</t>
        </is>
      </c>
      <c r="E16" s="4">
        <v>16850</v>
      </c>
      <c r="F16" s="4">
        <v>357</v>
      </c>
      <c r="G16" s="4">
        <v>60</v>
      </c>
    </row>
    <row r="17">
      <c r="A17" s="0" t="inlineStr">
        <is>
          <t xml:space="preserve">mk_inbound_amer_east_jul26</t>
        </is>
      </c>
      <c r="B17" s="0" t="inlineStr">
        <is>
          <t xml:space="preserve">inbound</t>
        </is>
      </c>
      <c r="C17" s="0" t="inlineStr">
        <is>
          <t xml:space="preserve">amer_east</t>
        </is>
      </c>
      <c r="D17" s="0" t="inlineStr">
        <is>
          <t xml:space="preserve">jul26</t>
        </is>
      </c>
      <c r="E17" s="4">
        <v>13780</v>
      </c>
      <c r="F17" s="4">
        <v>246</v>
      </c>
      <c r="G17" s="4">
        <v>48</v>
      </c>
    </row>
    <row r="18">
      <c r="A18" s="0" t="inlineStr">
        <is>
          <t xml:space="preserve">mk_inbound_amer_east_aug26</t>
        </is>
      </c>
      <c r="B18" s="0" t="inlineStr">
        <is>
          <t xml:space="preserve">inbound</t>
        </is>
      </c>
      <c r="C18" s="0" t="inlineStr">
        <is>
          <t xml:space="preserve">amer_east</t>
        </is>
      </c>
      <c r="D18" s="0" t="inlineStr">
        <is>
          <t xml:space="preserve">aug26</t>
        </is>
      </c>
      <c r="E18" s="4">
        <v>11260</v>
      </c>
      <c r="F18" s="4">
        <v>325</v>
      </c>
      <c r="G18" s="4">
        <v>48</v>
      </c>
    </row>
    <row r="19">
      <c r="A19" s="0" t="inlineStr">
        <is>
          <t xml:space="preserve">mk_inbound_amer_east_sep26</t>
        </is>
      </c>
      <c r="B19" s="0" t="inlineStr">
        <is>
          <t xml:space="preserve">inbound</t>
        </is>
      </c>
      <c r="C19" s="0" t="inlineStr">
        <is>
          <t xml:space="preserve">amer_east</t>
        </is>
      </c>
      <c r="D19" s="0" t="inlineStr">
        <is>
          <t xml:space="preserve">sep26</t>
        </is>
      </c>
      <c r="E19" s="4">
        <v>16370</v>
      </c>
      <c r="F19" s="4">
        <v>467</v>
      </c>
      <c r="G19" s="4">
        <v>71</v>
      </c>
    </row>
    <row r="20">
      <c r="A20" s="0" t="inlineStr">
        <is>
          <t xml:space="preserve">mk_inbound_amer_east_oct26</t>
        </is>
      </c>
      <c r="B20" s="0" t="inlineStr">
        <is>
          <t xml:space="preserve">inbound</t>
        </is>
      </c>
      <c r="C20" s="0" t="inlineStr">
        <is>
          <t xml:space="preserve">amer_east</t>
        </is>
      </c>
      <c r="D20" s="0" t="inlineStr">
        <is>
          <t xml:space="preserve">oct26</t>
        </is>
      </c>
      <c r="E20" s="4">
        <v>11880</v>
      </c>
      <c r="F20" s="4">
        <v>299</v>
      </c>
      <c r="G20" s="4">
        <v>52</v>
      </c>
    </row>
    <row r="21">
      <c r="A21" s="0" t="inlineStr">
        <is>
          <t xml:space="preserve">mk_inbound_amer_east_nov26</t>
        </is>
      </c>
      <c r="B21" s="0" t="inlineStr">
        <is>
          <t xml:space="preserve">inbound</t>
        </is>
      </c>
      <c r="C21" s="0" t="inlineStr">
        <is>
          <t xml:space="preserve">amer_east</t>
        </is>
      </c>
      <c r="D21" s="0" t="inlineStr">
        <is>
          <t xml:space="preserve">nov26</t>
        </is>
      </c>
      <c r="E21" s="4">
        <v>11690</v>
      </c>
      <c r="F21" s="4">
        <v>325</v>
      </c>
      <c r="G21" s="4">
        <v>53</v>
      </c>
    </row>
    <row r="22">
      <c r="A22" s="0" t="inlineStr">
        <is>
          <t xml:space="preserve">mk_inbound_amer_east_dec26</t>
        </is>
      </c>
      <c r="B22" s="0" t="inlineStr">
        <is>
          <t xml:space="preserve">inbound</t>
        </is>
      </c>
      <c r="C22" s="0" t="inlineStr">
        <is>
          <t xml:space="preserve">amer_east</t>
        </is>
      </c>
      <c r="D22" s="0" t="inlineStr">
        <is>
          <t xml:space="preserve">dec26</t>
        </is>
      </c>
      <c r="E22" s="4">
        <v>14230</v>
      </c>
      <c r="F22" s="4">
        <v>284</v>
      </c>
      <c r="G22" s="4">
        <v>48</v>
      </c>
    </row>
    <row r="23">
      <c r="A23" s="0" t="inlineStr">
        <is>
          <t xml:space="preserve">mk_inbound_amer_west_apr25</t>
        </is>
      </c>
      <c r="B23" s="0" t="inlineStr">
        <is>
          <t xml:space="preserve">inbound</t>
        </is>
      </c>
      <c r="C23" s="0" t="inlineStr">
        <is>
          <t xml:space="preserve">amer_west</t>
        </is>
      </c>
      <c r="D23" s="0" t="inlineStr">
        <is>
          <t xml:space="preserve">apr25</t>
        </is>
      </c>
      <c r="E23" s="4">
        <v>13140</v>
      </c>
      <c r="F23" s="4">
        <v>347</v>
      </c>
      <c r="G23" s="4">
        <v>46</v>
      </c>
    </row>
    <row r="24">
      <c r="A24" s="0" t="inlineStr">
        <is>
          <t xml:space="preserve">mk_inbound_amer_west_may25</t>
        </is>
      </c>
      <c r="B24" s="0" t="inlineStr">
        <is>
          <t xml:space="preserve">inbound</t>
        </is>
      </c>
      <c r="C24" s="0" t="inlineStr">
        <is>
          <t xml:space="preserve">amer_west</t>
        </is>
      </c>
      <c r="D24" s="0" t="inlineStr">
        <is>
          <t xml:space="preserve">may25</t>
        </is>
      </c>
      <c r="E24" s="4">
        <v>14960</v>
      </c>
      <c r="F24" s="4">
        <v>285</v>
      </c>
      <c r="G24" s="4">
        <v>38</v>
      </c>
    </row>
    <row r="25">
      <c r="A25" s="0" t="inlineStr">
        <is>
          <t xml:space="preserve">mk_inbound_amer_west_jun25</t>
        </is>
      </c>
      <c r="B25" s="0" t="inlineStr">
        <is>
          <t xml:space="preserve">inbound</t>
        </is>
      </c>
      <c r="C25" s="0" t="inlineStr">
        <is>
          <t xml:space="preserve">amer_west</t>
        </is>
      </c>
      <c r="D25" s="0" t="inlineStr">
        <is>
          <t xml:space="preserve">jun25</t>
        </is>
      </c>
      <c r="E25" s="4">
        <v>15350</v>
      </c>
      <c r="F25" s="4">
        <v>304</v>
      </c>
      <c r="G25" s="4">
        <v>49</v>
      </c>
    </row>
    <row r="26">
      <c r="A26" s="0" t="inlineStr">
        <is>
          <t xml:space="preserve">mk_inbound_amer_west_jul25</t>
        </is>
      </c>
      <c r="B26" s="0" t="inlineStr">
        <is>
          <t xml:space="preserve">inbound</t>
        </is>
      </c>
      <c r="C26" s="0" t="inlineStr">
        <is>
          <t xml:space="preserve">amer_west</t>
        </is>
      </c>
      <c r="D26" s="0" t="inlineStr">
        <is>
          <t xml:space="preserve">jul25</t>
        </is>
      </c>
      <c r="E26" s="4">
        <v>13600</v>
      </c>
      <c r="F26" s="4">
        <v>326</v>
      </c>
      <c r="G26" s="4">
        <v>53</v>
      </c>
    </row>
    <row r="27">
      <c r="A27" s="0" t="inlineStr">
        <is>
          <t xml:space="preserve">mk_inbound_amer_west_aug25</t>
        </is>
      </c>
      <c r="B27" s="0" t="inlineStr">
        <is>
          <t xml:space="preserve">inbound</t>
        </is>
      </c>
      <c r="C27" s="0" t="inlineStr">
        <is>
          <t xml:space="preserve">amer_west</t>
        </is>
      </c>
      <c r="D27" s="0" t="inlineStr">
        <is>
          <t xml:space="preserve">aug25</t>
        </is>
      </c>
      <c r="E27" s="4">
        <v>13620</v>
      </c>
      <c r="F27" s="4">
        <v>306</v>
      </c>
      <c r="G27" s="4">
        <v>49</v>
      </c>
    </row>
    <row r="28">
      <c r="A28" s="0" t="inlineStr">
        <is>
          <t xml:space="preserve">mk_inbound_amer_west_sep25</t>
        </is>
      </c>
      <c r="B28" s="0" t="inlineStr">
        <is>
          <t xml:space="preserve">inbound</t>
        </is>
      </c>
      <c r="C28" s="0" t="inlineStr">
        <is>
          <t xml:space="preserve">amer_west</t>
        </is>
      </c>
      <c r="D28" s="0" t="inlineStr">
        <is>
          <t xml:space="preserve">sep25</t>
        </is>
      </c>
      <c r="E28" s="4">
        <v>15970</v>
      </c>
      <c r="F28" s="4">
        <v>283</v>
      </c>
      <c r="G28" s="4">
        <v>34</v>
      </c>
    </row>
    <row r="29">
      <c r="A29" s="0" t="inlineStr">
        <is>
          <t xml:space="preserve">mk_inbound_amer_west_oct25</t>
        </is>
      </c>
      <c r="B29" s="0" t="inlineStr">
        <is>
          <t xml:space="preserve">inbound</t>
        </is>
      </c>
      <c r="C29" s="0" t="inlineStr">
        <is>
          <t xml:space="preserve">amer_west</t>
        </is>
      </c>
      <c r="D29" s="0" t="inlineStr">
        <is>
          <t xml:space="preserve">oct25</t>
        </is>
      </c>
      <c r="E29" s="4">
        <v>12830</v>
      </c>
      <c r="F29" s="4">
        <v>278</v>
      </c>
      <c r="G29" s="4">
        <v>38</v>
      </c>
    </row>
    <row r="30">
      <c r="A30" s="0" t="inlineStr">
        <is>
          <t xml:space="preserve">mk_inbound_amer_west_nov25</t>
        </is>
      </c>
      <c r="B30" s="0" t="inlineStr">
        <is>
          <t xml:space="preserve">inbound</t>
        </is>
      </c>
      <c r="C30" s="0" t="inlineStr">
        <is>
          <t xml:space="preserve">amer_west</t>
        </is>
      </c>
      <c r="D30" s="0" t="inlineStr">
        <is>
          <t xml:space="preserve">nov25</t>
        </is>
      </c>
      <c r="E30" s="4">
        <v>12660</v>
      </c>
      <c r="F30" s="4">
        <v>221</v>
      </c>
      <c r="G30" s="4">
        <v>38</v>
      </c>
    </row>
    <row r="31">
      <c r="A31" s="0" t="inlineStr">
        <is>
          <t xml:space="preserve">mk_inbound_amer_west_dec25</t>
        </is>
      </c>
      <c r="B31" s="0" t="inlineStr">
        <is>
          <t xml:space="preserve">inbound</t>
        </is>
      </c>
      <c r="C31" s="0" t="inlineStr">
        <is>
          <t xml:space="preserve">amer_west</t>
        </is>
      </c>
      <c r="D31" s="0" t="inlineStr">
        <is>
          <t xml:space="preserve">dec25</t>
        </is>
      </c>
      <c r="E31" s="4">
        <v>14440</v>
      </c>
      <c r="F31" s="4">
        <v>362</v>
      </c>
      <c r="G31" s="4">
        <v>64</v>
      </c>
    </row>
    <row r="32">
      <c r="A32" s="0" t="inlineStr">
        <is>
          <t xml:space="preserve">mk_inbound_amer_west_jan26</t>
        </is>
      </c>
      <c r="B32" s="0" t="inlineStr">
        <is>
          <t xml:space="preserve">inbound</t>
        </is>
      </c>
      <c r="C32" s="0" t="inlineStr">
        <is>
          <t xml:space="preserve">amer_west</t>
        </is>
      </c>
      <c r="D32" s="0" t="inlineStr">
        <is>
          <t xml:space="preserve">jan26</t>
        </is>
      </c>
      <c r="E32" s="4">
        <v>11500</v>
      </c>
      <c r="F32" s="4">
        <v>245</v>
      </c>
      <c r="G32" s="4">
        <v>34</v>
      </c>
    </row>
    <row r="33">
      <c r="A33" s="0" t="inlineStr">
        <is>
          <t xml:space="preserve">mk_inbound_amer_west_feb26</t>
        </is>
      </c>
      <c r="B33" s="0" t="inlineStr">
        <is>
          <t xml:space="preserve">inbound</t>
        </is>
      </c>
      <c r="C33" s="0" t="inlineStr">
        <is>
          <t xml:space="preserve">amer_west</t>
        </is>
      </c>
      <c r="D33" s="0" t="inlineStr">
        <is>
          <t xml:space="preserve">feb26</t>
        </is>
      </c>
      <c r="E33" s="4">
        <v>15890</v>
      </c>
      <c r="F33" s="4">
        <v>326</v>
      </c>
      <c r="G33" s="4">
        <v>49</v>
      </c>
    </row>
    <row r="34">
      <c r="A34" s="0" t="inlineStr">
        <is>
          <t xml:space="preserve">mk_inbound_amer_west_mar26</t>
        </is>
      </c>
      <c r="B34" s="0" t="inlineStr">
        <is>
          <t xml:space="preserve">inbound</t>
        </is>
      </c>
      <c r="C34" s="0" t="inlineStr">
        <is>
          <t xml:space="preserve">amer_west</t>
        </is>
      </c>
      <c r="D34" s="0" t="inlineStr">
        <is>
          <t xml:space="preserve">mar26</t>
        </is>
      </c>
      <c r="E34" s="4">
        <v>16430</v>
      </c>
      <c r="F34" s="4">
        <v>325</v>
      </c>
      <c r="G34" s="4">
        <v>52</v>
      </c>
    </row>
    <row r="35">
      <c r="A35" s="0" t="inlineStr">
        <is>
          <t xml:space="preserve">mk_inbound_amer_west_apr26</t>
        </is>
      </c>
      <c r="B35" s="0" t="inlineStr">
        <is>
          <t xml:space="preserve">inbound</t>
        </is>
      </c>
      <c r="C35" s="0" t="inlineStr">
        <is>
          <t xml:space="preserve">amer_west</t>
        </is>
      </c>
      <c r="D35" s="0" t="inlineStr">
        <is>
          <t xml:space="preserve">apr26</t>
        </is>
      </c>
      <c r="E35" s="4">
        <v>14570</v>
      </c>
      <c r="F35" s="4">
        <v>364</v>
      </c>
      <c r="G35" s="4">
        <v>68</v>
      </c>
    </row>
    <row r="36">
      <c r="A36" s="0" t="inlineStr">
        <is>
          <t xml:space="preserve">mk_inbound_amer_west_may26</t>
        </is>
      </c>
      <c r="B36" s="0" t="inlineStr">
        <is>
          <t xml:space="preserve">inbound</t>
        </is>
      </c>
      <c r="C36" s="0" t="inlineStr">
        <is>
          <t xml:space="preserve">amer_west</t>
        </is>
      </c>
      <c r="D36" s="0" t="inlineStr">
        <is>
          <t xml:space="preserve">may26</t>
        </is>
      </c>
      <c r="E36" s="4">
        <v>14000</v>
      </c>
      <c r="F36" s="4">
        <v>290</v>
      </c>
      <c r="G36" s="4">
        <v>51</v>
      </c>
    </row>
    <row r="37">
      <c r="A37" s="0" t="inlineStr">
        <is>
          <t xml:space="preserve">mk_inbound_amer_west_jun26</t>
        </is>
      </c>
      <c r="B37" s="0" t="inlineStr">
        <is>
          <t xml:space="preserve">inbound</t>
        </is>
      </c>
      <c r="C37" s="0" t="inlineStr">
        <is>
          <t xml:space="preserve">amer_west</t>
        </is>
      </c>
      <c r="D37" s="0" t="inlineStr">
        <is>
          <t xml:space="preserve">jun26</t>
        </is>
      </c>
      <c r="E37" s="4">
        <v>15310</v>
      </c>
      <c r="F37" s="4">
        <v>302</v>
      </c>
      <c r="G37" s="4">
        <v>50</v>
      </c>
    </row>
    <row r="38">
      <c r="A38" s="0" t="inlineStr">
        <is>
          <t xml:space="preserve">mk_inbound_amer_west_jul26</t>
        </is>
      </c>
      <c r="B38" s="0" t="inlineStr">
        <is>
          <t xml:space="preserve">inbound</t>
        </is>
      </c>
      <c r="C38" s="0" t="inlineStr">
        <is>
          <t xml:space="preserve">amer_west</t>
        </is>
      </c>
      <c r="D38" s="0" t="inlineStr">
        <is>
          <t xml:space="preserve">jul26</t>
        </is>
      </c>
      <c r="E38" s="4">
        <v>13320</v>
      </c>
      <c r="F38" s="4">
        <v>331</v>
      </c>
      <c r="G38" s="4">
        <v>69</v>
      </c>
    </row>
    <row r="39">
      <c r="A39" s="0" t="inlineStr">
        <is>
          <t xml:space="preserve">mk_inbound_amer_west_aug26</t>
        </is>
      </c>
      <c r="B39" s="0" t="inlineStr">
        <is>
          <t xml:space="preserve">inbound</t>
        </is>
      </c>
      <c r="C39" s="0" t="inlineStr">
        <is>
          <t xml:space="preserve">amer_west</t>
        </is>
      </c>
      <c r="D39" s="0" t="inlineStr">
        <is>
          <t xml:space="preserve">aug26</t>
        </is>
      </c>
      <c r="E39" s="4">
        <v>13150</v>
      </c>
      <c r="F39" s="4">
        <v>240</v>
      </c>
      <c r="G39" s="4">
        <v>44</v>
      </c>
    </row>
    <row r="40">
      <c r="A40" s="0" t="inlineStr">
        <is>
          <t xml:space="preserve">mk_inbound_amer_west_sep26</t>
        </is>
      </c>
      <c r="B40" s="0" t="inlineStr">
        <is>
          <t xml:space="preserve">inbound</t>
        </is>
      </c>
      <c r="C40" s="0" t="inlineStr">
        <is>
          <t xml:space="preserve">amer_west</t>
        </is>
      </c>
      <c r="D40" s="0" t="inlineStr">
        <is>
          <t xml:space="preserve">sep26</t>
        </is>
      </c>
      <c r="E40" s="4">
        <v>16820</v>
      </c>
      <c r="F40" s="4">
        <v>262</v>
      </c>
      <c r="G40" s="4">
        <v>49</v>
      </c>
    </row>
    <row r="41">
      <c r="A41" s="0" t="inlineStr">
        <is>
          <t xml:space="preserve">mk_inbound_amer_west_oct26</t>
        </is>
      </c>
      <c r="B41" s="0" t="inlineStr">
        <is>
          <t xml:space="preserve">inbound</t>
        </is>
      </c>
      <c r="C41" s="0" t="inlineStr">
        <is>
          <t xml:space="preserve">amer_west</t>
        </is>
      </c>
      <c r="D41" s="0" t="inlineStr">
        <is>
          <t xml:space="preserve">oct26</t>
        </is>
      </c>
      <c r="E41" s="4">
        <v>13720</v>
      </c>
      <c r="F41" s="4">
        <v>204</v>
      </c>
      <c r="G41" s="4">
        <v>34</v>
      </c>
    </row>
    <row r="42">
      <c r="A42" s="0" t="inlineStr">
        <is>
          <t xml:space="preserve">mk_inbound_amer_west_nov26</t>
        </is>
      </c>
      <c r="B42" s="0" t="inlineStr">
        <is>
          <t xml:space="preserve">inbound</t>
        </is>
      </c>
      <c r="C42" s="0" t="inlineStr">
        <is>
          <t xml:space="preserve">amer_west</t>
        </is>
      </c>
      <c r="D42" s="0" t="inlineStr">
        <is>
          <t xml:space="preserve">nov26</t>
        </is>
      </c>
      <c r="E42" s="4">
        <v>11900</v>
      </c>
      <c r="F42" s="4">
        <v>236</v>
      </c>
      <c r="G42" s="4">
        <v>28</v>
      </c>
    </row>
    <row r="43">
      <c r="A43" s="0" t="inlineStr">
        <is>
          <t xml:space="preserve">mk_inbound_amer_west_dec26</t>
        </is>
      </c>
      <c r="B43" s="0" t="inlineStr">
        <is>
          <t xml:space="preserve">inbound</t>
        </is>
      </c>
      <c r="C43" s="0" t="inlineStr">
        <is>
          <t xml:space="preserve">amer_west</t>
        </is>
      </c>
      <c r="D43" s="0" t="inlineStr">
        <is>
          <t xml:space="preserve">dec26</t>
        </is>
      </c>
      <c r="E43" s="4">
        <v>15630</v>
      </c>
      <c r="F43" s="4">
        <v>317</v>
      </c>
      <c r="G43" s="4">
        <v>63</v>
      </c>
    </row>
    <row r="44">
      <c r="A44" s="0" t="inlineStr">
        <is>
          <t xml:space="preserve">mk_inbound_emea_apr25</t>
        </is>
      </c>
      <c r="B44" s="0" t="inlineStr">
        <is>
          <t xml:space="preserve">inbound</t>
        </is>
      </c>
      <c r="C44" s="0" t="inlineStr">
        <is>
          <t xml:space="preserve">emea</t>
        </is>
      </c>
      <c r="D44" s="0" t="inlineStr">
        <is>
          <t xml:space="preserve">apr25</t>
        </is>
      </c>
      <c r="E44" s="4">
        <v>12470</v>
      </c>
      <c r="F44" s="4">
        <v>252</v>
      </c>
      <c r="G44" s="4">
        <v>34</v>
      </c>
    </row>
    <row r="45">
      <c r="A45" s="0" t="inlineStr">
        <is>
          <t xml:space="preserve">mk_inbound_emea_may25</t>
        </is>
      </c>
      <c r="B45" s="0" t="inlineStr">
        <is>
          <t xml:space="preserve">inbound</t>
        </is>
      </c>
      <c r="C45" s="0" t="inlineStr">
        <is>
          <t xml:space="preserve">emea</t>
        </is>
      </c>
      <c r="D45" s="0" t="inlineStr">
        <is>
          <t xml:space="preserve">may25</t>
        </is>
      </c>
      <c r="E45" s="4">
        <v>13930</v>
      </c>
      <c r="F45" s="4">
        <v>405</v>
      </c>
      <c r="G45" s="4">
        <v>64</v>
      </c>
    </row>
    <row r="46">
      <c r="A46" s="0" t="inlineStr">
        <is>
          <t xml:space="preserve">mk_inbound_emea_jun25</t>
        </is>
      </c>
      <c r="B46" s="0" t="inlineStr">
        <is>
          <t xml:space="preserve">inbound</t>
        </is>
      </c>
      <c r="C46" s="0" t="inlineStr">
        <is>
          <t xml:space="preserve">emea</t>
        </is>
      </c>
      <c r="D46" s="0" t="inlineStr">
        <is>
          <t xml:space="preserve">jun25</t>
        </is>
      </c>
      <c r="E46" s="4">
        <v>14160</v>
      </c>
      <c r="F46" s="4">
        <v>345</v>
      </c>
      <c r="G46" s="4">
        <v>49</v>
      </c>
    </row>
    <row r="47">
      <c r="A47" s="0" t="inlineStr">
        <is>
          <t xml:space="preserve">mk_inbound_emea_jul25</t>
        </is>
      </c>
      <c r="B47" s="0" t="inlineStr">
        <is>
          <t xml:space="preserve">inbound</t>
        </is>
      </c>
      <c r="C47" s="0" t="inlineStr">
        <is>
          <t xml:space="preserve">emea</t>
        </is>
      </c>
      <c r="D47" s="0" t="inlineStr">
        <is>
          <t xml:space="preserve">jul25</t>
        </is>
      </c>
      <c r="E47" s="4">
        <v>11810</v>
      </c>
      <c r="F47" s="4">
        <v>218</v>
      </c>
      <c r="G47" s="4">
        <v>37</v>
      </c>
    </row>
    <row r="48">
      <c r="A48" s="0" t="inlineStr">
        <is>
          <t xml:space="preserve">mk_inbound_emea_aug25</t>
        </is>
      </c>
      <c r="B48" s="0" t="inlineStr">
        <is>
          <t xml:space="preserve">inbound</t>
        </is>
      </c>
      <c r="C48" s="0" t="inlineStr">
        <is>
          <t xml:space="preserve">emea</t>
        </is>
      </c>
      <c r="D48" s="0" t="inlineStr">
        <is>
          <t xml:space="preserve">aug25</t>
        </is>
      </c>
      <c r="E48" s="4">
        <v>10540</v>
      </c>
      <c r="F48" s="4">
        <v>188</v>
      </c>
      <c r="G48" s="4">
        <v>24</v>
      </c>
    </row>
    <row r="49">
      <c r="A49" s="0" t="inlineStr">
        <is>
          <t xml:space="preserve">mk_inbound_emea_sep25</t>
        </is>
      </c>
      <c r="B49" s="0" t="inlineStr">
        <is>
          <t xml:space="preserve">inbound</t>
        </is>
      </c>
      <c r="C49" s="0" t="inlineStr">
        <is>
          <t xml:space="preserve">emea</t>
        </is>
      </c>
      <c r="D49" s="0" t="inlineStr">
        <is>
          <t xml:space="preserve">sep25</t>
        </is>
      </c>
      <c r="E49" s="4">
        <v>12560</v>
      </c>
      <c r="F49" s="4">
        <v>220</v>
      </c>
      <c r="G49" s="4">
        <v>43</v>
      </c>
    </row>
    <row r="50">
      <c r="A50" s="0" t="inlineStr">
        <is>
          <t xml:space="preserve">mk_inbound_emea_oct25</t>
        </is>
      </c>
      <c r="B50" s="0" t="inlineStr">
        <is>
          <t xml:space="preserve">inbound</t>
        </is>
      </c>
      <c r="C50" s="0" t="inlineStr">
        <is>
          <t xml:space="preserve">emea</t>
        </is>
      </c>
      <c r="D50" s="0" t="inlineStr">
        <is>
          <t xml:space="preserve">oct25</t>
        </is>
      </c>
      <c r="E50" s="4">
        <v>10200</v>
      </c>
      <c r="F50" s="4">
        <v>247</v>
      </c>
      <c r="G50" s="4">
        <v>38</v>
      </c>
    </row>
    <row r="51">
      <c r="A51" s="0" t="inlineStr">
        <is>
          <t xml:space="preserve">mk_inbound_emea_nov25</t>
        </is>
      </c>
      <c r="B51" s="0" t="inlineStr">
        <is>
          <t xml:space="preserve">inbound</t>
        </is>
      </c>
      <c r="C51" s="0" t="inlineStr">
        <is>
          <t xml:space="preserve">emea</t>
        </is>
      </c>
      <c r="D51" s="0" t="inlineStr">
        <is>
          <t xml:space="preserve">nov25</t>
        </is>
      </c>
      <c r="E51" s="4">
        <v>9550</v>
      </c>
      <c r="F51" s="4">
        <v>211</v>
      </c>
      <c r="G51" s="4">
        <v>35</v>
      </c>
    </row>
    <row r="52">
      <c r="A52" s="0" t="inlineStr">
        <is>
          <t xml:space="preserve">mk_inbound_emea_dec25</t>
        </is>
      </c>
      <c r="B52" s="0" t="inlineStr">
        <is>
          <t xml:space="preserve">inbound</t>
        </is>
      </c>
      <c r="C52" s="0" t="inlineStr">
        <is>
          <t xml:space="preserve">emea</t>
        </is>
      </c>
      <c r="D52" s="0" t="inlineStr">
        <is>
          <t xml:space="preserve">dec25</t>
        </is>
      </c>
      <c r="E52" s="4">
        <v>12000</v>
      </c>
      <c r="F52" s="4">
        <v>353</v>
      </c>
      <c r="G52" s="4">
        <v>62</v>
      </c>
    </row>
    <row r="53">
      <c r="A53" s="0" t="inlineStr">
        <is>
          <t xml:space="preserve">mk_inbound_emea_jan26</t>
        </is>
      </c>
      <c r="B53" s="0" t="inlineStr">
        <is>
          <t xml:space="preserve">inbound</t>
        </is>
      </c>
      <c r="C53" s="0" t="inlineStr">
        <is>
          <t xml:space="preserve">emea</t>
        </is>
      </c>
      <c r="D53" s="0" t="inlineStr">
        <is>
          <t xml:space="preserve">jan26</t>
        </is>
      </c>
      <c r="E53" s="4">
        <v>13070</v>
      </c>
      <c r="F53" s="4">
        <v>382</v>
      </c>
      <c r="G53" s="4">
        <v>61</v>
      </c>
    </row>
    <row r="54">
      <c r="A54" s="0" t="inlineStr">
        <is>
          <t xml:space="preserve">mk_inbound_emea_feb26</t>
        </is>
      </c>
      <c r="B54" s="0" t="inlineStr">
        <is>
          <t xml:space="preserve">inbound</t>
        </is>
      </c>
      <c r="C54" s="0" t="inlineStr">
        <is>
          <t xml:space="preserve">emea</t>
        </is>
      </c>
      <c r="D54" s="0" t="inlineStr">
        <is>
          <t xml:space="preserve">feb26</t>
        </is>
      </c>
      <c r="E54" s="4">
        <v>11880</v>
      </c>
      <c r="F54" s="4">
        <v>256</v>
      </c>
      <c r="G54" s="4">
        <v>39</v>
      </c>
    </row>
    <row r="55">
      <c r="A55" s="0" t="inlineStr">
        <is>
          <t xml:space="preserve">mk_inbound_emea_mar26</t>
        </is>
      </c>
      <c r="B55" s="0" t="inlineStr">
        <is>
          <t xml:space="preserve">inbound</t>
        </is>
      </c>
      <c r="C55" s="0" t="inlineStr">
        <is>
          <t xml:space="preserve">emea</t>
        </is>
      </c>
      <c r="D55" s="0" t="inlineStr">
        <is>
          <t xml:space="preserve">mar26</t>
        </is>
      </c>
      <c r="E55" s="4">
        <v>15310</v>
      </c>
      <c r="F55" s="4">
        <v>427</v>
      </c>
      <c r="G55" s="4">
        <v>70</v>
      </c>
    </row>
    <row r="56">
      <c r="A56" s="0" t="inlineStr">
        <is>
          <t xml:space="preserve">mk_inbound_emea_apr26</t>
        </is>
      </c>
      <c r="B56" s="0" t="inlineStr">
        <is>
          <t xml:space="preserve">inbound</t>
        </is>
      </c>
      <c r="C56" s="0" t="inlineStr">
        <is>
          <t xml:space="preserve">emea</t>
        </is>
      </c>
      <c r="D56" s="0" t="inlineStr">
        <is>
          <t xml:space="preserve">apr26</t>
        </is>
      </c>
      <c r="E56" s="4">
        <v>10970</v>
      </c>
      <c r="F56" s="4">
        <v>300</v>
      </c>
      <c r="G56" s="4">
        <v>51</v>
      </c>
    </row>
    <row r="57">
      <c r="A57" s="0" t="inlineStr">
        <is>
          <t xml:space="preserve">mk_inbound_emea_may26</t>
        </is>
      </c>
      <c r="B57" s="0" t="inlineStr">
        <is>
          <t xml:space="preserve">inbound</t>
        </is>
      </c>
      <c r="C57" s="0" t="inlineStr">
        <is>
          <t xml:space="preserve">emea</t>
        </is>
      </c>
      <c r="D57" s="0" t="inlineStr">
        <is>
          <t xml:space="preserve">may26</t>
        </is>
      </c>
      <c r="E57" s="4">
        <v>11220</v>
      </c>
      <c r="F57" s="4">
        <v>232</v>
      </c>
      <c r="G57" s="4">
        <v>36</v>
      </c>
    </row>
    <row r="58">
      <c r="A58" s="0" t="inlineStr">
        <is>
          <t xml:space="preserve">mk_inbound_emea_jun26</t>
        </is>
      </c>
      <c r="B58" s="0" t="inlineStr">
        <is>
          <t xml:space="preserve">inbound</t>
        </is>
      </c>
      <c r="C58" s="0" t="inlineStr">
        <is>
          <t xml:space="preserve">emea</t>
        </is>
      </c>
      <c r="D58" s="0" t="inlineStr">
        <is>
          <t xml:space="preserve">jun26</t>
        </is>
      </c>
      <c r="E58" s="4">
        <v>13970</v>
      </c>
      <c r="F58" s="4">
        <v>302</v>
      </c>
      <c r="G58" s="4">
        <v>57</v>
      </c>
    </row>
    <row r="59">
      <c r="A59" s="0" t="inlineStr">
        <is>
          <t xml:space="preserve">mk_inbound_emea_jul26</t>
        </is>
      </c>
      <c r="B59" s="0" t="inlineStr">
        <is>
          <t xml:space="preserve">inbound</t>
        </is>
      </c>
      <c r="C59" s="0" t="inlineStr">
        <is>
          <t xml:space="preserve">emea</t>
        </is>
      </c>
      <c r="D59" s="0" t="inlineStr">
        <is>
          <t xml:space="preserve">jul26</t>
        </is>
      </c>
      <c r="E59" s="4">
        <v>10090</v>
      </c>
      <c r="F59" s="4">
        <v>246</v>
      </c>
      <c r="G59" s="4">
        <v>36</v>
      </c>
    </row>
    <row r="60">
      <c r="A60" s="0" t="inlineStr">
        <is>
          <t xml:space="preserve">mk_inbound_emea_aug26</t>
        </is>
      </c>
      <c r="B60" s="0" t="inlineStr">
        <is>
          <t xml:space="preserve">inbound</t>
        </is>
      </c>
      <c r="C60" s="0" t="inlineStr">
        <is>
          <t xml:space="preserve">emea</t>
        </is>
      </c>
      <c r="D60" s="0" t="inlineStr">
        <is>
          <t xml:space="preserve">aug26</t>
        </is>
      </c>
      <c r="E60" s="4">
        <v>9560</v>
      </c>
      <c r="F60" s="4">
        <v>196</v>
      </c>
      <c r="G60" s="4">
        <v>37</v>
      </c>
    </row>
    <row r="61">
      <c r="A61" s="0" t="inlineStr">
        <is>
          <t xml:space="preserve">mk_inbound_emea_sep26</t>
        </is>
      </c>
      <c r="B61" s="0" t="inlineStr">
        <is>
          <t xml:space="preserve">inbound</t>
        </is>
      </c>
      <c r="C61" s="0" t="inlineStr">
        <is>
          <t xml:space="preserve">emea</t>
        </is>
      </c>
      <c r="D61" s="0" t="inlineStr">
        <is>
          <t xml:space="preserve">sep26</t>
        </is>
      </c>
      <c r="E61" s="4">
        <v>13810</v>
      </c>
      <c r="F61" s="4">
        <v>301</v>
      </c>
      <c r="G61" s="4">
        <v>44</v>
      </c>
    </row>
    <row r="62">
      <c r="A62" s="0" t="inlineStr">
        <is>
          <t xml:space="preserve">mk_inbound_emea_oct26</t>
        </is>
      </c>
      <c r="B62" s="0" t="inlineStr">
        <is>
          <t xml:space="preserve">inbound</t>
        </is>
      </c>
      <c r="C62" s="0" t="inlineStr">
        <is>
          <t xml:space="preserve">emea</t>
        </is>
      </c>
      <c r="D62" s="0" t="inlineStr">
        <is>
          <t xml:space="preserve">oct26</t>
        </is>
      </c>
      <c r="E62" s="4">
        <v>10680</v>
      </c>
      <c r="F62" s="4">
        <v>223</v>
      </c>
      <c r="G62" s="4">
        <v>42</v>
      </c>
    </row>
    <row r="63">
      <c r="A63" s="0" t="inlineStr">
        <is>
          <t xml:space="preserve">mk_inbound_emea_nov26</t>
        </is>
      </c>
      <c r="B63" s="0" t="inlineStr">
        <is>
          <t xml:space="preserve">inbound</t>
        </is>
      </c>
      <c r="C63" s="0" t="inlineStr">
        <is>
          <t xml:space="preserve">emea</t>
        </is>
      </c>
      <c r="D63" s="0" t="inlineStr">
        <is>
          <t xml:space="preserve">nov26</t>
        </is>
      </c>
      <c r="E63" s="4">
        <v>9960</v>
      </c>
      <c r="F63" s="4">
        <v>216</v>
      </c>
      <c r="G63" s="4">
        <v>47</v>
      </c>
    </row>
    <row r="64">
      <c r="A64" s="0" t="inlineStr">
        <is>
          <t xml:space="preserve">mk_inbound_emea_dec26</t>
        </is>
      </c>
      <c r="B64" s="0" t="inlineStr">
        <is>
          <t xml:space="preserve">inbound</t>
        </is>
      </c>
      <c r="C64" s="0" t="inlineStr">
        <is>
          <t xml:space="preserve">emea</t>
        </is>
      </c>
      <c r="D64" s="0" t="inlineStr">
        <is>
          <t xml:space="preserve">dec26</t>
        </is>
      </c>
      <c r="E64" s="4">
        <v>12180</v>
      </c>
      <c r="F64" s="4">
        <v>307</v>
      </c>
      <c r="G64" s="4">
        <v>42</v>
      </c>
    </row>
    <row r="65">
      <c r="A65" s="0" t="inlineStr">
        <is>
          <t xml:space="preserve">mk_inbound_apac_apr25</t>
        </is>
      </c>
      <c r="B65" s="0" t="inlineStr">
        <is>
          <t xml:space="preserve">inbound</t>
        </is>
      </c>
      <c r="C65" s="0" t="inlineStr">
        <is>
          <t xml:space="preserve">apac</t>
        </is>
      </c>
      <c r="D65" s="0" t="inlineStr">
        <is>
          <t xml:space="preserve">apr25</t>
        </is>
      </c>
      <c r="E65" s="4">
        <v>7710</v>
      </c>
      <c r="F65" s="4">
        <v>228</v>
      </c>
      <c r="G65" s="4">
        <v>31</v>
      </c>
    </row>
    <row r="66">
      <c r="A66" s="0" t="inlineStr">
        <is>
          <t xml:space="preserve">mk_inbound_apac_may25</t>
        </is>
      </c>
      <c r="B66" s="0" t="inlineStr">
        <is>
          <t xml:space="preserve">inbound</t>
        </is>
      </c>
      <c r="C66" s="0" t="inlineStr">
        <is>
          <t xml:space="preserve">apac</t>
        </is>
      </c>
      <c r="D66" s="0" t="inlineStr">
        <is>
          <t xml:space="preserve">may25</t>
        </is>
      </c>
      <c r="E66" s="4">
        <v>8520</v>
      </c>
      <c r="F66" s="4">
        <v>163</v>
      </c>
      <c r="G66" s="4">
        <v>32</v>
      </c>
    </row>
    <row r="67">
      <c r="A67" s="0" t="inlineStr">
        <is>
          <t xml:space="preserve">mk_inbound_apac_jun25</t>
        </is>
      </c>
      <c r="B67" s="0" t="inlineStr">
        <is>
          <t xml:space="preserve">inbound</t>
        </is>
      </c>
      <c r="C67" s="0" t="inlineStr">
        <is>
          <t xml:space="preserve">apac</t>
        </is>
      </c>
      <c r="D67" s="0" t="inlineStr">
        <is>
          <t xml:space="preserve">jun25</t>
        </is>
      </c>
      <c r="E67" s="4">
        <v>9980</v>
      </c>
      <c r="F67" s="4">
        <v>219</v>
      </c>
      <c r="G67" s="4">
        <v>35</v>
      </c>
    </row>
    <row r="68">
      <c r="A68" s="0" t="inlineStr">
        <is>
          <t xml:space="preserve">mk_inbound_apac_jul25</t>
        </is>
      </c>
      <c r="B68" s="0" t="inlineStr">
        <is>
          <t xml:space="preserve">inbound</t>
        </is>
      </c>
      <c r="C68" s="0" t="inlineStr">
        <is>
          <t xml:space="preserve">apac</t>
        </is>
      </c>
      <c r="D68" s="0" t="inlineStr">
        <is>
          <t xml:space="preserve">jul25</t>
        </is>
      </c>
      <c r="E68" s="4">
        <v>7350</v>
      </c>
      <c r="F68" s="4">
        <v>252</v>
      </c>
      <c r="G68" s="4">
        <v>45</v>
      </c>
    </row>
    <row r="69">
      <c r="A69" s="0" t="inlineStr">
        <is>
          <t xml:space="preserve">mk_inbound_apac_aug25</t>
        </is>
      </c>
      <c r="B69" s="0" t="inlineStr">
        <is>
          <t xml:space="preserve">inbound</t>
        </is>
      </c>
      <c r="C69" s="0" t="inlineStr">
        <is>
          <t xml:space="preserve">apac</t>
        </is>
      </c>
      <c r="D69" s="0" t="inlineStr">
        <is>
          <t xml:space="preserve">aug25</t>
        </is>
      </c>
      <c r="E69" s="4">
        <v>6590</v>
      </c>
      <c r="F69" s="4">
        <v>162</v>
      </c>
      <c r="G69" s="4">
        <v>27</v>
      </c>
    </row>
    <row r="70">
      <c r="A70" s="0" t="inlineStr">
        <is>
          <t xml:space="preserve">mk_inbound_apac_sep25</t>
        </is>
      </c>
      <c r="B70" s="0" t="inlineStr">
        <is>
          <t xml:space="preserve">inbound</t>
        </is>
      </c>
      <c r="C70" s="0" t="inlineStr">
        <is>
          <t xml:space="preserve">apac</t>
        </is>
      </c>
      <c r="D70" s="0" t="inlineStr">
        <is>
          <t xml:space="preserve">sep25</t>
        </is>
      </c>
      <c r="E70" s="4">
        <v>7110</v>
      </c>
      <c r="F70" s="4">
        <v>176</v>
      </c>
      <c r="G70" s="4">
        <v>27</v>
      </c>
    </row>
    <row r="71">
      <c r="A71" s="0" t="inlineStr">
        <is>
          <t xml:space="preserve">mk_inbound_apac_oct25</t>
        </is>
      </c>
      <c r="B71" s="0" t="inlineStr">
        <is>
          <t xml:space="preserve">inbound</t>
        </is>
      </c>
      <c r="C71" s="0" t="inlineStr">
        <is>
          <t xml:space="preserve">apac</t>
        </is>
      </c>
      <c r="D71" s="0" t="inlineStr">
        <is>
          <t xml:space="preserve">oct25</t>
        </is>
      </c>
      <c r="E71" s="4">
        <v>6230</v>
      </c>
      <c r="F71" s="4">
        <v>111</v>
      </c>
      <c r="G71" s="4">
        <v>25</v>
      </c>
    </row>
    <row r="72">
      <c r="A72" s="0" t="inlineStr">
        <is>
          <t xml:space="preserve">mk_inbound_apac_nov25</t>
        </is>
      </c>
      <c r="B72" s="0" t="inlineStr">
        <is>
          <t xml:space="preserve">inbound</t>
        </is>
      </c>
      <c r="C72" s="0" t="inlineStr">
        <is>
          <t xml:space="preserve">apac</t>
        </is>
      </c>
      <c r="D72" s="0" t="inlineStr">
        <is>
          <t xml:space="preserve">nov25</t>
        </is>
      </c>
      <c r="E72" s="4">
        <v>6230</v>
      </c>
      <c r="F72" s="4">
        <v>135</v>
      </c>
      <c r="G72" s="4">
        <v>17</v>
      </c>
    </row>
    <row r="73">
      <c r="A73" s="0" t="inlineStr">
        <is>
          <t xml:space="preserve">mk_inbound_apac_dec25</t>
        </is>
      </c>
      <c r="B73" s="0" t="inlineStr">
        <is>
          <t xml:space="preserve">inbound</t>
        </is>
      </c>
      <c r="C73" s="0" t="inlineStr">
        <is>
          <t xml:space="preserve">apac</t>
        </is>
      </c>
      <c r="D73" s="0" t="inlineStr">
        <is>
          <t xml:space="preserve">dec25</t>
        </is>
      </c>
      <c r="E73" s="4">
        <v>7070</v>
      </c>
      <c r="F73" s="4">
        <v>165</v>
      </c>
      <c r="G73" s="4">
        <v>21</v>
      </c>
    </row>
    <row r="74">
      <c r="A74" s="0" t="inlineStr">
        <is>
          <t xml:space="preserve">mk_inbound_apac_jan26</t>
        </is>
      </c>
      <c r="B74" s="0" t="inlineStr">
        <is>
          <t xml:space="preserve">inbound</t>
        </is>
      </c>
      <c r="C74" s="0" t="inlineStr">
        <is>
          <t xml:space="preserve">apac</t>
        </is>
      </c>
      <c r="D74" s="0" t="inlineStr">
        <is>
          <t xml:space="preserve">jan26</t>
        </is>
      </c>
      <c r="E74" s="4">
        <v>6220</v>
      </c>
      <c r="F74" s="4">
        <v>125</v>
      </c>
      <c r="G74" s="4">
        <v>22</v>
      </c>
    </row>
    <row r="75">
      <c r="A75" s="0" t="inlineStr">
        <is>
          <t xml:space="preserve">mk_inbound_apac_feb26</t>
        </is>
      </c>
      <c r="B75" s="0" t="inlineStr">
        <is>
          <t xml:space="preserve">inbound</t>
        </is>
      </c>
      <c r="C75" s="0" t="inlineStr">
        <is>
          <t xml:space="preserve">apac</t>
        </is>
      </c>
      <c r="D75" s="0" t="inlineStr">
        <is>
          <t xml:space="preserve">feb26</t>
        </is>
      </c>
      <c r="E75" s="4">
        <v>7230</v>
      </c>
      <c r="F75" s="4">
        <v>162</v>
      </c>
      <c r="G75" s="4">
        <v>30</v>
      </c>
    </row>
    <row r="76">
      <c r="A76" s="0" t="inlineStr">
        <is>
          <t xml:space="preserve">mk_inbound_apac_mar26</t>
        </is>
      </c>
      <c r="B76" s="0" t="inlineStr">
        <is>
          <t xml:space="preserve">inbound</t>
        </is>
      </c>
      <c r="C76" s="0" t="inlineStr">
        <is>
          <t xml:space="preserve">apac</t>
        </is>
      </c>
      <c r="D76" s="0" t="inlineStr">
        <is>
          <t xml:space="preserve">mar26</t>
        </is>
      </c>
      <c r="E76" s="4">
        <v>9880</v>
      </c>
      <c r="F76" s="4">
        <v>342</v>
      </c>
      <c r="G76" s="4">
        <v>65</v>
      </c>
    </row>
    <row r="77">
      <c r="A77" s="0" t="inlineStr">
        <is>
          <t xml:space="preserve">mk_inbound_apac_apr26</t>
        </is>
      </c>
      <c r="B77" s="0" t="inlineStr">
        <is>
          <t xml:space="preserve">inbound</t>
        </is>
      </c>
      <c r="C77" s="0" t="inlineStr">
        <is>
          <t xml:space="preserve">apac</t>
        </is>
      </c>
      <c r="D77" s="0" t="inlineStr">
        <is>
          <t xml:space="preserve">apr26</t>
        </is>
      </c>
      <c r="E77" s="4">
        <v>7540</v>
      </c>
      <c r="F77" s="4">
        <v>177</v>
      </c>
      <c r="G77" s="4">
        <v>23</v>
      </c>
    </row>
    <row r="78">
      <c r="A78" s="0" t="inlineStr">
        <is>
          <t xml:space="preserve">mk_inbound_apac_may26</t>
        </is>
      </c>
      <c r="B78" s="0" t="inlineStr">
        <is>
          <t xml:space="preserve">inbound</t>
        </is>
      </c>
      <c r="C78" s="0" t="inlineStr">
        <is>
          <t xml:space="preserve">apac</t>
        </is>
      </c>
      <c r="D78" s="0" t="inlineStr">
        <is>
          <t xml:space="preserve">may26</t>
        </is>
      </c>
      <c r="E78" s="4">
        <v>6800</v>
      </c>
      <c r="F78" s="4">
        <v>146</v>
      </c>
      <c r="G78" s="4">
        <v>24</v>
      </c>
    </row>
    <row r="79">
      <c r="A79" s="0" t="inlineStr">
        <is>
          <t xml:space="preserve">mk_inbound_apac_jun26</t>
        </is>
      </c>
      <c r="B79" s="0" t="inlineStr">
        <is>
          <t xml:space="preserve">inbound</t>
        </is>
      </c>
      <c r="C79" s="0" t="inlineStr">
        <is>
          <t xml:space="preserve">apac</t>
        </is>
      </c>
      <c r="D79" s="0" t="inlineStr">
        <is>
          <t xml:space="preserve">jun26</t>
        </is>
      </c>
      <c r="E79" s="4">
        <v>8140</v>
      </c>
      <c r="F79" s="4">
        <v>184</v>
      </c>
      <c r="G79" s="4">
        <v>29</v>
      </c>
    </row>
    <row r="80">
      <c r="A80" s="0" t="inlineStr">
        <is>
          <t xml:space="preserve">mk_inbound_apac_jul26</t>
        </is>
      </c>
      <c r="B80" s="0" t="inlineStr">
        <is>
          <t xml:space="preserve">inbound</t>
        </is>
      </c>
      <c r="C80" s="0" t="inlineStr">
        <is>
          <t xml:space="preserve">apac</t>
        </is>
      </c>
      <c r="D80" s="0" t="inlineStr">
        <is>
          <t xml:space="preserve">jul26</t>
        </is>
      </c>
      <c r="E80" s="4">
        <v>7130</v>
      </c>
      <c r="F80" s="4">
        <v>143</v>
      </c>
      <c r="G80" s="4">
        <v>26</v>
      </c>
    </row>
    <row r="81">
      <c r="A81" s="0" t="inlineStr">
        <is>
          <t xml:space="preserve">mk_inbound_apac_aug26</t>
        </is>
      </c>
      <c r="B81" s="0" t="inlineStr">
        <is>
          <t xml:space="preserve">inbound</t>
        </is>
      </c>
      <c r="C81" s="0" t="inlineStr">
        <is>
          <t xml:space="preserve">apac</t>
        </is>
      </c>
      <c r="D81" s="0" t="inlineStr">
        <is>
          <t xml:space="preserve">aug26</t>
        </is>
      </c>
      <c r="E81" s="4">
        <v>7300</v>
      </c>
      <c r="F81" s="4">
        <v>178</v>
      </c>
      <c r="G81" s="4">
        <v>33</v>
      </c>
    </row>
    <row r="82">
      <c r="A82" s="0" t="inlineStr">
        <is>
          <t xml:space="preserve">mk_inbound_apac_sep26</t>
        </is>
      </c>
      <c r="B82" s="0" t="inlineStr">
        <is>
          <t xml:space="preserve">inbound</t>
        </is>
      </c>
      <c r="C82" s="0" t="inlineStr">
        <is>
          <t xml:space="preserve">apac</t>
        </is>
      </c>
      <c r="D82" s="0" t="inlineStr">
        <is>
          <t xml:space="preserve">sep26</t>
        </is>
      </c>
      <c r="E82" s="4">
        <v>8310</v>
      </c>
      <c r="F82" s="4">
        <v>344</v>
      </c>
      <c r="G82" s="4">
        <v>53</v>
      </c>
    </row>
    <row r="83">
      <c r="A83" s="0" t="inlineStr">
        <is>
          <t xml:space="preserve">mk_inbound_apac_oct26</t>
        </is>
      </c>
      <c r="B83" s="0" t="inlineStr">
        <is>
          <t xml:space="preserve">inbound</t>
        </is>
      </c>
      <c r="C83" s="0" t="inlineStr">
        <is>
          <t xml:space="preserve">apac</t>
        </is>
      </c>
      <c r="D83" s="0" t="inlineStr">
        <is>
          <t xml:space="preserve">oct26</t>
        </is>
      </c>
      <c r="E83" s="4">
        <v>5580</v>
      </c>
      <c r="F83" s="4">
        <v>121</v>
      </c>
      <c r="G83" s="4">
        <v>21</v>
      </c>
    </row>
    <row r="84">
      <c r="A84" s="0" t="inlineStr">
        <is>
          <t xml:space="preserve">mk_inbound_apac_nov26</t>
        </is>
      </c>
      <c r="B84" s="0" t="inlineStr">
        <is>
          <t xml:space="preserve">inbound</t>
        </is>
      </c>
      <c r="C84" s="0" t="inlineStr">
        <is>
          <t xml:space="preserve">apac</t>
        </is>
      </c>
      <c r="D84" s="0" t="inlineStr">
        <is>
          <t xml:space="preserve">nov26</t>
        </is>
      </c>
      <c r="E84" s="4">
        <v>6780</v>
      </c>
      <c r="F84" s="4">
        <v>149</v>
      </c>
      <c r="G84" s="4">
        <v>25</v>
      </c>
    </row>
    <row r="85">
      <c r="A85" s="0" t="inlineStr">
        <is>
          <t xml:space="preserve">mk_inbound_apac_dec26</t>
        </is>
      </c>
      <c r="B85" s="0" t="inlineStr">
        <is>
          <t xml:space="preserve">inbound</t>
        </is>
      </c>
      <c r="C85" s="0" t="inlineStr">
        <is>
          <t xml:space="preserve">apac</t>
        </is>
      </c>
      <c r="D85" s="0" t="inlineStr">
        <is>
          <t xml:space="preserve">dec26</t>
        </is>
      </c>
      <c r="E85" s="4">
        <v>8330</v>
      </c>
      <c r="F85" s="4">
        <v>148</v>
      </c>
      <c r="G85" s="4">
        <v>32</v>
      </c>
    </row>
    <row r="86">
      <c r="A86" s="0" t="inlineStr">
        <is>
          <t xml:space="preserve">mk_paid_amer_east_apr25</t>
        </is>
      </c>
      <c r="B86" s="0" t="inlineStr">
        <is>
          <t xml:space="preserve">paid</t>
        </is>
      </c>
      <c r="C86" s="0" t="inlineStr">
        <is>
          <t xml:space="preserve">amer_east</t>
        </is>
      </c>
      <c r="D86" s="0" t="inlineStr">
        <is>
          <t xml:space="preserve">apr25</t>
        </is>
      </c>
      <c r="E86" s="4">
        <v>43410</v>
      </c>
      <c r="F86" s="4">
        <v>370</v>
      </c>
      <c r="G86" s="4">
        <v>43</v>
      </c>
    </row>
    <row r="87">
      <c r="A87" s="0" t="inlineStr">
        <is>
          <t xml:space="preserve">mk_paid_amer_east_may25</t>
        </is>
      </c>
      <c r="B87" s="0" t="inlineStr">
        <is>
          <t xml:space="preserve">paid</t>
        </is>
      </c>
      <c r="C87" s="0" t="inlineStr">
        <is>
          <t xml:space="preserve">amer_east</t>
        </is>
      </c>
      <c r="D87" s="0" t="inlineStr">
        <is>
          <t xml:space="preserve">may25</t>
        </is>
      </c>
      <c r="E87" s="4">
        <v>49650</v>
      </c>
      <c r="F87" s="4">
        <v>317</v>
      </c>
      <c r="G87" s="4">
        <v>45</v>
      </c>
    </row>
    <row r="88">
      <c r="A88" s="0" t="inlineStr">
        <is>
          <t xml:space="preserve">mk_paid_amer_east_jun25</t>
        </is>
      </c>
      <c r="B88" s="0" t="inlineStr">
        <is>
          <t xml:space="preserve">paid</t>
        </is>
      </c>
      <c r="C88" s="0" t="inlineStr">
        <is>
          <t xml:space="preserve">amer_east</t>
        </is>
      </c>
      <c r="D88" s="0" t="inlineStr">
        <is>
          <t xml:space="preserve">jun25</t>
        </is>
      </c>
      <c r="E88" s="4">
        <v>49550</v>
      </c>
      <c r="F88" s="4">
        <v>414</v>
      </c>
      <c r="G88" s="4">
        <v>47</v>
      </c>
    </row>
    <row r="89">
      <c r="A89" s="0" t="inlineStr">
        <is>
          <t xml:space="preserve">mk_paid_amer_east_jul25</t>
        </is>
      </c>
      <c r="B89" s="0" t="inlineStr">
        <is>
          <t xml:space="preserve">paid</t>
        </is>
      </c>
      <c r="C89" s="0" t="inlineStr">
        <is>
          <t xml:space="preserve">amer_east</t>
        </is>
      </c>
      <c r="D89" s="0" t="inlineStr">
        <is>
          <t xml:space="preserve">jul25</t>
        </is>
      </c>
      <c r="E89" s="4">
        <v>45740</v>
      </c>
      <c r="F89" s="4">
        <v>305</v>
      </c>
      <c r="G89" s="4">
        <v>34</v>
      </c>
    </row>
    <row r="90">
      <c r="A90" s="0" t="inlineStr">
        <is>
          <t xml:space="preserve">mk_paid_amer_east_aug25</t>
        </is>
      </c>
      <c r="B90" s="0" t="inlineStr">
        <is>
          <t xml:space="preserve">paid</t>
        </is>
      </c>
      <c r="C90" s="0" t="inlineStr">
        <is>
          <t xml:space="preserve">amer_east</t>
        </is>
      </c>
      <c r="D90" s="0" t="inlineStr">
        <is>
          <t xml:space="preserve">aug25</t>
        </is>
      </c>
      <c r="E90" s="4">
        <v>40450</v>
      </c>
      <c r="F90" s="4">
        <v>301</v>
      </c>
      <c r="G90" s="4">
        <v>36</v>
      </c>
    </row>
    <row r="91">
      <c r="A91" s="0" t="inlineStr">
        <is>
          <t xml:space="preserve">mk_paid_amer_east_sep25</t>
        </is>
      </c>
      <c r="B91" s="0" t="inlineStr">
        <is>
          <t xml:space="preserve">paid</t>
        </is>
      </c>
      <c r="C91" s="0" t="inlineStr">
        <is>
          <t xml:space="preserve">amer_east</t>
        </is>
      </c>
      <c r="D91" s="0" t="inlineStr">
        <is>
          <t xml:space="preserve">sep25</t>
        </is>
      </c>
      <c r="E91" s="4">
        <v>46330</v>
      </c>
      <c r="F91" s="4">
        <v>303</v>
      </c>
      <c r="G91" s="4">
        <v>25</v>
      </c>
    </row>
    <row r="92">
      <c r="A92" s="0" t="inlineStr">
        <is>
          <t xml:space="preserve">mk_paid_amer_east_oct25</t>
        </is>
      </c>
      <c r="B92" s="0" t="inlineStr">
        <is>
          <t xml:space="preserve">paid</t>
        </is>
      </c>
      <c r="C92" s="0" t="inlineStr">
        <is>
          <t xml:space="preserve">amer_east</t>
        </is>
      </c>
      <c r="D92" s="0" t="inlineStr">
        <is>
          <t xml:space="preserve">oct25</t>
        </is>
      </c>
      <c r="E92" s="4">
        <v>33950</v>
      </c>
      <c r="F92" s="4">
        <v>252</v>
      </c>
      <c r="G92" s="4">
        <v>24</v>
      </c>
    </row>
    <row r="93">
      <c r="A93" s="0" t="inlineStr">
        <is>
          <t xml:space="preserve">mk_paid_amer_east_nov25</t>
        </is>
      </c>
      <c r="B93" s="0" t="inlineStr">
        <is>
          <t xml:space="preserve">paid</t>
        </is>
      </c>
      <c r="C93" s="0" t="inlineStr">
        <is>
          <t xml:space="preserve">amer_east</t>
        </is>
      </c>
      <c r="D93" s="0" t="inlineStr">
        <is>
          <t xml:space="preserve">nov25</t>
        </is>
      </c>
      <c r="E93" s="4">
        <v>36700</v>
      </c>
      <c r="F93" s="4">
        <v>324</v>
      </c>
      <c r="G93" s="4">
        <v>32</v>
      </c>
    </row>
    <row r="94">
      <c r="A94" s="0" t="inlineStr">
        <is>
          <t xml:space="preserve">mk_paid_amer_east_dec25</t>
        </is>
      </c>
      <c r="B94" s="0" t="inlineStr">
        <is>
          <t xml:space="preserve">paid</t>
        </is>
      </c>
      <c r="C94" s="0" t="inlineStr">
        <is>
          <t xml:space="preserve">amer_east</t>
        </is>
      </c>
      <c r="D94" s="0" t="inlineStr">
        <is>
          <t xml:space="preserve">dec25</t>
        </is>
      </c>
      <c r="E94" s="4">
        <v>50550</v>
      </c>
      <c r="F94" s="4">
        <v>340</v>
      </c>
      <c r="G94" s="4">
        <v>35</v>
      </c>
    </row>
    <row r="95">
      <c r="A95" s="0" t="inlineStr">
        <is>
          <t xml:space="preserve">mk_paid_amer_east_jan26</t>
        </is>
      </c>
      <c r="B95" s="0" t="inlineStr">
        <is>
          <t xml:space="preserve">paid</t>
        </is>
      </c>
      <c r="C95" s="0" t="inlineStr">
        <is>
          <t xml:space="preserve">amer_east</t>
        </is>
      </c>
      <c r="D95" s="0" t="inlineStr">
        <is>
          <t xml:space="preserve">jan26</t>
        </is>
      </c>
      <c r="E95" s="4">
        <v>43940</v>
      </c>
      <c r="F95" s="4">
        <v>285</v>
      </c>
      <c r="G95" s="4">
        <v>37</v>
      </c>
    </row>
    <row r="96">
      <c r="A96" s="0" t="inlineStr">
        <is>
          <t xml:space="preserve">mk_paid_amer_east_feb26</t>
        </is>
      </c>
      <c r="B96" s="0" t="inlineStr">
        <is>
          <t xml:space="preserve">paid</t>
        </is>
      </c>
      <c r="C96" s="0" t="inlineStr">
        <is>
          <t xml:space="preserve">amer_east</t>
        </is>
      </c>
      <c r="D96" s="0" t="inlineStr">
        <is>
          <t xml:space="preserve">feb26</t>
        </is>
      </c>
      <c r="E96" s="4">
        <v>48570</v>
      </c>
      <c r="F96" s="4">
        <v>333</v>
      </c>
      <c r="G96" s="4">
        <v>33</v>
      </c>
    </row>
    <row r="97">
      <c r="A97" s="0" t="inlineStr">
        <is>
          <t xml:space="preserve">mk_paid_amer_east_mar26</t>
        </is>
      </c>
      <c r="B97" s="0" t="inlineStr">
        <is>
          <t xml:space="preserve">paid</t>
        </is>
      </c>
      <c r="C97" s="0" t="inlineStr">
        <is>
          <t xml:space="preserve">amer_east</t>
        </is>
      </c>
      <c r="D97" s="0" t="inlineStr">
        <is>
          <t xml:space="preserve">mar26</t>
        </is>
      </c>
      <c r="E97" s="4">
        <v>50490</v>
      </c>
      <c r="F97" s="4">
        <v>380</v>
      </c>
      <c r="G97" s="4">
        <v>44</v>
      </c>
    </row>
    <row r="98">
      <c r="A98" s="0" t="inlineStr">
        <is>
          <t xml:space="preserve">mk_paid_amer_east_apr26</t>
        </is>
      </c>
      <c r="B98" s="0" t="inlineStr">
        <is>
          <t xml:space="preserve">paid</t>
        </is>
      </c>
      <c r="C98" s="0" t="inlineStr">
        <is>
          <t xml:space="preserve">amer_east</t>
        </is>
      </c>
      <c r="D98" s="0" t="inlineStr">
        <is>
          <t xml:space="preserve">apr26</t>
        </is>
      </c>
      <c r="E98" s="4">
        <v>47850</v>
      </c>
      <c r="F98" s="4">
        <v>400</v>
      </c>
      <c r="G98" s="4">
        <v>38</v>
      </c>
    </row>
    <row r="99">
      <c r="A99" s="0" t="inlineStr">
        <is>
          <t xml:space="preserve">mk_paid_amer_east_may26</t>
        </is>
      </c>
      <c r="B99" s="0" t="inlineStr">
        <is>
          <t xml:space="preserve">paid</t>
        </is>
      </c>
      <c r="C99" s="0" t="inlineStr">
        <is>
          <t xml:space="preserve">amer_east</t>
        </is>
      </c>
      <c r="D99" s="0" t="inlineStr">
        <is>
          <t xml:space="preserve">may26</t>
        </is>
      </c>
      <c r="E99" s="4">
        <v>50020</v>
      </c>
      <c r="F99" s="4">
        <v>420</v>
      </c>
      <c r="G99" s="4">
        <v>54</v>
      </c>
    </row>
    <row r="100">
      <c r="A100" s="0" t="inlineStr">
        <is>
          <t xml:space="preserve">mk_paid_amer_east_jun26</t>
        </is>
      </c>
      <c r="B100" s="0" t="inlineStr">
        <is>
          <t xml:space="preserve">paid</t>
        </is>
      </c>
      <c r="C100" s="0" t="inlineStr">
        <is>
          <t xml:space="preserve">amer_east</t>
        </is>
      </c>
      <c r="D100" s="0" t="inlineStr">
        <is>
          <t xml:space="preserve">jun26</t>
        </is>
      </c>
      <c r="E100" s="4">
        <v>67180</v>
      </c>
      <c r="F100" s="4">
        <v>518</v>
      </c>
      <c r="G100" s="4">
        <v>62</v>
      </c>
    </row>
    <row r="101">
      <c r="A101" s="0" t="inlineStr">
        <is>
          <t xml:space="preserve">mk_paid_amer_east_jul26</t>
        </is>
      </c>
      <c r="B101" s="0" t="inlineStr">
        <is>
          <t xml:space="preserve">paid</t>
        </is>
      </c>
      <c r="C101" s="0" t="inlineStr">
        <is>
          <t xml:space="preserve">amer_east</t>
        </is>
      </c>
      <c r="D101" s="0" t="inlineStr">
        <is>
          <t xml:space="preserve">jul26</t>
        </is>
      </c>
      <c r="E101" s="4">
        <v>49510</v>
      </c>
      <c r="F101" s="4">
        <v>421</v>
      </c>
      <c r="G101" s="4">
        <v>49</v>
      </c>
    </row>
    <row r="102">
      <c r="A102" s="0" t="inlineStr">
        <is>
          <t xml:space="preserve">mk_paid_amer_east_aug26</t>
        </is>
      </c>
      <c r="B102" s="0" t="inlineStr">
        <is>
          <t xml:space="preserve">paid</t>
        </is>
      </c>
      <c r="C102" s="0" t="inlineStr">
        <is>
          <t xml:space="preserve">amer_east</t>
        </is>
      </c>
      <c r="D102" s="0" t="inlineStr">
        <is>
          <t xml:space="preserve">aug26</t>
        </is>
      </c>
      <c r="E102" s="4">
        <v>52980</v>
      </c>
      <c r="F102" s="4">
        <v>378</v>
      </c>
      <c r="G102" s="4">
        <v>47</v>
      </c>
    </row>
    <row r="103">
      <c r="A103" s="0" t="inlineStr">
        <is>
          <t xml:space="preserve">mk_paid_amer_east_sep26</t>
        </is>
      </c>
      <c r="B103" s="0" t="inlineStr">
        <is>
          <t xml:space="preserve">paid</t>
        </is>
      </c>
      <c r="C103" s="0" t="inlineStr">
        <is>
          <t xml:space="preserve">amer_east</t>
        </is>
      </c>
      <c r="D103" s="0" t="inlineStr">
        <is>
          <t xml:space="preserve">sep26</t>
        </is>
      </c>
      <c r="E103" s="4">
        <v>46310</v>
      </c>
      <c r="F103" s="4">
        <v>272</v>
      </c>
      <c r="G103" s="4">
        <v>34</v>
      </c>
    </row>
    <row r="104">
      <c r="A104" s="0" t="inlineStr">
        <is>
          <t xml:space="preserve">mk_paid_amer_east_oct26</t>
        </is>
      </c>
      <c r="B104" s="0" t="inlineStr">
        <is>
          <t xml:space="preserve">paid</t>
        </is>
      </c>
      <c r="C104" s="0" t="inlineStr">
        <is>
          <t xml:space="preserve">amer_east</t>
        </is>
      </c>
      <c r="D104" s="0" t="inlineStr">
        <is>
          <t xml:space="preserve">oct26</t>
        </is>
      </c>
      <c r="E104" s="4">
        <v>41740</v>
      </c>
      <c r="F104" s="4">
        <v>353</v>
      </c>
      <c r="G104" s="4">
        <v>31</v>
      </c>
    </row>
    <row r="105">
      <c r="A105" s="0" t="inlineStr">
        <is>
          <t xml:space="preserve">mk_paid_amer_east_nov26</t>
        </is>
      </c>
      <c r="B105" s="0" t="inlineStr">
        <is>
          <t xml:space="preserve">paid</t>
        </is>
      </c>
      <c r="C105" s="0" t="inlineStr">
        <is>
          <t xml:space="preserve">amer_east</t>
        </is>
      </c>
      <c r="D105" s="0" t="inlineStr">
        <is>
          <t xml:space="preserve">nov26</t>
        </is>
      </c>
      <c r="E105" s="4">
        <v>43680</v>
      </c>
      <c r="F105" s="4">
        <v>424</v>
      </c>
      <c r="G105" s="4">
        <v>51</v>
      </c>
    </row>
    <row r="106">
      <c r="A106" s="0" t="inlineStr">
        <is>
          <t xml:space="preserve">mk_paid_amer_east_dec26</t>
        </is>
      </c>
      <c r="B106" s="0" t="inlineStr">
        <is>
          <t xml:space="preserve">paid</t>
        </is>
      </c>
      <c r="C106" s="0" t="inlineStr">
        <is>
          <t xml:space="preserve">amer_east</t>
        </is>
      </c>
      <c r="D106" s="0" t="inlineStr">
        <is>
          <t xml:space="preserve">dec26</t>
        </is>
      </c>
      <c r="E106" s="4">
        <v>56450</v>
      </c>
      <c r="F106" s="4">
        <v>370</v>
      </c>
      <c r="G106" s="4">
        <v>33</v>
      </c>
    </row>
    <row r="107">
      <c r="A107" s="0" t="inlineStr">
        <is>
          <t xml:space="preserve">mk_paid_amer_west_apr25</t>
        </is>
      </c>
      <c r="B107" s="0" t="inlineStr">
        <is>
          <t xml:space="preserve">paid</t>
        </is>
      </c>
      <c r="C107" s="0" t="inlineStr">
        <is>
          <t xml:space="preserve">amer_west</t>
        </is>
      </c>
      <c r="D107" s="0" t="inlineStr">
        <is>
          <t xml:space="preserve">apr25</t>
        </is>
      </c>
      <c r="E107" s="4">
        <v>47250</v>
      </c>
      <c r="F107" s="4">
        <v>249</v>
      </c>
      <c r="G107" s="4">
        <v>33</v>
      </c>
    </row>
    <row r="108">
      <c r="A108" s="0" t="inlineStr">
        <is>
          <t xml:space="preserve">mk_paid_amer_west_may25</t>
        </is>
      </c>
      <c r="B108" s="0" t="inlineStr">
        <is>
          <t xml:space="preserve">paid</t>
        </is>
      </c>
      <c r="C108" s="0" t="inlineStr">
        <is>
          <t xml:space="preserve">amer_west</t>
        </is>
      </c>
      <c r="D108" s="0" t="inlineStr">
        <is>
          <t xml:space="preserve">may25</t>
        </is>
      </c>
      <c r="E108" s="4">
        <v>45330</v>
      </c>
      <c r="F108" s="4">
        <v>296</v>
      </c>
      <c r="G108" s="4">
        <v>21</v>
      </c>
    </row>
    <row r="109">
      <c r="A109" s="0" t="inlineStr">
        <is>
          <t xml:space="preserve">mk_paid_amer_west_jun25</t>
        </is>
      </c>
      <c r="B109" s="0" t="inlineStr">
        <is>
          <t xml:space="preserve">paid</t>
        </is>
      </c>
      <c r="C109" s="0" t="inlineStr">
        <is>
          <t xml:space="preserve">amer_west</t>
        </is>
      </c>
      <c r="D109" s="0" t="inlineStr">
        <is>
          <t xml:space="preserve">jun25</t>
        </is>
      </c>
      <c r="E109" s="4">
        <v>46300</v>
      </c>
      <c r="F109" s="4">
        <v>301</v>
      </c>
      <c r="G109" s="4">
        <v>36</v>
      </c>
    </row>
    <row r="110">
      <c r="A110" s="0" t="inlineStr">
        <is>
          <t xml:space="preserve">mk_paid_amer_west_jul25</t>
        </is>
      </c>
      <c r="B110" s="0" t="inlineStr">
        <is>
          <t xml:space="preserve">paid</t>
        </is>
      </c>
      <c r="C110" s="0" t="inlineStr">
        <is>
          <t xml:space="preserve">amer_west</t>
        </is>
      </c>
      <c r="D110" s="0" t="inlineStr">
        <is>
          <t xml:space="preserve">jul25</t>
        </is>
      </c>
      <c r="E110" s="4">
        <v>32670</v>
      </c>
      <c r="F110" s="4">
        <v>181</v>
      </c>
      <c r="G110" s="4">
        <v>16</v>
      </c>
    </row>
    <row r="111">
      <c r="A111" s="0" t="inlineStr">
        <is>
          <t xml:space="preserve">mk_paid_amer_west_aug25</t>
        </is>
      </c>
      <c r="B111" s="0" t="inlineStr">
        <is>
          <t xml:space="preserve">paid</t>
        </is>
      </c>
      <c r="C111" s="0" t="inlineStr">
        <is>
          <t xml:space="preserve">amer_west</t>
        </is>
      </c>
      <c r="D111" s="0" t="inlineStr">
        <is>
          <t xml:space="preserve">aug25</t>
        </is>
      </c>
      <c r="E111" s="4">
        <v>36140</v>
      </c>
      <c r="F111" s="4">
        <v>216</v>
      </c>
      <c r="G111" s="4">
        <v>31</v>
      </c>
    </row>
    <row r="112">
      <c r="A112" s="0" t="inlineStr">
        <is>
          <t xml:space="preserve">mk_paid_amer_west_sep25</t>
        </is>
      </c>
      <c r="B112" s="0" t="inlineStr">
        <is>
          <t xml:space="preserve">paid</t>
        </is>
      </c>
      <c r="C112" s="0" t="inlineStr">
        <is>
          <t xml:space="preserve">amer_west</t>
        </is>
      </c>
      <c r="D112" s="0" t="inlineStr">
        <is>
          <t xml:space="preserve">sep25</t>
        </is>
      </c>
      <c r="E112" s="4">
        <v>42220</v>
      </c>
      <c r="F112" s="4">
        <v>225</v>
      </c>
      <c r="G112" s="4">
        <v>26</v>
      </c>
    </row>
    <row r="113">
      <c r="A113" s="0" t="inlineStr">
        <is>
          <t xml:space="preserve">mk_paid_amer_west_oct25</t>
        </is>
      </c>
      <c r="B113" s="0" t="inlineStr">
        <is>
          <t xml:space="preserve">paid</t>
        </is>
      </c>
      <c r="C113" s="0" t="inlineStr">
        <is>
          <t xml:space="preserve">amer_west</t>
        </is>
      </c>
      <c r="D113" s="0" t="inlineStr">
        <is>
          <t xml:space="preserve">oct25</t>
        </is>
      </c>
      <c r="E113" s="4">
        <v>36120</v>
      </c>
      <c r="F113" s="4">
        <v>200</v>
      </c>
      <c r="G113" s="4">
        <v>25</v>
      </c>
    </row>
    <row r="114">
      <c r="A114" s="0" t="inlineStr">
        <is>
          <t xml:space="preserve">mk_paid_amer_west_nov25</t>
        </is>
      </c>
      <c r="B114" s="0" t="inlineStr">
        <is>
          <t xml:space="preserve">paid</t>
        </is>
      </c>
      <c r="C114" s="0" t="inlineStr">
        <is>
          <t xml:space="preserve">amer_west</t>
        </is>
      </c>
      <c r="D114" s="0" t="inlineStr">
        <is>
          <t xml:space="preserve">nov25</t>
        </is>
      </c>
      <c r="E114" s="4">
        <v>37400</v>
      </c>
      <c r="F114" s="4">
        <v>213</v>
      </c>
      <c r="G114" s="4">
        <v>19</v>
      </c>
    </row>
    <row r="115">
      <c r="A115" s="0" t="inlineStr">
        <is>
          <t xml:space="preserve">mk_paid_amer_west_dec25</t>
        </is>
      </c>
      <c r="B115" s="0" t="inlineStr">
        <is>
          <t xml:space="preserve">paid</t>
        </is>
      </c>
      <c r="C115" s="0" t="inlineStr">
        <is>
          <t xml:space="preserve">amer_west</t>
        </is>
      </c>
      <c r="D115" s="0" t="inlineStr">
        <is>
          <t xml:space="preserve">dec25</t>
        </is>
      </c>
      <c r="E115" s="4">
        <v>45270</v>
      </c>
      <c r="F115" s="4">
        <v>290</v>
      </c>
      <c r="G115" s="4">
        <v>36</v>
      </c>
    </row>
    <row r="116">
      <c r="A116" s="0" t="inlineStr">
        <is>
          <t xml:space="preserve">mk_paid_amer_west_jan26</t>
        </is>
      </c>
      <c r="B116" s="0" t="inlineStr">
        <is>
          <t xml:space="preserve">paid</t>
        </is>
      </c>
      <c r="C116" s="0" t="inlineStr">
        <is>
          <t xml:space="preserve">amer_west</t>
        </is>
      </c>
      <c r="D116" s="0" t="inlineStr">
        <is>
          <t xml:space="preserve">jan26</t>
        </is>
      </c>
      <c r="E116" s="4">
        <v>36970</v>
      </c>
      <c r="F116" s="4">
        <v>200</v>
      </c>
      <c r="G116" s="4">
        <v>18</v>
      </c>
    </row>
    <row r="117">
      <c r="A117" s="0" t="inlineStr">
        <is>
          <t xml:space="preserve">mk_paid_amer_west_feb26</t>
        </is>
      </c>
      <c r="B117" s="0" t="inlineStr">
        <is>
          <t xml:space="preserve">paid</t>
        </is>
      </c>
      <c r="C117" s="0" t="inlineStr">
        <is>
          <t xml:space="preserve">amer_west</t>
        </is>
      </c>
      <c r="D117" s="0" t="inlineStr">
        <is>
          <t xml:space="preserve">feb26</t>
        </is>
      </c>
      <c r="E117" s="4">
        <v>42710</v>
      </c>
      <c r="F117" s="4">
        <v>253</v>
      </c>
      <c r="G117" s="4">
        <v>23</v>
      </c>
    </row>
    <row r="118">
      <c r="A118" s="0" t="inlineStr">
        <is>
          <t xml:space="preserve">mk_paid_amer_west_mar26</t>
        </is>
      </c>
      <c r="B118" s="0" t="inlineStr">
        <is>
          <t xml:space="preserve">paid</t>
        </is>
      </c>
      <c r="C118" s="0" t="inlineStr">
        <is>
          <t xml:space="preserve">amer_west</t>
        </is>
      </c>
      <c r="D118" s="0" t="inlineStr">
        <is>
          <t xml:space="preserve">mar26</t>
        </is>
      </c>
      <c r="E118" s="4">
        <v>48420</v>
      </c>
      <c r="F118" s="4">
        <v>353</v>
      </c>
      <c r="G118" s="4">
        <v>37</v>
      </c>
    </row>
    <row r="119">
      <c r="A119" s="0" t="inlineStr">
        <is>
          <t xml:space="preserve">mk_paid_amer_west_apr26</t>
        </is>
      </c>
      <c r="B119" s="0" t="inlineStr">
        <is>
          <t xml:space="preserve">paid</t>
        </is>
      </c>
      <c r="C119" s="0" t="inlineStr">
        <is>
          <t xml:space="preserve">amer_west</t>
        </is>
      </c>
      <c r="D119" s="0" t="inlineStr">
        <is>
          <t xml:space="preserve">apr26</t>
        </is>
      </c>
      <c r="E119" s="4">
        <v>48860</v>
      </c>
      <c r="F119" s="4">
        <v>328</v>
      </c>
      <c r="G119" s="4">
        <v>33</v>
      </c>
    </row>
    <row r="120">
      <c r="A120" s="0" t="inlineStr">
        <is>
          <t xml:space="preserve">mk_paid_amer_west_may26</t>
        </is>
      </c>
      <c r="B120" s="0" t="inlineStr">
        <is>
          <t xml:space="preserve">paid</t>
        </is>
      </c>
      <c r="C120" s="0" t="inlineStr">
        <is>
          <t xml:space="preserve">amer_west</t>
        </is>
      </c>
      <c r="D120" s="0" t="inlineStr">
        <is>
          <t xml:space="preserve">may26</t>
        </is>
      </c>
      <c r="E120" s="4">
        <v>46780</v>
      </c>
      <c r="F120" s="4">
        <v>344</v>
      </c>
      <c r="G120" s="4">
        <v>30</v>
      </c>
    </row>
    <row r="121">
      <c r="A121" s="0" t="inlineStr">
        <is>
          <t xml:space="preserve">mk_paid_amer_west_jun26</t>
        </is>
      </c>
      <c r="B121" s="0" t="inlineStr">
        <is>
          <t xml:space="preserve">paid</t>
        </is>
      </c>
      <c r="C121" s="0" t="inlineStr">
        <is>
          <t xml:space="preserve">amer_west</t>
        </is>
      </c>
      <c r="D121" s="0" t="inlineStr">
        <is>
          <t xml:space="preserve">jun26</t>
        </is>
      </c>
      <c r="E121" s="4">
        <v>59250</v>
      </c>
      <c r="F121" s="4">
        <v>377</v>
      </c>
      <c r="G121" s="4">
        <v>47</v>
      </c>
    </row>
    <row r="122">
      <c r="A122" s="0" t="inlineStr">
        <is>
          <t xml:space="preserve">mk_paid_amer_west_jul26</t>
        </is>
      </c>
      <c r="B122" s="0" t="inlineStr">
        <is>
          <t xml:space="preserve">paid</t>
        </is>
      </c>
      <c r="C122" s="0" t="inlineStr">
        <is>
          <t xml:space="preserve">amer_west</t>
        </is>
      </c>
      <c r="D122" s="0" t="inlineStr">
        <is>
          <t xml:space="preserve">jul26</t>
        </is>
      </c>
      <c r="E122" s="4">
        <v>43710</v>
      </c>
      <c r="F122" s="4">
        <v>312</v>
      </c>
      <c r="G122" s="4">
        <v>38</v>
      </c>
    </row>
    <row r="123">
      <c r="A123" s="0" t="inlineStr">
        <is>
          <t xml:space="preserve">mk_paid_amer_west_aug26</t>
        </is>
      </c>
      <c r="B123" s="0" t="inlineStr">
        <is>
          <t xml:space="preserve">paid</t>
        </is>
      </c>
      <c r="C123" s="0" t="inlineStr">
        <is>
          <t xml:space="preserve">amer_west</t>
        </is>
      </c>
      <c r="D123" s="0" t="inlineStr">
        <is>
          <t xml:space="preserve">aug26</t>
        </is>
      </c>
      <c r="E123" s="4">
        <v>42580</v>
      </c>
      <c r="F123" s="4">
        <v>270</v>
      </c>
      <c r="G123" s="4">
        <v>26</v>
      </c>
    </row>
    <row r="124">
      <c r="A124" s="0" t="inlineStr">
        <is>
          <t xml:space="preserve">mk_paid_amer_west_sep26</t>
        </is>
      </c>
      <c r="B124" s="0" t="inlineStr">
        <is>
          <t xml:space="preserve">paid</t>
        </is>
      </c>
      <c r="C124" s="0" t="inlineStr">
        <is>
          <t xml:space="preserve">amer_west</t>
        </is>
      </c>
      <c r="D124" s="0" t="inlineStr">
        <is>
          <t xml:space="preserve">sep26</t>
        </is>
      </c>
      <c r="E124" s="4">
        <v>44280</v>
      </c>
      <c r="F124" s="4">
        <v>371</v>
      </c>
      <c r="G124" s="4">
        <v>44</v>
      </c>
    </row>
    <row r="125">
      <c r="A125" s="0" t="inlineStr">
        <is>
          <t xml:space="preserve">mk_paid_amer_west_oct26</t>
        </is>
      </c>
      <c r="B125" s="0" t="inlineStr">
        <is>
          <t xml:space="preserve">paid</t>
        </is>
      </c>
      <c r="C125" s="0" t="inlineStr">
        <is>
          <t xml:space="preserve">amer_west</t>
        </is>
      </c>
      <c r="D125" s="0" t="inlineStr">
        <is>
          <t xml:space="preserve">oct26</t>
        </is>
      </c>
      <c r="E125" s="4">
        <v>38490</v>
      </c>
      <c r="F125" s="4">
        <v>256</v>
      </c>
      <c r="G125" s="4">
        <v>29</v>
      </c>
    </row>
    <row r="126">
      <c r="A126" s="0" t="inlineStr">
        <is>
          <t xml:space="preserve">mk_paid_amer_west_nov26</t>
        </is>
      </c>
      <c r="B126" s="0" t="inlineStr">
        <is>
          <t xml:space="preserve">paid</t>
        </is>
      </c>
      <c r="C126" s="0" t="inlineStr">
        <is>
          <t xml:space="preserve">amer_west</t>
        </is>
      </c>
      <c r="D126" s="0" t="inlineStr">
        <is>
          <t xml:space="preserve">nov26</t>
        </is>
      </c>
      <c r="E126" s="4">
        <v>45450</v>
      </c>
      <c r="F126" s="4">
        <v>342</v>
      </c>
      <c r="G126" s="4">
        <v>29</v>
      </c>
    </row>
    <row r="127">
      <c r="A127" s="0" t="inlineStr">
        <is>
          <t xml:space="preserve">mk_paid_amer_west_dec26</t>
        </is>
      </c>
      <c r="B127" s="0" t="inlineStr">
        <is>
          <t xml:space="preserve">paid</t>
        </is>
      </c>
      <c r="C127" s="0" t="inlineStr">
        <is>
          <t xml:space="preserve">amer_west</t>
        </is>
      </c>
      <c r="D127" s="0" t="inlineStr">
        <is>
          <t xml:space="preserve">dec26</t>
        </is>
      </c>
      <c r="E127" s="4">
        <v>55120</v>
      </c>
      <c r="F127" s="4">
        <v>415</v>
      </c>
      <c r="G127" s="4">
        <v>46</v>
      </c>
    </row>
    <row r="128">
      <c r="A128" s="0" t="inlineStr">
        <is>
          <t xml:space="preserve">mk_paid_emea_apr25</t>
        </is>
      </c>
      <c r="B128" s="0" t="inlineStr">
        <is>
          <t xml:space="preserve">paid</t>
        </is>
      </c>
      <c r="C128" s="0" t="inlineStr">
        <is>
          <t xml:space="preserve">emea</t>
        </is>
      </c>
      <c r="D128" s="0" t="inlineStr">
        <is>
          <t xml:space="preserve">apr25</t>
        </is>
      </c>
      <c r="E128" s="4">
        <v>42670</v>
      </c>
      <c r="F128" s="4">
        <v>332</v>
      </c>
      <c r="G128" s="4">
        <v>41</v>
      </c>
    </row>
    <row r="129">
      <c r="A129" s="0" t="inlineStr">
        <is>
          <t xml:space="preserve">mk_paid_emea_may25</t>
        </is>
      </c>
      <c r="B129" s="0" t="inlineStr">
        <is>
          <t xml:space="preserve">paid</t>
        </is>
      </c>
      <c r="C129" s="0" t="inlineStr">
        <is>
          <t xml:space="preserve">emea</t>
        </is>
      </c>
      <c r="D129" s="0" t="inlineStr">
        <is>
          <t xml:space="preserve">may25</t>
        </is>
      </c>
      <c r="E129" s="4">
        <v>37840</v>
      </c>
      <c r="F129" s="4">
        <v>194</v>
      </c>
      <c r="G129" s="4">
        <v>18</v>
      </c>
    </row>
    <row r="130">
      <c r="A130" s="0" t="inlineStr">
        <is>
          <t xml:space="preserve">mk_paid_emea_jun25</t>
        </is>
      </c>
      <c r="B130" s="0" t="inlineStr">
        <is>
          <t xml:space="preserve">paid</t>
        </is>
      </c>
      <c r="C130" s="0" t="inlineStr">
        <is>
          <t xml:space="preserve">emea</t>
        </is>
      </c>
      <c r="D130" s="0" t="inlineStr">
        <is>
          <t xml:space="preserve">jun25</t>
        </is>
      </c>
      <c r="E130" s="4">
        <v>43000</v>
      </c>
      <c r="F130" s="4">
        <v>251</v>
      </c>
      <c r="G130" s="4">
        <v>38</v>
      </c>
    </row>
    <row r="131">
      <c r="A131" s="0" t="inlineStr">
        <is>
          <t xml:space="preserve">mk_paid_emea_jul25</t>
        </is>
      </c>
      <c r="B131" s="0" t="inlineStr">
        <is>
          <t xml:space="preserve">paid</t>
        </is>
      </c>
      <c r="C131" s="0" t="inlineStr">
        <is>
          <t xml:space="preserve">emea</t>
        </is>
      </c>
      <c r="D131" s="0" t="inlineStr">
        <is>
          <t xml:space="preserve">jul25</t>
        </is>
      </c>
      <c r="E131" s="4">
        <v>35060</v>
      </c>
      <c r="F131" s="4">
        <v>302</v>
      </c>
      <c r="G131" s="4">
        <v>28</v>
      </c>
    </row>
    <row r="132">
      <c r="A132" s="0" t="inlineStr">
        <is>
          <t xml:space="preserve">mk_paid_emea_aug25</t>
        </is>
      </c>
      <c r="B132" s="0" t="inlineStr">
        <is>
          <t xml:space="preserve">paid</t>
        </is>
      </c>
      <c r="C132" s="0" t="inlineStr">
        <is>
          <t xml:space="preserve">emea</t>
        </is>
      </c>
      <c r="D132" s="0" t="inlineStr">
        <is>
          <t xml:space="preserve">aug25</t>
        </is>
      </c>
      <c r="E132" s="4">
        <v>30100</v>
      </c>
      <c r="F132" s="4">
        <v>296</v>
      </c>
      <c r="G132" s="4">
        <v>25</v>
      </c>
    </row>
    <row r="133">
      <c r="A133" s="0" t="inlineStr">
        <is>
          <t xml:space="preserve">mk_paid_emea_sep25</t>
        </is>
      </c>
      <c r="B133" s="0" t="inlineStr">
        <is>
          <t xml:space="preserve">paid</t>
        </is>
      </c>
      <c r="C133" s="0" t="inlineStr">
        <is>
          <t xml:space="preserve">emea</t>
        </is>
      </c>
      <c r="D133" s="0" t="inlineStr">
        <is>
          <t xml:space="preserve">sep25</t>
        </is>
      </c>
      <c r="E133" s="4">
        <v>38260</v>
      </c>
      <c r="F133" s="4">
        <v>255</v>
      </c>
      <c r="G133" s="4">
        <v>22</v>
      </c>
    </row>
    <row r="134">
      <c r="A134" s="0" t="inlineStr">
        <is>
          <t xml:space="preserve">mk_paid_emea_oct25</t>
        </is>
      </c>
      <c r="B134" s="0" t="inlineStr">
        <is>
          <t xml:space="preserve">paid</t>
        </is>
      </c>
      <c r="C134" s="0" t="inlineStr">
        <is>
          <t xml:space="preserve">emea</t>
        </is>
      </c>
      <c r="D134" s="0" t="inlineStr">
        <is>
          <t xml:space="preserve">oct25</t>
        </is>
      </c>
      <c r="E134" s="4">
        <v>33480</v>
      </c>
      <c r="F134" s="4">
        <v>210</v>
      </c>
      <c r="G134" s="4">
        <v>29</v>
      </c>
    </row>
    <row r="135">
      <c r="A135" s="0" t="inlineStr">
        <is>
          <t xml:space="preserve">mk_paid_emea_nov25</t>
        </is>
      </c>
      <c r="B135" s="0" t="inlineStr">
        <is>
          <t xml:space="preserve">paid</t>
        </is>
      </c>
      <c r="C135" s="0" t="inlineStr">
        <is>
          <t xml:space="preserve">emea</t>
        </is>
      </c>
      <c r="D135" s="0" t="inlineStr">
        <is>
          <t xml:space="preserve">nov25</t>
        </is>
      </c>
      <c r="E135" s="4">
        <v>33880</v>
      </c>
      <c r="F135" s="4">
        <v>236</v>
      </c>
      <c r="G135" s="4">
        <v>19</v>
      </c>
    </row>
    <row r="136">
      <c r="A136" s="0" t="inlineStr">
        <is>
          <t xml:space="preserve">mk_paid_emea_dec25</t>
        </is>
      </c>
      <c r="B136" s="0" t="inlineStr">
        <is>
          <t xml:space="preserve">paid</t>
        </is>
      </c>
      <c r="C136" s="0" t="inlineStr">
        <is>
          <t xml:space="preserve">emea</t>
        </is>
      </c>
      <c r="D136" s="0" t="inlineStr">
        <is>
          <t xml:space="preserve">dec25</t>
        </is>
      </c>
      <c r="E136" s="4">
        <v>34000</v>
      </c>
      <c r="F136" s="4">
        <v>236</v>
      </c>
      <c r="G136" s="4">
        <v>28</v>
      </c>
    </row>
    <row r="137">
      <c r="A137" s="0" t="inlineStr">
        <is>
          <t xml:space="preserve">mk_paid_emea_jan26</t>
        </is>
      </c>
      <c r="B137" s="0" t="inlineStr">
        <is>
          <t xml:space="preserve">paid</t>
        </is>
      </c>
      <c r="C137" s="0" t="inlineStr">
        <is>
          <t xml:space="preserve">emea</t>
        </is>
      </c>
      <c r="D137" s="0" t="inlineStr">
        <is>
          <t xml:space="preserve">jan26</t>
        </is>
      </c>
      <c r="E137" s="4">
        <v>28620</v>
      </c>
      <c r="F137" s="4">
        <v>206</v>
      </c>
      <c r="G137" s="4">
        <v>24</v>
      </c>
    </row>
    <row r="138">
      <c r="A138" s="0" t="inlineStr">
        <is>
          <t xml:space="preserve">mk_paid_emea_feb26</t>
        </is>
      </c>
      <c r="B138" s="0" t="inlineStr">
        <is>
          <t xml:space="preserve">paid</t>
        </is>
      </c>
      <c r="C138" s="0" t="inlineStr">
        <is>
          <t xml:space="preserve">emea</t>
        </is>
      </c>
      <c r="D138" s="0" t="inlineStr">
        <is>
          <t xml:space="preserve">feb26</t>
        </is>
      </c>
      <c r="E138" s="4">
        <v>39170</v>
      </c>
      <c r="F138" s="4">
        <v>165</v>
      </c>
      <c r="G138" s="4">
        <v>18</v>
      </c>
    </row>
    <row r="139">
      <c r="A139" s="0" t="inlineStr">
        <is>
          <t xml:space="preserve">mk_paid_emea_mar26</t>
        </is>
      </c>
      <c r="B139" s="0" t="inlineStr">
        <is>
          <t xml:space="preserve">paid</t>
        </is>
      </c>
      <c r="C139" s="0" t="inlineStr">
        <is>
          <t xml:space="preserve">emea</t>
        </is>
      </c>
      <c r="D139" s="0" t="inlineStr">
        <is>
          <t xml:space="preserve">mar26</t>
        </is>
      </c>
      <c r="E139" s="4">
        <v>40260</v>
      </c>
      <c r="F139" s="4">
        <v>234</v>
      </c>
      <c r="G139" s="4">
        <v>22</v>
      </c>
    </row>
    <row r="140">
      <c r="A140" s="0" t="inlineStr">
        <is>
          <t xml:space="preserve">mk_paid_emea_apr26</t>
        </is>
      </c>
      <c r="B140" s="0" t="inlineStr">
        <is>
          <t xml:space="preserve">paid</t>
        </is>
      </c>
      <c r="C140" s="0" t="inlineStr">
        <is>
          <t xml:space="preserve">emea</t>
        </is>
      </c>
      <c r="D140" s="0" t="inlineStr">
        <is>
          <t xml:space="preserve">apr26</t>
        </is>
      </c>
      <c r="E140" s="4">
        <v>35460</v>
      </c>
      <c r="F140" s="4">
        <v>256</v>
      </c>
      <c r="G140" s="4">
        <v>26</v>
      </c>
    </row>
    <row r="141">
      <c r="A141" s="0" t="inlineStr">
        <is>
          <t xml:space="preserve">mk_paid_emea_may26</t>
        </is>
      </c>
      <c r="B141" s="0" t="inlineStr">
        <is>
          <t xml:space="preserve">paid</t>
        </is>
      </c>
      <c r="C141" s="0" t="inlineStr">
        <is>
          <t xml:space="preserve">emea</t>
        </is>
      </c>
      <c r="D141" s="0" t="inlineStr">
        <is>
          <t xml:space="preserve">may26</t>
        </is>
      </c>
      <c r="E141" s="4">
        <v>38530</v>
      </c>
      <c r="F141" s="4">
        <v>259</v>
      </c>
      <c r="G141" s="4">
        <v>28</v>
      </c>
    </row>
    <row r="142">
      <c r="A142" s="0" t="inlineStr">
        <is>
          <t xml:space="preserve">mk_paid_emea_jun26</t>
        </is>
      </c>
      <c r="B142" s="0" t="inlineStr">
        <is>
          <t xml:space="preserve">paid</t>
        </is>
      </c>
      <c r="C142" s="0" t="inlineStr">
        <is>
          <t xml:space="preserve">emea</t>
        </is>
      </c>
      <c r="D142" s="0" t="inlineStr">
        <is>
          <t xml:space="preserve">jun26</t>
        </is>
      </c>
      <c r="E142" s="4">
        <v>44020</v>
      </c>
      <c r="F142" s="4">
        <v>298</v>
      </c>
      <c r="G142" s="4">
        <v>32</v>
      </c>
    </row>
    <row r="143">
      <c r="A143" s="0" t="inlineStr">
        <is>
          <t xml:space="preserve">mk_paid_emea_jul26</t>
        </is>
      </c>
      <c r="B143" s="0" t="inlineStr">
        <is>
          <t xml:space="preserve">paid</t>
        </is>
      </c>
      <c r="C143" s="0" t="inlineStr">
        <is>
          <t xml:space="preserve">emea</t>
        </is>
      </c>
      <c r="D143" s="0" t="inlineStr">
        <is>
          <t xml:space="preserve">jul26</t>
        </is>
      </c>
      <c r="E143" s="4">
        <v>35910</v>
      </c>
      <c r="F143" s="4">
        <v>215</v>
      </c>
      <c r="G143" s="4">
        <v>22</v>
      </c>
    </row>
    <row r="144">
      <c r="A144" s="0" t="inlineStr">
        <is>
          <t xml:space="preserve">mk_paid_emea_aug26</t>
        </is>
      </c>
      <c r="B144" s="0" t="inlineStr">
        <is>
          <t xml:space="preserve">paid</t>
        </is>
      </c>
      <c r="C144" s="0" t="inlineStr">
        <is>
          <t xml:space="preserve">emea</t>
        </is>
      </c>
      <c r="D144" s="0" t="inlineStr">
        <is>
          <t xml:space="preserve">aug26</t>
        </is>
      </c>
      <c r="E144" s="4">
        <v>37530</v>
      </c>
      <c r="F144" s="4">
        <v>244</v>
      </c>
      <c r="G144" s="4">
        <v>22</v>
      </c>
    </row>
    <row r="145">
      <c r="A145" s="0" t="inlineStr">
        <is>
          <t xml:space="preserve">mk_paid_emea_sep26</t>
        </is>
      </c>
      <c r="B145" s="0" t="inlineStr">
        <is>
          <t xml:space="preserve">paid</t>
        </is>
      </c>
      <c r="C145" s="0" t="inlineStr">
        <is>
          <t xml:space="preserve">emea</t>
        </is>
      </c>
      <c r="D145" s="0" t="inlineStr">
        <is>
          <t xml:space="preserve">sep26</t>
        </is>
      </c>
      <c r="E145" s="4">
        <v>33500</v>
      </c>
      <c r="F145" s="4">
        <v>239</v>
      </c>
      <c r="G145" s="4">
        <v>26</v>
      </c>
    </row>
    <row r="146">
      <c r="A146" s="0" t="inlineStr">
        <is>
          <t xml:space="preserve">mk_paid_emea_oct26</t>
        </is>
      </c>
      <c r="B146" s="0" t="inlineStr">
        <is>
          <t xml:space="preserve">paid</t>
        </is>
      </c>
      <c r="C146" s="0" t="inlineStr">
        <is>
          <t xml:space="preserve">emea</t>
        </is>
      </c>
      <c r="D146" s="0" t="inlineStr">
        <is>
          <t xml:space="preserve">oct26</t>
        </is>
      </c>
      <c r="E146" s="4">
        <v>33590</v>
      </c>
      <c r="F146" s="4">
        <v>172</v>
      </c>
      <c r="G146" s="4">
        <v>19</v>
      </c>
    </row>
    <row r="147">
      <c r="A147" s="0" t="inlineStr">
        <is>
          <t xml:space="preserve">mk_paid_emea_nov26</t>
        </is>
      </c>
      <c r="B147" s="0" t="inlineStr">
        <is>
          <t xml:space="preserve">paid</t>
        </is>
      </c>
      <c r="C147" s="0" t="inlineStr">
        <is>
          <t xml:space="preserve">emea</t>
        </is>
      </c>
      <c r="D147" s="0" t="inlineStr">
        <is>
          <t xml:space="preserve">nov26</t>
        </is>
      </c>
      <c r="E147" s="4">
        <v>37130</v>
      </c>
      <c r="F147" s="4">
        <v>232</v>
      </c>
      <c r="G147" s="4">
        <v>21</v>
      </c>
    </row>
    <row r="148">
      <c r="A148" s="0" t="inlineStr">
        <is>
          <t xml:space="preserve">mk_paid_emea_dec26</t>
        </is>
      </c>
      <c r="B148" s="0" t="inlineStr">
        <is>
          <t xml:space="preserve">paid</t>
        </is>
      </c>
      <c r="C148" s="0" t="inlineStr">
        <is>
          <t xml:space="preserve">emea</t>
        </is>
      </c>
      <c r="D148" s="0" t="inlineStr">
        <is>
          <t xml:space="preserve">dec26</t>
        </is>
      </c>
      <c r="E148" s="4">
        <v>41960</v>
      </c>
      <c r="F148" s="4">
        <v>168</v>
      </c>
      <c r="G148" s="4">
        <v>14</v>
      </c>
    </row>
    <row r="149">
      <c r="A149" s="0" t="inlineStr">
        <is>
          <t xml:space="preserve">mk_paid_apac_apr25</t>
        </is>
      </c>
      <c r="B149" s="0" t="inlineStr">
        <is>
          <t xml:space="preserve">paid</t>
        </is>
      </c>
      <c r="C149" s="0" t="inlineStr">
        <is>
          <t xml:space="preserve">apac</t>
        </is>
      </c>
      <c r="D149" s="0" t="inlineStr">
        <is>
          <t xml:space="preserve">apr25</t>
        </is>
      </c>
      <c r="E149" s="4">
        <v>22520</v>
      </c>
      <c r="F149" s="4">
        <v>137</v>
      </c>
      <c r="G149" s="4">
        <v>12</v>
      </c>
    </row>
    <row r="150">
      <c r="A150" s="0" t="inlineStr">
        <is>
          <t xml:space="preserve">mk_paid_apac_may25</t>
        </is>
      </c>
      <c r="B150" s="0" t="inlineStr">
        <is>
          <t xml:space="preserve">paid</t>
        </is>
      </c>
      <c r="C150" s="0" t="inlineStr">
        <is>
          <t xml:space="preserve">apac</t>
        </is>
      </c>
      <c r="D150" s="0" t="inlineStr">
        <is>
          <t xml:space="preserve">may25</t>
        </is>
      </c>
      <c r="E150" s="4">
        <v>25700</v>
      </c>
      <c r="F150" s="4">
        <v>129</v>
      </c>
      <c r="G150" s="4">
        <v>9</v>
      </c>
    </row>
    <row r="151">
      <c r="A151" s="0" t="inlineStr">
        <is>
          <t xml:space="preserve">mk_paid_apac_jun25</t>
        </is>
      </c>
      <c r="B151" s="0" t="inlineStr">
        <is>
          <t xml:space="preserve">paid</t>
        </is>
      </c>
      <c r="C151" s="0" t="inlineStr">
        <is>
          <t xml:space="preserve">apac</t>
        </is>
      </c>
      <c r="D151" s="0" t="inlineStr">
        <is>
          <t xml:space="preserve">jun25</t>
        </is>
      </c>
      <c r="E151" s="4">
        <v>26660</v>
      </c>
      <c r="F151" s="4">
        <v>147</v>
      </c>
      <c r="G151" s="4">
        <v>20</v>
      </c>
    </row>
    <row r="152">
      <c r="A152" s="0" t="inlineStr">
        <is>
          <t xml:space="preserve">mk_paid_apac_jul25</t>
        </is>
      </c>
      <c r="B152" s="0" t="inlineStr">
        <is>
          <t xml:space="preserve">paid</t>
        </is>
      </c>
      <c r="C152" s="0" t="inlineStr">
        <is>
          <t xml:space="preserve">apac</t>
        </is>
      </c>
      <c r="D152" s="0" t="inlineStr">
        <is>
          <t xml:space="preserve">jul25</t>
        </is>
      </c>
      <c r="E152" s="4">
        <v>19560</v>
      </c>
      <c r="F152" s="4">
        <v>142</v>
      </c>
      <c r="G152" s="4">
        <v>9</v>
      </c>
    </row>
    <row r="153">
      <c r="A153" s="0" t="inlineStr">
        <is>
          <t xml:space="preserve">mk_paid_apac_aug25</t>
        </is>
      </c>
      <c r="B153" s="0" t="inlineStr">
        <is>
          <t xml:space="preserve">paid</t>
        </is>
      </c>
      <c r="C153" s="0" t="inlineStr">
        <is>
          <t xml:space="preserve">apac</t>
        </is>
      </c>
      <c r="D153" s="0" t="inlineStr">
        <is>
          <t xml:space="preserve">aug25</t>
        </is>
      </c>
      <c r="E153" s="4">
        <v>20650</v>
      </c>
      <c r="F153" s="4">
        <v>106</v>
      </c>
      <c r="G153" s="4">
        <v>14</v>
      </c>
    </row>
    <row r="154">
      <c r="A154" s="0" t="inlineStr">
        <is>
          <t xml:space="preserve">mk_paid_apac_sep25</t>
        </is>
      </c>
      <c r="B154" s="0" t="inlineStr">
        <is>
          <t xml:space="preserve">paid</t>
        </is>
      </c>
      <c r="C154" s="0" t="inlineStr">
        <is>
          <t xml:space="preserve">apac</t>
        </is>
      </c>
      <c r="D154" s="0" t="inlineStr">
        <is>
          <t xml:space="preserve">sep25</t>
        </is>
      </c>
      <c r="E154" s="4">
        <v>22610</v>
      </c>
      <c r="F154" s="4">
        <v>130</v>
      </c>
      <c r="G154" s="4">
        <v>15</v>
      </c>
    </row>
    <row r="155">
      <c r="A155" s="0" t="inlineStr">
        <is>
          <t xml:space="preserve">mk_paid_apac_oct25</t>
        </is>
      </c>
      <c r="B155" s="0" t="inlineStr">
        <is>
          <t xml:space="preserve">paid</t>
        </is>
      </c>
      <c r="C155" s="0" t="inlineStr">
        <is>
          <t xml:space="preserve">apac</t>
        </is>
      </c>
      <c r="D155" s="0" t="inlineStr">
        <is>
          <t xml:space="preserve">oct25</t>
        </is>
      </c>
      <c r="E155" s="4">
        <v>19490</v>
      </c>
      <c r="F155" s="4">
        <v>118</v>
      </c>
      <c r="G155" s="4">
        <v>18</v>
      </c>
    </row>
    <row r="156">
      <c r="A156" s="0" t="inlineStr">
        <is>
          <t xml:space="preserve">mk_paid_apac_nov25</t>
        </is>
      </c>
      <c r="B156" s="0" t="inlineStr">
        <is>
          <t xml:space="preserve">paid</t>
        </is>
      </c>
      <c r="C156" s="0" t="inlineStr">
        <is>
          <t xml:space="preserve">apac</t>
        </is>
      </c>
      <c r="D156" s="0" t="inlineStr">
        <is>
          <t xml:space="preserve">nov25</t>
        </is>
      </c>
      <c r="E156" s="4">
        <v>18540</v>
      </c>
      <c r="F156" s="4">
        <v>115</v>
      </c>
      <c r="G156" s="4">
        <v>6</v>
      </c>
    </row>
    <row r="157">
      <c r="A157" s="0" t="inlineStr">
        <is>
          <t xml:space="preserve">mk_paid_apac_dec25</t>
        </is>
      </c>
      <c r="B157" s="0" t="inlineStr">
        <is>
          <t xml:space="preserve">paid</t>
        </is>
      </c>
      <c r="C157" s="0" t="inlineStr">
        <is>
          <t xml:space="preserve">apac</t>
        </is>
      </c>
      <c r="D157" s="0" t="inlineStr">
        <is>
          <t xml:space="preserve">dec25</t>
        </is>
      </c>
      <c r="E157" s="4">
        <v>27990</v>
      </c>
      <c r="F157" s="4">
        <v>143</v>
      </c>
      <c r="G157" s="4">
        <v>25</v>
      </c>
    </row>
    <row r="158">
      <c r="A158" s="0" t="inlineStr">
        <is>
          <t xml:space="preserve">mk_paid_apac_jan26</t>
        </is>
      </c>
      <c r="B158" s="0" t="inlineStr">
        <is>
          <t xml:space="preserve">paid</t>
        </is>
      </c>
      <c r="C158" s="0" t="inlineStr">
        <is>
          <t xml:space="preserve">apac</t>
        </is>
      </c>
      <c r="D158" s="0" t="inlineStr">
        <is>
          <t xml:space="preserve">jan26</t>
        </is>
      </c>
      <c r="E158" s="4">
        <v>20940</v>
      </c>
      <c r="F158" s="4">
        <v>129</v>
      </c>
      <c r="G158" s="4">
        <v>13</v>
      </c>
    </row>
    <row r="159">
      <c r="A159" s="0" t="inlineStr">
        <is>
          <t xml:space="preserve">mk_paid_apac_feb26</t>
        </is>
      </c>
      <c r="B159" s="0" t="inlineStr">
        <is>
          <t xml:space="preserve">paid</t>
        </is>
      </c>
      <c r="C159" s="0" t="inlineStr">
        <is>
          <t xml:space="preserve">apac</t>
        </is>
      </c>
      <c r="D159" s="0" t="inlineStr">
        <is>
          <t xml:space="preserve">feb26</t>
        </is>
      </c>
      <c r="E159" s="4">
        <v>22600</v>
      </c>
      <c r="F159" s="4">
        <v>230</v>
      </c>
      <c r="G159" s="4">
        <v>27</v>
      </c>
    </row>
    <row r="160">
      <c r="A160" s="0" t="inlineStr">
        <is>
          <t xml:space="preserve">mk_paid_apac_mar26</t>
        </is>
      </c>
      <c r="B160" s="0" t="inlineStr">
        <is>
          <t xml:space="preserve">paid</t>
        </is>
      </c>
      <c r="C160" s="0" t="inlineStr">
        <is>
          <t xml:space="preserve">apac</t>
        </is>
      </c>
      <c r="D160" s="0" t="inlineStr">
        <is>
          <t xml:space="preserve">mar26</t>
        </is>
      </c>
      <c r="E160" s="4">
        <v>26750</v>
      </c>
      <c r="F160" s="4">
        <v>240</v>
      </c>
      <c r="G160" s="4">
        <v>17</v>
      </c>
    </row>
    <row r="161">
      <c r="A161" s="0" t="inlineStr">
        <is>
          <t xml:space="preserve">mk_paid_apac_apr26</t>
        </is>
      </c>
      <c r="B161" s="0" t="inlineStr">
        <is>
          <t xml:space="preserve">paid</t>
        </is>
      </c>
      <c r="C161" s="0" t="inlineStr">
        <is>
          <t xml:space="preserve">apac</t>
        </is>
      </c>
      <c r="D161" s="0" t="inlineStr">
        <is>
          <t xml:space="preserve">apr26</t>
        </is>
      </c>
      <c r="E161" s="4">
        <v>22350</v>
      </c>
      <c r="F161" s="4">
        <v>115</v>
      </c>
      <c r="G161" s="4">
        <v>11</v>
      </c>
    </row>
    <row r="162">
      <c r="A162" s="0" t="inlineStr">
        <is>
          <t xml:space="preserve">mk_paid_apac_may26</t>
        </is>
      </c>
      <c r="B162" s="0" t="inlineStr">
        <is>
          <t xml:space="preserve">paid</t>
        </is>
      </c>
      <c r="C162" s="0" t="inlineStr">
        <is>
          <t xml:space="preserve">apac</t>
        </is>
      </c>
      <c r="D162" s="0" t="inlineStr">
        <is>
          <t xml:space="preserve">may26</t>
        </is>
      </c>
      <c r="E162" s="4">
        <v>28630</v>
      </c>
      <c r="F162" s="4">
        <v>183</v>
      </c>
      <c r="G162" s="4">
        <v>27</v>
      </c>
    </row>
    <row r="163">
      <c r="A163" s="0" t="inlineStr">
        <is>
          <t xml:space="preserve">mk_paid_apac_jun26</t>
        </is>
      </c>
      <c r="B163" s="0" t="inlineStr">
        <is>
          <t xml:space="preserve">paid</t>
        </is>
      </c>
      <c r="C163" s="0" t="inlineStr">
        <is>
          <t xml:space="preserve">apac</t>
        </is>
      </c>
      <c r="D163" s="0" t="inlineStr">
        <is>
          <t xml:space="preserve">jun26</t>
        </is>
      </c>
      <c r="E163" s="4">
        <v>35030</v>
      </c>
      <c r="F163" s="4">
        <v>279</v>
      </c>
      <c r="G163" s="4">
        <v>42</v>
      </c>
    </row>
    <row r="164">
      <c r="A164" s="0" t="inlineStr">
        <is>
          <t xml:space="preserve">mk_paid_apac_jul26</t>
        </is>
      </c>
      <c r="B164" s="0" t="inlineStr">
        <is>
          <t xml:space="preserve">paid</t>
        </is>
      </c>
      <c r="C164" s="0" t="inlineStr">
        <is>
          <t xml:space="preserve">apac</t>
        </is>
      </c>
      <c r="D164" s="0" t="inlineStr">
        <is>
          <t xml:space="preserve">jul26</t>
        </is>
      </c>
      <c r="E164" s="4">
        <v>25300</v>
      </c>
      <c r="F164" s="4">
        <v>185</v>
      </c>
      <c r="G164" s="4">
        <v>22</v>
      </c>
    </row>
    <row r="165">
      <c r="A165" s="0" t="inlineStr">
        <is>
          <t xml:space="preserve">mk_paid_apac_aug26</t>
        </is>
      </c>
      <c r="B165" s="0" t="inlineStr">
        <is>
          <t xml:space="preserve">paid</t>
        </is>
      </c>
      <c r="C165" s="0" t="inlineStr">
        <is>
          <t xml:space="preserve">apac</t>
        </is>
      </c>
      <c r="D165" s="0" t="inlineStr">
        <is>
          <t xml:space="preserve">aug26</t>
        </is>
      </c>
      <c r="E165" s="4">
        <v>25030</v>
      </c>
      <c r="F165" s="4">
        <v>170</v>
      </c>
      <c r="G165" s="4">
        <v>16</v>
      </c>
    </row>
    <row r="166">
      <c r="A166" s="0" t="inlineStr">
        <is>
          <t xml:space="preserve">mk_paid_apac_sep26</t>
        </is>
      </c>
      <c r="B166" s="0" t="inlineStr">
        <is>
          <t xml:space="preserve">paid</t>
        </is>
      </c>
      <c r="C166" s="0" t="inlineStr">
        <is>
          <t xml:space="preserve">apac</t>
        </is>
      </c>
      <c r="D166" s="0" t="inlineStr">
        <is>
          <t xml:space="preserve">sep26</t>
        </is>
      </c>
      <c r="E166" s="4">
        <v>25020</v>
      </c>
      <c r="F166" s="4">
        <v>143</v>
      </c>
      <c r="G166" s="4">
        <v>15</v>
      </c>
    </row>
    <row r="167">
      <c r="A167" s="0" t="inlineStr">
        <is>
          <t xml:space="preserve">mk_paid_apac_oct26</t>
        </is>
      </c>
      <c r="B167" s="0" t="inlineStr">
        <is>
          <t xml:space="preserve">paid</t>
        </is>
      </c>
      <c r="C167" s="0" t="inlineStr">
        <is>
          <t xml:space="preserve">apac</t>
        </is>
      </c>
      <c r="D167" s="0" t="inlineStr">
        <is>
          <t xml:space="preserve">oct26</t>
        </is>
      </c>
      <c r="E167" s="4">
        <v>20990</v>
      </c>
      <c r="F167" s="4">
        <v>154</v>
      </c>
      <c r="G167" s="4">
        <v>15</v>
      </c>
    </row>
    <row r="168">
      <c r="A168" s="0" t="inlineStr">
        <is>
          <t xml:space="preserve">mk_paid_apac_nov26</t>
        </is>
      </c>
      <c r="B168" s="0" t="inlineStr">
        <is>
          <t xml:space="preserve">paid</t>
        </is>
      </c>
      <c r="C168" s="0" t="inlineStr">
        <is>
          <t xml:space="preserve">apac</t>
        </is>
      </c>
      <c r="D168" s="0" t="inlineStr">
        <is>
          <t xml:space="preserve">nov26</t>
        </is>
      </c>
      <c r="E168" s="4">
        <v>20190</v>
      </c>
      <c r="F168" s="4">
        <v>116</v>
      </c>
      <c r="G168" s="4">
        <v>20</v>
      </c>
    </row>
    <row r="169">
      <c r="A169" s="0" t="inlineStr">
        <is>
          <t xml:space="preserve">mk_paid_apac_dec26</t>
        </is>
      </c>
      <c r="B169" s="0" t="inlineStr">
        <is>
          <t xml:space="preserve">paid</t>
        </is>
      </c>
      <c r="C169" s="0" t="inlineStr">
        <is>
          <t xml:space="preserve">apac</t>
        </is>
      </c>
      <c r="D169" s="0" t="inlineStr">
        <is>
          <t xml:space="preserve">dec26</t>
        </is>
      </c>
      <c r="E169" s="4">
        <v>24590</v>
      </c>
      <c r="F169" s="4">
        <v>156</v>
      </c>
      <c r="G169" s="4">
        <v>20</v>
      </c>
    </row>
    <row r="170">
      <c r="A170" s="0" t="inlineStr">
        <is>
          <t xml:space="preserve">mk_events_amer_east_apr25</t>
        </is>
      </c>
      <c r="B170" s="0" t="inlineStr">
        <is>
          <t xml:space="preserve">events</t>
        </is>
      </c>
      <c r="C170" s="0" t="inlineStr">
        <is>
          <t xml:space="preserve">amer_east</t>
        </is>
      </c>
      <c r="D170" s="0" t="inlineStr">
        <is>
          <t xml:space="preserve">apr25</t>
        </is>
      </c>
      <c r="E170" s="4">
        <v>13300</v>
      </c>
      <c r="F170" s="4">
        <v>27</v>
      </c>
      <c r="G170" s="4">
        <v>4</v>
      </c>
    </row>
    <row r="171">
      <c r="A171" s="0" t="inlineStr">
        <is>
          <t xml:space="preserve">mk_events_amer_east_may25</t>
        </is>
      </c>
      <c r="B171" s="0" t="inlineStr">
        <is>
          <t xml:space="preserve">events</t>
        </is>
      </c>
      <c r="C171" s="0" t="inlineStr">
        <is>
          <t xml:space="preserve">amer_east</t>
        </is>
      </c>
      <c r="D171" s="0" t="inlineStr">
        <is>
          <t xml:space="preserve">may25</t>
        </is>
      </c>
      <c r="E171" s="4">
        <v>46650</v>
      </c>
      <c r="F171" s="4">
        <v>113</v>
      </c>
      <c r="G171" s="4">
        <v>37</v>
      </c>
    </row>
    <row r="172">
      <c r="A172" s="0" t="inlineStr">
        <is>
          <t xml:space="preserve">mk_events_amer_east_jun25</t>
        </is>
      </c>
      <c r="B172" s="0" t="inlineStr">
        <is>
          <t xml:space="preserve">events</t>
        </is>
      </c>
      <c r="C172" s="0" t="inlineStr">
        <is>
          <t xml:space="preserve">amer_east</t>
        </is>
      </c>
      <c r="D172" s="0" t="inlineStr">
        <is>
          <t xml:space="preserve">jun25</t>
        </is>
      </c>
      <c r="E172" s="4">
        <v>16050</v>
      </c>
      <c r="F172" s="4">
        <v>36</v>
      </c>
      <c r="G172" s="4">
        <v>16</v>
      </c>
    </row>
    <row r="173">
      <c r="A173" s="0" t="inlineStr">
        <is>
          <t xml:space="preserve">mk_events_amer_east_jul25</t>
        </is>
      </c>
      <c r="B173" s="0" t="inlineStr">
        <is>
          <t xml:space="preserve">events</t>
        </is>
      </c>
      <c r="C173" s="0" t="inlineStr">
        <is>
          <t xml:space="preserve">amer_east</t>
        </is>
      </c>
      <c r="D173" s="0" t="inlineStr">
        <is>
          <t xml:space="preserve">jul25</t>
        </is>
      </c>
      <c r="E173" s="4">
        <v>11280</v>
      </c>
      <c r="F173" s="4">
        <v>25</v>
      </c>
      <c r="G173" s="4">
        <v>6</v>
      </c>
    </row>
    <row r="174">
      <c r="A174" s="0" t="inlineStr">
        <is>
          <t xml:space="preserve">mk_events_amer_east_aug25</t>
        </is>
      </c>
      <c r="B174" s="0" t="inlineStr">
        <is>
          <t xml:space="preserve">events</t>
        </is>
      </c>
      <c r="C174" s="0" t="inlineStr">
        <is>
          <t xml:space="preserve">amer_east</t>
        </is>
      </c>
      <c r="D174" s="0" t="inlineStr">
        <is>
          <t xml:space="preserve">aug25</t>
        </is>
      </c>
      <c r="E174" s="4">
        <v>10470</v>
      </c>
      <c r="F174" s="4">
        <v>30</v>
      </c>
      <c r="G174" s="4">
        <v>10</v>
      </c>
    </row>
    <row r="175">
      <c r="A175" s="0" t="inlineStr">
        <is>
          <t xml:space="preserve">mk_events_amer_east_sep25</t>
        </is>
      </c>
      <c r="B175" s="0" t="inlineStr">
        <is>
          <t xml:space="preserve">events</t>
        </is>
      </c>
      <c r="C175" s="0" t="inlineStr">
        <is>
          <t xml:space="preserve">amer_east</t>
        </is>
      </c>
      <c r="D175" s="0" t="inlineStr">
        <is>
          <t xml:space="preserve">sep25</t>
        </is>
      </c>
      <c r="E175" s="4">
        <v>13060</v>
      </c>
      <c r="F175" s="4">
        <v>26</v>
      </c>
      <c r="G175" s="4">
        <v>6</v>
      </c>
    </row>
    <row r="176">
      <c r="A176" s="0" t="inlineStr">
        <is>
          <t xml:space="preserve">mk_events_amer_east_oct25</t>
        </is>
      </c>
      <c r="B176" s="0" t="inlineStr">
        <is>
          <t xml:space="preserve">events</t>
        </is>
      </c>
      <c r="C176" s="0" t="inlineStr">
        <is>
          <t xml:space="preserve">amer_east</t>
        </is>
      </c>
      <c r="D176" s="0" t="inlineStr">
        <is>
          <t xml:space="preserve">oct25</t>
        </is>
      </c>
      <c r="E176" s="4">
        <v>32830</v>
      </c>
      <c r="F176" s="4">
        <v>93</v>
      </c>
      <c r="G176" s="4">
        <v>29</v>
      </c>
    </row>
    <row r="177">
      <c r="A177" s="0" t="inlineStr">
        <is>
          <t xml:space="preserve">mk_events_amer_east_nov25</t>
        </is>
      </c>
      <c r="B177" s="0" t="inlineStr">
        <is>
          <t xml:space="preserve">events</t>
        </is>
      </c>
      <c r="C177" s="0" t="inlineStr">
        <is>
          <t xml:space="preserve">amer_east</t>
        </is>
      </c>
      <c r="D177" s="0" t="inlineStr">
        <is>
          <t xml:space="preserve">nov25</t>
        </is>
      </c>
      <c r="E177" s="4">
        <v>10710</v>
      </c>
      <c r="F177" s="4">
        <v>28</v>
      </c>
      <c r="G177" s="4">
        <v>5</v>
      </c>
    </row>
    <row r="178">
      <c r="A178" s="0" t="inlineStr">
        <is>
          <t xml:space="preserve">mk_events_amer_east_dec25</t>
        </is>
      </c>
      <c r="B178" s="0" t="inlineStr">
        <is>
          <t xml:space="preserve">events</t>
        </is>
      </c>
      <c r="C178" s="0" t="inlineStr">
        <is>
          <t xml:space="preserve">amer_east</t>
        </is>
      </c>
      <c r="D178" s="0" t="inlineStr">
        <is>
          <t xml:space="preserve">dec25</t>
        </is>
      </c>
      <c r="E178" s="4">
        <v>11960</v>
      </c>
      <c r="F178" s="4">
        <v>31</v>
      </c>
      <c r="G178" s="4">
        <v>14</v>
      </c>
    </row>
    <row r="179">
      <c r="A179" s="0" t="inlineStr">
        <is>
          <t xml:space="preserve">mk_events_amer_east_jan26</t>
        </is>
      </c>
      <c r="B179" s="0" t="inlineStr">
        <is>
          <t xml:space="preserve">events</t>
        </is>
      </c>
      <c r="C179" s="0" t="inlineStr">
        <is>
          <t xml:space="preserve">amer_east</t>
        </is>
      </c>
      <c r="D179" s="0" t="inlineStr">
        <is>
          <t xml:space="preserve">jan26</t>
        </is>
      </c>
      <c r="E179" s="4">
        <v>11490</v>
      </c>
      <c r="F179" s="4">
        <v>30</v>
      </c>
      <c r="G179" s="4">
        <v>7</v>
      </c>
    </row>
    <row r="180">
      <c r="A180" s="0" t="inlineStr">
        <is>
          <t xml:space="preserve">mk_events_amer_east_feb26</t>
        </is>
      </c>
      <c r="B180" s="0" t="inlineStr">
        <is>
          <t xml:space="preserve">events</t>
        </is>
      </c>
      <c r="C180" s="0" t="inlineStr">
        <is>
          <t xml:space="preserve">amer_east</t>
        </is>
      </c>
      <c r="D180" s="0" t="inlineStr">
        <is>
          <t xml:space="preserve">feb26</t>
        </is>
      </c>
      <c r="E180" s="4">
        <v>12850</v>
      </c>
      <c r="F180" s="4">
        <v>26</v>
      </c>
      <c r="G180" s="4">
        <v>9</v>
      </c>
    </row>
    <row r="181">
      <c r="A181" s="0" t="inlineStr">
        <is>
          <t xml:space="preserve">mk_events_amer_east_mar26</t>
        </is>
      </c>
      <c r="B181" s="0" t="inlineStr">
        <is>
          <t xml:space="preserve">events</t>
        </is>
      </c>
      <c r="C181" s="0" t="inlineStr">
        <is>
          <t xml:space="preserve">amer_east</t>
        </is>
      </c>
      <c r="D181" s="0" t="inlineStr">
        <is>
          <t xml:space="preserve">mar26</t>
        </is>
      </c>
      <c r="E181" s="4">
        <v>54480</v>
      </c>
      <c r="F181" s="4">
        <v>138</v>
      </c>
      <c r="G181" s="4">
        <v>52</v>
      </c>
    </row>
    <row r="182">
      <c r="A182" s="0" t="inlineStr">
        <is>
          <t xml:space="preserve">mk_events_amer_east_apr26</t>
        </is>
      </c>
      <c r="B182" s="0" t="inlineStr">
        <is>
          <t xml:space="preserve">events</t>
        </is>
      </c>
      <c r="C182" s="0" t="inlineStr">
        <is>
          <t xml:space="preserve">amer_east</t>
        </is>
      </c>
      <c r="D182" s="0" t="inlineStr">
        <is>
          <t xml:space="preserve">apr26</t>
        </is>
      </c>
      <c r="E182" s="4">
        <v>12310</v>
      </c>
      <c r="F182" s="4">
        <v>34</v>
      </c>
      <c r="G182" s="4">
        <v>11</v>
      </c>
    </row>
    <row r="183">
      <c r="A183" s="0" t="inlineStr">
        <is>
          <t xml:space="preserve">mk_events_amer_east_may26</t>
        </is>
      </c>
      <c r="B183" s="0" t="inlineStr">
        <is>
          <t xml:space="preserve">events</t>
        </is>
      </c>
      <c r="C183" s="0" t="inlineStr">
        <is>
          <t xml:space="preserve">amer_east</t>
        </is>
      </c>
      <c r="D183" s="0" t="inlineStr">
        <is>
          <t xml:space="preserve">may26</t>
        </is>
      </c>
      <c r="E183" s="4">
        <v>11750</v>
      </c>
      <c r="F183" s="4">
        <v>28</v>
      </c>
      <c r="G183" s="4">
        <v>10</v>
      </c>
    </row>
    <row r="184">
      <c r="A184" s="0" t="inlineStr">
        <is>
          <t xml:space="preserve">mk_events_amer_east_jun26</t>
        </is>
      </c>
      <c r="B184" s="0" t="inlineStr">
        <is>
          <t xml:space="preserve">events</t>
        </is>
      </c>
      <c r="C184" s="0" t="inlineStr">
        <is>
          <t xml:space="preserve">amer_east</t>
        </is>
      </c>
      <c r="D184" s="0" t="inlineStr">
        <is>
          <t xml:space="preserve">jun26</t>
        </is>
      </c>
      <c r="E184" s="4">
        <v>55190</v>
      </c>
      <c r="F184" s="4">
        <v>141</v>
      </c>
      <c r="G184" s="4">
        <v>47</v>
      </c>
    </row>
    <row r="185">
      <c r="A185" s="0" t="inlineStr">
        <is>
          <t xml:space="preserve">mk_events_amer_east_jul26</t>
        </is>
      </c>
      <c r="B185" s="0" t="inlineStr">
        <is>
          <t xml:space="preserve">events</t>
        </is>
      </c>
      <c r="C185" s="0" t="inlineStr">
        <is>
          <t xml:space="preserve">amer_east</t>
        </is>
      </c>
      <c r="D185" s="0" t="inlineStr">
        <is>
          <t xml:space="preserve">jul26</t>
        </is>
      </c>
      <c r="E185" s="4">
        <v>12850</v>
      </c>
      <c r="F185" s="4">
        <v>33</v>
      </c>
      <c r="G185" s="4">
        <v>12</v>
      </c>
    </row>
    <row r="186">
      <c r="A186" s="0" t="inlineStr">
        <is>
          <t xml:space="preserve">mk_events_amer_east_aug26</t>
        </is>
      </c>
      <c r="B186" s="0" t="inlineStr">
        <is>
          <t xml:space="preserve">events</t>
        </is>
      </c>
      <c r="C186" s="0" t="inlineStr">
        <is>
          <t xml:space="preserve">amer_east</t>
        </is>
      </c>
      <c r="D186" s="0" t="inlineStr">
        <is>
          <t xml:space="preserve">aug26</t>
        </is>
      </c>
      <c r="E186" s="4">
        <v>11780</v>
      </c>
      <c r="F186" s="4">
        <v>22</v>
      </c>
      <c r="G186" s="4">
        <v>6</v>
      </c>
    </row>
    <row r="187">
      <c r="A187" s="0" t="inlineStr">
        <is>
          <t xml:space="preserve">mk_events_amer_east_sep26</t>
        </is>
      </c>
      <c r="B187" s="0" t="inlineStr">
        <is>
          <t xml:space="preserve">events</t>
        </is>
      </c>
      <c r="C187" s="0" t="inlineStr">
        <is>
          <t xml:space="preserve">amer_east</t>
        </is>
      </c>
      <c r="D187" s="0" t="inlineStr">
        <is>
          <t xml:space="preserve">sep26</t>
        </is>
      </c>
      <c r="E187" s="4">
        <v>11940</v>
      </c>
      <c r="F187" s="4">
        <v>35</v>
      </c>
      <c r="G187" s="4">
        <v>10</v>
      </c>
    </row>
    <row r="188">
      <c r="A188" s="0" t="inlineStr">
        <is>
          <t xml:space="preserve">mk_events_amer_east_oct26</t>
        </is>
      </c>
      <c r="B188" s="0" t="inlineStr">
        <is>
          <t xml:space="preserve">events</t>
        </is>
      </c>
      <c r="C188" s="0" t="inlineStr">
        <is>
          <t xml:space="preserve">amer_east</t>
        </is>
      </c>
      <c r="D188" s="0" t="inlineStr">
        <is>
          <t xml:space="preserve">oct26</t>
        </is>
      </c>
      <c r="E188" s="4">
        <v>37790</v>
      </c>
      <c r="F188" s="4">
        <v>104</v>
      </c>
      <c r="G188" s="4">
        <v>32</v>
      </c>
    </row>
    <row r="189">
      <c r="A189" s="0" t="inlineStr">
        <is>
          <t xml:space="preserve">mk_events_amer_east_nov26</t>
        </is>
      </c>
      <c r="B189" s="0" t="inlineStr">
        <is>
          <t xml:space="preserve">events</t>
        </is>
      </c>
      <c r="C189" s="0" t="inlineStr">
        <is>
          <t xml:space="preserve">amer_east</t>
        </is>
      </c>
      <c r="D189" s="0" t="inlineStr">
        <is>
          <t xml:space="preserve">nov26</t>
        </is>
      </c>
      <c r="E189" s="4">
        <v>28970</v>
      </c>
      <c r="F189" s="4">
        <v>77</v>
      </c>
      <c r="G189" s="4">
        <v>23</v>
      </c>
    </row>
    <row r="190">
      <c r="A190" s="0" t="inlineStr">
        <is>
          <t xml:space="preserve">mk_events_amer_east_dec26</t>
        </is>
      </c>
      <c r="B190" s="0" t="inlineStr">
        <is>
          <t xml:space="preserve">events</t>
        </is>
      </c>
      <c r="C190" s="0" t="inlineStr">
        <is>
          <t xml:space="preserve">amer_east</t>
        </is>
      </c>
      <c r="D190" s="0" t="inlineStr">
        <is>
          <t xml:space="preserve">dec26</t>
        </is>
      </c>
      <c r="E190" s="4">
        <v>13090</v>
      </c>
      <c r="F190" s="4">
        <v>38</v>
      </c>
      <c r="G190" s="4">
        <v>14</v>
      </c>
    </row>
    <row r="191">
      <c r="A191" s="0" t="inlineStr">
        <is>
          <t xml:space="preserve">mk_events_amer_west_apr25</t>
        </is>
      </c>
      <c r="B191" s="0" t="inlineStr">
        <is>
          <t xml:space="preserve">events</t>
        </is>
      </c>
      <c r="C191" s="0" t="inlineStr">
        <is>
          <t xml:space="preserve">amer_west</t>
        </is>
      </c>
      <c r="D191" s="0" t="inlineStr">
        <is>
          <t xml:space="preserve">apr25</t>
        </is>
      </c>
      <c r="E191" s="4">
        <v>10970</v>
      </c>
      <c r="F191" s="4">
        <v>21</v>
      </c>
      <c r="G191" s="4">
        <v>4</v>
      </c>
    </row>
    <row r="192">
      <c r="A192" s="0" t="inlineStr">
        <is>
          <t xml:space="preserve">mk_events_amer_west_may25</t>
        </is>
      </c>
      <c r="B192" s="0" t="inlineStr">
        <is>
          <t xml:space="preserve">events</t>
        </is>
      </c>
      <c r="C192" s="0" t="inlineStr">
        <is>
          <t xml:space="preserve">amer_west</t>
        </is>
      </c>
      <c r="D192" s="0" t="inlineStr">
        <is>
          <t xml:space="preserve">may25</t>
        </is>
      </c>
      <c r="E192" s="4">
        <v>39840</v>
      </c>
      <c r="F192" s="4">
        <v>109</v>
      </c>
      <c r="G192" s="4">
        <v>36</v>
      </c>
    </row>
    <row r="193">
      <c r="A193" s="0" t="inlineStr">
        <is>
          <t xml:space="preserve">mk_events_amer_west_jun25</t>
        </is>
      </c>
      <c r="B193" s="0" t="inlineStr">
        <is>
          <t xml:space="preserve">events</t>
        </is>
      </c>
      <c r="C193" s="0" t="inlineStr">
        <is>
          <t xml:space="preserve">amer_west</t>
        </is>
      </c>
      <c r="D193" s="0" t="inlineStr">
        <is>
          <t xml:space="preserve">jun25</t>
        </is>
      </c>
      <c r="E193" s="4">
        <v>15330</v>
      </c>
      <c r="F193" s="4">
        <v>46</v>
      </c>
      <c r="G193" s="4">
        <v>15</v>
      </c>
    </row>
    <row r="194">
      <c r="A194" s="0" t="inlineStr">
        <is>
          <t xml:space="preserve">mk_events_amer_west_jul25</t>
        </is>
      </c>
      <c r="B194" s="0" t="inlineStr">
        <is>
          <t xml:space="preserve">events</t>
        </is>
      </c>
      <c r="C194" s="0" t="inlineStr">
        <is>
          <t xml:space="preserve">amer_west</t>
        </is>
      </c>
      <c r="D194" s="0" t="inlineStr">
        <is>
          <t xml:space="preserve">jul25</t>
        </is>
      </c>
      <c r="E194" s="4">
        <v>10830</v>
      </c>
      <c r="F194" s="4">
        <v>25</v>
      </c>
      <c r="G194" s="4">
        <v>9</v>
      </c>
    </row>
    <row r="195">
      <c r="A195" s="0" t="inlineStr">
        <is>
          <t xml:space="preserve">mk_events_amer_west_aug25</t>
        </is>
      </c>
      <c r="B195" s="0" t="inlineStr">
        <is>
          <t xml:space="preserve">events</t>
        </is>
      </c>
      <c r="C195" s="0" t="inlineStr">
        <is>
          <t xml:space="preserve">amer_west</t>
        </is>
      </c>
      <c r="D195" s="0" t="inlineStr">
        <is>
          <t xml:space="preserve">aug25</t>
        </is>
      </c>
      <c r="E195" s="4">
        <v>11040</v>
      </c>
      <c r="F195" s="4">
        <v>31</v>
      </c>
      <c r="G195" s="4">
        <v>16</v>
      </c>
    </row>
    <row r="196">
      <c r="A196" s="0" t="inlineStr">
        <is>
          <t xml:space="preserve">mk_events_amer_west_sep25</t>
        </is>
      </c>
      <c r="B196" s="0" t="inlineStr">
        <is>
          <t xml:space="preserve">events</t>
        </is>
      </c>
      <c r="C196" s="0" t="inlineStr">
        <is>
          <t xml:space="preserve">amer_west</t>
        </is>
      </c>
      <c r="D196" s="0" t="inlineStr">
        <is>
          <t xml:space="preserve">sep25</t>
        </is>
      </c>
      <c r="E196" s="4">
        <v>11200</v>
      </c>
      <c r="F196" s="4">
        <v>22</v>
      </c>
      <c r="G196" s="4">
        <v>10</v>
      </c>
    </row>
    <row r="197">
      <c r="A197" s="0" t="inlineStr">
        <is>
          <t xml:space="preserve">mk_events_amer_west_oct25</t>
        </is>
      </c>
      <c r="B197" s="0" t="inlineStr">
        <is>
          <t xml:space="preserve">events</t>
        </is>
      </c>
      <c r="C197" s="0" t="inlineStr">
        <is>
          <t xml:space="preserve">amer_west</t>
        </is>
      </c>
      <c r="D197" s="0" t="inlineStr">
        <is>
          <t xml:space="preserve">oct25</t>
        </is>
      </c>
      <c r="E197" s="4">
        <v>31770</v>
      </c>
      <c r="F197" s="4">
        <v>71</v>
      </c>
      <c r="G197" s="4">
        <v>27</v>
      </c>
    </row>
    <row r="198">
      <c r="A198" s="0" t="inlineStr">
        <is>
          <t xml:space="preserve">mk_events_amer_west_nov25</t>
        </is>
      </c>
      <c r="B198" s="0" t="inlineStr">
        <is>
          <t xml:space="preserve">events</t>
        </is>
      </c>
      <c r="C198" s="0" t="inlineStr">
        <is>
          <t xml:space="preserve">amer_west</t>
        </is>
      </c>
      <c r="D198" s="0" t="inlineStr">
        <is>
          <t xml:space="preserve">nov25</t>
        </is>
      </c>
      <c r="E198" s="4">
        <v>9440</v>
      </c>
      <c r="F198" s="4">
        <v>20</v>
      </c>
      <c r="G198" s="4">
        <v>7</v>
      </c>
    </row>
    <row r="199">
      <c r="A199" s="0" t="inlineStr">
        <is>
          <t xml:space="preserve">mk_events_amer_west_dec25</t>
        </is>
      </c>
      <c r="B199" s="0" t="inlineStr">
        <is>
          <t xml:space="preserve">events</t>
        </is>
      </c>
      <c r="C199" s="0" t="inlineStr">
        <is>
          <t xml:space="preserve">amer_west</t>
        </is>
      </c>
      <c r="D199" s="0" t="inlineStr">
        <is>
          <t xml:space="preserve">dec25</t>
        </is>
      </c>
      <c r="E199" s="4">
        <v>10350</v>
      </c>
      <c r="F199" s="4">
        <v>28</v>
      </c>
      <c r="G199" s="4">
        <v>5</v>
      </c>
    </row>
    <row r="200">
      <c r="A200" s="0" t="inlineStr">
        <is>
          <t xml:space="preserve">mk_events_amer_west_jan26</t>
        </is>
      </c>
      <c r="B200" s="0" t="inlineStr">
        <is>
          <t xml:space="preserve">events</t>
        </is>
      </c>
      <c r="C200" s="0" t="inlineStr">
        <is>
          <t xml:space="preserve">amer_west</t>
        </is>
      </c>
      <c r="D200" s="0" t="inlineStr">
        <is>
          <t xml:space="preserve">jan26</t>
        </is>
      </c>
      <c r="E200" s="4">
        <v>9970</v>
      </c>
      <c r="F200" s="4">
        <v>26</v>
      </c>
      <c r="G200" s="4">
        <v>6</v>
      </c>
    </row>
    <row r="201">
      <c r="A201" s="0" t="inlineStr">
        <is>
          <t xml:space="preserve">mk_events_amer_west_feb26</t>
        </is>
      </c>
      <c r="B201" s="0" t="inlineStr">
        <is>
          <t xml:space="preserve">events</t>
        </is>
      </c>
      <c r="C201" s="0" t="inlineStr">
        <is>
          <t xml:space="preserve">amer_west</t>
        </is>
      </c>
      <c r="D201" s="0" t="inlineStr">
        <is>
          <t xml:space="preserve">feb26</t>
        </is>
      </c>
      <c r="E201" s="4">
        <v>10850</v>
      </c>
      <c r="F201" s="4">
        <v>23</v>
      </c>
      <c r="G201" s="4">
        <v>11</v>
      </c>
    </row>
    <row r="202">
      <c r="A202" s="0" t="inlineStr">
        <is>
          <t xml:space="preserve">mk_events_amer_west_mar26</t>
        </is>
      </c>
      <c r="B202" s="0" t="inlineStr">
        <is>
          <t xml:space="preserve">events</t>
        </is>
      </c>
      <c r="C202" s="0" t="inlineStr">
        <is>
          <t xml:space="preserve">amer_west</t>
        </is>
      </c>
      <c r="D202" s="0" t="inlineStr">
        <is>
          <t xml:space="preserve">mar26</t>
        </is>
      </c>
      <c r="E202" s="4">
        <v>51650</v>
      </c>
      <c r="F202" s="4">
        <v>133</v>
      </c>
      <c r="G202" s="4">
        <v>33</v>
      </c>
    </row>
    <row r="203">
      <c r="A203" s="0" t="inlineStr">
        <is>
          <t xml:space="preserve">mk_events_amer_west_apr26</t>
        </is>
      </c>
      <c r="B203" s="0" t="inlineStr">
        <is>
          <t xml:space="preserve">events</t>
        </is>
      </c>
      <c r="C203" s="0" t="inlineStr">
        <is>
          <t xml:space="preserve">amer_west</t>
        </is>
      </c>
      <c r="D203" s="0" t="inlineStr">
        <is>
          <t xml:space="preserve">apr26</t>
        </is>
      </c>
      <c r="E203" s="4">
        <v>11450</v>
      </c>
      <c r="F203" s="4">
        <v>32</v>
      </c>
      <c r="G203" s="4">
        <v>8</v>
      </c>
    </row>
    <row r="204">
      <c r="A204" s="0" t="inlineStr">
        <is>
          <t xml:space="preserve">mk_events_amer_west_may26</t>
        </is>
      </c>
      <c r="B204" s="0" t="inlineStr">
        <is>
          <t xml:space="preserve">events</t>
        </is>
      </c>
      <c r="C204" s="0" t="inlineStr">
        <is>
          <t xml:space="preserve">amer_west</t>
        </is>
      </c>
      <c r="D204" s="0" t="inlineStr">
        <is>
          <t xml:space="preserve">may26</t>
        </is>
      </c>
      <c r="E204" s="4">
        <v>14010</v>
      </c>
      <c r="F204" s="4">
        <v>45</v>
      </c>
      <c r="G204" s="4">
        <v>16</v>
      </c>
    </row>
    <row r="205">
      <c r="A205" s="0" t="inlineStr">
        <is>
          <t xml:space="preserve">mk_events_amer_west_jun26</t>
        </is>
      </c>
      <c r="B205" s="0" t="inlineStr">
        <is>
          <t xml:space="preserve">events</t>
        </is>
      </c>
      <c r="C205" s="0" t="inlineStr">
        <is>
          <t xml:space="preserve">amer_west</t>
        </is>
      </c>
      <c r="D205" s="0" t="inlineStr">
        <is>
          <t xml:space="preserve">jun26</t>
        </is>
      </c>
      <c r="E205" s="4">
        <v>47340</v>
      </c>
      <c r="F205" s="4">
        <v>119</v>
      </c>
      <c r="G205" s="4">
        <v>42</v>
      </c>
    </row>
    <row r="206">
      <c r="A206" s="0" t="inlineStr">
        <is>
          <t xml:space="preserve">mk_events_amer_west_jul26</t>
        </is>
      </c>
      <c r="B206" s="0" t="inlineStr">
        <is>
          <t xml:space="preserve">events</t>
        </is>
      </c>
      <c r="C206" s="0" t="inlineStr">
        <is>
          <t xml:space="preserve">amer_west</t>
        </is>
      </c>
      <c r="D206" s="0" t="inlineStr">
        <is>
          <t xml:space="preserve">jul26</t>
        </is>
      </c>
      <c r="E206" s="4">
        <v>11260</v>
      </c>
      <c r="F206" s="4">
        <v>27</v>
      </c>
      <c r="G206" s="4">
        <v>9</v>
      </c>
    </row>
    <row r="207">
      <c r="A207" s="0" t="inlineStr">
        <is>
          <t xml:space="preserve">mk_events_amer_west_aug26</t>
        </is>
      </c>
      <c r="B207" s="0" t="inlineStr">
        <is>
          <t xml:space="preserve">events</t>
        </is>
      </c>
      <c r="C207" s="0" t="inlineStr">
        <is>
          <t xml:space="preserve">amer_west</t>
        </is>
      </c>
      <c r="D207" s="0" t="inlineStr">
        <is>
          <t xml:space="preserve">aug26</t>
        </is>
      </c>
      <c r="E207" s="4">
        <v>11380</v>
      </c>
      <c r="F207" s="4">
        <v>28</v>
      </c>
      <c r="G207" s="4">
        <v>8</v>
      </c>
    </row>
    <row r="208">
      <c r="A208" s="0" t="inlineStr">
        <is>
          <t xml:space="preserve">mk_events_amer_west_sep26</t>
        </is>
      </c>
      <c r="B208" s="0" t="inlineStr">
        <is>
          <t xml:space="preserve">events</t>
        </is>
      </c>
      <c r="C208" s="0" t="inlineStr">
        <is>
          <t xml:space="preserve">amer_west</t>
        </is>
      </c>
      <c r="D208" s="0" t="inlineStr">
        <is>
          <t xml:space="preserve">sep26</t>
        </is>
      </c>
      <c r="E208" s="4">
        <v>11420</v>
      </c>
      <c r="F208" s="4">
        <v>18</v>
      </c>
      <c r="G208" s="4">
        <v>4</v>
      </c>
    </row>
    <row r="209">
      <c r="A209" s="0" t="inlineStr">
        <is>
          <t xml:space="preserve">mk_events_amer_west_oct26</t>
        </is>
      </c>
      <c r="B209" s="0" t="inlineStr">
        <is>
          <t xml:space="preserve">events</t>
        </is>
      </c>
      <c r="C209" s="0" t="inlineStr">
        <is>
          <t xml:space="preserve">amer_west</t>
        </is>
      </c>
      <c r="D209" s="0" t="inlineStr">
        <is>
          <t xml:space="preserve">oct26</t>
        </is>
      </c>
      <c r="E209" s="4">
        <v>38460</v>
      </c>
      <c r="F209" s="4">
        <v>106</v>
      </c>
      <c r="G209" s="4">
        <v>37</v>
      </c>
    </row>
    <row r="210">
      <c r="A210" s="0" t="inlineStr">
        <is>
          <t xml:space="preserve">mk_events_amer_west_nov26</t>
        </is>
      </c>
      <c r="B210" s="0" t="inlineStr">
        <is>
          <t xml:space="preserve">events</t>
        </is>
      </c>
      <c r="C210" s="0" t="inlineStr">
        <is>
          <t xml:space="preserve">amer_west</t>
        </is>
      </c>
      <c r="D210" s="0" t="inlineStr">
        <is>
          <t xml:space="preserve">nov26</t>
        </is>
      </c>
      <c r="E210" s="4">
        <v>22810</v>
      </c>
      <c r="F210" s="4">
        <v>48</v>
      </c>
      <c r="G210" s="4">
        <v>24</v>
      </c>
    </row>
    <row r="211">
      <c r="A211" s="0" t="inlineStr">
        <is>
          <t xml:space="preserve">mk_events_amer_west_dec26</t>
        </is>
      </c>
      <c r="B211" s="0" t="inlineStr">
        <is>
          <t xml:space="preserve">events</t>
        </is>
      </c>
      <c r="C211" s="0" t="inlineStr">
        <is>
          <t xml:space="preserve">amer_west</t>
        </is>
      </c>
      <c r="D211" s="0" t="inlineStr">
        <is>
          <t xml:space="preserve">dec26</t>
        </is>
      </c>
      <c r="E211" s="4">
        <v>12400</v>
      </c>
      <c r="F211" s="4">
        <v>38</v>
      </c>
      <c r="G211" s="4">
        <v>18</v>
      </c>
    </row>
    <row r="212">
      <c r="A212" s="0" t="inlineStr">
        <is>
          <t xml:space="preserve">mk_events_emea_apr25</t>
        </is>
      </c>
      <c r="B212" s="0" t="inlineStr">
        <is>
          <t xml:space="preserve">events</t>
        </is>
      </c>
      <c r="C212" s="0" t="inlineStr">
        <is>
          <t xml:space="preserve">emea</t>
        </is>
      </c>
      <c r="D212" s="0" t="inlineStr">
        <is>
          <t xml:space="preserve">apr25</t>
        </is>
      </c>
      <c r="E212" s="4">
        <v>9150</v>
      </c>
      <c r="F212" s="4">
        <v>16</v>
      </c>
      <c r="G212" s="4">
        <v>8</v>
      </c>
    </row>
    <row r="213">
      <c r="A213" s="0" t="inlineStr">
        <is>
          <t xml:space="preserve">mk_events_emea_may25</t>
        </is>
      </c>
      <c r="B213" s="0" t="inlineStr">
        <is>
          <t xml:space="preserve">events</t>
        </is>
      </c>
      <c r="C213" s="0" t="inlineStr">
        <is>
          <t xml:space="preserve">emea</t>
        </is>
      </c>
      <c r="D213" s="0" t="inlineStr">
        <is>
          <t xml:space="preserve">may25</t>
        </is>
      </c>
      <c r="E213" s="4">
        <v>33060</v>
      </c>
      <c r="F213" s="4">
        <v>95</v>
      </c>
      <c r="G213" s="4">
        <v>30</v>
      </c>
    </row>
    <row r="214">
      <c r="A214" s="0" t="inlineStr">
        <is>
          <t xml:space="preserve">mk_events_emea_jun25</t>
        </is>
      </c>
      <c r="B214" s="0" t="inlineStr">
        <is>
          <t xml:space="preserve">events</t>
        </is>
      </c>
      <c r="C214" s="0" t="inlineStr">
        <is>
          <t xml:space="preserve">emea</t>
        </is>
      </c>
      <c r="D214" s="0" t="inlineStr">
        <is>
          <t xml:space="preserve">jun25</t>
        </is>
      </c>
      <c r="E214" s="4">
        <v>11150</v>
      </c>
      <c r="F214" s="4">
        <v>19</v>
      </c>
      <c r="G214" s="4">
        <v>7</v>
      </c>
    </row>
    <row r="215">
      <c r="A215" s="0" t="inlineStr">
        <is>
          <t xml:space="preserve">mk_events_emea_jul25</t>
        </is>
      </c>
      <c r="B215" s="0" t="inlineStr">
        <is>
          <t xml:space="preserve">events</t>
        </is>
      </c>
      <c r="C215" s="0" t="inlineStr">
        <is>
          <t xml:space="preserve">emea</t>
        </is>
      </c>
      <c r="D215" s="0" t="inlineStr">
        <is>
          <t xml:space="preserve">jul25</t>
        </is>
      </c>
      <c r="E215" s="4">
        <v>9570</v>
      </c>
      <c r="F215" s="4">
        <v>22</v>
      </c>
      <c r="G215" s="4">
        <v>11</v>
      </c>
    </row>
    <row r="216">
      <c r="A216" s="0" t="inlineStr">
        <is>
          <t xml:space="preserve">mk_events_emea_aug25</t>
        </is>
      </c>
      <c r="B216" s="0" t="inlineStr">
        <is>
          <t xml:space="preserve">events</t>
        </is>
      </c>
      <c r="C216" s="0" t="inlineStr">
        <is>
          <t xml:space="preserve">emea</t>
        </is>
      </c>
      <c r="D216" s="0" t="inlineStr">
        <is>
          <t xml:space="preserve">aug25</t>
        </is>
      </c>
      <c r="E216" s="4">
        <v>8610</v>
      </c>
      <c r="F216" s="4">
        <v>19</v>
      </c>
      <c r="G216" s="4">
        <v>7</v>
      </c>
    </row>
    <row r="217">
      <c r="A217" s="0" t="inlineStr">
        <is>
          <t xml:space="preserve">mk_events_emea_sep25</t>
        </is>
      </c>
      <c r="B217" s="0" t="inlineStr">
        <is>
          <t xml:space="preserve">events</t>
        </is>
      </c>
      <c r="C217" s="0" t="inlineStr">
        <is>
          <t xml:space="preserve">emea</t>
        </is>
      </c>
      <c r="D217" s="0" t="inlineStr">
        <is>
          <t xml:space="preserve">sep25</t>
        </is>
      </c>
      <c r="E217" s="4">
        <v>9940</v>
      </c>
      <c r="F217" s="4">
        <v>22</v>
      </c>
      <c r="G217" s="4">
        <v>6</v>
      </c>
    </row>
    <row r="218">
      <c r="A218" s="0" t="inlineStr">
        <is>
          <t xml:space="preserve">mk_events_emea_oct25</t>
        </is>
      </c>
      <c r="B218" s="0" t="inlineStr">
        <is>
          <t xml:space="preserve">events</t>
        </is>
      </c>
      <c r="C218" s="0" t="inlineStr">
        <is>
          <t xml:space="preserve">emea</t>
        </is>
      </c>
      <c r="D218" s="0" t="inlineStr">
        <is>
          <t xml:space="preserve">oct25</t>
        </is>
      </c>
      <c r="E218" s="4">
        <v>28990</v>
      </c>
      <c r="F218" s="4">
        <v>99</v>
      </c>
      <c r="G218" s="4">
        <v>31</v>
      </c>
    </row>
    <row r="219">
      <c r="A219" s="0" t="inlineStr">
        <is>
          <t xml:space="preserve">mk_events_emea_nov25</t>
        </is>
      </c>
      <c r="B219" s="0" t="inlineStr">
        <is>
          <t xml:space="preserve">events</t>
        </is>
      </c>
      <c r="C219" s="0" t="inlineStr">
        <is>
          <t xml:space="preserve">emea</t>
        </is>
      </c>
      <c r="D219" s="0" t="inlineStr">
        <is>
          <t xml:space="preserve">nov25</t>
        </is>
      </c>
      <c r="E219" s="4">
        <v>7040</v>
      </c>
      <c r="F219" s="4">
        <v>18</v>
      </c>
      <c r="G219" s="4">
        <v>7</v>
      </c>
    </row>
    <row r="220">
      <c r="A220" s="0" t="inlineStr">
        <is>
          <t xml:space="preserve">mk_events_emea_dec25</t>
        </is>
      </c>
      <c r="B220" s="0" t="inlineStr">
        <is>
          <t xml:space="preserve">events</t>
        </is>
      </c>
      <c r="C220" s="0" t="inlineStr">
        <is>
          <t xml:space="preserve">emea</t>
        </is>
      </c>
      <c r="D220" s="0" t="inlineStr">
        <is>
          <t xml:space="preserve">dec25</t>
        </is>
      </c>
      <c r="E220" s="4">
        <v>10360</v>
      </c>
      <c r="F220" s="4">
        <v>21</v>
      </c>
      <c r="G220" s="4">
        <v>7</v>
      </c>
    </row>
    <row r="221">
      <c r="A221" s="0" t="inlineStr">
        <is>
          <t xml:space="preserve">mk_events_emea_jan26</t>
        </is>
      </c>
      <c r="B221" s="0" t="inlineStr">
        <is>
          <t xml:space="preserve">events</t>
        </is>
      </c>
      <c r="C221" s="0" t="inlineStr">
        <is>
          <t xml:space="preserve">emea</t>
        </is>
      </c>
      <c r="D221" s="0" t="inlineStr">
        <is>
          <t xml:space="preserve">jan26</t>
        </is>
      </c>
      <c r="E221" s="4">
        <v>8710</v>
      </c>
      <c r="F221" s="4">
        <v>19</v>
      </c>
      <c r="G221" s="4">
        <v>8</v>
      </c>
    </row>
    <row r="222">
      <c r="A222" s="0" t="inlineStr">
        <is>
          <t xml:space="preserve">mk_events_emea_feb26</t>
        </is>
      </c>
      <c r="B222" s="0" t="inlineStr">
        <is>
          <t xml:space="preserve">events</t>
        </is>
      </c>
      <c r="C222" s="0" t="inlineStr">
        <is>
          <t xml:space="preserve">emea</t>
        </is>
      </c>
      <c r="D222" s="0" t="inlineStr">
        <is>
          <t xml:space="preserve">feb26</t>
        </is>
      </c>
      <c r="E222" s="4">
        <v>10390</v>
      </c>
      <c r="F222" s="4">
        <v>27</v>
      </c>
      <c r="G222" s="4">
        <v>7</v>
      </c>
    </row>
    <row r="223">
      <c r="A223" s="0" t="inlineStr">
        <is>
          <t xml:space="preserve">mk_events_emea_mar26</t>
        </is>
      </c>
      <c r="B223" s="0" t="inlineStr">
        <is>
          <t xml:space="preserve">events</t>
        </is>
      </c>
      <c r="C223" s="0" t="inlineStr">
        <is>
          <t xml:space="preserve">emea</t>
        </is>
      </c>
      <c r="D223" s="0" t="inlineStr">
        <is>
          <t xml:space="preserve">mar26</t>
        </is>
      </c>
      <c r="E223" s="4">
        <v>38750</v>
      </c>
      <c r="F223" s="4">
        <v>82</v>
      </c>
      <c r="G223" s="4">
        <v>23</v>
      </c>
    </row>
    <row r="224">
      <c r="A224" s="0" t="inlineStr">
        <is>
          <t xml:space="preserve">mk_events_emea_apr26</t>
        </is>
      </c>
      <c r="B224" s="0" t="inlineStr">
        <is>
          <t xml:space="preserve">events</t>
        </is>
      </c>
      <c r="C224" s="0" t="inlineStr">
        <is>
          <t xml:space="preserve">emea</t>
        </is>
      </c>
      <c r="D224" s="0" t="inlineStr">
        <is>
          <t xml:space="preserve">apr26</t>
        </is>
      </c>
      <c r="E224" s="4">
        <v>9790</v>
      </c>
      <c r="F224" s="4">
        <v>16</v>
      </c>
      <c r="G224" s="4">
        <v>10</v>
      </c>
    </row>
    <row r="225">
      <c r="A225" s="0" t="inlineStr">
        <is>
          <t xml:space="preserve">mk_events_emea_may26</t>
        </is>
      </c>
      <c r="B225" s="0" t="inlineStr">
        <is>
          <t xml:space="preserve">events</t>
        </is>
      </c>
      <c r="C225" s="0" t="inlineStr">
        <is>
          <t xml:space="preserve">emea</t>
        </is>
      </c>
      <c r="D225" s="0" t="inlineStr">
        <is>
          <t xml:space="preserve">may26</t>
        </is>
      </c>
      <c r="E225" s="4">
        <v>10630</v>
      </c>
      <c r="F225" s="4">
        <v>29</v>
      </c>
      <c r="G225" s="4">
        <v>10</v>
      </c>
    </row>
    <row r="226">
      <c r="A226" s="0" t="inlineStr">
        <is>
          <t xml:space="preserve">mk_events_emea_jun26</t>
        </is>
      </c>
      <c r="B226" s="0" t="inlineStr">
        <is>
          <t xml:space="preserve">events</t>
        </is>
      </c>
      <c r="C226" s="0" t="inlineStr">
        <is>
          <t xml:space="preserve">emea</t>
        </is>
      </c>
      <c r="D226" s="0" t="inlineStr">
        <is>
          <t xml:space="preserve">jun26</t>
        </is>
      </c>
      <c r="E226" s="4">
        <v>34480</v>
      </c>
      <c r="F226" s="4">
        <v>109</v>
      </c>
      <c r="G226" s="4">
        <v>36</v>
      </c>
    </row>
    <row r="227">
      <c r="A227" s="0" t="inlineStr">
        <is>
          <t xml:space="preserve">mk_events_emea_jul26</t>
        </is>
      </c>
      <c r="B227" s="0" t="inlineStr">
        <is>
          <t xml:space="preserve">events</t>
        </is>
      </c>
      <c r="C227" s="0" t="inlineStr">
        <is>
          <t xml:space="preserve">emea</t>
        </is>
      </c>
      <c r="D227" s="0" t="inlineStr">
        <is>
          <t xml:space="preserve">jul26</t>
        </is>
      </c>
      <c r="E227" s="4">
        <v>9280</v>
      </c>
      <c r="F227" s="4">
        <v>22</v>
      </c>
      <c r="G227" s="4">
        <v>9</v>
      </c>
    </row>
    <row r="228">
      <c r="A228" s="0" t="inlineStr">
        <is>
          <t xml:space="preserve">mk_events_emea_aug26</t>
        </is>
      </c>
      <c r="B228" s="0" t="inlineStr">
        <is>
          <t xml:space="preserve">events</t>
        </is>
      </c>
      <c r="C228" s="0" t="inlineStr">
        <is>
          <t xml:space="preserve">emea</t>
        </is>
      </c>
      <c r="D228" s="0" t="inlineStr">
        <is>
          <t xml:space="preserve">aug26</t>
        </is>
      </c>
      <c r="E228" s="4">
        <v>8330</v>
      </c>
      <c r="F228" s="4">
        <v>21</v>
      </c>
      <c r="G228" s="4">
        <v>4</v>
      </c>
    </row>
    <row r="229">
      <c r="A229" s="0" t="inlineStr">
        <is>
          <t xml:space="preserve">mk_events_emea_sep26</t>
        </is>
      </c>
      <c r="B229" s="0" t="inlineStr">
        <is>
          <t xml:space="preserve">events</t>
        </is>
      </c>
      <c r="C229" s="0" t="inlineStr">
        <is>
          <t xml:space="preserve">emea</t>
        </is>
      </c>
      <c r="D229" s="0" t="inlineStr">
        <is>
          <t xml:space="preserve">sep26</t>
        </is>
      </c>
      <c r="E229" s="4">
        <v>11300</v>
      </c>
      <c r="F229" s="4">
        <v>28</v>
      </c>
      <c r="G229" s="4">
        <v>9</v>
      </c>
    </row>
    <row r="230">
      <c r="A230" s="0" t="inlineStr">
        <is>
          <t xml:space="preserve">mk_events_emea_oct26</t>
        </is>
      </c>
      <c r="B230" s="0" t="inlineStr">
        <is>
          <t xml:space="preserve">events</t>
        </is>
      </c>
      <c r="C230" s="0" t="inlineStr">
        <is>
          <t xml:space="preserve">emea</t>
        </is>
      </c>
      <c r="D230" s="0" t="inlineStr">
        <is>
          <t xml:space="preserve">oct26</t>
        </is>
      </c>
      <c r="E230" s="4">
        <v>28670</v>
      </c>
      <c r="F230" s="4">
        <v>106</v>
      </c>
      <c r="G230" s="4">
        <v>40</v>
      </c>
    </row>
    <row r="231">
      <c r="A231" s="0" t="inlineStr">
        <is>
          <t xml:space="preserve">mk_events_emea_nov26</t>
        </is>
      </c>
      <c r="B231" s="0" t="inlineStr">
        <is>
          <t xml:space="preserve">events</t>
        </is>
      </c>
      <c r="C231" s="0" t="inlineStr">
        <is>
          <t xml:space="preserve">emea</t>
        </is>
      </c>
      <c r="D231" s="0" t="inlineStr">
        <is>
          <t xml:space="preserve">nov26</t>
        </is>
      </c>
      <c r="E231" s="4">
        <v>22580</v>
      </c>
      <c r="F231" s="4">
        <v>63</v>
      </c>
      <c r="G231" s="4">
        <v>25</v>
      </c>
    </row>
    <row r="232">
      <c r="A232" s="0" t="inlineStr">
        <is>
          <t xml:space="preserve">mk_events_emea_dec26</t>
        </is>
      </c>
      <c r="B232" s="0" t="inlineStr">
        <is>
          <t xml:space="preserve">events</t>
        </is>
      </c>
      <c r="C232" s="0" t="inlineStr">
        <is>
          <t xml:space="preserve">emea</t>
        </is>
      </c>
      <c r="D232" s="0" t="inlineStr">
        <is>
          <t xml:space="preserve">dec26</t>
        </is>
      </c>
      <c r="E232" s="4">
        <v>10290</v>
      </c>
      <c r="F232" s="4">
        <v>25</v>
      </c>
      <c r="G232" s="4">
        <v>9</v>
      </c>
    </row>
    <row r="233">
      <c r="A233" s="0" t="inlineStr">
        <is>
          <t xml:space="preserve">mk_events_apac_apr25</t>
        </is>
      </c>
      <c r="B233" s="0" t="inlineStr">
        <is>
          <t xml:space="preserve">events</t>
        </is>
      </c>
      <c r="C233" s="0" t="inlineStr">
        <is>
          <t xml:space="preserve">apac</t>
        </is>
      </c>
      <c r="D233" s="0" t="inlineStr">
        <is>
          <t xml:space="preserve">apr25</t>
        </is>
      </c>
      <c r="E233" s="4">
        <v>6300</v>
      </c>
      <c r="F233" s="4">
        <v>22</v>
      </c>
      <c r="G233" s="4">
        <v>6</v>
      </c>
    </row>
    <row r="234">
      <c r="A234" s="0" t="inlineStr">
        <is>
          <t xml:space="preserve">mk_events_apac_may25</t>
        </is>
      </c>
      <c r="B234" s="0" t="inlineStr">
        <is>
          <t xml:space="preserve">events</t>
        </is>
      </c>
      <c r="C234" s="0" t="inlineStr">
        <is>
          <t xml:space="preserve">apac</t>
        </is>
      </c>
      <c r="D234" s="0" t="inlineStr">
        <is>
          <t xml:space="preserve">may25</t>
        </is>
      </c>
      <c r="E234" s="4">
        <v>21060</v>
      </c>
      <c r="F234" s="4">
        <v>60</v>
      </c>
      <c r="G234" s="4">
        <v>26</v>
      </c>
    </row>
    <row r="235">
      <c r="A235" s="0" t="inlineStr">
        <is>
          <t xml:space="preserve">mk_events_apac_jun25</t>
        </is>
      </c>
      <c r="B235" s="0" t="inlineStr">
        <is>
          <t xml:space="preserve">events</t>
        </is>
      </c>
      <c r="C235" s="0" t="inlineStr">
        <is>
          <t xml:space="preserve">apac</t>
        </is>
      </c>
      <c r="D235" s="0" t="inlineStr">
        <is>
          <t xml:space="preserve">jun25</t>
        </is>
      </c>
      <c r="E235" s="4">
        <v>7330</v>
      </c>
      <c r="F235" s="4">
        <v>20</v>
      </c>
      <c r="G235" s="4">
        <v>4</v>
      </c>
    </row>
    <row r="236">
      <c r="A236" s="0" t="inlineStr">
        <is>
          <t xml:space="preserve">mk_events_apac_jul25</t>
        </is>
      </c>
      <c r="B236" s="0" t="inlineStr">
        <is>
          <t xml:space="preserve">events</t>
        </is>
      </c>
      <c r="C236" s="0" t="inlineStr">
        <is>
          <t xml:space="preserve">apac</t>
        </is>
      </c>
      <c r="D236" s="0" t="inlineStr">
        <is>
          <t xml:space="preserve">jul25</t>
        </is>
      </c>
      <c r="E236" s="4">
        <v>7030</v>
      </c>
      <c r="F236" s="4">
        <v>14</v>
      </c>
      <c r="G236" s="4">
        <v>6</v>
      </c>
    </row>
    <row r="237">
      <c r="A237" s="0" t="inlineStr">
        <is>
          <t xml:space="preserve">mk_events_apac_aug25</t>
        </is>
      </c>
      <c r="B237" s="0" t="inlineStr">
        <is>
          <t xml:space="preserve">events</t>
        </is>
      </c>
      <c r="C237" s="0" t="inlineStr">
        <is>
          <t xml:space="preserve">apac</t>
        </is>
      </c>
      <c r="D237" s="0" t="inlineStr">
        <is>
          <t xml:space="preserve">aug25</t>
        </is>
      </c>
      <c r="E237" s="4">
        <v>5360</v>
      </c>
      <c r="F237" s="4">
        <v>12</v>
      </c>
      <c r="G237" s="4">
        <v>3</v>
      </c>
    </row>
    <row r="238">
      <c r="A238" s="0" t="inlineStr">
        <is>
          <t xml:space="preserve">mk_events_apac_sep25</t>
        </is>
      </c>
      <c r="B238" s="0" t="inlineStr">
        <is>
          <t xml:space="preserve">events</t>
        </is>
      </c>
      <c r="C238" s="0" t="inlineStr">
        <is>
          <t xml:space="preserve">apac</t>
        </is>
      </c>
      <c r="D238" s="0" t="inlineStr">
        <is>
          <t xml:space="preserve">sep25</t>
        </is>
      </c>
      <c r="E238" s="4">
        <v>5630</v>
      </c>
      <c r="F238" s="4">
        <v>15</v>
      </c>
      <c r="G238" s="4">
        <v>6</v>
      </c>
    </row>
    <row r="239">
      <c r="A239" s="0" t="inlineStr">
        <is>
          <t xml:space="preserve">mk_events_apac_oct25</t>
        </is>
      </c>
      <c r="B239" s="0" t="inlineStr">
        <is>
          <t xml:space="preserve">events</t>
        </is>
      </c>
      <c r="C239" s="0" t="inlineStr">
        <is>
          <t xml:space="preserve">apac</t>
        </is>
      </c>
      <c r="D239" s="0" t="inlineStr">
        <is>
          <t xml:space="preserve">oct25</t>
        </is>
      </c>
      <c r="E239" s="4">
        <v>19250</v>
      </c>
      <c r="F239" s="4">
        <v>42</v>
      </c>
      <c r="G239" s="4">
        <v>13</v>
      </c>
    </row>
    <row r="240">
      <c r="A240" s="0" t="inlineStr">
        <is>
          <t xml:space="preserve">mk_events_apac_nov25</t>
        </is>
      </c>
      <c r="B240" s="0" t="inlineStr">
        <is>
          <t xml:space="preserve">events</t>
        </is>
      </c>
      <c r="C240" s="0" t="inlineStr">
        <is>
          <t xml:space="preserve">apac</t>
        </is>
      </c>
      <c r="D240" s="0" t="inlineStr">
        <is>
          <t xml:space="preserve">nov25</t>
        </is>
      </c>
      <c r="E240" s="4">
        <v>5040</v>
      </c>
      <c r="F240" s="4">
        <v>11</v>
      </c>
      <c r="G240" s="4">
        <v>5</v>
      </c>
    </row>
    <row r="241">
      <c r="A241" s="0" t="inlineStr">
        <is>
          <t xml:space="preserve">mk_events_apac_dec25</t>
        </is>
      </c>
      <c r="B241" s="0" t="inlineStr">
        <is>
          <t xml:space="preserve">events</t>
        </is>
      </c>
      <c r="C241" s="0" t="inlineStr">
        <is>
          <t xml:space="preserve">apac</t>
        </is>
      </c>
      <c r="D241" s="0" t="inlineStr">
        <is>
          <t xml:space="preserve">dec25</t>
        </is>
      </c>
      <c r="E241" s="4">
        <v>7220</v>
      </c>
      <c r="F241" s="4">
        <v>16</v>
      </c>
      <c r="G241" s="4">
        <v>4</v>
      </c>
    </row>
    <row r="242">
      <c r="A242" s="0" t="inlineStr">
        <is>
          <t xml:space="preserve">mk_events_apac_jan26</t>
        </is>
      </c>
      <c r="B242" s="0" t="inlineStr">
        <is>
          <t xml:space="preserve">events</t>
        </is>
      </c>
      <c r="C242" s="0" t="inlineStr">
        <is>
          <t xml:space="preserve">apac</t>
        </is>
      </c>
      <c r="D242" s="0" t="inlineStr">
        <is>
          <t xml:space="preserve">jan26</t>
        </is>
      </c>
      <c r="E242" s="4">
        <v>5160</v>
      </c>
      <c r="F242" s="4">
        <v>12</v>
      </c>
      <c r="G242" s="4">
        <v>5</v>
      </c>
    </row>
    <row r="243">
      <c r="A243" s="0" t="inlineStr">
        <is>
          <t xml:space="preserve">mk_events_apac_feb26</t>
        </is>
      </c>
      <c r="B243" s="0" t="inlineStr">
        <is>
          <t xml:space="preserve">events</t>
        </is>
      </c>
      <c r="C243" s="0" t="inlineStr">
        <is>
          <t xml:space="preserve">apac</t>
        </is>
      </c>
      <c r="D243" s="0" t="inlineStr">
        <is>
          <t xml:space="preserve">feb26</t>
        </is>
      </c>
      <c r="E243" s="4">
        <v>5540</v>
      </c>
      <c r="F243" s="4">
        <v>17</v>
      </c>
      <c r="G243" s="4">
        <v>8</v>
      </c>
    </row>
    <row r="244">
      <c r="A244" s="0" t="inlineStr">
        <is>
          <t xml:space="preserve">mk_events_apac_mar26</t>
        </is>
      </c>
      <c r="B244" s="0" t="inlineStr">
        <is>
          <t xml:space="preserve">events</t>
        </is>
      </c>
      <c r="C244" s="0" t="inlineStr">
        <is>
          <t xml:space="preserve">apac</t>
        </is>
      </c>
      <c r="D244" s="0" t="inlineStr">
        <is>
          <t xml:space="preserve">mar26</t>
        </is>
      </c>
      <c r="E244" s="4">
        <v>24460</v>
      </c>
      <c r="F244" s="4">
        <v>63</v>
      </c>
      <c r="G244" s="4">
        <v>23</v>
      </c>
    </row>
    <row r="245">
      <c r="A245" s="0" t="inlineStr">
        <is>
          <t xml:space="preserve">mk_events_apac_apr26</t>
        </is>
      </c>
      <c r="B245" s="0" t="inlineStr">
        <is>
          <t xml:space="preserve">events</t>
        </is>
      </c>
      <c r="C245" s="0" t="inlineStr">
        <is>
          <t xml:space="preserve">apac</t>
        </is>
      </c>
      <c r="D245" s="0" t="inlineStr">
        <is>
          <t xml:space="preserve">apr26</t>
        </is>
      </c>
      <c r="E245" s="4">
        <v>5880</v>
      </c>
      <c r="F245" s="4">
        <v>13</v>
      </c>
      <c r="G245" s="4">
        <v>5</v>
      </c>
    </row>
    <row r="246">
      <c r="A246" s="0" t="inlineStr">
        <is>
          <t xml:space="preserve">mk_events_apac_may26</t>
        </is>
      </c>
      <c r="B246" s="0" t="inlineStr">
        <is>
          <t xml:space="preserve">events</t>
        </is>
      </c>
      <c r="C246" s="0" t="inlineStr">
        <is>
          <t xml:space="preserve">apac</t>
        </is>
      </c>
      <c r="D246" s="0" t="inlineStr">
        <is>
          <t xml:space="preserve">may26</t>
        </is>
      </c>
      <c r="E246" s="4">
        <v>6820</v>
      </c>
      <c r="F246" s="4">
        <v>17</v>
      </c>
      <c r="G246" s="4">
        <v>5</v>
      </c>
    </row>
    <row r="247">
      <c r="A247" s="0" t="inlineStr">
        <is>
          <t xml:space="preserve">mk_events_apac_jun26</t>
        </is>
      </c>
      <c r="B247" s="0" t="inlineStr">
        <is>
          <t xml:space="preserve">events</t>
        </is>
      </c>
      <c r="C247" s="0" t="inlineStr">
        <is>
          <t xml:space="preserve">apac</t>
        </is>
      </c>
      <c r="D247" s="0" t="inlineStr">
        <is>
          <t xml:space="preserve">jun26</t>
        </is>
      </c>
      <c r="E247" s="4">
        <v>23360</v>
      </c>
      <c r="F247" s="4">
        <v>56</v>
      </c>
      <c r="G247" s="4">
        <v>21</v>
      </c>
    </row>
    <row r="248">
      <c r="A248" s="0" t="inlineStr">
        <is>
          <t xml:space="preserve">mk_events_apac_jul26</t>
        </is>
      </c>
      <c r="B248" s="0" t="inlineStr">
        <is>
          <t xml:space="preserve">events</t>
        </is>
      </c>
      <c r="C248" s="0" t="inlineStr">
        <is>
          <t xml:space="preserve">apac</t>
        </is>
      </c>
      <c r="D248" s="0" t="inlineStr">
        <is>
          <t xml:space="preserve">jul26</t>
        </is>
      </c>
      <c r="E248" s="4">
        <v>6010</v>
      </c>
      <c r="F248" s="4">
        <v>16</v>
      </c>
      <c r="G248" s="4">
        <v>6</v>
      </c>
    </row>
    <row r="249">
      <c r="A249" s="0" t="inlineStr">
        <is>
          <t xml:space="preserve">mk_events_apac_aug26</t>
        </is>
      </c>
      <c r="B249" s="0" t="inlineStr">
        <is>
          <t xml:space="preserve">events</t>
        </is>
      </c>
      <c r="C249" s="0" t="inlineStr">
        <is>
          <t xml:space="preserve">apac</t>
        </is>
      </c>
      <c r="D249" s="0" t="inlineStr">
        <is>
          <t xml:space="preserve">aug26</t>
        </is>
      </c>
      <c r="E249" s="4">
        <v>5610</v>
      </c>
      <c r="F249" s="4">
        <v>10</v>
      </c>
      <c r="G249" s="4">
        <v>5</v>
      </c>
    </row>
    <row r="250">
      <c r="A250" s="0" t="inlineStr">
        <is>
          <t xml:space="preserve">mk_events_apac_sep26</t>
        </is>
      </c>
      <c r="B250" s="0" t="inlineStr">
        <is>
          <t xml:space="preserve">events</t>
        </is>
      </c>
      <c r="C250" s="0" t="inlineStr">
        <is>
          <t xml:space="preserve">apac</t>
        </is>
      </c>
      <c r="D250" s="0" t="inlineStr">
        <is>
          <t xml:space="preserve">sep26</t>
        </is>
      </c>
      <c r="E250" s="4">
        <v>6090</v>
      </c>
      <c r="F250" s="4">
        <v>16</v>
      </c>
      <c r="G250" s="4">
        <v>7</v>
      </c>
    </row>
    <row r="251">
      <c r="A251" s="0" t="inlineStr">
        <is>
          <t xml:space="preserve">mk_events_apac_oct26</t>
        </is>
      </c>
      <c r="B251" s="0" t="inlineStr">
        <is>
          <t xml:space="preserve">events</t>
        </is>
      </c>
      <c r="C251" s="0" t="inlineStr">
        <is>
          <t xml:space="preserve">apac</t>
        </is>
      </c>
      <c r="D251" s="0" t="inlineStr">
        <is>
          <t xml:space="preserve">oct26</t>
        </is>
      </c>
      <c r="E251" s="4">
        <v>19660</v>
      </c>
      <c r="F251" s="4">
        <v>42</v>
      </c>
      <c r="G251" s="4">
        <v>8</v>
      </c>
    </row>
    <row r="252">
      <c r="A252" s="0" t="inlineStr">
        <is>
          <t xml:space="preserve">mk_events_apac_nov26</t>
        </is>
      </c>
      <c r="B252" s="0" t="inlineStr">
        <is>
          <t xml:space="preserve">events</t>
        </is>
      </c>
      <c r="C252" s="0" t="inlineStr">
        <is>
          <t xml:space="preserve">apac</t>
        </is>
      </c>
      <c r="D252" s="0" t="inlineStr">
        <is>
          <t xml:space="preserve">nov26</t>
        </is>
      </c>
      <c r="E252" s="4">
        <v>13980</v>
      </c>
      <c r="F252" s="4">
        <v>32</v>
      </c>
      <c r="G252" s="4">
        <v>17</v>
      </c>
    </row>
    <row r="253">
      <c r="A253" s="0" t="inlineStr">
        <is>
          <t xml:space="preserve">mk_events_apac_dec26</t>
        </is>
      </c>
      <c r="B253" s="0" t="inlineStr">
        <is>
          <t xml:space="preserve">events</t>
        </is>
      </c>
      <c r="C253" s="0" t="inlineStr">
        <is>
          <t xml:space="preserve">apac</t>
        </is>
      </c>
      <c r="D253" s="0" t="inlineStr">
        <is>
          <t xml:space="preserve">dec26</t>
        </is>
      </c>
      <c r="E253" s="4">
        <v>6250</v>
      </c>
      <c r="F253" s="4">
        <v>16</v>
      </c>
      <c r="G253" s="4">
        <v>8</v>
      </c>
    </row>
    <row r="254">
      <c r="A254" s="0" t="inlineStr">
        <is>
          <t xml:space="preserve">mk_partner_amer_east_apr25</t>
        </is>
      </c>
      <c r="B254" s="0" t="inlineStr">
        <is>
          <t xml:space="preserve">partner</t>
        </is>
      </c>
      <c r="C254" s="0" t="inlineStr">
        <is>
          <t xml:space="preserve">amer_east</t>
        </is>
      </c>
      <c r="D254" s="0" t="inlineStr">
        <is>
          <t xml:space="preserve">apr25</t>
        </is>
      </c>
      <c r="E254" s="4">
        <v>6930</v>
      </c>
      <c r="F254" s="4">
        <v>31</v>
      </c>
      <c r="G254" s="4">
        <v>16</v>
      </c>
    </row>
    <row r="255">
      <c r="A255" s="0" t="inlineStr">
        <is>
          <t xml:space="preserve">mk_partner_amer_east_may25</t>
        </is>
      </c>
      <c r="B255" s="0" t="inlineStr">
        <is>
          <t xml:space="preserve">partner</t>
        </is>
      </c>
      <c r="C255" s="0" t="inlineStr">
        <is>
          <t xml:space="preserve">amer_east</t>
        </is>
      </c>
      <c r="D255" s="0" t="inlineStr">
        <is>
          <t xml:space="preserve">may25</t>
        </is>
      </c>
      <c r="E255" s="4">
        <v>5820</v>
      </c>
      <c r="F255" s="4">
        <v>19</v>
      </c>
      <c r="G255" s="4">
        <v>10</v>
      </c>
    </row>
    <row r="256">
      <c r="A256" s="0" t="inlineStr">
        <is>
          <t xml:space="preserve">mk_partner_amer_east_jun25</t>
        </is>
      </c>
      <c r="B256" s="0" t="inlineStr">
        <is>
          <t xml:space="preserve">partner</t>
        </is>
      </c>
      <c r="C256" s="0" t="inlineStr">
        <is>
          <t xml:space="preserve">amer_east</t>
        </is>
      </c>
      <c r="D256" s="0" t="inlineStr">
        <is>
          <t xml:space="preserve">jun25</t>
        </is>
      </c>
      <c r="E256" s="4">
        <v>6070</v>
      </c>
      <c r="F256" s="4">
        <v>20</v>
      </c>
      <c r="G256" s="4">
        <v>7</v>
      </c>
    </row>
    <row r="257">
      <c r="A257" s="0" t="inlineStr">
        <is>
          <t xml:space="preserve">mk_partner_amer_east_jul25</t>
        </is>
      </c>
      <c r="B257" s="0" t="inlineStr">
        <is>
          <t xml:space="preserve">partner</t>
        </is>
      </c>
      <c r="C257" s="0" t="inlineStr">
        <is>
          <t xml:space="preserve">amer_east</t>
        </is>
      </c>
      <c r="D257" s="0" t="inlineStr">
        <is>
          <t xml:space="preserve">jul25</t>
        </is>
      </c>
      <c r="E257" s="4">
        <v>5590</v>
      </c>
      <c r="F257" s="4">
        <v>29</v>
      </c>
      <c r="G257" s="4">
        <v>10</v>
      </c>
    </row>
    <row r="258">
      <c r="A258" s="0" t="inlineStr">
        <is>
          <t xml:space="preserve">mk_partner_amer_east_aug25</t>
        </is>
      </c>
      <c r="B258" s="0" t="inlineStr">
        <is>
          <t xml:space="preserve">partner</t>
        </is>
      </c>
      <c r="C258" s="0" t="inlineStr">
        <is>
          <t xml:space="preserve">amer_east</t>
        </is>
      </c>
      <c r="D258" s="0" t="inlineStr">
        <is>
          <t xml:space="preserve">aug25</t>
        </is>
      </c>
      <c r="E258" s="4">
        <v>5000</v>
      </c>
      <c r="F258" s="4">
        <v>19</v>
      </c>
      <c r="G258" s="4">
        <v>9</v>
      </c>
    </row>
    <row r="259">
      <c r="A259" s="0" t="inlineStr">
        <is>
          <t xml:space="preserve">mk_partner_amer_east_sep25</t>
        </is>
      </c>
      <c r="B259" s="0" t="inlineStr">
        <is>
          <t xml:space="preserve">partner</t>
        </is>
      </c>
      <c r="C259" s="0" t="inlineStr">
        <is>
          <t xml:space="preserve">amer_east</t>
        </is>
      </c>
      <c r="D259" s="0" t="inlineStr">
        <is>
          <t xml:space="preserve">sep25</t>
        </is>
      </c>
      <c r="E259" s="4">
        <v>5820</v>
      </c>
      <c r="F259" s="4">
        <v>23</v>
      </c>
      <c r="G259" s="4">
        <v>9</v>
      </c>
    </row>
    <row r="260">
      <c r="A260" s="0" t="inlineStr">
        <is>
          <t xml:space="preserve">mk_partner_amer_east_oct25</t>
        </is>
      </c>
      <c r="B260" s="0" t="inlineStr">
        <is>
          <t xml:space="preserve">partner</t>
        </is>
      </c>
      <c r="C260" s="0" t="inlineStr">
        <is>
          <t xml:space="preserve">amer_east</t>
        </is>
      </c>
      <c r="D260" s="0" t="inlineStr">
        <is>
          <t xml:space="preserve">oct25</t>
        </is>
      </c>
      <c r="E260" s="4">
        <v>5060</v>
      </c>
      <c r="F260" s="4">
        <v>26</v>
      </c>
      <c r="G260" s="4">
        <v>7</v>
      </c>
    </row>
    <row r="261">
      <c r="A261" s="0" t="inlineStr">
        <is>
          <t xml:space="preserve">mk_partner_amer_east_nov25</t>
        </is>
      </c>
      <c r="B261" s="0" t="inlineStr">
        <is>
          <t xml:space="preserve">partner</t>
        </is>
      </c>
      <c r="C261" s="0" t="inlineStr">
        <is>
          <t xml:space="preserve">amer_east</t>
        </is>
      </c>
      <c r="D261" s="0" t="inlineStr">
        <is>
          <t xml:space="preserve">nov25</t>
        </is>
      </c>
      <c r="E261" s="4">
        <v>4740</v>
      </c>
      <c r="F261" s="4">
        <v>17</v>
      </c>
      <c r="G261" s="4">
        <v>8</v>
      </c>
    </row>
    <row r="262">
      <c r="A262" s="0" t="inlineStr">
        <is>
          <t xml:space="preserve">mk_partner_amer_east_dec25</t>
        </is>
      </c>
      <c r="B262" s="0" t="inlineStr">
        <is>
          <t xml:space="preserve">partner</t>
        </is>
      </c>
      <c r="C262" s="0" t="inlineStr">
        <is>
          <t xml:space="preserve">amer_east</t>
        </is>
      </c>
      <c r="D262" s="0" t="inlineStr">
        <is>
          <t xml:space="preserve">dec25</t>
        </is>
      </c>
      <c r="E262" s="4">
        <v>7030</v>
      </c>
      <c r="F262" s="4">
        <v>24</v>
      </c>
      <c r="G262" s="4">
        <v>6</v>
      </c>
    </row>
    <row r="263">
      <c r="A263" s="0" t="inlineStr">
        <is>
          <t xml:space="preserve">mk_partner_amer_east_jan26</t>
        </is>
      </c>
      <c r="B263" s="0" t="inlineStr">
        <is>
          <t xml:space="preserve">partner</t>
        </is>
      </c>
      <c r="C263" s="0" t="inlineStr">
        <is>
          <t xml:space="preserve">amer_east</t>
        </is>
      </c>
      <c r="D263" s="0" t="inlineStr">
        <is>
          <t xml:space="preserve">jan26</t>
        </is>
      </c>
      <c r="E263" s="4">
        <v>5850</v>
      </c>
      <c r="F263" s="4">
        <v>18</v>
      </c>
      <c r="G263" s="4">
        <v>5</v>
      </c>
    </row>
    <row r="264">
      <c r="A264" s="0" t="inlineStr">
        <is>
          <t xml:space="preserve">mk_partner_amer_east_feb26</t>
        </is>
      </c>
      <c r="B264" s="0" t="inlineStr">
        <is>
          <t xml:space="preserve">partner</t>
        </is>
      </c>
      <c r="C264" s="0" t="inlineStr">
        <is>
          <t xml:space="preserve">amer_east</t>
        </is>
      </c>
      <c r="D264" s="0" t="inlineStr">
        <is>
          <t xml:space="preserve">feb26</t>
        </is>
      </c>
      <c r="E264" s="4">
        <v>5320</v>
      </c>
      <c r="F264" s="4">
        <v>12</v>
      </c>
      <c r="G264" s="4">
        <v>5</v>
      </c>
    </row>
    <row r="265">
      <c r="A265" s="0" t="inlineStr">
        <is>
          <t xml:space="preserve">mk_partner_amer_east_mar26</t>
        </is>
      </c>
      <c r="B265" s="0" t="inlineStr">
        <is>
          <t xml:space="preserve">partner</t>
        </is>
      </c>
      <c r="C265" s="0" t="inlineStr">
        <is>
          <t xml:space="preserve">amer_east</t>
        </is>
      </c>
      <c r="D265" s="0" t="inlineStr">
        <is>
          <t xml:space="preserve">mar26</t>
        </is>
      </c>
      <c r="E265" s="4">
        <v>6680</v>
      </c>
      <c r="F265" s="4">
        <v>30</v>
      </c>
      <c r="G265" s="4">
        <v>10</v>
      </c>
    </row>
    <row r="266">
      <c r="A266" s="0" t="inlineStr">
        <is>
          <t xml:space="preserve">mk_partner_amer_east_apr26</t>
        </is>
      </c>
      <c r="B266" s="0" t="inlineStr">
        <is>
          <t xml:space="preserve">partner</t>
        </is>
      </c>
      <c r="C266" s="0" t="inlineStr">
        <is>
          <t xml:space="preserve">amer_east</t>
        </is>
      </c>
      <c r="D266" s="0" t="inlineStr">
        <is>
          <t xml:space="preserve">apr26</t>
        </is>
      </c>
      <c r="E266" s="4">
        <v>6580</v>
      </c>
      <c r="F266" s="4">
        <v>21</v>
      </c>
      <c r="G266" s="4">
        <v>8</v>
      </c>
    </row>
    <row r="267">
      <c r="A267" s="0" t="inlineStr">
        <is>
          <t xml:space="preserve">mk_partner_amer_east_may26</t>
        </is>
      </c>
      <c r="B267" s="0" t="inlineStr">
        <is>
          <t xml:space="preserve">partner</t>
        </is>
      </c>
      <c r="C267" s="0" t="inlineStr">
        <is>
          <t xml:space="preserve">amer_east</t>
        </is>
      </c>
      <c r="D267" s="0" t="inlineStr">
        <is>
          <t xml:space="preserve">may26</t>
        </is>
      </c>
      <c r="E267" s="4">
        <v>5850</v>
      </c>
      <c r="F267" s="4">
        <v>21</v>
      </c>
      <c r="G267" s="4">
        <v>9</v>
      </c>
    </row>
    <row r="268">
      <c r="A268" s="0" t="inlineStr">
        <is>
          <t xml:space="preserve">mk_partner_amer_east_jun26</t>
        </is>
      </c>
      <c r="B268" s="0" t="inlineStr">
        <is>
          <t xml:space="preserve">partner</t>
        </is>
      </c>
      <c r="C268" s="0" t="inlineStr">
        <is>
          <t xml:space="preserve">amer_east</t>
        </is>
      </c>
      <c r="D268" s="0" t="inlineStr">
        <is>
          <t xml:space="preserve">jun26</t>
        </is>
      </c>
      <c r="E268" s="4">
        <v>7370</v>
      </c>
      <c r="F268" s="4">
        <v>30</v>
      </c>
      <c r="G268" s="4">
        <v>11</v>
      </c>
    </row>
    <row r="269">
      <c r="A269" s="0" t="inlineStr">
        <is>
          <t xml:space="preserve">mk_partner_amer_east_jul26</t>
        </is>
      </c>
      <c r="B269" s="0" t="inlineStr">
        <is>
          <t xml:space="preserve">partner</t>
        </is>
      </c>
      <c r="C269" s="0" t="inlineStr">
        <is>
          <t xml:space="preserve">amer_east</t>
        </is>
      </c>
      <c r="D269" s="0" t="inlineStr">
        <is>
          <t xml:space="preserve">jul26</t>
        </is>
      </c>
      <c r="E269" s="4">
        <v>5320</v>
      </c>
      <c r="F269" s="4">
        <v>15</v>
      </c>
      <c r="G269" s="4">
        <v>3</v>
      </c>
    </row>
    <row r="270">
      <c r="A270" s="0" t="inlineStr">
        <is>
          <t xml:space="preserve">mk_partner_amer_east_aug26</t>
        </is>
      </c>
      <c r="B270" s="0" t="inlineStr">
        <is>
          <t xml:space="preserve">partner</t>
        </is>
      </c>
      <c r="C270" s="0" t="inlineStr">
        <is>
          <t xml:space="preserve">amer_east</t>
        </is>
      </c>
      <c r="D270" s="0" t="inlineStr">
        <is>
          <t xml:space="preserve">aug26</t>
        </is>
      </c>
      <c r="E270" s="4">
        <v>6210</v>
      </c>
      <c r="F270" s="4">
        <v>31</v>
      </c>
      <c r="G270" s="4">
        <v>7</v>
      </c>
    </row>
    <row r="271">
      <c r="A271" s="0" t="inlineStr">
        <is>
          <t xml:space="preserve">mk_partner_amer_east_sep26</t>
        </is>
      </c>
      <c r="B271" s="0" t="inlineStr">
        <is>
          <t xml:space="preserve">partner</t>
        </is>
      </c>
      <c r="C271" s="0" t="inlineStr">
        <is>
          <t xml:space="preserve">amer_east</t>
        </is>
      </c>
      <c r="D271" s="0" t="inlineStr">
        <is>
          <t xml:space="preserve">sep26</t>
        </is>
      </c>
      <c r="E271" s="4">
        <v>6010</v>
      </c>
      <c r="F271" s="4">
        <v>23</v>
      </c>
      <c r="G271" s="4">
        <v>11</v>
      </c>
    </row>
    <row r="272">
      <c r="A272" s="0" t="inlineStr">
        <is>
          <t xml:space="preserve">mk_partner_amer_east_oct26</t>
        </is>
      </c>
      <c r="B272" s="0" t="inlineStr">
        <is>
          <t xml:space="preserve">partner</t>
        </is>
      </c>
      <c r="C272" s="0" t="inlineStr">
        <is>
          <t xml:space="preserve">amer_east</t>
        </is>
      </c>
      <c r="D272" s="0" t="inlineStr">
        <is>
          <t xml:space="preserve">oct26</t>
        </is>
      </c>
      <c r="E272" s="4">
        <v>5370</v>
      </c>
      <c r="F272" s="4">
        <v>19</v>
      </c>
      <c r="G272" s="4">
        <v>10</v>
      </c>
    </row>
    <row r="273">
      <c r="A273" s="0" t="inlineStr">
        <is>
          <t xml:space="preserve">mk_partner_amer_east_nov26</t>
        </is>
      </c>
      <c r="B273" s="0" t="inlineStr">
        <is>
          <t xml:space="preserve">partner</t>
        </is>
      </c>
      <c r="C273" s="0" t="inlineStr">
        <is>
          <t xml:space="preserve">amer_east</t>
        </is>
      </c>
      <c r="D273" s="0" t="inlineStr">
        <is>
          <t xml:space="preserve">nov26</t>
        </is>
      </c>
      <c r="E273" s="4">
        <v>5530</v>
      </c>
      <c r="F273" s="4">
        <v>33</v>
      </c>
      <c r="G273" s="4">
        <v>11</v>
      </c>
    </row>
    <row r="274">
      <c r="A274" s="0" t="inlineStr">
        <is>
          <t xml:space="preserve">mk_partner_amer_east_dec26</t>
        </is>
      </c>
      <c r="B274" s="0" t="inlineStr">
        <is>
          <t xml:space="preserve">partner</t>
        </is>
      </c>
      <c r="C274" s="0" t="inlineStr">
        <is>
          <t xml:space="preserve">amer_east</t>
        </is>
      </c>
      <c r="D274" s="0" t="inlineStr">
        <is>
          <t xml:space="preserve">dec26</t>
        </is>
      </c>
      <c r="E274" s="4">
        <v>5420</v>
      </c>
      <c r="F274" s="4">
        <v>21</v>
      </c>
      <c r="G274" s="4">
        <v>4</v>
      </c>
    </row>
    <row r="275">
      <c r="A275" s="0" t="inlineStr">
        <is>
          <t xml:space="preserve">mk_partner_amer_west_apr25</t>
        </is>
      </c>
      <c r="B275" s="0" t="inlineStr">
        <is>
          <t xml:space="preserve">partner</t>
        </is>
      </c>
      <c r="C275" s="0" t="inlineStr">
        <is>
          <t xml:space="preserve">amer_west</t>
        </is>
      </c>
      <c r="D275" s="0" t="inlineStr">
        <is>
          <t xml:space="preserve">apr25</t>
        </is>
      </c>
      <c r="E275" s="4">
        <v>6350</v>
      </c>
      <c r="F275" s="4">
        <v>28</v>
      </c>
      <c r="G275" s="4">
        <v>13</v>
      </c>
    </row>
    <row r="276">
      <c r="A276" s="0" t="inlineStr">
        <is>
          <t xml:space="preserve">mk_partner_amer_west_may25</t>
        </is>
      </c>
      <c r="B276" s="0" t="inlineStr">
        <is>
          <t xml:space="preserve">partner</t>
        </is>
      </c>
      <c r="C276" s="0" t="inlineStr">
        <is>
          <t xml:space="preserve">amer_west</t>
        </is>
      </c>
      <c r="D276" s="0" t="inlineStr">
        <is>
          <t xml:space="preserve">may25</t>
        </is>
      </c>
      <c r="E276" s="4">
        <v>5280</v>
      </c>
      <c r="F276" s="4">
        <v>21</v>
      </c>
      <c r="G276" s="4">
        <v>7</v>
      </c>
    </row>
    <row r="277">
      <c r="A277" s="0" t="inlineStr">
        <is>
          <t xml:space="preserve">mk_partner_amer_west_jun25</t>
        </is>
      </c>
      <c r="B277" s="0" t="inlineStr">
        <is>
          <t xml:space="preserve">partner</t>
        </is>
      </c>
      <c r="C277" s="0" t="inlineStr">
        <is>
          <t xml:space="preserve">amer_west</t>
        </is>
      </c>
      <c r="D277" s="0" t="inlineStr">
        <is>
          <t xml:space="preserve">jun25</t>
        </is>
      </c>
      <c r="E277" s="4">
        <v>6150</v>
      </c>
      <c r="F277" s="4">
        <v>29</v>
      </c>
      <c r="G277" s="4">
        <v>14</v>
      </c>
    </row>
    <row r="278">
      <c r="A278" s="0" t="inlineStr">
        <is>
          <t xml:space="preserve">mk_partner_amer_west_jul25</t>
        </is>
      </c>
      <c r="B278" s="0" t="inlineStr">
        <is>
          <t xml:space="preserve">partner</t>
        </is>
      </c>
      <c r="C278" s="0" t="inlineStr">
        <is>
          <t xml:space="preserve">amer_west</t>
        </is>
      </c>
      <c r="D278" s="0" t="inlineStr">
        <is>
          <t xml:space="preserve">jul25</t>
        </is>
      </c>
      <c r="E278" s="4">
        <v>5810</v>
      </c>
      <c r="F278" s="4">
        <v>15</v>
      </c>
      <c r="G278" s="4">
        <v>5</v>
      </c>
    </row>
    <row r="279">
      <c r="A279" s="0" t="inlineStr">
        <is>
          <t xml:space="preserve">mk_partner_amer_west_aug25</t>
        </is>
      </c>
      <c r="B279" s="0" t="inlineStr">
        <is>
          <t xml:space="preserve">partner</t>
        </is>
      </c>
      <c r="C279" s="0" t="inlineStr">
        <is>
          <t xml:space="preserve">amer_west</t>
        </is>
      </c>
      <c r="D279" s="0" t="inlineStr">
        <is>
          <t xml:space="preserve">aug25</t>
        </is>
      </c>
      <c r="E279" s="4">
        <v>5150</v>
      </c>
      <c r="F279" s="4">
        <v>30</v>
      </c>
      <c r="G279" s="4">
        <v>10</v>
      </c>
    </row>
    <row r="280">
      <c r="A280" s="0" t="inlineStr">
        <is>
          <t xml:space="preserve">mk_partner_amer_west_sep25</t>
        </is>
      </c>
      <c r="B280" s="0" t="inlineStr">
        <is>
          <t xml:space="preserve">partner</t>
        </is>
      </c>
      <c r="C280" s="0" t="inlineStr">
        <is>
          <t xml:space="preserve">amer_west</t>
        </is>
      </c>
      <c r="D280" s="0" t="inlineStr">
        <is>
          <t xml:space="preserve">sep25</t>
        </is>
      </c>
      <c r="E280" s="4">
        <v>4940</v>
      </c>
      <c r="F280" s="4">
        <v>24</v>
      </c>
      <c r="G280" s="4">
        <v>11</v>
      </c>
    </row>
    <row r="281">
      <c r="A281" s="0" t="inlineStr">
        <is>
          <t xml:space="preserve">mk_partner_amer_west_oct25</t>
        </is>
      </c>
      <c r="B281" s="0" t="inlineStr">
        <is>
          <t xml:space="preserve">partner</t>
        </is>
      </c>
      <c r="C281" s="0" t="inlineStr">
        <is>
          <t xml:space="preserve">amer_west</t>
        </is>
      </c>
      <c r="D281" s="0" t="inlineStr">
        <is>
          <t xml:space="preserve">oct25</t>
        </is>
      </c>
      <c r="E281" s="4">
        <v>4550</v>
      </c>
      <c r="F281" s="4">
        <v>16</v>
      </c>
      <c r="G281" s="4">
        <v>4</v>
      </c>
    </row>
    <row r="282">
      <c r="A282" s="0" t="inlineStr">
        <is>
          <t xml:space="preserve">mk_partner_amer_west_nov25</t>
        </is>
      </c>
      <c r="B282" s="0" t="inlineStr">
        <is>
          <t xml:space="preserve">partner</t>
        </is>
      </c>
      <c r="C282" s="0" t="inlineStr">
        <is>
          <t xml:space="preserve">amer_west</t>
        </is>
      </c>
      <c r="D282" s="0" t="inlineStr">
        <is>
          <t xml:space="preserve">nov25</t>
        </is>
      </c>
      <c r="E282" s="4">
        <v>4730</v>
      </c>
      <c r="F282" s="4">
        <v>11</v>
      </c>
      <c r="G282" s="4">
        <v>4</v>
      </c>
    </row>
    <row r="283">
      <c r="A283" s="0" t="inlineStr">
        <is>
          <t xml:space="preserve">mk_partner_amer_west_dec25</t>
        </is>
      </c>
      <c r="B283" s="0" t="inlineStr">
        <is>
          <t xml:space="preserve">partner</t>
        </is>
      </c>
      <c r="C283" s="0" t="inlineStr">
        <is>
          <t xml:space="preserve">amer_west</t>
        </is>
      </c>
      <c r="D283" s="0" t="inlineStr">
        <is>
          <t xml:space="preserve">dec25</t>
        </is>
      </c>
      <c r="E283" s="4">
        <v>5420</v>
      </c>
      <c r="F283" s="4">
        <v>32</v>
      </c>
      <c r="G283" s="4">
        <v>13</v>
      </c>
    </row>
    <row r="284">
      <c r="A284" s="0" t="inlineStr">
        <is>
          <t xml:space="preserve">mk_partner_amer_west_jan26</t>
        </is>
      </c>
      <c r="B284" s="0" t="inlineStr">
        <is>
          <t xml:space="preserve">partner</t>
        </is>
      </c>
      <c r="C284" s="0" t="inlineStr">
        <is>
          <t xml:space="preserve">amer_west</t>
        </is>
      </c>
      <c r="D284" s="0" t="inlineStr">
        <is>
          <t xml:space="preserve">jan26</t>
        </is>
      </c>
      <c r="E284" s="4">
        <v>4980</v>
      </c>
      <c r="F284" s="4">
        <v>18</v>
      </c>
      <c r="G284" s="4">
        <v>5</v>
      </c>
    </row>
    <row r="285">
      <c r="A285" s="0" t="inlineStr">
        <is>
          <t xml:space="preserve">mk_partner_amer_west_feb26</t>
        </is>
      </c>
      <c r="B285" s="0" t="inlineStr">
        <is>
          <t xml:space="preserve">partner</t>
        </is>
      </c>
      <c r="C285" s="0" t="inlineStr">
        <is>
          <t xml:space="preserve">amer_west</t>
        </is>
      </c>
      <c r="D285" s="0" t="inlineStr">
        <is>
          <t xml:space="preserve">feb26</t>
        </is>
      </c>
      <c r="E285" s="4">
        <v>5760</v>
      </c>
      <c r="F285" s="4">
        <v>19</v>
      </c>
      <c r="G285" s="4">
        <v>9</v>
      </c>
    </row>
    <row r="286">
      <c r="A286" s="0" t="inlineStr">
        <is>
          <t xml:space="preserve">mk_partner_amer_west_mar26</t>
        </is>
      </c>
      <c r="B286" s="0" t="inlineStr">
        <is>
          <t xml:space="preserve">partner</t>
        </is>
      </c>
      <c r="C286" s="0" t="inlineStr">
        <is>
          <t xml:space="preserve">amer_west</t>
        </is>
      </c>
      <c r="D286" s="0" t="inlineStr">
        <is>
          <t xml:space="preserve">mar26</t>
        </is>
      </c>
      <c r="E286" s="4">
        <v>6780</v>
      </c>
      <c r="F286" s="4">
        <v>23</v>
      </c>
      <c r="G286" s="4">
        <v>7</v>
      </c>
    </row>
    <row r="287">
      <c r="A287" s="0" t="inlineStr">
        <is>
          <t xml:space="preserve">mk_partner_amer_west_apr26</t>
        </is>
      </c>
      <c r="B287" s="0" t="inlineStr">
        <is>
          <t xml:space="preserve">partner</t>
        </is>
      </c>
      <c r="C287" s="0" t="inlineStr">
        <is>
          <t xml:space="preserve">amer_west</t>
        </is>
      </c>
      <c r="D287" s="0" t="inlineStr">
        <is>
          <t xml:space="preserve">apr26</t>
        </is>
      </c>
      <c r="E287" s="4">
        <v>5940</v>
      </c>
      <c r="F287" s="4">
        <v>19</v>
      </c>
      <c r="G287" s="4">
        <v>7</v>
      </c>
    </row>
    <row r="288">
      <c r="A288" s="0" t="inlineStr">
        <is>
          <t xml:space="preserve">mk_partner_amer_west_may26</t>
        </is>
      </c>
      <c r="B288" s="0" t="inlineStr">
        <is>
          <t xml:space="preserve">partner</t>
        </is>
      </c>
      <c r="C288" s="0" t="inlineStr">
        <is>
          <t xml:space="preserve">amer_west</t>
        </is>
      </c>
      <c r="D288" s="0" t="inlineStr">
        <is>
          <t xml:space="preserve">may26</t>
        </is>
      </c>
      <c r="E288" s="4">
        <v>6080</v>
      </c>
      <c r="F288" s="4">
        <v>25</v>
      </c>
      <c r="G288" s="4">
        <v>14</v>
      </c>
    </row>
    <row r="289">
      <c r="A289" s="0" t="inlineStr">
        <is>
          <t xml:space="preserve">mk_partner_amer_west_jun26</t>
        </is>
      </c>
      <c r="B289" s="0" t="inlineStr">
        <is>
          <t xml:space="preserve">partner</t>
        </is>
      </c>
      <c r="C289" s="0" t="inlineStr">
        <is>
          <t xml:space="preserve">amer_west</t>
        </is>
      </c>
      <c r="D289" s="0" t="inlineStr">
        <is>
          <t xml:space="preserve">jun26</t>
        </is>
      </c>
      <c r="E289" s="4">
        <v>6600</v>
      </c>
      <c r="F289" s="4">
        <v>29</v>
      </c>
      <c r="G289" s="4">
        <v>12</v>
      </c>
    </row>
    <row r="290">
      <c r="A290" s="0" t="inlineStr">
        <is>
          <t xml:space="preserve">mk_partner_amer_west_jul26</t>
        </is>
      </c>
      <c r="B290" s="0" t="inlineStr">
        <is>
          <t xml:space="preserve">partner</t>
        </is>
      </c>
      <c r="C290" s="0" t="inlineStr">
        <is>
          <t xml:space="preserve">amer_west</t>
        </is>
      </c>
      <c r="D290" s="0" t="inlineStr">
        <is>
          <t xml:space="preserve">jul26</t>
        </is>
      </c>
      <c r="E290" s="4">
        <v>5420</v>
      </c>
      <c r="F290" s="4">
        <v>22</v>
      </c>
      <c r="G290" s="4">
        <v>7</v>
      </c>
    </row>
    <row r="291">
      <c r="A291" s="0" t="inlineStr">
        <is>
          <t xml:space="preserve">mk_partner_amer_west_aug26</t>
        </is>
      </c>
      <c r="B291" s="0" t="inlineStr">
        <is>
          <t xml:space="preserve">partner</t>
        </is>
      </c>
      <c r="C291" s="0" t="inlineStr">
        <is>
          <t xml:space="preserve">amer_west</t>
        </is>
      </c>
      <c r="D291" s="0" t="inlineStr">
        <is>
          <t xml:space="preserve">aug26</t>
        </is>
      </c>
      <c r="E291" s="4">
        <v>5200</v>
      </c>
      <c r="F291" s="4">
        <v>18</v>
      </c>
      <c r="G291" s="4">
        <v>2</v>
      </c>
    </row>
    <row r="292">
      <c r="A292" s="0" t="inlineStr">
        <is>
          <t xml:space="preserve">mk_partner_amer_west_sep26</t>
        </is>
      </c>
      <c r="B292" s="0" t="inlineStr">
        <is>
          <t xml:space="preserve">partner</t>
        </is>
      </c>
      <c r="C292" s="0" t="inlineStr">
        <is>
          <t xml:space="preserve">amer_west</t>
        </is>
      </c>
      <c r="D292" s="0" t="inlineStr">
        <is>
          <t xml:space="preserve">sep26</t>
        </is>
      </c>
      <c r="E292" s="4">
        <v>4650</v>
      </c>
      <c r="F292" s="4">
        <v>16</v>
      </c>
      <c r="G292" s="4">
        <v>4</v>
      </c>
    </row>
    <row r="293">
      <c r="A293" s="0" t="inlineStr">
        <is>
          <t xml:space="preserve">mk_partner_amer_west_oct26</t>
        </is>
      </c>
      <c r="B293" s="0" t="inlineStr">
        <is>
          <t xml:space="preserve">partner</t>
        </is>
      </c>
      <c r="C293" s="0" t="inlineStr">
        <is>
          <t xml:space="preserve">amer_west</t>
        </is>
      </c>
      <c r="D293" s="0" t="inlineStr">
        <is>
          <t xml:space="preserve">oct26</t>
        </is>
      </c>
      <c r="E293" s="4">
        <v>4370</v>
      </c>
      <c r="F293" s="4">
        <v>16</v>
      </c>
      <c r="G293" s="4">
        <v>5</v>
      </c>
    </row>
    <row r="294">
      <c r="A294" s="0" t="inlineStr">
        <is>
          <t xml:space="preserve">mk_partner_amer_west_nov26</t>
        </is>
      </c>
      <c r="B294" s="0" t="inlineStr">
        <is>
          <t xml:space="preserve">partner</t>
        </is>
      </c>
      <c r="C294" s="0" t="inlineStr">
        <is>
          <t xml:space="preserve">amer_west</t>
        </is>
      </c>
      <c r="D294" s="0" t="inlineStr">
        <is>
          <t xml:space="preserve">nov26</t>
        </is>
      </c>
      <c r="E294" s="4">
        <v>5010</v>
      </c>
      <c r="F294" s="4">
        <v>19</v>
      </c>
      <c r="G294" s="4">
        <v>8</v>
      </c>
    </row>
    <row r="295">
      <c r="A295" s="0" t="inlineStr">
        <is>
          <t xml:space="preserve">mk_partner_amer_west_dec26</t>
        </is>
      </c>
      <c r="B295" s="0" t="inlineStr">
        <is>
          <t xml:space="preserve">partner</t>
        </is>
      </c>
      <c r="C295" s="0" t="inlineStr">
        <is>
          <t xml:space="preserve">amer_west</t>
        </is>
      </c>
      <c r="D295" s="0" t="inlineStr">
        <is>
          <t xml:space="preserve">dec26</t>
        </is>
      </c>
      <c r="E295" s="4">
        <v>5720</v>
      </c>
      <c r="F295" s="4">
        <v>19</v>
      </c>
      <c r="G295" s="4">
        <v>14</v>
      </c>
    </row>
    <row r="296">
      <c r="A296" s="0" t="inlineStr">
        <is>
          <t xml:space="preserve">mk_partner_emea_apr25</t>
        </is>
      </c>
      <c r="B296" s="0" t="inlineStr">
        <is>
          <t xml:space="preserve">partner</t>
        </is>
      </c>
      <c r="C296" s="0" t="inlineStr">
        <is>
          <t xml:space="preserve">emea</t>
        </is>
      </c>
      <c r="D296" s="0" t="inlineStr">
        <is>
          <t xml:space="preserve">apr25</t>
        </is>
      </c>
      <c r="E296" s="4">
        <v>5560</v>
      </c>
      <c r="F296" s="4">
        <v>19</v>
      </c>
      <c r="G296" s="4">
        <v>9</v>
      </c>
    </row>
    <row r="297">
      <c r="A297" s="0" t="inlineStr">
        <is>
          <t xml:space="preserve">mk_partner_emea_may25</t>
        </is>
      </c>
      <c r="B297" s="0" t="inlineStr">
        <is>
          <t xml:space="preserve">partner</t>
        </is>
      </c>
      <c r="C297" s="0" t="inlineStr">
        <is>
          <t xml:space="preserve">emea</t>
        </is>
      </c>
      <c r="D297" s="0" t="inlineStr">
        <is>
          <t xml:space="preserve">may25</t>
        </is>
      </c>
      <c r="E297" s="4">
        <v>5630</v>
      </c>
      <c r="F297" s="4">
        <v>22</v>
      </c>
      <c r="G297" s="4">
        <v>14</v>
      </c>
    </row>
    <row r="298">
      <c r="A298" s="0" t="inlineStr">
        <is>
          <t xml:space="preserve">mk_partner_emea_jun25</t>
        </is>
      </c>
      <c r="B298" s="0" t="inlineStr">
        <is>
          <t xml:space="preserve">partner</t>
        </is>
      </c>
      <c r="C298" s="0" t="inlineStr">
        <is>
          <t xml:space="preserve">emea</t>
        </is>
      </c>
      <c r="D298" s="0" t="inlineStr">
        <is>
          <t xml:space="preserve">jun25</t>
        </is>
      </c>
      <c r="E298" s="4">
        <v>5300</v>
      </c>
      <c r="F298" s="4">
        <v>27</v>
      </c>
      <c r="G298" s="4">
        <v>13</v>
      </c>
    </row>
    <row r="299">
      <c r="A299" s="0" t="inlineStr">
        <is>
          <t xml:space="preserve">mk_partner_emea_jul25</t>
        </is>
      </c>
      <c r="B299" s="0" t="inlineStr">
        <is>
          <t xml:space="preserve">partner</t>
        </is>
      </c>
      <c r="C299" s="0" t="inlineStr">
        <is>
          <t xml:space="preserve">emea</t>
        </is>
      </c>
      <c r="D299" s="0" t="inlineStr">
        <is>
          <t xml:space="preserve">jul25</t>
        </is>
      </c>
      <c r="E299" s="4">
        <v>4230</v>
      </c>
      <c r="F299" s="4">
        <v>12</v>
      </c>
      <c r="G299" s="4">
        <v>7</v>
      </c>
    </row>
    <row r="300">
      <c r="A300" s="0" t="inlineStr">
        <is>
          <t xml:space="preserve">mk_partner_emea_aug25</t>
        </is>
      </c>
      <c r="B300" s="0" t="inlineStr">
        <is>
          <t xml:space="preserve">partner</t>
        </is>
      </c>
      <c r="C300" s="0" t="inlineStr">
        <is>
          <t xml:space="preserve">emea</t>
        </is>
      </c>
      <c r="D300" s="0" t="inlineStr">
        <is>
          <t xml:space="preserve">aug25</t>
        </is>
      </c>
      <c r="E300" s="4">
        <v>4250</v>
      </c>
      <c r="F300" s="4">
        <v>17</v>
      </c>
      <c r="G300" s="4">
        <v>6</v>
      </c>
    </row>
    <row r="301">
      <c r="A301" s="0" t="inlineStr">
        <is>
          <t xml:space="preserve">mk_partner_emea_sep25</t>
        </is>
      </c>
      <c r="B301" s="0" t="inlineStr">
        <is>
          <t xml:space="preserve">partner</t>
        </is>
      </c>
      <c r="C301" s="0" t="inlineStr">
        <is>
          <t xml:space="preserve">emea</t>
        </is>
      </c>
      <c r="D301" s="0" t="inlineStr">
        <is>
          <t xml:space="preserve">sep25</t>
        </is>
      </c>
      <c r="E301" s="4">
        <v>4020</v>
      </c>
      <c r="F301" s="4">
        <v>15</v>
      </c>
      <c r="G301" s="4">
        <v>6</v>
      </c>
    </row>
    <row r="302">
      <c r="A302" s="0" t="inlineStr">
        <is>
          <t xml:space="preserve">mk_partner_emea_oct25</t>
        </is>
      </c>
      <c r="B302" s="0" t="inlineStr">
        <is>
          <t xml:space="preserve">partner</t>
        </is>
      </c>
      <c r="C302" s="0" t="inlineStr">
        <is>
          <t xml:space="preserve">emea</t>
        </is>
      </c>
      <c r="D302" s="0" t="inlineStr">
        <is>
          <t xml:space="preserve">oct25</t>
        </is>
      </c>
      <c r="E302" s="4">
        <v>4080</v>
      </c>
      <c r="F302" s="4">
        <v>22</v>
      </c>
      <c r="G302" s="4">
        <v>6</v>
      </c>
    </row>
    <row r="303">
      <c r="A303" s="0" t="inlineStr">
        <is>
          <t xml:space="preserve">mk_partner_emea_nov25</t>
        </is>
      </c>
      <c r="B303" s="0" t="inlineStr">
        <is>
          <t xml:space="preserve">partner</t>
        </is>
      </c>
      <c r="C303" s="0" t="inlineStr">
        <is>
          <t xml:space="preserve">emea</t>
        </is>
      </c>
      <c r="D303" s="0" t="inlineStr">
        <is>
          <t xml:space="preserve">nov25</t>
        </is>
      </c>
      <c r="E303" s="4">
        <v>4340</v>
      </c>
      <c r="F303" s="4">
        <v>14</v>
      </c>
      <c r="G303" s="4">
        <v>4</v>
      </c>
    </row>
    <row r="304">
      <c r="A304" s="0" t="inlineStr">
        <is>
          <t xml:space="preserve">mk_partner_emea_dec25</t>
        </is>
      </c>
      <c r="B304" s="0" t="inlineStr">
        <is>
          <t xml:space="preserve">partner</t>
        </is>
      </c>
      <c r="C304" s="0" t="inlineStr">
        <is>
          <t xml:space="preserve">emea</t>
        </is>
      </c>
      <c r="D304" s="0" t="inlineStr">
        <is>
          <t xml:space="preserve">dec25</t>
        </is>
      </c>
      <c r="E304" s="4">
        <v>5100</v>
      </c>
      <c r="F304" s="4">
        <v>20</v>
      </c>
      <c r="G304" s="4">
        <v>10</v>
      </c>
    </row>
    <row r="305">
      <c r="A305" s="0" t="inlineStr">
        <is>
          <t xml:space="preserve">mk_partner_emea_jan26</t>
        </is>
      </c>
      <c r="B305" s="0" t="inlineStr">
        <is>
          <t xml:space="preserve">partner</t>
        </is>
      </c>
      <c r="C305" s="0" t="inlineStr">
        <is>
          <t xml:space="preserve">emea</t>
        </is>
      </c>
      <c r="D305" s="0" t="inlineStr">
        <is>
          <t xml:space="preserve">jan26</t>
        </is>
      </c>
      <c r="E305" s="4">
        <v>5340</v>
      </c>
      <c r="F305" s="4">
        <v>25</v>
      </c>
      <c r="G305" s="4">
        <v>6</v>
      </c>
    </row>
    <row r="306">
      <c r="A306" s="0" t="inlineStr">
        <is>
          <t xml:space="preserve">mk_partner_emea_feb26</t>
        </is>
      </c>
      <c r="B306" s="0" t="inlineStr">
        <is>
          <t xml:space="preserve">partner</t>
        </is>
      </c>
      <c r="C306" s="0" t="inlineStr">
        <is>
          <t xml:space="preserve">emea</t>
        </is>
      </c>
      <c r="D306" s="0" t="inlineStr">
        <is>
          <t xml:space="preserve">feb26</t>
        </is>
      </c>
      <c r="E306" s="4">
        <v>4790</v>
      </c>
      <c r="F306" s="4">
        <v>15</v>
      </c>
      <c r="G306" s="4">
        <v>7</v>
      </c>
    </row>
    <row r="307">
      <c r="A307" s="0" t="inlineStr">
        <is>
          <t xml:space="preserve">mk_partner_emea_mar26</t>
        </is>
      </c>
      <c r="B307" s="0" t="inlineStr">
        <is>
          <t xml:space="preserve">partner</t>
        </is>
      </c>
      <c r="C307" s="0" t="inlineStr">
        <is>
          <t xml:space="preserve">emea</t>
        </is>
      </c>
      <c r="D307" s="0" t="inlineStr">
        <is>
          <t xml:space="preserve">mar26</t>
        </is>
      </c>
      <c r="E307" s="4">
        <v>5710</v>
      </c>
      <c r="F307" s="4">
        <v>28</v>
      </c>
      <c r="G307" s="4">
        <v>12</v>
      </c>
    </row>
    <row r="308">
      <c r="A308" s="0" t="inlineStr">
        <is>
          <t xml:space="preserve">mk_partner_emea_apr26</t>
        </is>
      </c>
      <c r="B308" s="0" t="inlineStr">
        <is>
          <t xml:space="preserve">partner</t>
        </is>
      </c>
      <c r="C308" s="0" t="inlineStr">
        <is>
          <t xml:space="preserve">emea</t>
        </is>
      </c>
      <c r="D308" s="0" t="inlineStr">
        <is>
          <t xml:space="preserve">apr26</t>
        </is>
      </c>
      <c r="E308" s="4">
        <v>4810</v>
      </c>
      <c r="F308" s="4">
        <v>20</v>
      </c>
      <c r="G308" s="4">
        <v>10</v>
      </c>
    </row>
    <row r="309">
      <c r="A309" s="0" t="inlineStr">
        <is>
          <t xml:space="preserve">mk_partner_emea_may26</t>
        </is>
      </c>
      <c r="B309" s="0" t="inlineStr">
        <is>
          <t xml:space="preserve">partner</t>
        </is>
      </c>
      <c r="C309" s="0" t="inlineStr">
        <is>
          <t xml:space="preserve">emea</t>
        </is>
      </c>
      <c r="D309" s="0" t="inlineStr">
        <is>
          <t xml:space="preserve">may26</t>
        </is>
      </c>
      <c r="E309" s="4">
        <v>5030</v>
      </c>
      <c r="F309" s="4">
        <v>21</v>
      </c>
      <c r="G309" s="4">
        <v>7</v>
      </c>
    </row>
    <row r="310">
      <c r="A310" s="0" t="inlineStr">
        <is>
          <t xml:space="preserve">mk_partner_emea_jun26</t>
        </is>
      </c>
      <c r="B310" s="0" t="inlineStr">
        <is>
          <t xml:space="preserve">partner</t>
        </is>
      </c>
      <c r="C310" s="0" t="inlineStr">
        <is>
          <t xml:space="preserve">emea</t>
        </is>
      </c>
      <c r="D310" s="0" t="inlineStr">
        <is>
          <t xml:space="preserve">jun26</t>
        </is>
      </c>
      <c r="E310" s="4">
        <v>4960</v>
      </c>
      <c r="F310" s="4">
        <v>20</v>
      </c>
      <c r="G310" s="4">
        <v>7</v>
      </c>
    </row>
    <row r="311">
      <c r="A311" s="0" t="inlineStr">
        <is>
          <t xml:space="preserve">mk_partner_emea_jul26</t>
        </is>
      </c>
      <c r="B311" s="0" t="inlineStr">
        <is>
          <t xml:space="preserve">partner</t>
        </is>
      </c>
      <c r="C311" s="0" t="inlineStr">
        <is>
          <t xml:space="preserve">emea</t>
        </is>
      </c>
      <c r="D311" s="0" t="inlineStr">
        <is>
          <t xml:space="preserve">jul26</t>
        </is>
      </c>
      <c r="E311" s="4">
        <v>4860</v>
      </c>
      <c r="F311" s="4">
        <v>16</v>
      </c>
      <c r="G311" s="4">
        <v>4</v>
      </c>
    </row>
    <row r="312">
      <c r="A312" s="0" t="inlineStr">
        <is>
          <t xml:space="preserve">mk_partner_emea_aug26</t>
        </is>
      </c>
      <c r="B312" s="0" t="inlineStr">
        <is>
          <t xml:space="preserve">partner</t>
        </is>
      </c>
      <c r="C312" s="0" t="inlineStr">
        <is>
          <t xml:space="preserve">emea</t>
        </is>
      </c>
      <c r="D312" s="0" t="inlineStr">
        <is>
          <t xml:space="preserve">aug26</t>
        </is>
      </c>
      <c r="E312" s="4">
        <v>4070</v>
      </c>
      <c r="F312" s="4">
        <v>16</v>
      </c>
      <c r="G312" s="4">
        <v>5</v>
      </c>
    </row>
    <row r="313">
      <c r="A313" s="0" t="inlineStr">
        <is>
          <t xml:space="preserve">mk_partner_emea_sep26</t>
        </is>
      </c>
      <c r="B313" s="0" t="inlineStr">
        <is>
          <t xml:space="preserve">partner</t>
        </is>
      </c>
      <c r="C313" s="0" t="inlineStr">
        <is>
          <t xml:space="preserve">emea</t>
        </is>
      </c>
      <c r="D313" s="0" t="inlineStr">
        <is>
          <t xml:space="preserve">sep26</t>
        </is>
      </c>
      <c r="E313" s="4">
        <v>5060</v>
      </c>
      <c r="F313" s="4">
        <v>25</v>
      </c>
      <c r="G313" s="4">
        <v>7</v>
      </c>
    </row>
    <row r="314">
      <c r="A314" s="0" t="inlineStr">
        <is>
          <t xml:space="preserve">mk_partner_emea_oct26</t>
        </is>
      </c>
      <c r="B314" s="0" t="inlineStr">
        <is>
          <t xml:space="preserve">partner</t>
        </is>
      </c>
      <c r="C314" s="0" t="inlineStr">
        <is>
          <t xml:space="preserve">emea</t>
        </is>
      </c>
      <c r="D314" s="0" t="inlineStr">
        <is>
          <t xml:space="preserve">oct26</t>
        </is>
      </c>
      <c r="E314" s="4">
        <v>3690</v>
      </c>
      <c r="F314" s="4">
        <v>15</v>
      </c>
      <c r="G314" s="4">
        <v>5</v>
      </c>
    </row>
    <row r="315">
      <c r="A315" s="0" t="inlineStr">
        <is>
          <t xml:space="preserve">mk_partner_emea_nov26</t>
        </is>
      </c>
      <c r="B315" s="0" t="inlineStr">
        <is>
          <t xml:space="preserve">partner</t>
        </is>
      </c>
      <c r="C315" s="0" t="inlineStr">
        <is>
          <t xml:space="preserve">emea</t>
        </is>
      </c>
      <c r="D315" s="0" t="inlineStr">
        <is>
          <t xml:space="preserve">nov26</t>
        </is>
      </c>
      <c r="E315" s="4">
        <v>3780</v>
      </c>
      <c r="F315" s="4">
        <v>11</v>
      </c>
      <c r="G315" s="4">
        <v>5</v>
      </c>
    </row>
    <row r="316">
      <c r="A316" s="0" t="inlineStr">
        <is>
          <t xml:space="preserve">mk_partner_emea_dec26</t>
        </is>
      </c>
      <c r="B316" s="0" t="inlineStr">
        <is>
          <t xml:space="preserve">partner</t>
        </is>
      </c>
      <c r="C316" s="0" t="inlineStr">
        <is>
          <t xml:space="preserve">emea</t>
        </is>
      </c>
      <c r="D316" s="0" t="inlineStr">
        <is>
          <t xml:space="preserve">dec26</t>
        </is>
      </c>
      <c r="E316" s="4">
        <v>4820</v>
      </c>
      <c r="F316" s="4">
        <v>26</v>
      </c>
      <c r="G316" s="4">
        <v>10</v>
      </c>
    </row>
    <row r="317">
      <c r="A317" s="0" t="inlineStr">
        <is>
          <t xml:space="preserve">mk_partner_apac_apr25</t>
        </is>
      </c>
      <c r="B317" s="0" t="inlineStr">
        <is>
          <t xml:space="preserve">partner</t>
        </is>
      </c>
      <c r="C317" s="0" t="inlineStr">
        <is>
          <t xml:space="preserve">apac</t>
        </is>
      </c>
      <c r="D317" s="0" t="inlineStr">
        <is>
          <t xml:space="preserve">apr25</t>
        </is>
      </c>
      <c r="E317" s="4">
        <v>2960</v>
      </c>
      <c r="F317" s="4">
        <v>13</v>
      </c>
      <c r="G317" s="4">
        <v>5</v>
      </c>
    </row>
    <row r="318">
      <c r="A318" s="0" t="inlineStr">
        <is>
          <t xml:space="preserve">mk_partner_apac_may25</t>
        </is>
      </c>
      <c r="B318" s="0" t="inlineStr">
        <is>
          <t xml:space="preserve">partner</t>
        </is>
      </c>
      <c r="C318" s="0" t="inlineStr">
        <is>
          <t xml:space="preserve">apac</t>
        </is>
      </c>
      <c r="D318" s="0" t="inlineStr">
        <is>
          <t xml:space="preserve">may25</t>
        </is>
      </c>
      <c r="E318" s="4">
        <v>2660</v>
      </c>
      <c r="F318" s="4">
        <v>11</v>
      </c>
      <c r="G318" s="4">
        <v>4</v>
      </c>
    </row>
    <row r="319">
      <c r="A319" s="0" t="inlineStr">
        <is>
          <t xml:space="preserve">mk_partner_apac_jun25</t>
        </is>
      </c>
      <c r="B319" s="0" t="inlineStr">
        <is>
          <t xml:space="preserve">partner</t>
        </is>
      </c>
      <c r="C319" s="0" t="inlineStr">
        <is>
          <t xml:space="preserve">apac</t>
        </is>
      </c>
      <c r="D319" s="0" t="inlineStr">
        <is>
          <t xml:space="preserve">jun25</t>
        </is>
      </c>
      <c r="E319" s="4">
        <v>4090</v>
      </c>
      <c r="F319" s="4">
        <v>14</v>
      </c>
      <c r="G319" s="4">
        <v>4</v>
      </c>
    </row>
    <row r="320">
      <c r="A320" s="0" t="inlineStr">
        <is>
          <t xml:space="preserve">mk_partner_apac_jul25</t>
        </is>
      </c>
      <c r="B320" s="0" t="inlineStr">
        <is>
          <t xml:space="preserve">partner</t>
        </is>
      </c>
      <c r="C320" s="0" t="inlineStr">
        <is>
          <t xml:space="preserve">apac</t>
        </is>
      </c>
      <c r="D320" s="0" t="inlineStr">
        <is>
          <t xml:space="preserve">jul25</t>
        </is>
      </c>
      <c r="E320" s="4">
        <v>2840</v>
      </c>
      <c r="F320" s="4">
        <v>8</v>
      </c>
      <c r="G320" s="4">
        <v>2</v>
      </c>
    </row>
    <row r="321">
      <c r="A321" s="0" t="inlineStr">
        <is>
          <t xml:space="preserve">mk_partner_apac_aug25</t>
        </is>
      </c>
      <c r="B321" s="0" t="inlineStr">
        <is>
          <t xml:space="preserve">partner</t>
        </is>
      </c>
      <c r="C321" s="0" t="inlineStr">
        <is>
          <t xml:space="preserve">apac</t>
        </is>
      </c>
      <c r="D321" s="0" t="inlineStr">
        <is>
          <t xml:space="preserve">aug25</t>
        </is>
      </c>
      <c r="E321" s="4">
        <v>2600</v>
      </c>
      <c r="F321" s="4">
        <v>12</v>
      </c>
      <c r="G321" s="4">
        <v>5</v>
      </c>
    </row>
    <row r="322">
      <c r="A322" s="0" t="inlineStr">
        <is>
          <t xml:space="preserve">mk_partner_apac_sep25</t>
        </is>
      </c>
      <c r="B322" s="0" t="inlineStr">
        <is>
          <t xml:space="preserve">partner</t>
        </is>
      </c>
      <c r="C322" s="0" t="inlineStr">
        <is>
          <t xml:space="preserve">apac</t>
        </is>
      </c>
      <c r="D322" s="0" t="inlineStr">
        <is>
          <t xml:space="preserve">sep25</t>
        </is>
      </c>
      <c r="E322" s="4">
        <v>2580</v>
      </c>
      <c r="F322" s="4">
        <v>9</v>
      </c>
      <c r="G322" s="4">
        <v>3</v>
      </c>
    </row>
    <row r="323">
      <c r="A323" s="0" t="inlineStr">
        <is>
          <t xml:space="preserve">mk_partner_apac_oct25</t>
        </is>
      </c>
      <c r="B323" s="0" t="inlineStr">
        <is>
          <t xml:space="preserve">partner</t>
        </is>
      </c>
      <c r="C323" s="0" t="inlineStr">
        <is>
          <t xml:space="preserve">apac</t>
        </is>
      </c>
      <c r="D323" s="0" t="inlineStr">
        <is>
          <t xml:space="preserve">oct25</t>
        </is>
      </c>
      <c r="E323" s="4">
        <v>2490</v>
      </c>
      <c r="F323" s="4">
        <v>11</v>
      </c>
      <c r="G323" s="4">
        <v>3</v>
      </c>
    </row>
    <row r="324">
      <c r="A324" s="0" t="inlineStr">
        <is>
          <t xml:space="preserve">mk_partner_apac_nov25</t>
        </is>
      </c>
      <c r="B324" s="0" t="inlineStr">
        <is>
          <t xml:space="preserve">partner</t>
        </is>
      </c>
      <c r="C324" s="0" t="inlineStr">
        <is>
          <t xml:space="preserve">apac</t>
        </is>
      </c>
      <c r="D324" s="0" t="inlineStr">
        <is>
          <t xml:space="preserve">nov25</t>
        </is>
      </c>
      <c r="E324" s="4">
        <v>2570</v>
      </c>
      <c r="F324" s="4">
        <v>12</v>
      </c>
      <c r="G324" s="4">
        <v>7</v>
      </c>
    </row>
    <row r="325">
      <c r="A325" s="0" t="inlineStr">
        <is>
          <t xml:space="preserve">mk_partner_apac_dec25</t>
        </is>
      </c>
      <c r="B325" s="0" t="inlineStr">
        <is>
          <t xml:space="preserve">partner</t>
        </is>
      </c>
      <c r="C325" s="0" t="inlineStr">
        <is>
          <t xml:space="preserve">apac</t>
        </is>
      </c>
      <c r="D325" s="0" t="inlineStr">
        <is>
          <t xml:space="preserve">dec25</t>
        </is>
      </c>
      <c r="E325" s="4">
        <v>2670</v>
      </c>
      <c r="F325" s="4">
        <v>13</v>
      </c>
      <c r="G325" s="4">
        <v>7</v>
      </c>
    </row>
    <row r="326">
      <c r="A326" s="0" t="inlineStr">
        <is>
          <t xml:space="preserve">mk_partner_apac_jan26</t>
        </is>
      </c>
      <c r="B326" s="0" t="inlineStr">
        <is>
          <t xml:space="preserve">partner</t>
        </is>
      </c>
      <c r="C326" s="0" t="inlineStr">
        <is>
          <t xml:space="preserve">apac</t>
        </is>
      </c>
      <c r="D326" s="0" t="inlineStr">
        <is>
          <t xml:space="preserve">jan26</t>
        </is>
      </c>
      <c r="E326" s="4">
        <v>3020</v>
      </c>
      <c r="F326" s="4">
        <v>8</v>
      </c>
      <c r="G326" s="4">
        <v>1</v>
      </c>
    </row>
    <row r="327">
      <c r="A327" s="0" t="inlineStr">
        <is>
          <t xml:space="preserve">mk_partner_apac_feb26</t>
        </is>
      </c>
      <c r="B327" s="0" t="inlineStr">
        <is>
          <t xml:space="preserve">partner</t>
        </is>
      </c>
      <c r="C327" s="0" t="inlineStr">
        <is>
          <t xml:space="preserve">apac</t>
        </is>
      </c>
      <c r="D327" s="0" t="inlineStr">
        <is>
          <t xml:space="preserve">feb26</t>
        </is>
      </c>
      <c r="E327" s="4">
        <v>3220</v>
      </c>
      <c r="F327" s="4">
        <v>11</v>
      </c>
      <c r="G327" s="4">
        <v>5</v>
      </c>
    </row>
    <row r="328">
      <c r="A328" s="0" t="inlineStr">
        <is>
          <t xml:space="preserve">mk_partner_apac_mar26</t>
        </is>
      </c>
      <c r="B328" s="0" t="inlineStr">
        <is>
          <t xml:space="preserve">partner</t>
        </is>
      </c>
      <c r="C328" s="0" t="inlineStr">
        <is>
          <t xml:space="preserve">apac</t>
        </is>
      </c>
      <c r="D328" s="0" t="inlineStr">
        <is>
          <t xml:space="preserve">mar26</t>
        </is>
      </c>
      <c r="E328" s="4">
        <v>3660</v>
      </c>
      <c r="F328" s="4">
        <v>11</v>
      </c>
      <c r="G328" s="4">
        <v>2</v>
      </c>
    </row>
    <row r="329">
      <c r="A329" s="0" t="inlineStr">
        <is>
          <t xml:space="preserve">mk_partner_apac_apr26</t>
        </is>
      </c>
      <c r="B329" s="0" t="inlineStr">
        <is>
          <t xml:space="preserve">partner</t>
        </is>
      </c>
      <c r="C329" s="0" t="inlineStr">
        <is>
          <t xml:space="preserve">apac</t>
        </is>
      </c>
      <c r="D329" s="0" t="inlineStr">
        <is>
          <t xml:space="preserve">apr26</t>
        </is>
      </c>
      <c r="E329" s="4">
        <v>3230</v>
      </c>
      <c r="F329" s="4">
        <v>9</v>
      </c>
      <c r="G329" s="4">
        <v>6</v>
      </c>
    </row>
    <row r="330">
      <c r="A330" s="0" t="inlineStr">
        <is>
          <t xml:space="preserve">mk_partner_apac_may26</t>
        </is>
      </c>
      <c r="B330" s="0" t="inlineStr">
        <is>
          <t xml:space="preserve">partner</t>
        </is>
      </c>
      <c r="C330" s="0" t="inlineStr">
        <is>
          <t xml:space="preserve">apac</t>
        </is>
      </c>
      <c r="D330" s="0" t="inlineStr">
        <is>
          <t xml:space="preserve">may26</t>
        </is>
      </c>
      <c r="E330" s="4">
        <v>3080</v>
      </c>
      <c r="F330" s="4">
        <v>12</v>
      </c>
      <c r="G330" s="4">
        <v>2</v>
      </c>
    </row>
    <row r="331">
      <c r="A331" s="0" t="inlineStr">
        <is>
          <t xml:space="preserve">mk_partner_apac_jun26</t>
        </is>
      </c>
      <c r="B331" s="0" t="inlineStr">
        <is>
          <t xml:space="preserve">partner</t>
        </is>
      </c>
      <c r="C331" s="0" t="inlineStr">
        <is>
          <t xml:space="preserve">apac</t>
        </is>
      </c>
      <c r="D331" s="0" t="inlineStr">
        <is>
          <t xml:space="preserve">jun26</t>
        </is>
      </c>
      <c r="E331" s="4">
        <v>3310</v>
      </c>
      <c r="F331" s="4">
        <v>16</v>
      </c>
      <c r="G331" s="4">
        <v>7</v>
      </c>
    </row>
    <row r="332">
      <c r="A332" s="0" t="inlineStr">
        <is>
          <t xml:space="preserve">mk_partner_apac_jul26</t>
        </is>
      </c>
      <c r="B332" s="0" t="inlineStr">
        <is>
          <t xml:space="preserve">partner</t>
        </is>
      </c>
      <c r="C332" s="0" t="inlineStr">
        <is>
          <t xml:space="preserve">apac</t>
        </is>
      </c>
      <c r="D332" s="0" t="inlineStr">
        <is>
          <t xml:space="preserve">jul26</t>
        </is>
      </c>
      <c r="E332" s="4">
        <v>2960</v>
      </c>
      <c r="F332" s="4">
        <v>11</v>
      </c>
      <c r="G332" s="4">
        <v>5</v>
      </c>
    </row>
    <row r="333">
      <c r="A333" s="0" t="inlineStr">
        <is>
          <t xml:space="preserve">mk_partner_apac_aug26</t>
        </is>
      </c>
      <c r="B333" s="0" t="inlineStr">
        <is>
          <t xml:space="preserve">partner</t>
        </is>
      </c>
      <c r="C333" s="0" t="inlineStr">
        <is>
          <t xml:space="preserve">apac</t>
        </is>
      </c>
      <c r="D333" s="0" t="inlineStr">
        <is>
          <t xml:space="preserve">aug26</t>
        </is>
      </c>
      <c r="E333" s="4">
        <v>2690</v>
      </c>
      <c r="F333" s="4">
        <v>10</v>
      </c>
      <c r="G333" s="4">
        <v>6</v>
      </c>
    </row>
    <row r="334">
      <c r="A334" s="0" t="inlineStr">
        <is>
          <t xml:space="preserve">mk_partner_apac_sep26</t>
        </is>
      </c>
      <c r="B334" s="0" t="inlineStr">
        <is>
          <t xml:space="preserve">partner</t>
        </is>
      </c>
      <c r="C334" s="0" t="inlineStr">
        <is>
          <t xml:space="preserve">apac</t>
        </is>
      </c>
      <c r="D334" s="0" t="inlineStr">
        <is>
          <t xml:space="preserve">sep26</t>
        </is>
      </c>
      <c r="E334" s="4">
        <v>3320</v>
      </c>
      <c r="F334" s="4">
        <v>11</v>
      </c>
      <c r="G334" s="4">
        <v>4</v>
      </c>
    </row>
    <row r="335">
      <c r="A335" s="0" t="inlineStr">
        <is>
          <t xml:space="preserve">mk_partner_apac_oct26</t>
        </is>
      </c>
      <c r="B335" s="0" t="inlineStr">
        <is>
          <t xml:space="preserve">partner</t>
        </is>
      </c>
      <c r="C335" s="0" t="inlineStr">
        <is>
          <t xml:space="preserve">apac</t>
        </is>
      </c>
      <c r="D335" s="0" t="inlineStr">
        <is>
          <t xml:space="preserve">oct26</t>
        </is>
      </c>
      <c r="E335" s="4">
        <v>2430</v>
      </c>
      <c r="F335" s="4">
        <v>9</v>
      </c>
      <c r="G335" s="4">
        <v>3</v>
      </c>
    </row>
    <row r="336">
      <c r="A336" s="0" t="inlineStr">
        <is>
          <t xml:space="preserve">mk_partner_apac_nov26</t>
        </is>
      </c>
      <c r="B336" s="0" t="inlineStr">
        <is>
          <t xml:space="preserve">partner</t>
        </is>
      </c>
      <c r="C336" s="0" t="inlineStr">
        <is>
          <t xml:space="preserve">apac</t>
        </is>
      </c>
      <c r="D336" s="0" t="inlineStr">
        <is>
          <t xml:space="preserve">nov26</t>
        </is>
      </c>
      <c r="E336" s="4">
        <v>2700</v>
      </c>
      <c r="F336" s="4">
        <v>11</v>
      </c>
      <c r="G336" s="4">
        <v>6</v>
      </c>
    </row>
    <row r="337">
      <c r="A337" s="0" t="inlineStr">
        <is>
          <t xml:space="preserve">mk_partner_apac_dec26</t>
        </is>
      </c>
      <c r="B337" s="0" t="inlineStr">
        <is>
          <t xml:space="preserve">partner</t>
        </is>
      </c>
      <c r="C337" s="0" t="inlineStr">
        <is>
          <t xml:space="preserve">apac</t>
        </is>
      </c>
      <c r="D337" s="0" t="inlineStr">
        <is>
          <t xml:space="preserve">dec26</t>
        </is>
      </c>
      <c r="E337" s="4">
        <v>3100</v>
      </c>
      <c r="F337" s="4">
        <v>9</v>
      </c>
      <c r="G337" s="4">
        <v>4</v>
      </c>
    </row>
  </sheetData>
</worksheet>
</file>

<file path=xl/worksheets/sheet3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</cols>
  <sheetData>
    <row r="1">
      <c r="A1" s="1" t="inlineStr">
        <is>
          <t xml:space="preserve">ID</t>
        </is>
      </c>
      <c r="B1" s="1" t="inlineStr">
        <is>
          <t xml:space="preserve">sdr</t>
        </is>
      </c>
      <c r="C1" s="1" t="inlineStr">
        <is>
          <t xml:space="preserve">period</t>
        </is>
      </c>
      <c r="D1" s="1" t="inlineStr">
        <is>
          <t xml:space="preserve">calls</t>
        </is>
      </c>
      <c r="E1" s="1" t="inlineStr">
        <is>
          <t xml:space="preserve">emails</t>
        </is>
      </c>
      <c r="F1" s="1" t="inlineStr">
        <is>
          <t xml:space="preserve">connects</t>
        </is>
      </c>
      <c r="G1" s="1" t="inlineStr">
        <is>
          <t xml:space="preserve">meetings_set</t>
        </is>
      </c>
      <c r="H1" s="1" t="inlineStr">
        <is>
          <t xml:space="preserve">meetings_held</t>
        </is>
      </c>
      <c r="I1" s="1" t="inlineStr">
        <is>
          <t xml:space="preserve">sqls</t>
        </is>
      </c>
    </row>
    <row r="2">
      <c r="A2" s="0" t="inlineStr">
        <is>
          <t xml:space="preserve">act_s_amer_east_in_apr25</t>
        </is>
      </c>
      <c r="B2" s="0" t="inlineStr">
        <is>
          <t xml:space="preserve">s_amer_east_in</t>
        </is>
      </c>
      <c r="C2" s="0" t="inlineStr">
        <is>
          <t xml:space="preserve">apr25</t>
        </is>
      </c>
      <c r="D2" s="4">
        <v>647</v>
      </c>
      <c r="E2" s="4">
        <v>814</v>
      </c>
      <c r="F2" s="4">
        <v>166</v>
      </c>
      <c r="G2" s="4">
        <v>30</v>
      </c>
      <c r="H2" s="4">
        <v>26</v>
      </c>
      <c r="I2" s="4">
        <v>16</v>
      </c>
    </row>
    <row r="3">
      <c r="A3" s="0" t="inlineStr">
        <is>
          <t xml:space="preserve">act_s_amer_east_in_may25</t>
        </is>
      </c>
      <c r="B3" s="0" t="inlineStr">
        <is>
          <t xml:space="preserve">s_amer_east_in</t>
        </is>
      </c>
      <c r="C3" s="0" t="inlineStr">
        <is>
          <t xml:space="preserve">may25</t>
        </is>
      </c>
      <c r="D3" s="4">
        <v>652</v>
      </c>
      <c r="E3" s="4">
        <v>1252</v>
      </c>
      <c r="F3" s="4">
        <v>120</v>
      </c>
      <c r="G3" s="4">
        <v>26</v>
      </c>
      <c r="H3" s="4">
        <v>21</v>
      </c>
      <c r="I3" s="4">
        <v>15</v>
      </c>
    </row>
    <row r="4">
      <c r="A4" s="0" t="inlineStr">
        <is>
          <t xml:space="preserve">act_s_amer_east_in_jun25</t>
        </is>
      </c>
      <c r="B4" s="0" t="inlineStr">
        <is>
          <t xml:space="preserve">s_amer_east_in</t>
        </is>
      </c>
      <c r="C4" s="0" t="inlineStr">
        <is>
          <t xml:space="preserve">jun25</t>
        </is>
      </c>
      <c r="D4" s="4">
        <v>1438</v>
      </c>
      <c r="E4" s="4">
        <v>2431</v>
      </c>
      <c r="F4" s="4">
        <v>237</v>
      </c>
      <c r="G4" s="4">
        <v>46</v>
      </c>
      <c r="H4" s="4">
        <v>38</v>
      </c>
      <c r="I4" s="4">
        <v>27</v>
      </c>
    </row>
    <row r="5">
      <c r="A5" s="0" t="inlineStr">
        <is>
          <t xml:space="preserve">act_s_amer_east_in_jul25</t>
        </is>
      </c>
      <c r="B5" s="0" t="inlineStr">
        <is>
          <t xml:space="preserve">s_amer_east_in</t>
        </is>
      </c>
      <c r="C5" s="0" t="inlineStr">
        <is>
          <t xml:space="preserve">jul25</t>
        </is>
      </c>
      <c r="D5" s="4">
        <v>1039</v>
      </c>
      <c r="E5" s="4">
        <v>1216</v>
      </c>
      <c r="F5" s="4">
        <v>195</v>
      </c>
      <c r="G5" s="4">
        <v>34</v>
      </c>
      <c r="H5" s="4">
        <v>24</v>
      </c>
      <c r="I5" s="4">
        <v>17</v>
      </c>
    </row>
    <row r="6">
      <c r="A6" s="0" t="inlineStr">
        <is>
          <t xml:space="preserve">act_s_amer_east_in_aug25</t>
        </is>
      </c>
      <c r="B6" s="0" t="inlineStr">
        <is>
          <t xml:space="preserve">s_amer_east_in</t>
        </is>
      </c>
      <c r="C6" s="0" t="inlineStr">
        <is>
          <t xml:space="preserve">aug25</t>
        </is>
      </c>
      <c r="D6" s="4">
        <v>1010</v>
      </c>
      <c r="E6" s="4">
        <v>1414</v>
      </c>
      <c r="F6" s="4">
        <v>167</v>
      </c>
      <c r="G6" s="4">
        <v>27</v>
      </c>
      <c r="H6" s="4">
        <v>20</v>
      </c>
      <c r="I6" s="4">
        <v>14</v>
      </c>
    </row>
    <row r="7">
      <c r="A7" s="0" t="inlineStr">
        <is>
          <t xml:space="preserve">act_s_amer_east_in_sep25</t>
        </is>
      </c>
      <c r="B7" s="0" t="inlineStr">
        <is>
          <t xml:space="preserve">s_amer_east_in</t>
        </is>
      </c>
      <c r="C7" s="0" t="inlineStr">
        <is>
          <t xml:space="preserve">sep25</t>
        </is>
      </c>
      <c r="D7" s="4">
        <v>327</v>
      </c>
      <c r="E7" s="4">
        <v>509</v>
      </c>
      <c r="F7" s="4">
        <v>66</v>
      </c>
      <c r="G7" s="4">
        <v>11</v>
      </c>
      <c r="H7" s="4">
        <v>10</v>
      </c>
      <c r="I7" s="4">
        <v>7</v>
      </c>
    </row>
    <row r="8">
      <c r="A8" s="0" t="inlineStr">
        <is>
          <t xml:space="preserve">act_s_amer_east_in_oct25</t>
        </is>
      </c>
      <c r="B8" s="0" t="inlineStr">
        <is>
          <t xml:space="preserve">s_amer_east_in</t>
        </is>
      </c>
      <c r="C8" s="0" t="inlineStr">
        <is>
          <t xml:space="preserve">oct25</t>
        </is>
      </c>
      <c r="D8" s="4">
        <v>423</v>
      </c>
      <c r="E8" s="4">
        <v>776</v>
      </c>
      <c r="F8" s="4">
        <v>90</v>
      </c>
      <c r="G8" s="4">
        <v>16</v>
      </c>
      <c r="H8" s="4">
        <v>13</v>
      </c>
      <c r="I8" s="4">
        <v>9</v>
      </c>
    </row>
    <row r="9">
      <c r="A9" s="0" t="inlineStr">
        <is>
          <t xml:space="preserve">act_s_amer_east_in_nov25</t>
        </is>
      </c>
      <c r="B9" s="0" t="inlineStr">
        <is>
          <t xml:space="preserve">s_amer_east_in</t>
        </is>
      </c>
      <c r="C9" s="0" t="inlineStr">
        <is>
          <t xml:space="preserve">nov25</t>
        </is>
      </c>
      <c r="D9" s="4">
        <v>419</v>
      </c>
      <c r="E9" s="4">
        <v>667</v>
      </c>
      <c r="F9" s="4">
        <v>80</v>
      </c>
      <c r="G9" s="4">
        <v>18</v>
      </c>
      <c r="H9" s="4">
        <v>15</v>
      </c>
      <c r="I9" s="4">
        <v>11</v>
      </c>
    </row>
    <row r="10">
      <c r="A10" s="0" t="inlineStr">
        <is>
          <t xml:space="preserve">act_s_amer_east_in_dec25</t>
        </is>
      </c>
      <c r="B10" s="0" t="inlineStr">
        <is>
          <t xml:space="preserve">s_amer_east_in</t>
        </is>
      </c>
      <c r="C10" s="0" t="inlineStr">
        <is>
          <t xml:space="preserve">dec25</t>
        </is>
      </c>
      <c r="D10" s="4">
        <v>697</v>
      </c>
      <c r="E10" s="4">
        <v>868</v>
      </c>
      <c r="F10" s="4">
        <v>124</v>
      </c>
      <c r="G10" s="4">
        <v>30</v>
      </c>
      <c r="H10" s="4">
        <v>24</v>
      </c>
      <c r="I10" s="4">
        <v>16</v>
      </c>
    </row>
    <row r="11">
      <c r="A11" s="0" t="inlineStr">
        <is>
          <t xml:space="preserve">act_s_amer_east_in_jan26</t>
        </is>
      </c>
      <c r="B11" s="0" t="inlineStr">
        <is>
          <t xml:space="preserve">s_amer_east_in</t>
        </is>
      </c>
      <c r="C11" s="0" t="inlineStr">
        <is>
          <t xml:space="preserve">jan26</t>
        </is>
      </c>
      <c r="D11" s="4">
        <v>712</v>
      </c>
      <c r="E11" s="4">
        <v>1484</v>
      </c>
      <c r="F11" s="4">
        <v>133</v>
      </c>
      <c r="G11" s="4">
        <v>28</v>
      </c>
      <c r="H11" s="4">
        <v>21</v>
      </c>
      <c r="I11" s="4">
        <v>15</v>
      </c>
    </row>
    <row r="12">
      <c r="A12" s="0" t="inlineStr">
        <is>
          <t xml:space="preserve">act_s_amer_east_in_feb26</t>
        </is>
      </c>
      <c r="B12" s="0" t="inlineStr">
        <is>
          <t xml:space="preserve">s_amer_east_in</t>
        </is>
      </c>
      <c r="C12" s="0" t="inlineStr">
        <is>
          <t xml:space="preserve">feb26</t>
        </is>
      </c>
      <c r="D12" s="4">
        <v>450</v>
      </c>
      <c r="E12" s="4">
        <v>754</v>
      </c>
      <c r="F12" s="4">
        <v>86</v>
      </c>
      <c r="G12" s="4">
        <v>18</v>
      </c>
      <c r="H12" s="4">
        <v>13</v>
      </c>
      <c r="I12" s="4">
        <v>9</v>
      </c>
    </row>
    <row r="13">
      <c r="A13" s="0" t="inlineStr">
        <is>
          <t xml:space="preserve">act_s_amer_east_in_mar26</t>
        </is>
      </c>
      <c r="B13" s="0" t="inlineStr">
        <is>
          <t xml:space="preserve">s_amer_east_in</t>
        </is>
      </c>
      <c r="C13" s="0" t="inlineStr">
        <is>
          <t xml:space="preserve">mar26</t>
        </is>
      </c>
      <c r="D13" s="4">
        <v>726</v>
      </c>
      <c r="E13" s="4">
        <v>1149</v>
      </c>
      <c r="F13" s="4">
        <v>151</v>
      </c>
      <c r="G13" s="4">
        <v>29</v>
      </c>
      <c r="H13" s="4">
        <v>24</v>
      </c>
      <c r="I13" s="4">
        <v>16</v>
      </c>
    </row>
    <row r="14">
      <c r="A14" s="0" t="inlineStr">
        <is>
          <t xml:space="preserve">act_s_amer_east_in_apr26</t>
        </is>
      </c>
      <c r="B14" s="0" t="inlineStr">
        <is>
          <t xml:space="preserve">s_amer_east_in</t>
        </is>
      </c>
      <c r="C14" s="0" t="inlineStr">
        <is>
          <t xml:space="preserve">apr26</t>
        </is>
      </c>
      <c r="D14" s="4">
        <v>2026</v>
      </c>
      <c r="E14" s="4">
        <v>3171</v>
      </c>
      <c r="F14" s="4">
        <v>319</v>
      </c>
      <c r="G14" s="4">
        <v>60</v>
      </c>
      <c r="H14" s="4">
        <v>44</v>
      </c>
      <c r="I14" s="4">
        <v>28</v>
      </c>
    </row>
    <row r="15">
      <c r="A15" s="0" t="inlineStr">
        <is>
          <t xml:space="preserve">act_s_amer_east_in_may26</t>
        </is>
      </c>
      <c r="B15" s="0" t="inlineStr">
        <is>
          <t xml:space="preserve">s_amer_east_in</t>
        </is>
      </c>
      <c r="C15" s="0" t="inlineStr">
        <is>
          <t xml:space="preserve">may26</t>
        </is>
      </c>
      <c r="D15" s="4">
        <v>1528</v>
      </c>
      <c r="E15" s="4">
        <v>1971</v>
      </c>
      <c r="F15" s="4">
        <v>262</v>
      </c>
      <c r="G15" s="4">
        <v>40</v>
      </c>
      <c r="H15" s="4">
        <v>31</v>
      </c>
      <c r="I15" s="4">
        <v>21</v>
      </c>
    </row>
    <row r="16">
      <c r="A16" s="0" t="inlineStr">
        <is>
          <t xml:space="preserve">act_s_amer_east_in_jun26</t>
        </is>
      </c>
      <c r="B16" s="0" t="inlineStr">
        <is>
          <t xml:space="preserve">s_amer_east_in</t>
        </is>
      </c>
      <c r="C16" s="0" t="inlineStr">
        <is>
          <t xml:space="preserve">jun26</t>
        </is>
      </c>
      <c r="D16" s="4">
        <v>702</v>
      </c>
      <c r="E16" s="4">
        <v>1152</v>
      </c>
      <c r="F16" s="4">
        <v>145</v>
      </c>
      <c r="G16" s="4">
        <v>31</v>
      </c>
      <c r="H16" s="4">
        <v>25</v>
      </c>
      <c r="I16" s="4">
        <v>16</v>
      </c>
    </row>
    <row r="17">
      <c r="A17" s="0" t="inlineStr">
        <is>
          <t xml:space="preserve">act_s_amer_east_in_jul26</t>
        </is>
      </c>
      <c r="B17" s="0" t="inlineStr">
        <is>
          <t xml:space="preserve">s_amer_east_in</t>
        </is>
      </c>
      <c r="C17" s="0" t="inlineStr">
        <is>
          <t xml:space="preserve">jul26</t>
        </is>
      </c>
      <c r="D17" s="4">
        <v>1285</v>
      </c>
      <c r="E17" s="4">
        <v>1988</v>
      </c>
      <c r="F17" s="4">
        <v>223</v>
      </c>
      <c r="G17" s="4">
        <v>37</v>
      </c>
      <c r="H17" s="4">
        <v>29</v>
      </c>
      <c r="I17" s="4">
        <v>20</v>
      </c>
    </row>
    <row r="18">
      <c r="A18" s="0" t="inlineStr">
        <is>
          <t xml:space="preserve">act_s_amer_east_in_aug26</t>
        </is>
      </c>
      <c r="B18" s="0" t="inlineStr">
        <is>
          <t xml:space="preserve">s_amer_east_in</t>
        </is>
      </c>
      <c r="C18" s="0" t="inlineStr">
        <is>
          <t xml:space="preserve">aug26</t>
        </is>
      </c>
      <c r="D18" s="4">
        <v>1055</v>
      </c>
      <c r="E18" s="4">
        <v>1534</v>
      </c>
      <c r="F18" s="4">
        <v>261</v>
      </c>
      <c r="G18" s="4">
        <v>35</v>
      </c>
      <c r="H18" s="4">
        <v>26</v>
      </c>
      <c r="I18" s="4">
        <v>19</v>
      </c>
    </row>
    <row r="19">
      <c r="A19" s="0" t="inlineStr">
        <is>
          <t xml:space="preserve">act_s_amer_east_in_sep26</t>
        </is>
      </c>
      <c r="B19" s="0" t="inlineStr">
        <is>
          <t xml:space="preserve">s_amer_east_in</t>
        </is>
      </c>
      <c r="C19" s="0" t="inlineStr">
        <is>
          <t xml:space="preserve">sep26</t>
        </is>
      </c>
      <c r="D19" s="4">
        <v>1154</v>
      </c>
      <c r="E19" s="4">
        <v>2071</v>
      </c>
      <c r="F19" s="4">
        <v>156</v>
      </c>
      <c r="G19" s="4">
        <v>33</v>
      </c>
      <c r="H19" s="4">
        <v>26</v>
      </c>
      <c r="I19" s="4">
        <v>19</v>
      </c>
    </row>
    <row r="20">
      <c r="A20" s="0" t="inlineStr">
        <is>
          <t xml:space="preserve">act_s_amer_east_in_oct26</t>
        </is>
      </c>
      <c r="B20" s="0" t="inlineStr">
        <is>
          <t xml:space="preserve">s_amer_east_in</t>
        </is>
      </c>
      <c r="C20" s="0" t="inlineStr">
        <is>
          <t xml:space="preserve">oct26</t>
        </is>
      </c>
      <c r="D20" s="4">
        <v>790</v>
      </c>
      <c r="E20" s="4">
        <v>921</v>
      </c>
      <c r="F20" s="4">
        <v>173</v>
      </c>
      <c r="G20" s="4">
        <v>29</v>
      </c>
      <c r="H20" s="4">
        <v>25</v>
      </c>
      <c r="I20" s="4">
        <v>16</v>
      </c>
    </row>
    <row r="21">
      <c r="A21" s="0" t="inlineStr">
        <is>
          <t xml:space="preserve">act_s_amer_east_in_nov26</t>
        </is>
      </c>
      <c r="B21" s="0" t="inlineStr">
        <is>
          <t xml:space="preserve">s_amer_east_in</t>
        </is>
      </c>
      <c r="C21" s="0" t="inlineStr">
        <is>
          <t xml:space="preserve">nov26</t>
        </is>
      </c>
      <c r="D21" s="4">
        <v>697</v>
      </c>
      <c r="E21" s="4">
        <v>948</v>
      </c>
      <c r="F21" s="4">
        <v>143</v>
      </c>
      <c r="G21" s="4">
        <v>29</v>
      </c>
      <c r="H21" s="4">
        <v>25</v>
      </c>
      <c r="I21" s="4">
        <v>18</v>
      </c>
    </row>
    <row r="22">
      <c r="A22" s="0" t="inlineStr">
        <is>
          <t xml:space="preserve">act_s_amer_east_in_dec26</t>
        </is>
      </c>
      <c r="B22" s="0" t="inlineStr">
        <is>
          <t xml:space="preserve">s_amer_east_in</t>
        </is>
      </c>
      <c r="C22" s="0" t="inlineStr">
        <is>
          <t xml:space="preserve">dec26</t>
        </is>
      </c>
      <c r="D22" s="4">
        <v>836</v>
      </c>
      <c r="E22" s="4">
        <v>1305</v>
      </c>
      <c r="F22" s="4">
        <v>168</v>
      </c>
      <c r="G22" s="4">
        <v>36</v>
      </c>
      <c r="H22" s="4">
        <v>27</v>
      </c>
      <c r="I22" s="4">
        <v>18</v>
      </c>
    </row>
    <row r="23">
      <c r="A23" s="0" t="inlineStr">
        <is>
          <t xml:space="preserve">act_s_amer_east_out_apr25</t>
        </is>
      </c>
      <c r="B23" s="0" t="inlineStr">
        <is>
          <t xml:space="preserve">s_amer_east_out</t>
        </is>
      </c>
      <c r="C23" s="0" t="inlineStr">
        <is>
          <t xml:space="preserve">apr25</t>
        </is>
      </c>
      <c r="D23" s="4">
        <v>764</v>
      </c>
      <c r="E23" s="4">
        <v>1195</v>
      </c>
      <c r="F23" s="4">
        <v>63</v>
      </c>
      <c r="G23" s="4">
        <v>9</v>
      </c>
      <c r="H23" s="4">
        <v>7</v>
      </c>
      <c r="I23" s="4">
        <v>4</v>
      </c>
    </row>
    <row r="24">
      <c r="A24" s="0" t="inlineStr">
        <is>
          <t xml:space="preserve">act_s_amer_east_out_may25</t>
        </is>
      </c>
      <c r="B24" s="0" t="inlineStr">
        <is>
          <t xml:space="preserve">s_amer_east_out</t>
        </is>
      </c>
      <c r="C24" s="0" t="inlineStr">
        <is>
          <t xml:space="preserve">may25</t>
        </is>
      </c>
      <c r="D24" s="4">
        <v>602</v>
      </c>
      <c r="E24" s="4">
        <v>1329</v>
      </c>
      <c r="F24" s="4">
        <v>48</v>
      </c>
      <c r="G24" s="4">
        <v>9</v>
      </c>
      <c r="H24" s="4">
        <v>7</v>
      </c>
      <c r="I24" s="4">
        <v>3</v>
      </c>
    </row>
    <row r="25">
      <c r="A25" s="0" t="inlineStr">
        <is>
          <t xml:space="preserve">act_s_amer_east_out_jun25</t>
        </is>
      </c>
      <c r="B25" s="0" t="inlineStr">
        <is>
          <t xml:space="preserve">s_amer_east_out</t>
        </is>
      </c>
      <c r="C25" s="0" t="inlineStr">
        <is>
          <t xml:space="preserve">jun25</t>
        </is>
      </c>
      <c r="D25" s="4">
        <v>579</v>
      </c>
      <c r="E25" s="4">
        <v>1181</v>
      </c>
      <c r="F25" s="4">
        <v>46</v>
      </c>
      <c r="G25" s="4">
        <v>5</v>
      </c>
      <c r="H25" s="4">
        <v>3</v>
      </c>
      <c r="I25" s="4">
        <v>3</v>
      </c>
    </row>
    <row r="26">
      <c r="A26" s="0" t="inlineStr">
        <is>
          <t xml:space="preserve">act_s_amer_east_out_jul25</t>
        </is>
      </c>
      <c r="B26" s="0" t="inlineStr">
        <is>
          <t xml:space="preserve">s_amer_east_out</t>
        </is>
      </c>
      <c r="C26" s="0" t="inlineStr">
        <is>
          <t xml:space="preserve">jul25</t>
        </is>
      </c>
      <c r="D26" s="4">
        <v>877</v>
      </c>
      <c r="E26" s="4">
        <v>1111</v>
      </c>
      <c r="F26" s="4">
        <v>87</v>
      </c>
      <c r="G26" s="4">
        <v>17</v>
      </c>
      <c r="H26" s="4">
        <v>10</v>
      </c>
      <c r="I26" s="4">
        <v>7</v>
      </c>
    </row>
    <row r="27">
      <c r="A27" s="0" t="inlineStr">
        <is>
          <t xml:space="preserve">act_s_amer_east_out_aug25</t>
        </is>
      </c>
      <c r="B27" s="0" t="inlineStr">
        <is>
          <t xml:space="preserve">s_amer_east_out</t>
        </is>
      </c>
      <c r="C27" s="0" t="inlineStr">
        <is>
          <t xml:space="preserve">aug25</t>
        </is>
      </c>
      <c r="D27" s="4">
        <v>456</v>
      </c>
      <c r="E27" s="4">
        <v>1175</v>
      </c>
      <c r="F27" s="4">
        <v>40</v>
      </c>
      <c r="G27" s="4">
        <v>5</v>
      </c>
      <c r="H27" s="4">
        <v>3</v>
      </c>
      <c r="I27" s="4">
        <v>3</v>
      </c>
    </row>
    <row r="28">
      <c r="A28" s="0" t="inlineStr">
        <is>
          <t xml:space="preserve">act_s_amer_east_out_sep25</t>
        </is>
      </c>
      <c r="B28" s="0" t="inlineStr">
        <is>
          <t xml:space="preserve">s_amer_east_out</t>
        </is>
      </c>
      <c r="C28" s="0" t="inlineStr">
        <is>
          <t xml:space="preserve">sep25</t>
        </is>
      </c>
      <c r="D28" s="4">
        <v>711</v>
      </c>
      <c r="E28" s="4">
        <v>1742</v>
      </c>
      <c r="F28" s="4">
        <v>60</v>
      </c>
      <c r="G28" s="4">
        <v>5</v>
      </c>
      <c r="H28" s="4">
        <v>4</v>
      </c>
      <c r="I28" s="4">
        <v>3</v>
      </c>
    </row>
    <row r="29">
      <c r="A29" s="0" t="inlineStr">
        <is>
          <t xml:space="preserve">act_s_amer_east_out_oct25</t>
        </is>
      </c>
      <c r="B29" s="0" t="inlineStr">
        <is>
          <t xml:space="preserve">s_amer_east_out</t>
        </is>
      </c>
      <c r="C29" s="0" t="inlineStr">
        <is>
          <t xml:space="preserve">oct25</t>
        </is>
      </c>
      <c r="D29" s="4">
        <v>693</v>
      </c>
      <c r="E29" s="4">
        <v>1379</v>
      </c>
      <c r="F29" s="4">
        <v>47</v>
      </c>
      <c r="G29" s="4">
        <v>7</v>
      </c>
      <c r="H29" s="4">
        <v>6</v>
      </c>
      <c r="I29" s="4">
        <v>2</v>
      </c>
    </row>
    <row r="30">
      <c r="A30" s="0" t="inlineStr">
        <is>
          <t xml:space="preserve">act_s_amer_east_out_nov25</t>
        </is>
      </c>
      <c r="B30" s="0" t="inlineStr">
        <is>
          <t xml:space="preserve">s_amer_east_out</t>
        </is>
      </c>
      <c r="C30" s="0" t="inlineStr">
        <is>
          <t xml:space="preserve">nov25</t>
        </is>
      </c>
      <c r="D30" s="4">
        <v>550</v>
      </c>
      <c r="E30" s="4">
        <v>1236</v>
      </c>
      <c r="F30" s="4">
        <v>52</v>
      </c>
      <c r="G30" s="4">
        <v>5</v>
      </c>
      <c r="H30" s="4">
        <v>4</v>
      </c>
      <c r="I30" s="4">
        <v>1</v>
      </c>
    </row>
    <row r="31">
      <c r="A31" s="0" t="inlineStr">
        <is>
          <t xml:space="preserve">act_s_amer_east_out_dec25</t>
        </is>
      </c>
      <c r="B31" s="0" t="inlineStr">
        <is>
          <t xml:space="preserve">s_amer_east_out</t>
        </is>
      </c>
      <c r="C31" s="0" t="inlineStr">
        <is>
          <t xml:space="preserve">dec25</t>
        </is>
      </c>
      <c r="D31" s="4">
        <v>481</v>
      </c>
      <c r="E31" s="4">
        <v>1147</v>
      </c>
      <c r="F31" s="4">
        <v>46</v>
      </c>
      <c r="G31" s="4">
        <v>11</v>
      </c>
      <c r="H31" s="4">
        <v>7</v>
      </c>
      <c r="I31" s="4">
        <v>5</v>
      </c>
    </row>
    <row r="32">
      <c r="A32" s="0" t="inlineStr">
        <is>
          <t xml:space="preserve">act_s_amer_east_out_jan26</t>
        </is>
      </c>
      <c r="B32" s="0" t="inlineStr">
        <is>
          <t xml:space="preserve">s_amer_east_out</t>
        </is>
      </c>
      <c r="C32" s="0" t="inlineStr">
        <is>
          <t xml:space="preserve">jan26</t>
        </is>
      </c>
      <c r="D32" s="4">
        <v>784</v>
      </c>
      <c r="E32" s="4">
        <v>1366</v>
      </c>
      <c r="F32" s="4">
        <v>69</v>
      </c>
      <c r="G32" s="4">
        <v>12</v>
      </c>
      <c r="H32" s="4">
        <v>10</v>
      </c>
      <c r="I32" s="4">
        <v>6</v>
      </c>
    </row>
    <row r="33">
      <c r="A33" s="0" t="inlineStr">
        <is>
          <t xml:space="preserve">act_s_amer_east_out_feb26</t>
        </is>
      </c>
      <c r="B33" s="0" t="inlineStr">
        <is>
          <t xml:space="preserve">s_amer_east_out</t>
        </is>
      </c>
      <c r="C33" s="0" t="inlineStr">
        <is>
          <t xml:space="preserve">feb26</t>
        </is>
      </c>
      <c r="D33" s="4">
        <v>669</v>
      </c>
      <c r="E33" s="4">
        <v>1513</v>
      </c>
      <c r="F33" s="4">
        <v>58</v>
      </c>
      <c r="G33" s="4">
        <v>13</v>
      </c>
      <c r="H33" s="4">
        <v>11</v>
      </c>
      <c r="I33" s="4">
        <v>9</v>
      </c>
    </row>
    <row r="34">
      <c r="A34" s="0" t="inlineStr">
        <is>
          <t xml:space="preserve">act_s_amer_east_out_mar26</t>
        </is>
      </c>
      <c r="B34" s="0" t="inlineStr">
        <is>
          <t xml:space="preserve">s_amer_east_out</t>
        </is>
      </c>
      <c r="C34" s="0" t="inlineStr">
        <is>
          <t xml:space="preserve">mar26</t>
        </is>
      </c>
      <c r="D34" s="4">
        <v>626</v>
      </c>
      <c r="E34" s="4">
        <v>1627</v>
      </c>
      <c r="F34" s="4">
        <v>45</v>
      </c>
      <c r="G34" s="4">
        <v>8</v>
      </c>
      <c r="H34" s="4">
        <v>5</v>
      </c>
      <c r="I34" s="4">
        <v>2</v>
      </c>
    </row>
    <row r="35">
      <c r="A35" s="0" t="inlineStr">
        <is>
          <t xml:space="preserve">act_s_amer_east_out_apr26</t>
        </is>
      </c>
      <c r="B35" s="0" t="inlineStr">
        <is>
          <t xml:space="preserve">s_amer_east_out</t>
        </is>
      </c>
      <c r="C35" s="0" t="inlineStr">
        <is>
          <t xml:space="preserve">apr26</t>
        </is>
      </c>
      <c r="D35" s="4">
        <v>581</v>
      </c>
      <c r="E35" s="4">
        <v>1100</v>
      </c>
      <c r="F35" s="4">
        <v>50</v>
      </c>
      <c r="G35" s="4">
        <v>11</v>
      </c>
      <c r="H35" s="4">
        <v>9</v>
      </c>
      <c r="I35" s="4">
        <v>5</v>
      </c>
    </row>
    <row r="36">
      <c r="A36" s="0" t="inlineStr">
        <is>
          <t xml:space="preserve">act_s_amer_east_out_may26</t>
        </is>
      </c>
      <c r="B36" s="0" t="inlineStr">
        <is>
          <t xml:space="preserve">s_amer_east_out</t>
        </is>
      </c>
      <c r="C36" s="0" t="inlineStr">
        <is>
          <t xml:space="preserve">may26</t>
        </is>
      </c>
      <c r="D36" s="4">
        <v>645</v>
      </c>
      <c r="E36" s="4">
        <v>1026</v>
      </c>
      <c r="F36" s="4">
        <v>58</v>
      </c>
      <c r="G36" s="4">
        <v>4</v>
      </c>
      <c r="H36" s="4">
        <v>3</v>
      </c>
      <c r="I36" s="4">
        <v>2</v>
      </c>
    </row>
    <row r="37">
      <c r="A37" s="0" t="inlineStr">
        <is>
          <t xml:space="preserve">act_s_amer_east_out_jun26</t>
        </is>
      </c>
      <c r="B37" s="0" t="inlineStr">
        <is>
          <t xml:space="preserve">s_amer_east_out</t>
        </is>
      </c>
      <c r="C37" s="0" t="inlineStr">
        <is>
          <t xml:space="preserve">jun26</t>
        </is>
      </c>
      <c r="D37" s="4">
        <v>636</v>
      </c>
      <c r="E37" s="4">
        <v>1392</v>
      </c>
      <c r="F37" s="4">
        <v>49</v>
      </c>
      <c r="G37" s="4">
        <v>11</v>
      </c>
      <c r="H37" s="4">
        <v>8</v>
      </c>
      <c r="I37" s="4">
        <v>4</v>
      </c>
    </row>
    <row r="38">
      <c r="A38" s="0" t="inlineStr">
        <is>
          <t xml:space="preserve">act_s_amer_east_out_jul26</t>
        </is>
      </c>
      <c r="B38" s="0" t="inlineStr">
        <is>
          <t xml:space="preserve">s_amer_east_out</t>
        </is>
      </c>
      <c r="C38" s="0" t="inlineStr">
        <is>
          <t xml:space="preserve">jul26</t>
        </is>
      </c>
      <c r="D38" s="4">
        <v>532</v>
      </c>
      <c r="E38" s="4">
        <v>1428</v>
      </c>
      <c r="F38" s="4">
        <v>59</v>
      </c>
      <c r="G38" s="4">
        <v>10</v>
      </c>
      <c r="H38" s="4">
        <v>9</v>
      </c>
      <c r="I38" s="4">
        <v>6</v>
      </c>
    </row>
    <row r="39">
      <c r="A39" s="0" t="inlineStr">
        <is>
          <t xml:space="preserve">act_s_amer_east_out_aug26</t>
        </is>
      </c>
      <c r="B39" s="0" t="inlineStr">
        <is>
          <t xml:space="preserve">s_amer_east_out</t>
        </is>
      </c>
      <c r="C39" s="0" t="inlineStr">
        <is>
          <t xml:space="preserve">aug26</t>
        </is>
      </c>
      <c r="D39" s="4">
        <v>677</v>
      </c>
      <c r="E39" s="4">
        <v>1162</v>
      </c>
      <c r="F39" s="4">
        <v>48</v>
      </c>
      <c r="G39" s="4">
        <v>7</v>
      </c>
      <c r="H39" s="4">
        <v>4</v>
      </c>
      <c r="I39" s="4">
        <v>4</v>
      </c>
    </row>
    <row r="40">
      <c r="A40" s="0" t="inlineStr">
        <is>
          <t xml:space="preserve">act_s_amer_east_out_sep26</t>
        </is>
      </c>
      <c r="B40" s="0" t="inlineStr">
        <is>
          <t xml:space="preserve">s_amer_east_out</t>
        </is>
      </c>
      <c r="C40" s="0" t="inlineStr">
        <is>
          <t xml:space="preserve">sep26</t>
        </is>
      </c>
      <c r="D40" s="4">
        <v>715</v>
      </c>
      <c r="E40" s="4">
        <v>1373</v>
      </c>
      <c r="F40" s="4">
        <v>63</v>
      </c>
      <c r="G40" s="4">
        <v>12</v>
      </c>
      <c r="H40" s="4">
        <v>8</v>
      </c>
      <c r="I40" s="4">
        <v>4</v>
      </c>
    </row>
    <row r="41">
      <c r="A41" s="0" t="inlineStr">
        <is>
          <t xml:space="preserve">act_s_amer_east_out_oct26</t>
        </is>
      </c>
      <c r="B41" s="0" t="inlineStr">
        <is>
          <t xml:space="preserve">s_amer_east_out</t>
        </is>
      </c>
      <c r="C41" s="0" t="inlineStr">
        <is>
          <t xml:space="preserve">oct26</t>
        </is>
      </c>
      <c r="D41" s="4">
        <v>610</v>
      </c>
      <c r="E41" s="4">
        <v>1803</v>
      </c>
      <c r="F41" s="4">
        <v>51</v>
      </c>
      <c r="G41" s="4">
        <v>6</v>
      </c>
      <c r="H41" s="4">
        <v>5</v>
      </c>
      <c r="I41" s="4">
        <v>3</v>
      </c>
    </row>
    <row r="42">
      <c r="A42" s="0" t="inlineStr">
        <is>
          <t xml:space="preserve">act_s_amer_east_out_nov26</t>
        </is>
      </c>
      <c r="B42" s="0" t="inlineStr">
        <is>
          <t xml:space="preserve">s_amer_east_out</t>
        </is>
      </c>
      <c r="C42" s="0" t="inlineStr">
        <is>
          <t xml:space="preserve">nov26</t>
        </is>
      </c>
      <c r="D42" s="4">
        <v>733</v>
      </c>
      <c r="E42" s="4">
        <v>1798</v>
      </c>
      <c r="F42" s="4">
        <v>59</v>
      </c>
      <c r="G42" s="4">
        <v>7</v>
      </c>
      <c r="H42" s="4">
        <v>7</v>
      </c>
      <c r="I42" s="4">
        <v>4</v>
      </c>
    </row>
    <row r="43">
      <c r="A43" s="0" t="inlineStr">
        <is>
          <t xml:space="preserve">act_s_amer_east_out_dec26</t>
        </is>
      </c>
      <c r="B43" s="0" t="inlineStr">
        <is>
          <t xml:space="preserve">s_amer_east_out</t>
        </is>
      </c>
      <c r="C43" s="0" t="inlineStr">
        <is>
          <t xml:space="preserve">dec26</t>
        </is>
      </c>
      <c r="D43" s="4">
        <v>414</v>
      </c>
      <c r="E43" s="4">
        <v>1203</v>
      </c>
      <c r="F43" s="4">
        <v>48</v>
      </c>
      <c r="G43" s="4">
        <v>7</v>
      </c>
      <c r="H43" s="4">
        <v>5</v>
      </c>
      <c r="I43" s="4">
        <v>4</v>
      </c>
    </row>
    <row r="44">
      <c r="A44" s="0" t="inlineStr">
        <is>
          <t xml:space="preserve">act_s_amer_west_in_apr25</t>
        </is>
      </c>
      <c r="B44" s="0" t="inlineStr">
        <is>
          <t xml:space="preserve">s_amer_west_in</t>
        </is>
      </c>
      <c r="C44" s="0" t="inlineStr">
        <is>
          <t xml:space="preserve">apr25</t>
        </is>
      </c>
      <c r="D44" s="4">
        <v>992</v>
      </c>
      <c r="E44" s="4">
        <v>1487</v>
      </c>
      <c r="F44" s="4">
        <v>167</v>
      </c>
      <c r="G44" s="4">
        <v>26</v>
      </c>
      <c r="H44" s="4">
        <v>22</v>
      </c>
      <c r="I44" s="4">
        <v>14</v>
      </c>
    </row>
    <row r="45">
      <c r="A45" s="0" t="inlineStr">
        <is>
          <t xml:space="preserve">act_s_amer_west_in_may25</t>
        </is>
      </c>
      <c r="B45" s="0" t="inlineStr">
        <is>
          <t xml:space="preserve">s_amer_west_in</t>
        </is>
      </c>
      <c r="C45" s="0" t="inlineStr">
        <is>
          <t xml:space="preserve">may25</t>
        </is>
      </c>
      <c r="D45" s="4">
        <v>552</v>
      </c>
      <c r="E45" s="4">
        <v>974</v>
      </c>
      <c r="F45" s="4">
        <v>109</v>
      </c>
      <c r="G45" s="4">
        <v>22</v>
      </c>
      <c r="H45" s="4">
        <v>18</v>
      </c>
      <c r="I45" s="4">
        <v>12</v>
      </c>
    </row>
    <row r="46">
      <c r="A46" s="0" t="inlineStr">
        <is>
          <t xml:space="preserve">act_s_amer_west_in_jun25</t>
        </is>
      </c>
      <c r="B46" s="0" t="inlineStr">
        <is>
          <t xml:space="preserve">s_amer_west_in</t>
        </is>
      </c>
      <c r="C46" s="0" t="inlineStr">
        <is>
          <t xml:space="preserve">jun25</t>
        </is>
      </c>
      <c r="D46" s="4">
        <v>694</v>
      </c>
      <c r="E46" s="4">
        <v>756</v>
      </c>
      <c r="F46" s="4">
        <v>125</v>
      </c>
      <c r="G46" s="4">
        <v>19</v>
      </c>
      <c r="H46" s="4">
        <v>14</v>
      </c>
      <c r="I46" s="4">
        <v>9</v>
      </c>
    </row>
    <row r="47">
      <c r="A47" s="0" t="inlineStr">
        <is>
          <t xml:space="preserve">act_s_amer_west_in_jul25</t>
        </is>
      </c>
      <c r="B47" s="0" t="inlineStr">
        <is>
          <t xml:space="preserve">s_amer_west_in</t>
        </is>
      </c>
      <c r="C47" s="0" t="inlineStr">
        <is>
          <t xml:space="preserve">jul25</t>
        </is>
      </c>
      <c r="D47" s="4">
        <v>449</v>
      </c>
      <c r="E47" s="4">
        <v>656</v>
      </c>
      <c r="F47" s="4">
        <v>106</v>
      </c>
      <c r="G47" s="4">
        <v>19</v>
      </c>
      <c r="H47" s="4">
        <v>16</v>
      </c>
      <c r="I47" s="4">
        <v>11</v>
      </c>
    </row>
    <row r="48">
      <c r="A48" s="0" t="inlineStr">
        <is>
          <t xml:space="preserve">act_s_amer_west_in_aug25</t>
        </is>
      </c>
      <c r="B48" s="0" t="inlineStr">
        <is>
          <t xml:space="preserve">s_amer_west_in</t>
        </is>
      </c>
      <c r="C48" s="0" t="inlineStr">
        <is>
          <t xml:space="preserve">aug25</t>
        </is>
      </c>
      <c r="D48" s="4">
        <v>393</v>
      </c>
      <c r="E48" s="4">
        <v>637</v>
      </c>
      <c r="F48" s="4">
        <v>95</v>
      </c>
      <c r="G48" s="4">
        <v>21</v>
      </c>
      <c r="H48" s="4">
        <v>17</v>
      </c>
      <c r="I48" s="4">
        <v>11</v>
      </c>
    </row>
    <row r="49">
      <c r="A49" s="0" t="inlineStr">
        <is>
          <t xml:space="preserve">act_s_amer_west_in_sep25</t>
        </is>
      </c>
      <c r="B49" s="0" t="inlineStr">
        <is>
          <t xml:space="preserve">s_amer_west_in</t>
        </is>
      </c>
      <c r="C49" s="0" t="inlineStr">
        <is>
          <t xml:space="preserve">sep25</t>
        </is>
      </c>
      <c r="D49" s="4">
        <v>989</v>
      </c>
      <c r="E49" s="4">
        <v>1768</v>
      </c>
      <c r="F49" s="4">
        <v>158</v>
      </c>
      <c r="G49" s="4">
        <v>28</v>
      </c>
      <c r="H49" s="4">
        <v>22</v>
      </c>
      <c r="I49" s="4">
        <v>15</v>
      </c>
    </row>
    <row r="50">
      <c r="A50" s="0" t="inlineStr">
        <is>
          <t xml:space="preserve">act_s_amer_west_in_oct25</t>
        </is>
      </c>
      <c r="B50" s="0" t="inlineStr">
        <is>
          <t xml:space="preserve">s_amer_west_in</t>
        </is>
      </c>
      <c r="C50" s="0" t="inlineStr">
        <is>
          <t xml:space="preserve">oct25</t>
        </is>
      </c>
      <c r="D50" s="4">
        <v>570</v>
      </c>
      <c r="E50" s="4">
        <v>844</v>
      </c>
      <c r="F50" s="4">
        <v>111</v>
      </c>
      <c r="G50" s="4">
        <v>19</v>
      </c>
      <c r="H50" s="4">
        <v>14</v>
      </c>
      <c r="I50" s="4">
        <v>9</v>
      </c>
    </row>
    <row r="51">
      <c r="A51" s="0" t="inlineStr">
        <is>
          <t xml:space="preserve">act_s_amer_west_in_nov25</t>
        </is>
      </c>
      <c r="B51" s="0" t="inlineStr">
        <is>
          <t xml:space="preserve">s_amer_west_in</t>
        </is>
      </c>
      <c r="C51" s="0" t="inlineStr">
        <is>
          <t xml:space="preserve">nov25</t>
        </is>
      </c>
      <c r="D51" s="4">
        <v>683</v>
      </c>
      <c r="E51" s="4">
        <v>1073</v>
      </c>
      <c r="F51" s="4">
        <v>157</v>
      </c>
      <c r="G51" s="4">
        <v>26</v>
      </c>
      <c r="H51" s="4">
        <v>19</v>
      </c>
      <c r="I51" s="4">
        <v>12</v>
      </c>
    </row>
    <row r="52">
      <c r="A52" s="0" t="inlineStr">
        <is>
          <t xml:space="preserve">act_s_amer_west_in_dec25</t>
        </is>
      </c>
      <c r="B52" s="0" t="inlineStr">
        <is>
          <t xml:space="preserve">s_amer_west_in</t>
        </is>
      </c>
      <c r="C52" s="0" t="inlineStr">
        <is>
          <t xml:space="preserve">dec25</t>
        </is>
      </c>
      <c r="D52" s="4">
        <v>1416</v>
      </c>
      <c r="E52" s="4">
        <v>2492</v>
      </c>
      <c r="F52" s="4">
        <v>191</v>
      </c>
      <c r="G52" s="4">
        <v>31</v>
      </c>
      <c r="H52" s="4">
        <v>25</v>
      </c>
      <c r="I52" s="4">
        <v>17</v>
      </c>
    </row>
    <row r="53">
      <c r="A53" s="0" t="inlineStr">
        <is>
          <t xml:space="preserve">act_s_amer_west_in_jan26</t>
        </is>
      </c>
      <c r="B53" s="0" t="inlineStr">
        <is>
          <t xml:space="preserve">s_amer_west_in</t>
        </is>
      </c>
      <c r="C53" s="0" t="inlineStr">
        <is>
          <t xml:space="preserve">jan26</t>
        </is>
      </c>
      <c r="D53" s="4">
        <v>720</v>
      </c>
      <c r="E53" s="4">
        <v>1405</v>
      </c>
      <c r="F53" s="4">
        <v>110</v>
      </c>
      <c r="G53" s="4">
        <v>18</v>
      </c>
      <c r="H53" s="4">
        <v>15</v>
      </c>
      <c r="I53" s="4">
        <v>10</v>
      </c>
    </row>
    <row r="54">
      <c r="A54" s="0" t="inlineStr">
        <is>
          <t xml:space="preserve">act_s_amer_west_in_feb26</t>
        </is>
      </c>
      <c r="B54" s="0" t="inlineStr">
        <is>
          <t xml:space="preserve">s_amer_west_in</t>
        </is>
      </c>
      <c r="C54" s="0" t="inlineStr">
        <is>
          <t xml:space="preserve">feb26</t>
        </is>
      </c>
      <c r="D54" s="4">
        <v>1078</v>
      </c>
      <c r="E54" s="4">
        <v>1812</v>
      </c>
      <c r="F54" s="4">
        <v>181</v>
      </c>
      <c r="G54" s="4">
        <v>29</v>
      </c>
      <c r="H54" s="4">
        <v>23</v>
      </c>
      <c r="I54" s="4">
        <v>14</v>
      </c>
    </row>
    <row r="55">
      <c r="A55" s="0" t="inlineStr">
        <is>
          <t xml:space="preserve">act_s_amer_west_in_mar26</t>
        </is>
      </c>
      <c r="B55" s="0" t="inlineStr">
        <is>
          <t xml:space="preserve">s_amer_west_in</t>
        </is>
      </c>
      <c r="C55" s="0" t="inlineStr">
        <is>
          <t xml:space="preserve">mar26</t>
        </is>
      </c>
      <c r="D55" s="4">
        <v>511</v>
      </c>
      <c r="E55" s="4">
        <v>969</v>
      </c>
      <c r="F55" s="4">
        <v>104</v>
      </c>
      <c r="G55" s="4">
        <v>21</v>
      </c>
      <c r="H55" s="4">
        <v>16</v>
      </c>
      <c r="I55" s="4">
        <v>12</v>
      </c>
    </row>
    <row r="56">
      <c r="A56" s="0" t="inlineStr">
        <is>
          <t xml:space="preserve">act_s_amer_west_in_apr26</t>
        </is>
      </c>
      <c r="B56" s="0" t="inlineStr">
        <is>
          <t xml:space="preserve">s_amer_west_in</t>
        </is>
      </c>
      <c r="C56" s="0" t="inlineStr">
        <is>
          <t xml:space="preserve">apr26</t>
        </is>
      </c>
      <c r="D56" s="4">
        <v>596</v>
      </c>
      <c r="E56" s="4">
        <v>960</v>
      </c>
      <c r="F56" s="4">
        <v>107</v>
      </c>
      <c r="G56" s="4">
        <v>27</v>
      </c>
      <c r="H56" s="4">
        <v>20</v>
      </c>
      <c r="I56" s="4">
        <v>16</v>
      </c>
    </row>
    <row r="57">
      <c r="A57" s="0" t="inlineStr">
        <is>
          <t xml:space="preserve">act_s_amer_west_in_may26</t>
        </is>
      </c>
      <c r="B57" s="0" t="inlineStr">
        <is>
          <t xml:space="preserve">s_amer_west_in</t>
        </is>
      </c>
      <c r="C57" s="0" t="inlineStr">
        <is>
          <t xml:space="preserve">may26</t>
        </is>
      </c>
      <c r="D57" s="4">
        <v>649</v>
      </c>
      <c r="E57" s="4">
        <v>1214</v>
      </c>
      <c r="F57" s="4">
        <v>129</v>
      </c>
      <c r="G57" s="4">
        <v>27</v>
      </c>
      <c r="H57" s="4">
        <v>20</v>
      </c>
      <c r="I57" s="4">
        <v>13</v>
      </c>
    </row>
    <row r="58">
      <c r="A58" s="0" t="inlineStr">
        <is>
          <t xml:space="preserve">act_s_amer_west_in_jun26</t>
        </is>
      </c>
      <c r="B58" s="0" t="inlineStr">
        <is>
          <t xml:space="preserve">s_amer_west_in</t>
        </is>
      </c>
      <c r="C58" s="0" t="inlineStr">
        <is>
          <t xml:space="preserve">jun26</t>
        </is>
      </c>
      <c r="D58" s="4">
        <v>1125</v>
      </c>
      <c r="E58" s="4">
        <v>2096</v>
      </c>
      <c r="F58" s="4">
        <v>204</v>
      </c>
      <c r="G58" s="4">
        <v>43</v>
      </c>
      <c r="H58" s="4">
        <v>36</v>
      </c>
      <c r="I58" s="4">
        <v>21</v>
      </c>
    </row>
    <row r="59">
      <c r="A59" s="0" t="inlineStr">
        <is>
          <t xml:space="preserve">act_s_amer_west_in_jul26</t>
        </is>
      </c>
      <c r="B59" s="0" t="inlineStr">
        <is>
          <t xml:space="preserve">s_amer_west_in</t>
        </is>
      </c>
      <c r="C59" s="0" t="inlineStr">
        <is>
          <t xml:space="preserve">jul26</t>
        </is>
      </c>
      <c r="D59" s="4">
        <v>1334</v>
      </c>
      <c r="E59" s="4">
        <v>1895</v>
      </c>
      <c r="F59" s="4">
        <v>230</v>
      </c>
      <c r="G59" s="4">
        <v>42</v>
      </c>
      <c r="H59" s="4">
        <v>33</v>
      </c>
      <c r="I59" s="4">
        <v>22</v>
      </c>
    </row>
    <row r="60">
      <c r="A60" s="0" t="inlineStr">
        <is>
          <t xml:space="preserve">act_s_amer_west_in_aug26</t>
        </is>
      </c>
      <c r="B60" s="0" t="inlineStr">
        <is>
          <t xml:space="preserve">s_amer_west_in</t>
        </is>
      </c>
      <c r="C60" s="0" t="inlineStr">
        <is>
          <t xml:space="preserve">aug26</t>
        </is>
      </c>
      <c r="D60" s="4">
        <v>684</v>
      </c>
      <c r="E60" s="4">
        <v>1115</v>
      </c>
      <c r="F60" s="4">
        <v>122</v>
      </c>
      <c r="G60" s="4">
        <v>20</v>
      </c>
      <c r="H60" s="4">
        <v>15</v>
      </c>
      <c r="I60" s="4">
        <v>11</v>
      </c>
    </row>
    <row r="61">
      <c r="A61" s="0" t="inlineStr">
        <is>
          <t xml:space="preserve">act_s_amer_west_in_sep26</t>
        </is>
      </c>
      <c r="B61" s="0" t="inlineStr">
        <is>
          <t xml:space="preserve">s_amer_west_in</t>
        </is>
      </c>
      <c r="C61" s="0" t="inlineStr">
        <is>
          <t xml:space="preserve">sep26</t>
        </is>
      </c>
      <c r="D61" s="4">
        <v>899</v>
      </c>
      <c r="E61" s="4">
        <v>903</v>
      </c>
      <c r="F61" s="4">
        <v>172</v>
      </c>
      <c r="G61" s="4">
        <v>30</v>
      </c>
      <c r="H61" s="4">
        <v>24</v>
      </c>
      <c r="I61" s="4">
        <v>16</v>
      </c>
    </row>
    <row r="62">
      <c r="A62" s="0" t="inlineStr">
        <is>
          <t xml:space="preserve">act_s_amer_west_in_oct26</t>
        </is>
      </c>
      <c r="B62" s="0" t="inlineStr">
        <is>
          <t xml:space="preserve">s_amer_west_in</t>
        </is>
      </c>
      <c r="C62" s="0" t="inlineStr">
        <is>
          <t xml:space="preserve">oct26</t>
        </is>
      </c>
      <c r="D62" s="4">
        <v>610</v>
      </c>
      <c r="E62" s="4">
        <v>1009</v>
      </c>
      <c r="F62" s="4">
        <v>102</v>
      </c>
      <c r="G62" s="4">
        <v>18</v>
      </c>
      <c r="H62" s="4">
        <v>14</v>
      </c>
      <c r="I62" s="4">
        <v>10</v>
      </c>
    </row>
    <row r="63">
      <c r="A63" s="0" t="inlineStr">
        <is>
          <t xml:space="preserve">act_s_amer_west_in_nov26</t>
        </is>
      </c>
      <c r="B63" s="0" t="inlineStr">
        <is>
          <t xml:space="preserve">s_amer_west_in</t>
        </is>
      </c>
      <c r="C63" s="0" t="inlineStr">
        <is>
          <t xml:space="preserve">nov26</t>
        </is>
      </c>
      <c r="D63" s="4">
        <v>328</v>
      </c>
      <c r="E63" s="4">
        <v>495</v>
      </c>
      <c r="F63" s="4">
        <v>70</v>
      </c>
      <c r="G63" s="4">
        <v>12</v>
      </c>
      <c r="H63" s="4">
        <v>11</v>
      </c>
      <c r="I63" s="4">
        <v>7</v>
      </c>
    </row>
    <row r="64">
      <c r="A64" s="0" t="inlineStr">
        <is>
          <t xml:space="preserve">act_s_amer_west_in_dec26</t>
        </is>
      </c>
      <c r="B64" s="0" t="inlineStr">
        <is>
          <t xml:space="preserve">s_amer_west_in</t>
        </is>
      </c>
      <c r="C64" s="0" t="inlineStr">
        <is>
          <t xml:space="preserve">dec26</t>
        </is>
      </c>
      <c r="D64" s="4">
        <v>510</v>
      </c>
      <c r="E64" s="4">
        <v>808</v>
      </c>
      <c r="F64" s="4">
        <v>105</v>
      </c>
      <c r="G64" s="4">
        <v>29</v>
      </c>
      <c r="H64" s="4">
        <v>24</v>
      </c>
      <c r="I64" s="4">
        <v>15</v>
      </c>
    </row>
    <row r="65">
      <c r="A65" s="0" t="inlineStr">
        <is>
          <t xml:space="preserve">act_s_amer_west_out_apr25</t>
        </is>
      </c>
      <c r="B65" s="0" t="inlineStr">
        <is>
          <t xml:space="preserve">s_amer_west_out</t>
        </is>
      </c>
      <c r="C65" s="0" t="inlineStr">
        <is>
          <t xml:space="preserve">apr25</t>
        </is>
      </c>
      <c r="D65" s="4">
        <v>639</v>
      </c>
      <c r="E65" s="4">
        <v>1320</v>
      </c>
      <c r="F65" s="4">
        <v>49</v>
      </c>
      <c r="G65" s="4">
        <v>8</v>
      </c>
      <c r="H65" s="4">
        <v>6</v>
      </c>
      <c r="I65" s="4">
        <v>4</v>
      </c>
    </row>
    <row r="66">
      <c r="A66" s="0" t="inlineStr">
        <is>
          <t xml:space="preserve">act_s_amer_west_out_may25</t>
        </is>
      </c>
      <c r="B66" s="0" t="inlineStr">
        <is>
          <t xml:space="preserve">s_amer_west_out</t>
        </is>
      </c>
      <c r="C66" s="0" t="inlineStr">
        <is>
          <t xml:space="preserve">may25</t>
        </is>
      </c>
      <c r="D66" s="4">
        <v>722</v>
      </c>
      <c r="E66" s="4">
        <v>1346</v>
      </c>
      <c r="F66" s="4">
        <v>68</v>
      </c>
      <c r="G66" s="4">
        <v>18</v>
      </c>
      <c r="H66" s="4">
        <v>14</v>
      </c>
      <c r="I66" s="4">
        <v>12</v>
      </c>
    </row>
    <row r="67">
      <c r="A67" s="0" t="inlineStr">
        <is>
          <t xml:space="preserve">act_s_amer_west_out_jun25</t>
        </is>
      </c>
      <c r="B67" s="0" t="inlineStr">
        <is>
          <t xml:space="preserve">s_amer_west_out</t>
        </is>
      </c>
      <c r="C67" s="0" t="inlineStr">
        <is>
          <t xml:space="preserve">jun25</t>
        </is>
      </c>
      <c r="D67" s="4">
        <v>527</v>
      </c>
      <c r="E67" s="4">
        <v>1557</v>
      </c>
      <c r="F67" s="4">
        <v>46</v>
      </c>
      <c r="G67" s="4">
        <v>7</v>
      </c>
      <c r="H67" s="4">
        <v>5</v>
      </c>
      <c r="I67" s="4">
        <v>3</v>
      </c>
    </row>
    <row r="68">
      <c r="A68" s="0" t="inlineStr">
        <is>
          <t xml:space="preserve">act_s_amer_west_out_jul25</t>
        </is>
      </c>
      <c r="B68" s="0" t="inlineStr">
        <is>
          <t xml:space="preserve">s_amer_west_out</t>
        </is>
      </c>
      <c r="C68" s="0" t="inlineStr">
        <is>
          <t xml:space="preserve">jul25</t>
        </is>
      </c>
      <c r="D68" s="4">
        <v>789</v>
      </c>
      <c r="E68" s="4">
        <v>1160</v>
      </c>
      <c r="F68" s="4">
        <v>73</v>
      </c>
      <c r="G68" s="4">
        <v>18</v>
      </c>
      <c r="H68" s="4">
        <v>12</v>
      </c>
      <c r="I68" s="4">
        <v>8</v>
      </c>
    </row>
    <row r="69">
      <c r="A69" s="0" t="inlineStr">
        <is>
          <t xml:space="preserve">act_s_amer_west_out_aug25</t>
        </is>
      </c>
      <c r="B69" s="0" t="inlineStr">
        <is>
          <t xml:space="preserve">s_amer_west_out</t>
        </is>
      </c>
      <c r="C69" s="0" t="inlineStr">
        <is>
          <t xml:space="preserve">aug25</t>
        </is>
      </c>
      <c r="D69" s="4">
        <v>551</v>
      </c>
      <c r="E69" s="4">
        <v>1151</v>
      </c>
      <c r="F69" s="4">
        <v>49</v>
      </c>
      <c r="G69" s="4">
        <v>10</v>
      </c>
      <c r="H69" s="4">
        <v>4</v>
      </c>
      <c r="I69" s="4">
        <v>2</v>
      </c>
    </row>
    <row r="70">
      <c r="A70" s="0" t="inlineStr">
        <is>
          <t xml:space="preserve">act_s_amer_west_out_sep25</t>
        </is>
      </c>
      <c r="B70" s="0" t="inlineStr">
        <is>
          <t xml:space="preserve">s_amer_west_out</t>
        </is>
      </c>
      <c r="C70" s="0" t="inlineStr">
        <is>
          <t xml:space="preserve">sep25</t>
        </is>
      </c>
      <c r="D70" s="4">
        <v>392</v>
      </c>
      <c r="E70" s="4">
        <v>1122</v>
      </c>
      <c r="F70" s="4">
        <v>44</v>
      </c>
      <c r="G70" s="4">
        <v>8</v>
      </c>
      <c r="H70" s="4">
        <v>8</v>
      </c>
      <c r="I70" s="4">
        <v>5</v>
      </c>
    </row>
    <row r="71">
      <c r="A71" s="0" t="inlineStr">
        <is>
          <t xml:space="preserve">act_s_amer_west_out_oct25</t>
        </is>
      </c>
      <c r="B71" s="0" t="inlineStr">
        <is>
          <t xml:space="preserve">s_amer_west_out</t>
        </is>
      </c>
      <c r="C71" s="0" t="inlineStr">
        <is>
          <t xml:space="preserve">oct25</t>
        </is>
      </c>
      <c r="D71" s="4">
        <v>625</v>
      </c>
      <c r="E71" s="4">
        <v>1316</v>
      </c>
      <c r="F71" s="4">
        <v>53</v>
      </c>
      <c r="G71" s="4">
        <v>6</v>
      </c>
      <c r="H71" s="4">
        <v>6</v>
      </c>
      <c r="I71" s="4">
        <v>4</v>
      </c>
    </row>
    <row r="72">
      <c r="A72" s="0" t="inlineStr">
        <is>
          <t xml:space="preserve">act_s_amer_west_out_nov25</t>
        </is>
      </c>
      <c r="B72" s="0" t="inlineStr">
        <is>
          <t xml:space="preserve">s_amer_west_out</t>
        </is>
      </c>
      <c r="C72" s="0" t="inlineStr">
        <is>
          <t xml:space="preserve">nov25</t>
        </is>
      </c>
      <c r="D72" s="4">
        <v>653</v>
      </c>
      <c r="E72" s="4">
        <v>1416</v>
      </c>
      <c r="F72" s="4">
        <v>71</v>
      </c>
      <c r="G72" s="4">
        <v>11</v>
      </c>
      <c r="H72" s="4">
        <v>10</v>
      </c>
      <c r="I72" s="4">
        <v>5</v>
      </c>
    </row>
    <row r="73">
      <c r="A73" s="0" t="inlineStr">
        <is>
          <t xml:space="preserve">act_s_amer_west_out_dec25</t>
        </is>
      </c>
      <c r="B73" s="0" t="inlineStr">
        <is>
          <t xml:space="preserve">s_amer_west_out</t>
        </is>
      </c>
      <c r="C73" s="0" t="inlineStr">
        <is>
          <t xml:space="preserve">dec25</t>
        </is>
      </c>
      <c r="D73" s="4">
        <v>696</v>
      </c>
      <c r="E73" s="4">
        <v>1104</v>
      </c>
      <c r="F73" s="4">
        <v>57</v>
      </c>
      <c r="G73" s="4">
        <v>8</v>
      </c>
      <c r="H73" s="4">
        <v>8</v>
      </c>
      <c r="I73" s="4">
        <v>7</v>
      </c>
    </row>
    <row r="74">
      <c r="A74" s="0" t="inlineStr">
        <is>
          <t xml:space="preserve">act_s_amer_west_out_jan26</t>
        </is>
      </c>
      <c r="B74" s="0" t="inlineStr">
        <is>
          <t xml:space="preserve">s_amer_west_out</t>
        </is>
      </c>
      <c r="C74" s="0" t="inlineStr">
        <is>
          <t xml:space="preserve">jan26</t>
        </is>
      </c>
      <c r="D74" s="4">
        <v>653</v>
      </c>
      <c r="E74" s="4">
        <v>1805</v>
      </c>
      <c r="F74" s="4">
        <v>59</v>
      </c>
      <c r="G74" s="4">
        <v>11</v>
      </c>
      <c r="H74" s="4">
        <v>10</v>
      </c>
      <c r="I74" s="4">
        <v>5</v>
      </c>
    </row>
    <row r="75">
      <c r="A75" s="0" t="inlineStr">
        <is>
          <t xml:space="preserve">act_s_amer_west_out_feb26</t>
        </is>
      </c>
      <c r="B75" s="0" t="inlineStr">
        <is>
          <t xml:space="preserve">s_amer_west_out</t>
        </is>
      </c>
      <c r="C75" s="0" t="inlineStr">
        <is>
          <t xml:space="preserve">feb26</t>
        </is>
      </c>
      <c r="D75" s="4">
        <v>669</v>
      </c>
      <c r="E75" s="4">
        <v>1150</v>
      </c>
      <c r="F75" s="4">
        <v>52</v>
      </c>
      <c r="G75" s="4">
        <v>8</v>
      </c>
      <c r="H75" s="4">
        <v>7</v>
      </c>
      <c r="I75" s="4">
        <v>4</v>
      </c>
    </row>
    <row r="76">
      <c r="A76" s="0" t="inlineStr">
        <is>
          <t xml:space="preserve">act_s_amer_west_out_mar26</t>
        </is>
      </c>
      <c r="B76" s="0" t="inlineStr">
        <is>
          <t xml:space="preserve">s_amer_west_out</t>
        </is>
      </c>
      <c r="C76" s="0" t="inlineStr">
        <is>
          <t xml:space="preserve">mar26</t>
        </is>
      </c>
      <c r="D76" s="4">
        <v>653</v>
      </c>
      <c r="E76" s="4">
        <v>1161</v>
      </c>
      <c r="F76" s="4">
        <v>53</v>
      </c>
      <c r="G76" s="4">
        <v>8</v>
      </c>
      <c r="H76" s="4">
        <v>5</v>
      </c>
      <c r="I76" s="4">
        <v>4</v>
      </c>
    </row>
    <row r="77">
      <c r="A77" s="0" t="inlineStr">
        <is>
          <t xml:space="preserve">act_s_amer_west_out_apr26</t>
        </is>
      </c>
      <c r="B77" s="0" t="inlineStr">
        <is>
          <t xml:space="preserve">s_amer_west_out</t>
        </is>
      </c>
      <c r="C77" s="0" t="inlineStr">
        <is>
          <t xml:space="preserve">apr26</t>
        </is>
      </c>
      <c r="D77" s="4">
        <v>637</v>
      </c>
      <c r="E77" s="4">
        <v>797</v>
      </c>
      <c r="F77" s="4">
        <v>50</v>
      </c>
      <c r="G77" s="4">
        <v>7</v>
      </c>
      <c r="H77" s="4">
        <v>7</v>
      </c>
      <c r="I77" s="4">
        <v>3</v>
      </c>
    </row>
    <row r="78">
      <c r="A78" s="0" t="inlineStr">
        <is>
          <t xml:space="preserve">act_s_amer_west_out_may26</t>
        </is>
      </c>
      <c r="B78" s="0" t="inlineStr">
        <is>
          <t xml:space="preserve">s_amer_west_out</t>
        </is>
      </c>
      <c r="C78" s="0" t="inlineStr">
        <is>
          <t xml:space="preserve">may26</t>
        </is>
      </c>
      <c r="D78" s="4">
        <v>649</v>
      </c>
      <c r="E78" s="4">
        <v>1103</v>
      </c>
      <c r="F78" s="4">
        <v>46</v>
      </c>
      <c r="G78" s="4">
        <v>10</v>
      </c>
      <c r="H78" s="4">
        <v>6</v>
      </c>
      <c r="I78" s="4">
        <v>4</v>
      </c>
    </row>
    <row r="79">
      <c r="A79" s="0" t="inlineStr">
        <is>
          <t xml:space="preserve">act_s_amer_west_out_jun26</t>
        </is>
      </c>
      <c r="B79" s="0" t="inlineStr">
        <is>
          <t xml:space="preserve">s_amer_west_out</t>
        </is>
      </c>
      <c r="C79" s="0" t="inlineStr">
        <is>
          <t xml:space="preserve">jun26</t>
        </is>
      </c>
      <c r="D79" s="4">
        <v>561</v>
      </c>
      <c r="E79" s="4">
        <v>1713</v>
      </c>
      <c r="F79" s="4">
        <v>54</v>
      </c>
      <c r="G79" s="4">
        <v>11</v>
      </c>
      <c r="H79" s="4">
        <v>8</v>
      </c>
      <c r="I79" s="4">
        <v>5</v>
      </c>
    </row>
    <row r="80">
      <c r="A80" s="0" t="inlineStr">
        <is>
          <t xml:space="preserve">act_s_amer_west_out_jul26</t>
        </is>
      </c>
      <c r="B80" s="0" t="inlineStr">
        <is>
          <t xml:space="preserve">s_amer_west_out</t>
        </is>
      </c>
      <c r="C80" s="0" t="inlineStr">
        <is>
          <t xml:space="preserve">jul26</t>
        </is>
      </c>
      <c r="D80" s="4">
        <v>712</v>
      </c>
      <c r="E80" s="4">
        <v>981</v>
      </c>
      <c r="F80" s="4">
        <v>66</v>
      </c>
      <c r="G80" s="4">
        <v>9</v>
      </c>
      <c r="H80" s="4">
        <v>7</v>
      </c>
      <c r="I80" s="4">
        <v>4</v>
      </c>
    </row>
    <row r="81">
      <c r="A81" s="0" t="inlineStr">
        <is>
          <t xml:space="preserve">act_s_amer_west_out_aug26</t>
        </is>
      </c>
      <c r="B81" s="0" t="inlineStr">
        <is>
          <t xml:space="preserve">s_amer_west_out</t>
        </is>
      </c>
      <c r="C81" s="0" t="inlineStr">
        <is>
          <t xml:space="preserve">aug26</t>
        </is>
      </c>
      <c r="D81" s="4">
        <v>610</v>
      </c>
      <c r="E81" s="4">
        <v>1348</v>
      </c>
      <c r="F81" s="4">
        <v>54</v>
      </c>
      <c r="G81" s="4">
        <v>12</v>
      </c>
      <c r="H81" s="4">
        <v>10</v>
      </c>
      <c r="I81" s="4">
        <v>6</v>
      </c>
    </row>
    <row r="82">
      <c r="A82" s="0" t="inlineStr">
        <is>
          <t xml:space="preserve">act_s_amer_west_out_sep26</t>
        </is>
      </c>
      <c r="B82" s="0" t="inlineStr">
        <is>
          <t xml:space="preserve">s_amer_west_out</t>
        </is>
      </c>
      <c r="C82" s="0" t="inlineStr">
        <is>
          <t xml:space="preserve">sep26</t>
        </is>
      </c>
      <c r="D82" s="4">
        <v>676</v>
      </c>
      <c r="E82" s="4">
        <v>1376</v>
      </c>
      <c r="F82" s="4">
        <v>71</v>
      </c>
      <c r="G82" s="4">
        <v>16</v>
      </c>
      <c r="H82" s="4">
        <v>10</v>
      </c>
      <c r="I82" s="4">
        <v>6</v>
      </c>
    </row>
    <row r="83">
      <c r="A83" s="0" t="inlineStr">
        <is>
          <t xml:space="preserve">act_s_amer_west_out_oct26</t>
        </is>
      </c>
      <c r="B83" s="0" t="inlineStr">
        <is>
          <t xml:space="preserve">s_amer_west_out</t>
        </is>
      </c>
      <c r="C83" s="0" t="inlineStr">
        <is>
          <t xml:space="preserve">oct26</t>
        </is>
      </c>
      <c r="D83" s="4">
        <v>436</v>
      </c>
      <c r="E83" s="4">
        <v>1713</v>
      </c>
      <c r="F83" s="4">
        <v>43</v>
      </c>
      <c r="G83" s="4">
        <v>7</v>
      </c>
      <c r="H83" s="4">
        <v>7</v>
      </c>
      <c r="I83" s="4">
        <v>6</v>
      </c>
    </row>
    <row r="84">
      <c r="A84" s="0" t="inlineStr">
        <is>
          <t xml:space="preserve">act_s_amer_west_out_nov26</t>
        </is>
      </c>
      <c r="B84" s="0" t="inlineStr">
        <is>
          <t xml:space="preserve">s_amer_west_out</t>
        </is>
      </c>
      <c r="C84" s="0" t="inlineStr">
        <is>
          <t xml:space="preserve">nov26</t>
        </is>
      </c>
      <c r="D84" s="4">
        <v>549</v>
      </c>
      <c r="E84" s="4">
        <v>1545</v>
      </c>
      <c r="F84" s="4">
        <v>47</v>
      </c>
      <c r="G84" s="4">
        <v>10</v>
      </c>
      <c r="H84" s="4">
        <v>7</v>
      </c>
      <c r="I84" s="4">
        <v>5</v>
      </c>
    </row>
    <row r="85">
      <c r="A85" s="0" t="inlineStr">
        <is>
          <t xml:space="preserve">act_s_amer_west_out_dec26</t>
        </is>
      </c>
      <c r="B85" s="0" t="inlineStr">
        <is>
          <t xml:space="preserve">s_amer_west_out</t>
        </is>
      </c>
      <c r="C85" s="0" t="inlineStr">
        <is>
          <t xml:space="preserve">dec26</t>
        </is>
      </c>
      <c r="D85" s="4">
        <v>641</v>
      </c>
      <c r="E85" s="4">
        <v>1214</v>
      </c>
      <c r="F85" s="4">
        <v>52</v>
      </c>
      <c r="G85" s="4">
        <v>12</v>
      </c>
      <c r="H85" s="4">
        <v>7</v>
      </c>
      <c r="I85" s="4">
        <v>5</v>
      </c>
    </row>
    <row r="86">
      <c r="A86" s="0" t="inlineStr">
        <is>
          <t xml:space="preserve">act_s_emea_in_apr25</t>
        </is>
      </c>
      <c r="B86" s="0" t="inlineStr">
        <is>
          <t xml:space="preserve">s_emea_in</t>
        </is>
      </c>
      <c r="C86" s="0" t="inlineStr">
        <is>
          <t xml:space="preserve">apr25</t>
        </is>
      </c>
      <c r="D86" s="4">
        <v>991</v>
      </c>
      <c r="E86" s="4">
        <v>1791</v>
      </c>
      <c r="F86" s="4">
        <v>203</v>
      </c>
      <c r="G86" s="4">
        <v>33</v>
      </c>
      <c r="H86" s="4">
        <v>21</v>
      </c>
      <c r="I86" s="4">
        <v>14</v>
      </c>
    </row>
    <row r="87">
      <c r="A87" s="0" t="inlineStr">
        <is>
          <t xml:space="preserve">act_s_emea_in_may25</t>
        </is>
      </c>
      <c r="B87" s="0" t="inlineStr">
        <is>
          <t xml:space="preserve">s_emea_in</t>
        </is>
      </c>
      <c r="C87" s="0" t="inlineStr">
        <is>
          <t xml:space="preserve">may25</t>
        </is>
      </c>
      <c r="D87" s="4">
        <v>1245</v>
      </c>
      <c r="E87" s="4">
        <v>2029</v>
      </c>
      <c r="F87" s="4">
        <v>135</v>
      </c>
      <c r="G87" s="4">
        <v>25</v>
      </c>
      <c r="H87" s="4">
        <v>20</v>
      </c>
      <c r="I87" s="4">
        <v>16</v>
      </c>
    </row>
    <row r="88">
      <c r="A88" s="0" t="inlineStr">
        <is>
          <t xml:space="preserve">act_s_emea_in_jun25</t>
        </is>
      </c>
      <c r="B88" s="0" t="inlineStr">
        <is>
          <t xml:space="preserve">s_emea_in</t>
        </is>
      </c>
      <c r="C88" s="0" t="inlineStr">
        <is>
          <t xml:space="preserve">jun25</t>
        </is>
      </c>
      <c r="D88" s="4">
        <v>1248</v>
      </c>
      <c r="E88" s="4">
        <v>1702</v>
      </c>
      <c r="F88" s="4">
        <v>144</v>
      </c>
      <c r="G88" s="4">
        <v>29</v>
      </c>
      <c r="H88" s="4">
        <v>21</v>
      </c>
      <c r="I88" s="4">
        <v>16</v>
      </c>
    </row>
    <row r="89">
      <c r="A89" s="0" t="inlineStr">
        <is>
          <t xml:space="preserve">act_s_emea_in_jul25</t>
        </is>
      </c>
      <c r="B89" s="0" t="inlineStr">
        <is>
          <t xml:space="preserve">s_emea_in</t>
        </is>
      </c>
      <c r="C89" s="0" t="inlineStr">
        <is>
          <t xml:space="preserve">jul25</t>
        </is>
      </c>
      <c r="D89" s="4">
        <v>1273</v>
      </c>
      <c r="E89" s="4">
        <v>2326</v>
      </c>
      <c r="F89" s="4">
        <v>191</v>
      </c>
      <c r="G89" s="4">
        <v>35</v>
      </c>
      <c r="H89" s="4">
        <v>25</v>
      </c>
      <c r="I89" s="4">
        <v>15</v>
      </c>
    </row>
    <row r="90">
      <c r="A90" s="0" t="inlineStr">
        <is>
          <t xml:space="preserve">act_s_emea_in_aug25</t>
        </is>
      </c>
      <c r="B90" s="0" t="inlineStr">
        <is>
          <t xml:space="preserve">s_emea_in</t>
        </is>
      </c>
      <c r="C90" s="0" t="inlineStr">
        <is>
          <t xml:space="preserve">aug25</t>
        </is>
      </c>
      <c r="D90" s="4">
        <v>579</v>
      </c>
      <c r="E90" s="4">
        <v>930</v>
      </c>
      <c r="F90" s="4">
        <v>98</v>
      </c>
      <c r="G90" s="4">
        <v>16</v>
      </c>
      <c r="H90" s="4">
        <v>12</v>
      </c>
      <c r="I90" s="4">
        <v>9</v>
      </c>
    </row>
    <row r="91">
      <c r="A91" s="0" t="inlineStr">
        <is>
          <t xml:space="preserve">act_s_emea_in_sep25</t>
        </is>
      </c>
      <c r="B91" s="0" t="inlineStr">
        <is>
          <t xml:space="preserve">s_emea_in</t>
        </is>
      </c>
      <c r="C91" s="0" t="inlineStr">
        <is>
          <t xml:space="preserve">sep25</t>
        </is>
      </c>
      <c r="D91" s="4">
        <v>500</v>
      </c>
      <c r="E91" s="4">
        <v>751</v>
      </c>
      <c r="F91" s="4">
        <v>99</v>
      </c>
      <c r="G91" s="4">
        <v>18</v>
      </c>
      <c r="H91" s="4">
        <v>15</v>
      </c>
      <c r="I91" s="4">
        <v>9</v>
      </c>
    </row>
    <row r="92">
      <c r="A92" s="0" t="inlineStr">
        <is>
          <t xml:space="preserve">act_s_emea_in_oct25</t>
        </is>
      </c>
      <c r="B92" s="0" t="inlineStr">
        <is>
          <t xml:space="preserve">s_emea_in</t>
        </is>
      </c>
      <c r="C92" s="0" t="inlineStr">
        <is>
          <t xml:space="preserve">oct25</t>
        </is>
      </c>
      <c r="D92" s="4">
        <v>684</v>
      </c>
      <c r="E92" s="4">
        <v>982</v>
      </c>
      <c r="F92" s="4">
        <v>119</v>
      </c>
      <c r="G92" s="4">
        <v>20</v>
      </c>
      <c r="H92" s="4">
        <v>19</v>
      </c>
      <c r="I92" s="4">
        <v>12</v>
      </c>
    </row>
    <row r="93">
      <c r="A93" s="0" t="inlineStr">
        <is>
          <t xml:space="preserve">act_s_emea_in_nov25</t>
        </is>
      </c>
      <c r="B93" s="0" t="inlineStr">
        <is>
          <t xml:space="preserve">s_emea_in</t>
        </is>
      </c>
      <c r="C93" s="0" t="inlineStr">
        <is>
          <t xml:space="preserve">nov25</t>
        </is>
      </c>
      <c r="D93" s="4">
        <v>1442</v>
      </c>
      <c r="E93" s="4">
        <v>2255</v>
      </c>
      <c r="F93" s="4">
        <v>226</v>
      </c>
      <c r="G93" s="4">
        <v>32</v>
      </c>
      <c r="H93" s="4">
        <v>24</v>
      </c>
      <c r="I93" s="4">
        <v>17</v>
      </c>
    </row>
    <row r="94">
      <c r="A94" s="0" t="inlineStr">
        <is>
          <t xml:space="preserve">act_s_emea_in_dec25</t>
        </is>
      </c>
      <c r="B94" s="0" t="inlineStr">
        <is>
          <t xml:space="preserve">s_emea_in</t>
        </is>
      </c>
      <c r="C94" s="0" t="inlineStr">
        <is>
          <t xml:space="preserve">dec25</t>
        </is>
      </c>
      <c r="D94" s="4">
        <v>670</v>
      </c>
      <c r="E94" s="4">
        <v>1195</v>
      </c>
      <c r="F94" s="4">
        <v>120</v>
      </c>
      <c r="G94" s="4">
        <v>29</v>
      </c>
      <c r="H94" s="4">
        <v>22</v>
      </c>
      <c r="I94" s="4">
        <v>15</v>
      </c>
    </row>
    <row r="95">
      <c r="A95" s="0" t="inlineStr">
        <is>
          <t xml:space="preserve">act_s_emea_in_jan26</t>
        </is>
      </c>
      <c r="B95" s="0" t="inlineStr">
        <is>
          <t xml:space="preserve">s_emea_in</t>
        </is>
      </c>
      <c r="C95" s="0" t="inlineStr">
        <is>
          <t xml:space="preserve">jan26</t>
        </is>
      </c>
      <c r="D95" s="4">
        <v>1637</v>
      </c>
      <c r="E95" s="4">
        <v>2504</v>
      </c>
      <c r="F95" s="4">
        <v>242</v>
      </c>
      <c r="G95" s="4">
        <v>35</v>
      </c>
      <c r="H95" s="4">
        <v>26</v>
      </c>
      <c r="I95" s="4">
        <v>19</v>
      </c>
    </row>
    <row r="96">
      <c r="A96" s="0" t="inlineStr">
        <is>
          <t xml:space="preserve">act_s_emea_in_feb26</t>
        </is>
      </c>
      <c r="B96" s="0" t="inlineStr">
        <is>
          <t xml:space="preserve">s_emea_in</t>
        </is>
      </c>
      <c r="C96" s="0" t="inlineStr">
        <is>
          <t xml:space="preserve">feb26</t>
        </is>
      </c>
      <c r="D96" s="4">
        <v>327</v>
      </c>
      <c r="E96" s="4">
        <v>533</v>
      </c>
      <c r="F96" s="4">
        <v>65</v>
      </c>
      <c r="G96" s="4">
        <v>18</v>
      </c>
      <c r="H96" s="4">
        <v>14</v>
      </c>
      <c r="I96" s="4">
        <v>11</v>
      </c>
    </row>
    <row r="97">
      <c r="A97" s="0" t="inlineStr">
        <is>
          <t xml:space="preserve">act_s_emea_in_mar26</t>
        </is>
      </c>
      <c r="B97" s="0" t="inlineStr">
        <is>
          <t xml:space="preserve">s_emea_in</t>
        </is>
      </c>
      <c r="C97" s="0" t="inlineStr">
        <is>
          <t xml:space="preserve">mar26</t>
        </is>
      </c>
      <c r="D97" s="4">
        <v>1230</v>
      </c>
      <c r="E97" s="4">
        <v>2281</v>
      </c>
      <c r="F97" s="4">
        <v>183</v>
      </c>
      <c r="G97" s="4">
        <v>28</v>
      </c>
      <c r="H97" s="4">
        <v>20</v>
      </c>
      <c r="I97" s="4">
        <v>13</v>
      </c>
    </row>
    <row r="98">
      <c r="A98" s="0" t="inlineStr">
        <is>
          <t xml:space="preserve">act_s_emea_in_apr26</t>
        </is>
      </c>
      <c r="B98" s="0" t="inlineStr">
        <is>
          <t xml:space="preserve">s_emea_in</t>
        </is>
      </c>
      <c r="C98" s="0" t="inlineStr">
        <is>
          <t xml:space="preserve">apr26</t>
        </is>
      </c>
      <c r="D98" s="4">
        <v>1243</v>
      </c>
      <c r="E98" s="4">
        <v>2297</v>
      </c>
      <c r="F98" s="4">
        <v>149</v>
      </c>
      <c r="G98" s="4">
        <v>26</v>
      </c>
      <c r="H98" s="4">
        <v>22</v>
      </c>
      <c r="I98" s="4">
        <v>16</v>
      </c>
    </row>
    <row r="99">
      <c r="A99" s="0" t="inlineStr">
        <is>
          <t xml:space="preserve">act_s_emea_in_may26</t>
        </is>
      </c>
      <c r="B99" s="0" t="inlineStr">
        <is>
          <t xml:space="preserve">s_emea_in</t>
        </is>
      </c>
      <c r="C99" s="0" t="inlineStr">
        <is>
          <t xml:space="preserve">may26</t>
        </is>
      </c>
      <c r="D99" s="4">
        <v>457</v>
      </c>
      <c r="E99" s="4">
        <v>676</v>
      </c>
      <c r="F99" s="4">
        <v>88</v>
      </c>
      <c r="G99" s="4">
        <v>14</v>
      </c>
      <c r="H99" s="4">
        <v>12</v>
      </c>
      <c r="I99" s="4">
        <v>9</v>
      </c>
    </row>
    <row r="100">
      <c r="A100" s="0" t="inlineStr">
        <is>
          <t xml:space="preserve">act_s_emea_in_jun26</t>
        </is>
      </c>
      <c r="B100" s="0" t="inlineStr">
        <is>
          <t xml:space="preserve">s_emea_in</t>
        </is>
      </c>
      <c r="C100" s="0" t="inlineStr">
        <is>
          <t xml:space="preserve">jun26</t>
        </is>
      </c>
      <c r="D100" s="4">
        <v>1043</v>
      </c>
      <c r="E100" s="4">
        <v>1461</v>
      </c>
      <c r="F100" s="4">
        <v>163</v>
      </c>
      <c r="G100" s="4">
        <v>32</v>
      </c>
      <c r="H100" s="4">
        <v>23</v>
      </c>
      <c r="I100" s="4">
        <v>15</v>
      </c>
    </row>
    <row r="101">
      <c r="A101" s="0" t="inlineStr">
        <is>
          <t xml:space="preserve">act_s_emea_in_jul26</t>
        </is>
      </c>
      <c r="B101" s="0" t="inlineStr">
        <is>
          <t xml:space="preserve">s_emea_in</t>
        </is>
      </c>
      <c r="C101" s="0" t="inlineStr">
        <is>
          <t xml:space="preserve">jul26</t>
        </is>
      </c>
      <c r="D101" s="4">
        <v>957</v>
      </c>
      <c r="E101" s="4">
        <v>1368</v>
      </c>
      <c r="F101" s="4">
        <v>126</v>
      </c>
      <c r="G101" s="4">
        <v>25</v>
      </c>
      <c r="H101" s="4">
        <v>18</v>
      </c>
      <c r="I101" s="4">
        <v>13</v>
      </c>
    </row>
    <row r="102">
      <c r="A102" s="0" t="inlineStr">
        <is>
          <t xml:space="preserve">act_s_emea_in_aug26</t>
        </is>
      </c>
      <c r="B102" s="0" t="inlineStr">
        <is>
          <t xml:space="preserve">s_emea_in</t>
        </is>
      </c>
      <c r="C102" s="0" t="inlineStr">
        <is>
          <t xml:space="preserve">aug26</t>
        </is>
      </c>
      <c r="D102" s="4">
        <v>794</v>
      </c>
      <c r="E102" s="4">
        <v>1241</v>
      </c>
      <c r="F102" s="4">
        <v>170</v>
      </c>
      <c r="G102" s="4">
        <v>30</v>
      </c>
      <c r="H102" s="4">
        <v>21</v>
      </c>
      <c r="I102" s="4">
        <v>14</v>
      </c>
    </row>
    <row r="103">
      <c r="A103" s="0" t="inlineStr">
        <is>
          <t xml:space="preserve">act_s_emea_in_sep26</t>
        </is>
      </c>
      <c r="B103" s="0" t="inlineStr">
        <is>
          <t xml:space="preserve">s_emea_in</t>
        </is>
      </c>
      <c r="C103" s="0" t="inlineStr">
        <is>
          <t xml:space="preserve">sep26</t>
        </is>
      </c>
      <c r="D103" s="4">
        <v>392</v>
      </c>
      <c r="E103" s="4">
        <v>558</v>
      </c>
      <c r="F103" s="4">
        <v>73</v>
      </c>
      <c r="G103" s="4">
        <v>13</v>
      </c>
      <c r="H103" s="4">
        <v>11</v>
      </c>
      <c r="I103" s="4">
        <v>8</v>
      </c>
    </row>
    <row r="104">
      <c r="A104" s="0" t="inlineStr">
        <is>
          <t xml:space="preserve">act_s_emea_in_oct26</t>
        </is>
      </c>
      <c r="B104" s="0" t="inlineStr">
        <is>
          <t xml:space="preserve">s_emea_in</t>
        </is>
      </c>
      <c r="C104" s="0" t="inlineStr">
        <is>
          <t xml:space="preserve">oct26</t>
        </is>
      </c>
      <c r="D104" s="4">
        <v>554</v>
      </c>
      <c r="E104" s="4">
        <v>1015</v>
      </c>
      <c r="F104" s="4">
        <v>125</v>
      </c>
      <c r="G104" s="4">
        <v>26</v>
      </c>
      <c r="H104" s="4">
        <v>17</v>
      </c>
      <c r="I104" s="4">
        <v>12</v>
      </c>
    </row>
    <row r="105">
      <c r="A105" s="0" t="inlineStr">
        <is>
          <t xml:space="preserve">act_s_emea_in_nov26</t>
        </is>
      </c>
      <c r="B105" s="0" t="inlineStr">
        <is>
          <t xml:space="preserve">s_emea_in</t>
        </is>
      </c>
      <c r="C105" s="0" t="inlineStr">
        <is>
          <t xml:space="preserve">nov26</t>
        </is>
      </c>
      <c r="D105" s="4">
        <v>2726</v>
      </c>
      <c r="E105" s="4">
        <v>5045</v>
      </c>
      <c r="F105" s="4">
        <v>270</v>
      </c>
      <c r="G105" s="4">
        <v>45</v>
      </c>
      <c r="H105" s="4">
        <v>29</v>
      </c>
      <c r="I105" s="4">
        <v>20</v>
      </c>
    </row>
    <row r="106">
      <c r="A106" s="0" t="inlineStr">
        <is>
          <t xml:space="preserve">act_s_emea_in_dec26</t>
        </is>
      </c>
      <c r="B106" s="0" t="inlineStr">
        <is>
          <t xml:space="preserve">s_emea_in</t>
        </is>
      </c>
      <c r="C106" s="0" t="inlineStr">
        <is>
          <t xml:space="preserve">dec26</t>
        </is>
      </c>
      <c r="D106" s="4">
        <v>537</v>
      </c>
      <c r="E106" s="4">
        <v>834</v>
      </c>
      <c r="F106" s="4">
        <v>127</v>
      </c>
      <c r="G106" s="4">
        <v>20</v>
      </c>
      <c r="H106" s="4">
        <v>17</v>
      </c>
      <c r="I106" s="4">
        <v>12</v>
      </c>
    </row>
    <row r="107">
      <c r="A107" s="0" t="inlineStr">
        <is>
          <t xml:space="preserve">act_s_emea_out_apr25</t>
        </is>
      </c>
      <c r="B107" s="0" t="inlineStr">
        <is>
          <t xml:space="preserve">s_emea_out</t>
        </is>
      </c>
      <c r="C107" s="0" t="inlineStr">
        <is>
          <t xml:space="preserve">apr25</t>
        </is>
      </c>
      <c r="D107" s="4">
        <v>618</v>
      </c>
      <c r="E107" s="4">
        <v>1407</v>
      </c>
      <c r="F107" s="4">
        <v>37</v>
      </c>
      <c r="G107" s="4">
        <v>4</v>
      </c>
      <c r="H107" s="4">
        <v>3</v>
      </c>
      <c r="I107" s="4">
        <v>3</v>
      </c>
    </row>
    <row r="108">
      <c r="A108" s="0" t="inlineStr">
        <is>
          <t xml:space="preserve">act_s_emea_out_may25</t>
        </is>
      </c>
      <c r="B108" s="0" t="inlineStr">
        <is>
          <t xml:space="preserve">s_emea_out</t>
        </is>
      </c>
      <c r="C108" s="0" t="inlineStr">
        <is>
          <t xml:space="preserve">may25</t>
        </is>
      </c>
      <c r="D108" s="4">
        <v>598</v>
      </c>
      <c r="E108" s="4">
        <v>1369</v>
      </c>
      <c r="F108" s="4">
        <v>57</v>
      </c>
      <c r="G108" s="4">
        <v>13</v>
      </c>
      <c r="H108" s="4">
        <v>10</v>
      </c>
      <c r="I108" s="4">
        <v>7</v>
      </c>
    </row>
    <row r="109">
      <c r="A109" s="0" t="inlineStr">
        <is>
          <t xml:space="preserve">act_s_emea_out_jun25</t>
        </is>
      </c>
      <c r="B109" s="0" t="inlineStr">
        <is>
          <t xml:space="preserve">s_emea_out</t>
        </is>
      </c>
      <c r="C109" s="0" t="inlineStr">
        <is>
          <t xml:space="preserve">jun25</t>
        </is>
      </c>
      <c r="D109" s="4">
        <v>641</v>
      </c>
      <c r="E109" s="4">
        <v>1636</v>
      </c>
      <c r="F109" s="4">
        <v>48</v>
      </c>
      <c r="G109" s="4">
        <v>10</v>
      </c>
      <c r="H109" s="4">
        <v>10</v>
      </c>
      <c r="I109" s="4">
        <v>7</v>
      </c>
    </row>
    <row r="110">
      <c r="A110" s="0" t="inlineStr">
        <is>
          <t xml:space="preserve">act_s_emea_out_jul25</t>
        </is>
      </c>
      <c r="B110" s="0" t="inlineStr">
        <is>
          <t xml:space="preserve">s_emea_out</t>
        </is>
      </c>
      <c r="C110" s="0" t="inlineStr">
        <is>
          <t xml:space="preserve">jul25</t>
        </is>
      </c>
      <c r="D110" s="4">
        <v>560</v>
      </c>
      <c r="E110" s="4">
        <v>1527</v>
      </c>
      <c r="F110" s="4">
        <v>41</v>
      </c>
      <c r="G110" s="4">
        <v>7</v>
      </c>
      <c r="H110" s="4">
        <v>4</v>
      </c>
      <c r="I110" s="4">
        <v>3</v>
      </c>
    </row>
    <row r="111">
      <c r="A111" s="0" t="inlineStr">
        <is>
          <t xml:space="preserve">act_s_emea_out_aug25</t>
        </is>
      </c>
      <c r="B111" s="0" t="inlineStr">
        <is>
          <t xml:space="preserve">s_emea_out</t>
        </is>
      </c>
      <c r="C111" s="0" t="inlineStr">
        <is>
          <t xml:space="preserve">aug25</t>
        </is>
      </c>
      <c r="D111" s="4">
        <v>475</v>
      </c>
      <c r="E111" s="4">
        <v>1011</v>
      </c>
      <c r="F111" s="4">
        <v>39</v>
      </c>
      <c r="G111" s="4">
        <v>7</v>
      </c>
      <c r="H111" s="4">
        <v>5</v>
      </c>
      <c r="I111" s="4">
        <v>4</v>
      </c>
    </row>
    <row r="112">
      <c r="A112" s="0" t="inlineStr">
        <is>
          <t xml:space="preserve">act_s_emea_out_sep25</t>
        </is>
      </c>
      <c r="B112" s="0" t="inlineStr">
        <is>
          <t xml:space="preserve">s_emea_out</t>
        </is>
      </c>
      <c r="C112" s="0" t="inlineStr">
        <is>
          <t xml:space="preserve">sep25</t>
        </is>
      </c>
      <c r="D112" s="4">
        <v>586</v>
      </c>
      <c r="E112" s="4">
        <v>1563</v>
      </c>
      <c r="F112" s="4">
        <v>55</v>
      </c>
      <c r="G112" s="4">
        <v>9</v>
      </c>
      <c r="H112" s="4">
        <v>9</v>
      </c>
      <c r="I112" s="4">
        <v>5</v>
      </c>
    </row>
    <row r="113">
      <c r="A113" s="0" t="inlineStr">
        <is>
          <t xml:space="preserve">act_s_emea_out_oct25</t>
        </is>
      </c>
      <c r="B113" s="0" t="inlineStr">
        <is>
          <t xml:space="preserve">s_emea_out</t>
        </is>
      </c>
      <c r="C113" s="0" t="inlineStr">
        <is>
          <t xml:space="preserve">oct25</t>
        </is>
      </c>
      <c r="D113" s="4">
        <v>641</v>
      </c>
      <c r="E113" s="4">
        <v>1294</v>
      </c>
      <c r="F113" s="4">
        <v>62</v>
      </c>
      <c r="G113" s="4">
        <v>11</v>
      </c>
      <c r="H113" s="4">
        <v>9</v>
      </c>
      <c r="I113" s="4">
        <v>5</v>
      </c>
    </row>
    <row r="114">
      <c r="A114" s="0" t="inlineStr">
        <is>
          <t xml:space="preserve">act_s_emea_out_nov25</t>
        </is>
      </c>
      <c r="B114" s="0" t="inlineStr">
        <is>
          <t xml:space="preserve">s_emea_out</t>
        </is>
      </c>
      <c r="C114" s="0" t="inlineStr">
        <is>
          <t xml:space="preserve">nov25</t>
        </is>
      </c>
      <c r="D114" s="4">
        <v>626</v>
      </c>
      <c r="E114" s="4">
        <v>1123</v>
      </c>
      <c r="F114" s="4">
        <v>52</v>
      </c>
      <c r="G114" s="4">
        <v>6</v>
      </c>
      <c r="H114" s="4">
        <v>5</v>
      </c>
      <c r="I114" s="4">
        <v>3</v>
      </c>
    </row>
    <row r="115">
      <c r="A115" s="0" t="inlineStr">
        <is>
          <t xml:space="preserve">act_s_emea_out_dec25</t>
        </is>
      </c>
      <c r="B115" s="0" t="inlineStr">
        <is>
          <t xml:space="preserve">s_emea_out</t>
        </is>
      </c>
      <c r="C115" s="0" t="inlineStr">
        <is>
          <t xml:space="preserve">dec25</t>
        </is>
      </c>
      <c r="D115" s="4">
        <v>448</v>
      </c>
      <c r="E115" s="4">
        <v>1051</v>
      </c>
      <c r="F115" s="4">
        <v>41</v>
      </c>
      <c r="G115" s="4">
        <v>9</v>
      </c>
      <c r="H115" s="4">
        <v>6</v>
      </c>
      <c r="I115" s="4">
        <v>4</v>
      </c>
    </row>
    <row r="116">
      <c r="A116" s="0" t="inlineStr">
        <is>
          <t xml:space="preserve">act_s_emea_out_jan26</t>
        </is>
      </c>
      <c r="B116" s="0" t="inlineStr">
        <is>
          <t xml:space="preserve">s_emea_out</t>
        </is>
      </c>
      <c r="C116" s="0" t="inlineStr">
        <is>
          <t xml:space="preserve">jan26</t>
        </is>
      </c>
      <c r="D116" s="4">
        <v>684</v>
      </c>
      <c r="E116" s="4">
        <v>1730</v>
      </c>
      <c r="F116" s="4">
        <v>46</v>
      </c>
      <c r="G116" s="4">
        <v>12</v>
      </c>
      <c r="H116" s="4">
        <v>8</v>
      </c>
      <c r="I116" s="4">
        <v>6</v>
      </c>
    </row>
    <row r="117">
      <c r="A117" s="0" t="inlineStr">
        <is>
          <t xml:space="preserve">act_s_emea_out_feb26</t>
        </is>
      </c>
      <c r="B117" s="0" t="inlineStr">
        <is>
          <t xml:space="preserve">s_emea_out</t>
        </is>
      </c>
      <c r="C117" s="0" t="inlineStr">
        <is>
          <t xml:space="preserve">feb26</t>
        </is>
      </c>
      <c r="D117" s="4">
        <v>598</v>
      </c>
      <c r="E117" s="4">
        <v>1328</v>
      </c>
      <c r="F117" s="4">
        <v>48</v>
      </c>
      <c r="G117" s="4">
        <v>13</v>
      </c>
      <c r="H117" s="4">
        <v>9</v>
      </c>
      <c r="I117" s="4">
        <v>8</v>
      </c>
    </row>
    <row r="118">
      <c r="A118" s="0" t="inlineStr">
        <is>
          <t xml:space="preserve">act_s_emea_out_mar26</t>
        </is>
      </c>
      <c r="B118" s="0" t="inlineStr">
        <is>
          <t xml:space="preserve">s_emea_out</t>
        </is>
      </c>
      <c r="C118" s="0" t="inlineStr">
        <is>
          <t xml:space="preserve">mar26</t>
        </is>
      </c>
      <c r="D118" s="4">
        <v>523</v>
      </c>
      <c r="E118" s="4">
        <v>1578</v>
      </c>
      <c r="F118" s="4">
        <v>43</v>
      </c>
      <c r="G118" s="4">
        <v>4</v>
      </c>
      <c r="H118" s="4">
        <v>3</v>
      </c>
      <c r="I118" s="4">
        <v>1</v>
      </c>
    </row>
    <row r="119">
      <c r="A119" s="0" t="inlineStr">
        <is>
          <t xml:space="preserve">act_s_emea_out_apr26</t>
        </is>
      </c>
      <c r="B119" s="0" t="inlineStr">
        <is>
          <t xml:space="preserve">s_emea_out</t>
        </is>
      </c>
      <c r="C119" s="0" t="inlineStr">
        <is>
          <t xml:space="preserve">apr26</t>
        </is>
      </c>
      <c r="D119" s="4">
        <v>596</v>
      </c>
      <c r="E119" s="4">
        <v>1640</v>
      </c>
      <c r="F119" s="4">
        <v>40</v>
      </c>
      <c r="G119" s="4">
        <v>7</v>
      </c>
      <c r="H119" s="4">
        <v>6</v>
      </c>
      <c r="I119" s="4">
        <v>4</v>
      </c>
    </row>
    <row r="120">
      <c r="A120" s="0" t="inlineStr">
        <is>
          <t xml:space="preserve">act_s_emea_out_may26</t>
        </is>
      </c>
      <c r="B120" s="0" t="inlineStr">
        <is>
          <t xml:space="preserve">s_emea_out</t>
        </is>
      </c>
      <c r="C120" s="0" t="inlineStr">
        <is>
          <t xml:space="preserve">may26</t>
        </is>
      </c>
      <c r="D120" s="4">
        <v>548</v>
      </c>
      <c r="E120" s="4">
        <v>1519</v>
      </c>
      <c r="F120" s="4">
        <v>54</v>
      </c>
      <c r="G120" s="4">
        <v>11</v>
      </c>
      <c r="H120" s="4">
        <v>9</v>
      </c>
      <c r="I120" s="4">
        <v>7</v>
      </c>
    </row>
    <row r="121">
      <c r="A121" s="0" t="inlineStr">
        <is>
          <t xml:space="preserve">act_s_emea_out_jun26</t>
        </is>
      </c>
      <c r="B121" s="0" t="inlineStr">
        <is>
          <t xml:space="preserve">s_emea_out</t>
        </is>
      </c>
      <c r="C121" s="0" t="inlineStr">
        <is>
          <t xml:space="preserve">jun26</t>
        </is>
      </c>
      <c r="D121" s="4">
        <v>493</v>
      </c>
      <c r="E121" s="4">
        <v>1031</v>
      </c>
      <c r="F121" s="4">
        <v>41</v>
      </c>
      <c r="G121" s="4">
        <v>5</v>
      </c>
      <c r="H121" s="4">
        <v>5</v>
      </c>
      <c r="I121" s="4">
        <v>3</v>
      </c>
    </row>
    <row r="122">
      <c r="A122" s="0" t="inlineStr">
        <is>
          <t xml:space="preserve">act_s_emea_out_jul26</t>
        </is>
      </c>
      <c r="B122" s="0" t="inlineStr">
        <is>
          <t xml:space="preserve">s_emea_out</t>
        </is>
      </c>
      <c r="C122" s="0" t="inlineStr">
        <is>
          <t xml:space="preserve">jul26</t>
        </is>
      </c>
      <c r="D122" s="4">
        <v>701</v>
      </c>
      <c r="E122" s="4">
        <v>1177</v>
      </c>
      <c r="F122" s="4">
        <v>45</v>
      </c>
      <c r="G122" s="4">
        <v>12</v>
      </c>
      <c r="H122" s="4">
        <v>9</v>
      </c>
      <c r="I122" s="4">
        <v>4</v>
      </c>
    </row>
    <row r="123">
      <c r="A123" s="0" t="inlineStr">
        <is>
          <t xml:space="preserve">act_s_emea_out_aug26</t>
        </is>
      </c>
      <c r="B123" s="0" t="inlineStr">
        <is>
          <t xml:space="preserve">s_emea_out</t>
        </is>
      </c>
      <c r="C123" s="0" t="inlineStr">
        <is>
          <t xml:space="preserve">aug26</t>
        </is>
      </c>
      <c r="D123" s="4">
        <v>548</v>
      </c>
      <c r="E123" s="4">
        <v>1180</v>
      </c>
      <c r="F123" s="4">
        <v>49</v>
      </c>
      <c r="G123" s="4">
        <v>9</v>
      </c>
      <c r="H123" s="4">
        <v>6</v>
      </c>
      <c r="I123" s="4">
        <v>5</v>
      </c>
    </row>
    <row r="124">
      <c r="A124" s="0" t="inlineStr">
        <is>
          <t xml:space="preserve">act_s_emea_out_sep26</t>
        </is>
      </c>
      <c r="B124" s="0" t="inlineStr">
        <is>
          <t xml:space="preserve">s_emea_out</t>
        </is>
      </c>
      <c r="C124" s="0" t="inlineStr">
        <is>
          <t xml:space="preserve">sep26</t>
        </is>
      </c>
      <c r="D124" s="4">
        <v>586</v>
      </c>
      <c r="E124" s="4">
        <v>1564</v>
      </c>
      <c r="F124" s="4">
        <v>41</v>
      </c>
      <c r="G124" s="4">
        <v>2</v>
      </c>
      <c r="H124" s="4">
        <v>1</v>
      </c>
      <c r="I124" s="4">
        <v>0</v>
      </c>
    </row>
    <row r="125">
      <c r="A125" s="0" t="inlineStr">
        <is>
          <t xml:space="preserve">act_s_emea_out_oct26</t>
        </is>
      </c>
      <c r="B125" s="0" t="inlineStr">
        <is>
          <t xml:space="preserve">s_emea_out</t>
        </is>
      </c>
      <c r="C125" s="0" t="inlineStr">
        <is>
          <t xml:space="preserve">oct26</t>
        </is>
      </c>
      <c r="D125" s="4">
        <v>655</v>
      </c>
      <c r="E125" s="4">
        <v>1539</v>
      </c>
      <c r="F125" s="4">
        <v>62</v>
      </c>
      <c r="G125" s="4">
        <v>11</v>
      </c>
      <c r="H125" s="4">
        <v>11</v>
      </c>
      <c r="I125" s="4">
        <v>8</v>
      </c>
    </row>
    <row r="126">
      <c r="A126" s="0" t="inlineStr">
        <is>
          <t xml:space="preserve">act_s_emea_out_nov26</t>
        </is>
      </c>
      <c r="B126" s="0" t="inlineStr">
        <is>
          <t xml:space="preserve">s_emea_out</t>
        </is>
      </c>
      <c r="C126" s="0" t="inlineStr">
        <is>
          <t xml:space="preserve">nov26</t>
        </is>
      </c>
      <c r="D126" s="4">
        <v>542</v>
      </c>
      <c r="E126" s="4">
        <v>1587</v>
      </c>
      <c r="F126" s="4">
        <v>47</v>
      </c>
      <c r="G126" s="4">
        <v>7</v>
      </c>
      <c r="H126" s="4">
        <v>6</v>
      </c>
      <c r="I126" s="4">
        <v>3</v>
      </c>
    </row>
    <row r="127">
      <c r="A127" s="0" t="inlineStr">
        <is>
          <t xml:space="preserve">act_s_emea_out_dec26</t>
        </is>
      </c>
      <c r="B127" s="0" t="inlineStr">
        <is>
          <t xml:space="preserve">s_emea_out</t>
        </is>
      </c>
      <c r="C127" s="0" t="inlineStr">
        <is>
          <t xml:space="preserve">dec26</t>
        </is>
      </c>
      <c r="D127" s="4">
        <v>588</v>
      </c>
      <c r="E127" s="4">
        <v>1036</v>
      </c>
      <c r="F127" s="4">
        <v>59</v>
      </c>
      <c r="G127" s="4">
        <v>9</v>
      </c>
      <c r="H127" s="4">
        <v>8</v>
      </c>
      <c r="I127" s="4">
        <v>5</v>
      </c>
    </row>
    <row r="128">
      <c r="A128" s="0" t="inlineStr">
        <is>
          <t xml:space="preserve">act_s_apac_in_apr25</t>
        </is>
      </c>
      <c r="B128" s="0" t="inlineStr">
        <is>
          <t xml:space="preserve">s_apac_in</t>
        </is>
      </c>
      <c r="C128" s="0" t="inlineStr">
        <is>
          <t xml:space="preserve">apr25</t>
        </is>
      </c>
      <c r="D128" s="4">
        <v>148</v>
      </c>
      <c r="E128" s="4">
        <v>270</v>
      </c>
      <c r="F128" s="4">
        <v>23</v>
      </c>
      <c r="G128" s="4">
        <v>4</v>
      </c>
      <c r="H128" s="4">
        <v>4</v>
      </c>
      <c r="I128" s="4">
        <v>3</v>
      </c>
    </row>
    <row r="129">
      <c r="A129" s="0" t="inlineStr">
        <is>
          <t xml:space="preserve">act_s_apac_in_may25</t>
        </is>
      </c>
      <c r="B129" s="0" t="inlineStr">
        <is>
          <t xml:space="preserve">s_apac_in</t>
        </is>
      </c>
      <c r="C129" s="0" t="inlineStr">
        <is>
          <t xml:space="preserve">may25</t>
        </is>
      </c>
      <c r="D129" s="4">
        <v>266</v>
      </c>
      <c r="E129" s="4">
        <v>466</v>
      </c>
      <c r="F129" s="4">
        <v>48</v>
      </c>
      <c r="G129" s="4">
        <v>8</v>
      </c>
      <c r="H129" s="4">
        <v>7</v>
      </c>
      <c r="I129" s="4">
        <v>6</v>
      </c>
    </row>
    <row r="130">
      <c r="A130" s="0" t="inlineStr">
        <is>
          <t xml:space="preserve">act_s_apac_in_jun25</t>
        </is>
      </c>
      <c r="B130" s="0" t="inlineStr">
        <is>
          <t xml:space="preserve">s_apac_in</t>
        </is>
      </c>
      <c r="C130" s="0" t="inlineStr">
        <is>
          <t xml:space="preserve">jun25</t>
        </is>
      </c>
      <c r="D130" s="4">
        <v>382</v>
      </c>
      <c r="E130" s="4">
        <v>569</v>
      </c>
      <c r="F130" s="4">
        <v>77</v>
      </c>
      <c r="G130" s="4">
        <v>14</v>
      </c>
      <c r="H130" s="4">
        <v>11</v>
      </c>
      <c r="I130" s="4">
        <v>8</v>
      </c>
    </row>
    <row r="131">
      <c r="A131" s="0" t="inlineStr">
        <is>
          <t xml:space="preserve">act_s_apac_in_jul25</t>
        </is>
      </c>
      <c r="B131" s="0" t="inlineStr">
        <is>
          <t xml:space="preserve">s_apac_in</t>
        </is>
      </c>
      <c r="C131" s="0" t="inlineStr">
        <is>
          <t xml:space="preserve">jul25</t>
        </is>
      </c>
      <c r="D131" s="4">
        <v>1165</v>
      </c>
      <c r="E131" s="4">
        <v>1921</v>
      </c>
      <c r="F131" s="4">
        <v>123</v>
      </c>
      <c r="G131" s="4">
        <v>21</v>
      </c>
      <c r="H131" s="4">
        <v>14</v>
      </c>
      <c r="I131" s="4">
        <v>11</v>
      </c>
    </row>
    <row r="132">
      <c r="A132" s="0" t="inlineStr">
        <is>
          <t xml:space="preserve">act_s_apac_in_aug25</t>
        </is>
      </c>
      <c r="B132" s="0" t="inlineStr">
        <is>
          <t xml:space="preserve">s_apac_in</t>
        </is>
      </c>
      <c r="C132" s="0" t="inlineStr">
        <is>
          <t xml:space="preserve">aug25</t>
        </is>
      </c>
      <c r="D132" s="4">
        <v>282</v>
      </c>
      <c r="E132" s="4">
        <v>555</v>
      </c>
      <c r="F132" s="4">
        <v>73</v>
      </c>
      <c r="G132" s="4">
        <v>16</v>
      </c>
      <c r="H132" s="4">
        <v>14</v>
      </c>
      <c r="I132" s="4">
        <v>9</v>
      </c>
    </row>
    <row r="133">
      <c r="A133" s="0" t="inlineStr">
        <is>
          <t xml:space="preserve">act_s_apac_in_sep25</t>
        </is>
      </c>
      <c r="B133" s="0" t="inlineStr">
        <is>
          <t xml:space="preserve">s_apac_in</t>
        </is>
      </c>
      <c r="C133" s="0" t="inlineStr">
        <is>
          <t xml:space="preserve">sep25</t>
        </is>
      </c>
      <c r="D133" s="4">
        <v>470</v>
      </c>
      <c r="E133" s="4">
        <v>518</v>
      </c>
      <c r="F133" s="4">
        <v>70</v>
      </c>
      <c r="G133" s="4">
        <v>13</v>
      </c>
      <c r="H133" s="4">
        <v>10</v>
      </c>
      <c r="I133" s="4">
        <v>8</v>
      </c>
    </row>
    <row r="134">
      <c r="A134" s="0" t="inlineStr">
        <is>
          <t xml:space="preserve">act_s_apac_in_oct25</t>
        </is>
      </c>
      <c r="B134" s="0" t="inlineStr">
        <is>
          <t xml:space="preserve">s_apac_in</t>
        </is>
      </c>
      <c r="C134" s="0" t="inlineStr">
        <is>
          <t xml:space="preserve">oct25</t>
        </is>
      </c>
      <c r="D134" s="4">
        <v>454</v>
      </c>
      <c r="E134" s="4">
        <v>873</v>
      </c>
      <c r="F134" s="4">
        <v>92</v>
      </c>
      <c r="G134" s="4">
        <v>13</v>
      </c>
      <c r="H134" s="4">
        <v>8</v>
      </c>
      <c r="I134" s="4">
        <v>7</v>
      </c>
    </row>
    <row r="135">
      <c r="A135" s="0" t="inlineStr">
        <is>
          <t xml:space="preserve">act_s_apac_in_nov25</t>
        </is>
      </c>
      <c r="B135" s="0" t="inlineStr">
        <is>
          <t xml:space="preserve">s_apac_in</t>
        </is>
      </c>
      <c r="C135" s="0" t="inlineStr">
        <is>
          <t xml:space="preserve">nov25</t>
        </is>
      </c>
      <c r="D135" s="4">
        <v>26</v>
      </c>
      <c r="E135" s="4">
        <v>34</v>
      </c>
      <c r="F135" s="4">
        <v>5</v>
      </c>
      <c r="G135" s="4">
        <v>1</v>
      </c>
      <c r="H135" s="4">
        <v>1</v>
      </c>
      <c r="I135" s="4">
        <v>1</v>
      </c>
    </row>
    <row r="136">
      <c r="A136" s="0" t="inlineStr">
        <is>
          <t xml:space="preserve">act_s_apac_in_dec25</t>
        </is>
      </c>
      <c r="B136" s="0" t="inlineStr">
        <is>
          <t xml:space="preserve">s_apac_in</t>
        </is>
      </c>
      <c r="C136" s="0" t="inlineStr">
        <is>
          <t xml:space="preserve">dec25</t>
        </is>
      </c>
      <c r="D136" s="4">
        <v>123</v>
      </c>
      <c r="E136" s="4">
        <v>176</v>
      </c>
      <c r="F136" s="4">
        <v>22</v>
      </c>
      <c r="G136" s="4">
        <v>4</v>
      </c>
      <c r="H136" s="4">
        <v>3</v>
      </c>
      <c r="I136" s="4">
        <v>3</v>
      </c>
    </row>
    <row r="137">
      <c r="A137" s="0" t="inlineStr">
        <is>
          <t xml:space="preserve">act_s_apac_in_jan26</t>
        </is>
      </c>
      <c r="B137" s="0" t="inlineStr">
        <is>
          <t xml:space="preserve">s_apac_in</t>
        </is>
      </c>
      <c r="C137" s="0" t="inlineStr">
        <is>
          <t xml:space="preserve">jan26</t>
        </is>
      </c>
      <c r="D137" s="4">
        <v>81</v>
      </c>
      <c r="E137" s="4">
        <v>162</v>
      </c>
      <c r="F137" s="4">
        <v>16</v>
      </c>
      <c r="G137" s="4">
        <v>3</v>
      </c>
      <c r="H137" s="4">
        <v>3</v>
      </c>
      <c r="I137" s="4">
        <v>3</v>
      </c>
    </row>
    <row r="138">
      <c r="A138" s="0" t="inlineStr">
        <is>
          <t xml:space="preserve">act_s_apac_in_feb26</t>
        </is>
      </c>
      <c r="B138" s="0" t="inlineStr">
        <is>
          <t xml:space="preserve">s_apac_in</t>
        </is>
      </c>
      <c r="C138" s="0" t="inlineStr">
        <is>
          <t xml:space="preserve">feb26</t>
        </is>
      </c>
      <c r="D138" s="4">
        <v>344</v>
      </c>
      <c r="E138" s="4">
        <v>449</v>
      </c>
      <c r="F138" s="4">
        <v>61</v>
      </c>
      <c r="G138" s="4">
        <v>12</v>
      </c>
      <c r="H138" s="4">
        <v>10</v>
      </c>
      <c r="I138" s="4">
        <v>8</v>
      </c>
    </row>
    <row r="139">
      <c r="A139" s="0" t="inlineStr">
        <is>
          <t xml:space="preserve">act_s_apac_in_mar26</t>
        </is>
      </c>
      <c r="B139" s="0" t="inlineStr">
        <is>
          <t xml:space="preserve">s_apac_in</t>
        </is>
      </c>
      <c r="C139" s="0" t="inlineStr">
        <is>
          <t xml:space="preserve">mar26</t>
        </is>
      </c>
      <c r="D139" s="4">
        <v>693</v>
      </c>
      <c r="E139" s="4">
        <v>1001</v>
      </c>
      <c r="F139" s="4">
        <v>141</v>
      </c>
      <c r="G139" s="4">
        <v>29</v>
      </c>
      <c r="H139" s="4">
        <v>24</v>
      </c>
      <c r="I139" s="4">
        <v>17</v>
      </c>
    </row>
    <row r="140">
      <c r="A140" s="0" t="inlineStr">
        <is>
          <t xml:space="preserve">act_s_apac_in_apr26</t>
        </is>
      </c>
      <c r="B140" s="0" t="inlineStr">
        <is>
          <t xml:space="preserve">s_apac_in</t>
        </is>
      </c>
      <c r="C140" s="0" t="inlineStr">
        <is>
          <t xml:space="preserve">apr26</t>
        </is>
      </c>
      <c r="D140" s="4">
        <v>346</v>
      </c>
      <c r="E140" s="4">
        <v>583</v>
      </c>
      <c r="F140" s="4">
        <v>67</v>
      </c>
      <c r="G140" s="4">
        <v>12</v>
      </c>
      <c r="H140" s="4">
        <v>9</v>
      </c>
      <c r="I140" s="4">
        <v>6</v>
      </c>
    </row>
    <row r="141">
      <c r="A141" s="0" t="inlineStr">
        <is>
          <t xml:space="preserve">act_s_apac_in_may26</t>
        </is>
      </c>
      <c r="B141" s="0" t="inlineStr">
        <is>
          <t xml:space="preserve">s_apac_in</t>
        </is>
      </c>
      <c r="C141" s="0" t="inlineStr">
        <is>
          <t xml:space="preserve">may26</t>
        </is>
      </c>
      <c r="D141" s="4">
        <v>484</v>
      </c>
      <c r="E141" s="4">
        <v>658</v>
      </c>
      <c r="F141" s="4">
        <v>52</v>
      </c>
      <c r="G141" s="4">
        <v>10</v>
      </c>
      <c r="H141" s="4">
        <v>6</v>
      </c>
      <c r="I141" s="4">
        <v>6</v>
      </c>
    </row>
    <row r="142">
      <c r="A142" s="0" t="inlineStr">
        <is>
          <t xml:space="preserve">act_s_apac_in_jun26</t>
        </is>
      </c>
      <c r="B142" s="0" t="inlineStr">
        <is>
          <t xml:space="preserve">s_apac_in</t>
        </is>
      </c>
      <c r="C142" s="0" t="inlineStr">
        <is>
          <t xml:space="preserve">jun26</t>
        </is>
      </c>
      <c r="D142" s="4">
        <v>788</v>
      </c>
      <c r="E142" s="4">
        <v>1133</v>
      </c>
      <c r="F142" s="4">
        <v>126</v>
      </c>
      <c r="G142" s="4">
        <v>24</v>
      </c>
      <c r="H142" s="4">
        <v>17</v>
      </c>
      <c r="I142" s="4">
        <v>12</v>
      </c>
    </row>
    <row r="143">
      <c r="A143" s="0" t="inlineStr">
        <is>
          <t xml:space="preserve">act_s_apac_in_jul26</t>
        </is>
      </c>
      <c r="B143" s="0" t="inlineStr">
        <is>
          <t xml:space="preserve">s_apac_in</t>
        </is>
      </c>
      <c r="C143" s="0" t="inlineStr">
        <is>
          <t xml:space="preserve">jul26</t>
        </is>
      </c>
      <c r="D143" s="4">
        <v>280</v>
      </c>
      <c r="E143" s="4">
        <v>460</v>
      </c>
      <c r="F143" s="4">
        <v>56</v>
      </c>
      <c r="G143" s="4">
        <v>10</v>
      </c>
      <c r="H143" s="4">
        <v>9</v>
      </c>
      <c r="I143" s="4">
        <v>7</v>
      </c>
    </row>
    <row r="144">
      <c r="A144" s="0" t="inlineStr">
        <is>
          <t xml:space="preserve">act_s_apac_in_aug26</t>
        </is>
      </c>
      <c r="B144" s="0" t="inlineStr">
        <is>
          <t xml:space="preserve">s_apac_in</t>
        </is>
      </c>
      <c r="C144" s="0" t="inlineStr">
        <is>
          <t xml:space="preserve">aug26</t>
        </is>
      </c>
      <c r="D144" s="4">
        <v>588</v>
      </c>
      <c r="E144" s="4">
        <v>988</v>
      </c>
      <c r="F144" s="4">
        <v>91</v>
      </c>
      <c r="G144" s="4">
        <v>16</v>
      </c>
      <c r="H144" s="4">
        <v>13</v>
      </c>
      <c r="I144" s="4">
        <v>10</v>
      </c>
    </row>
    <row r="145">
      <c r="A145" s="0" t="inlineStr">
        <is>
          <t xml:space="preserve">act_s_apac_in_sep26</t>
        </is>
      </c>
      <c r="B145" s="0" t="inlineStr">
        <is>
          <t xml:space="preserve">s_apac_in</t>
        </is>
      </c>
      <c r="C145" s="0" t="inlineStr">
        <is>
          <t xml:space="preserve">sep26</t>
        </is>
      </c>
      <c r="D145" s="4">
        <v>604</v>
      </c>
      <c r="E145" s="4">
        <v>1047</v>
      </c>
      <c r="F145" s="4">
        <v>112</v>
      </c>
      <c r="G145" s="4">
        <v>19</v>
      </c>
      <c r="H145" s="4">
        <v>15</v>
      </c>
      <c r="I145" s="4">
        <v>10</v>
      </c>
    </row>
    <row r="146">
      <c r="A146" s="0" t="inlineStr">
        <is>
          <t xml:space="preserve">act_s_apac_in_oct26</t>
        </is>
      </c>
      <c r="B146" s="0" t="inlineStr">
        <is>
          <t xml:space="preserve">s_apac_in</t>
        </is>
      </c>
      <c r="C146" s="0" t="inlineStr">
        <is>
          <t xml:space="preserve">oct26</t>
        </is>
      </c>
      <c r="D146" s="4">
        <v>133</v>
      </c>
      <c r="E146" s="4">
        <v>197</v>
      </c>
      <c r="F146" s="4">
        <v>24</v>
      </c>
      <c r="G146" s="4">
        <v>6</v>
      </c>
      <c r="H146" s="4">
        <v>5</v>
      </c>
      <c r="I146" s="4">
        <v>5</v>
      </c>
    </row>
    <row r="147">
      <c r="A147" s="0" t="inlineStr">
        <is>
          <t xml:space="preserve">act_s_apac_in_nov26</t>
        </is>
      </c>
      <c r="B147" s="0" t="inlineStr">
        <is>
          <t xml:space="preserve">s_apac_in</t>
        </is>
      </c>
      <c r="C147" s="0" t="inlineStr">
        <is>
          <t xml:space="preserve">nov26</t>
        </is>
      </c>
      <c r="D147" s="4">
        <v>602</v>
      </c>
      <c r="E147" s="4">
        <v>975</v>
      </c>
      <c r="F147" s="4">
        <v>78</v>
      </c>
      <c r="G147" s="4">
        <v>15</v>
      </c>
      <c r="H147" s="4">
        <v>11</v>
      </c>
      <c r="I147" s="4">
        <v>9</v>
      </c>
    </row>
    <row r="148">
      <c r="A148" s="0" t="inlineStr">
        <is>
          <t xml:space="preserve">act_s_apac_in_dec26</t>
        </is>
      </c>
      <c r="B148" s="0" t="inlineStr">
        <is>
          <t xml:space="preserve">s_apac_in</t>
        </is>
      </c>
      <c r="C148" s="0" t="inlineStr">
        <is>
          <t xml:space="preserve">dec26</t>
        </is>
      </c>
      <c r="D148" s="4">
        <v>434</v>
      </c>
      <c r="E148" s="4">
        <v>720</v>
      </c>
      <c r="F148" s="4">
        <v>59</v>
      </c>
      <c r="G148" s="4">
        <v>12</v>
      </c>
      <c r="H148" s="4">
        <v>11</v>
      </c>
      <c r="I148" s="4">
        <v>7</v>
      </c>
    </row>
    <row r="149">
      <c r="A149" s="0" t="inlineStr">
        <is>
          <t xml:space="preserve">act_s_apac_out_apr25</t>
        </is>
      </c>
      <c r="B149" s="0" t="inlineStr">
        <is>
          <t xml:space="preserve">s_apac_out</t>
        </is>
      </c>
      <c r="C149" s="0" t="inlineStr">
        <is>
          <t xml:space="preserve">apr25</t>
        </is>
      </c>
      <c r="D149" s="4">
        <v>633</v>
      </c>
      <c r="E149" s="4">
        <v>1396</v>
      </c>
      <c r="F149" s="4">
        <v>56</v>
      </c>
      <c r="G149" s="4">
        <v>11</v>
      </c>
      <c r="H149" s="4">
        <v>11</v>
      </c>
      <c r="I149" s="4">
        <v>6</v>
      </c>
    </row>
    <row r="150">
      <c r="A150" s="0" t="inlineStr">
        <is>
          <t xml:space="preserve">act_s_apac_out_may25</t>
        </is>
      </c>
      <c r="B150" s="0" t="inlineStr">
        <is>
          <t xml:space="preserve">s_apac_out</t>
        </is>
      </c>
      <c r="C150" s="0" t="inlineStr">
        <is>
          <t xml:space="preserve">may25</t>
        </is>
      </c>
      <c r="D150" s="4">
        <v>697</v>
      </c>
      <c r="E150" s="4">
        <v>1597</v>
      </c>
      <c r="F150" s="4">
        <v>55</v>
      </c>
      <c r="G150" s="4">
        <v>10</v>
      </c>
      <c r="H150" s="4">
        <v>9</v>
      </c>
      <c r="I150" s="4">
        <v>6</v>
      </c>
    </row>
    <row r="151">
      <c r="A151" s="0" t="inlineStr">
        <is>
          <t xml:space="preserve">act_s_apac_out_jun25</t>
        </is>
      </c>
      <c r="B151" s="0" t="inlineStr">
        <is>
          <t xml:space="preserve">s_apac_out</t>
        </is>
      </c>
      <c r="C151" s="0" t="inlineStr">
        <is>
          <t xml:space="preserve">jun25</t>
        </is>
      </c>
      <c r="D151" s="4">
        <v>500</v>
      </c>
      <c r="E151" s="4">
        <v>1195</v>
      </c>
      <c r="F151" s="4">
        <v>44</v>
      </c>
      <c r="G151" s="4">
        <v>6</v>
      </c>
      <c r="H151" s="4">
        <v>5</v>
      </c>
      <c r="I151" s="4">
        <v>3</v>
      </c>
    </row>
    <row r="152">
      <c r="A152" s="0" t="inlineStr">
        <is>
          <t xml:space="preserve">act_s_apac_out_jul25</t>
        </is>
      </c>
      <c r="B152" s="0" t="inlineStr">
        <is>
          <t xml:space="preserve">s_apac_out</t>
        </is>
      </c>
      <c r="C152" s="0" t="inlineStr">
        <is>
          <t xml:space="preserve">jul25</t>
        </is>
      </c>
      <c r="D152" s="4">
        <v>572</v>
      </c>
      <c r="E152" s="4">
        <v>1119</v>
      </c>
      <c r="F152" s="4">
        <v>50</v>
      </c>
      <c r="G152" s="4">
        <v>9</v>
      </c>
      <c r="H152" s="4">
        <v>4</v>
      </c>
      <c r="I152" s="4">
        <v>2</v>
      </c>
    </row>
    <row r="153">
      <c r="A153" s="0" t="inlineStr">
        <is>
          <t xml:space="preserve">act_s_apac_out_aug25</t>
        </is>
      </c>
      <c r="B153" s="0" t="inlineStr">
        <is>
          <t xml:space="preserve">s_apac_out</t>
        </is>
      </c>
      <c r="C153" s="0" t="inlineStr">
        <is>
          <t xml:space="preserve">aug25</t>
        </is>
      </c>
      <c r="D153" s="4">
        <v>703</v>
      </c>
      <c r="E153" s="4">
        <v>1213</v>
      </c>
      <c r="F153" s="4">
        <v>52</v>
      </c>
      <c r="G153" s="4">
        <v>8</v>
      </c>
      <c r="H153" s="4">
        <v>4</v>
      </c>
      <c r="I153" s="4">
        <v>3</v>
      </c>
    </row>
    <row r="154">
      <c r="A154" s="0" t="inlineStr">
        <is>
          <t xml:space="preserve">act_s_apac_out_sep25</t>
        </is>
      </c>
      <c r="B154" s="0" t="inlineStr">
        <is>
          <t xml:space="preserve">s_apac_out</t>
        </is>
      </c>
      <c r="C154" s="0" t="inlineStr">
        <is>
          <t xml:space="preserve">sep25</t>
        </is>
      </c>
      <c r="D154" s="4">
        <v>610</v>
      </c>
      <c r="E154" s="4">
        <v>1472</v>
      </c>
      <c r="F154" s="4">
        <v>58</v>
      </c>
      <c r="G154" s="4">
        <v>9</v>
      </c>
      <c r="H154" s="4">
        <v>7</v>
      </c>
      <c r="I154" s="4">
        <v>3</v>
      </c>
    </row>
    <row r="155">
      <c r="A155" s="0" t="inlineStr">
        <is>
          <t xml:space="preserve">act_s_apac_out_oct25</t>
        </is>
      </c>
      <c r="B155" s="0" t="inlineStr">
        <is>
          <t xml:space="preserve">s_apac_out</t>
        </is>
      </c>
      <c r="C155" s="0" t="inlineStr">
        <is>
          <t xml:space="preserve">oct25</t>
        </is>
      </c>
      <c r="D155" s="4">
        <v>704</v>
      </c>
      <c r="E155" s="4">
        <v>1221</v>
      </c>
      <c r="F155" s="4">
        <v>63</v>
      </c>
      <c r="G155" s="4">
        <v>10</v>
      </c>
      <c r="H155" s="4">
        <v>10</v>
      </c>
      <c r="I155" s="4">
        <v>5</v>
      </c>
    </row>
    <row r="156">
      <c r="A156" s="0" t="inlineStr">
        <is>
          <t xml:space="preserve">act_s_apac_out_nov25</t>
        </is>
      </c>
      <c r="B156" s="0" t="inlineStr">
        <is>
          <t xml:space="preserve">s_apac_out</t>
        </is>
      </c>
      <c r="C156" s="0" t="inlineStr">
        <is>
          <t xml:space="preserve">nov25</t>
        </is>
      </c>
      <c r="D156" s="4">
        <v>685</v>
      </c>
      <c r="E156" s="4">
        <v>1612</v>
      </c>
      <c r="F156" s="4">
        <v>63</v>
      </c>
      <c r="G156" s="4">
        <v>15</v>
      </c>
      <c r="H156" s="4">
        <v>15</v>
      </c>
      <c r="I156" s="4">
        <v>7</v>
      </c>
    </row>
    <row r="157">
      <c r="A157" s="0" t="inlineStr">
        <is>
          <t xml:space="preserve">act_s_apac_out_dec25</t>
        </is>
      </c>
      <c r="B157" s="0" t="inlineStr">
        <is>
          <t xml:space="preserve">s_apac_out</t>
        </is>
      </c>
      <c r="C157" s="0" t="inlineStr">
        <is>
          <t xml:space="preserve">dec25</t>
        </is>
      </c>
      <c r="D157" s="4">
        <v>440</v>
      </c>
      <c r="E157" s="4">
        <v>906</v>
      </c>
      <c r="F157" s="4">
        <v>40</v>
      </c>
      <c r="G157" s="4">
        <v>7</v>
      </c>
      <c r="H157" s="4">
        <v>4</v>
      </c>
      <c r="I157" s="4">
        <v>3</v>
      </c>
    </row>
    <row r="158">
      <c r="A158" s="0" t="inlineStr">
        <is>
          <t xml:space="preserve">act_s_apac_out_jan26</t>
        </is>
      </c>
      <c r="B158" s="0" t="inlineStr">
        <is>
          <t xml:space="preserve">s_apac_out</t>
        </is>
      </c>
      <c r="C158" s="0" t="inlineStr">
        <is>
          <t xml:space="preserve">jan26</t>
        </is>
      </c>
      <c r="D158" s="4">
        <v>614</v>
      </c>
      <c r="E158" s="4">
        <v>1230</v>
      </c>
      <c r="F158" s="4">
        <v>55</v>
      </c>
      <c r="G158" s="4">
        <v>5</v>
      </c>
      <c r="H158" s="4">
        <v>4</v>
      </c>
      <c r="I158" s="4">
        <v>4</v>
      </c>
    </row>
    <row r="159">
      <c r="A159" s="0" t="inlineStr">
        <is>
          <t xml:space="preserve">act_s_apac_out_feb26</t>
        </is>
      </c>
      <c r="B159" s="0" t="inlineStr">
        <is>
          <t xml:space="preserve">s_apac_out</t>
        </is>
      </c>
      <c r="C159" s="0" t="inlineStr">
        <is>
          <t xml:space="preserve">feb26</t>
        </is>
      </c>
      <c r="D159" s="4">
        <v>748</v>
      </c>
      <c r="E159" s="4">
        <v>1069</v>
      </c>
      <c r="F159" s="4">
        <v>64</v>
      </c>
      <c r="G159" s="4">
        <v>8</v>
      </c>
      <c r="H159" s="4">
        <v>7</v>
      </c>
      <c r="I159" s="4">
        <v>4</v>
      </c>
    </row>
    <row r="160">
      <c r="A160" s="0" t="inlineStr">
        <is>
          <t xml:space="preserve">act_s_apac_out_mar26</t>
        </is>
      </c>
      <c r="B160" s="0" t="inlineStr">
        <is>
          <t xml:space="preserve">s_apac_out</t>
        </is>
      </c>
      <c r="C160" s="0" t="inlineStr">
        <is>
          <t xml:space="preserve">mar26</t>
        </is>
      </c>
      <c r="D160" s="4">
        <v>792</v>
      </c>
      <c r="E160" s="4">
        <v>1296</v>
      </c>
      <c r="F160" s="4">
        <v>79</v>
      </c>
      <c r="G160" s="4">
        <v>16</v>
      </c>
      <c r="H160" s="4">
        <v>13</v>
      </c>
      <c r="I160" s="4">
        <v>7</v>
      </c>
    </row>
    <row r="161">
      <c r="A161" s="0" t="inlineStr">
        <is>
          <t xml:space="preserve">act_s_apac_out_apr26</t>
        </is>
      </c>
      <c r="B161" s="0" t="inlineStr">
        <is>
          <t xml:space="preserve">s_apac_out</t>
        </is>
      </c>
      <c r="C161" s="0" t="inlineStr">
        <is>
          <t xml:space="preserve">apr26</t>
        </is>
      </c>
      <c r="D161" s="4">
        <v>592</v>
      </c>
      <c r="E161" s="4">
        <v>1247</v>
      </c>
      <c r="F161" s="4">
        <v>51</v>
      </c>
      <c r="G161" s="4">
        <v>13</v>
      </c>
      <c r="H161" s="4">
        <v>10</v>
      </c>
      <c r="I161" s="4">
        <v>6</v>
      </c>
    </row>
    <row r="162">
      <c r="A162" s="0" t="inlineStr">
        <is>
          <t xml:space="preserve">act_s_apac_out_may26</t>
        </is>
      </c>
      <c r="B162" s="0" t="inlineStr">
        <is>
          <t xml:space="preserve">s_apac_out</t>
        </is>
      </c>
      <c r="C162" s="0" t="inlineStr">
        <is>
          <t xml:space="preserve">may26</t>
        </is>
      </c>
      <c r="D162" s="4">
        <v>701</v>
      </c>
      <c r="E162" s="4">
        <v>1558</v>
      </c>
      <c r="F162" s="4">
        <v>60</v>
      </c>
      <c r="G162" s="4">
        <v>10</v>
      </c>
      <c r="H162" s="4">
        <v>7</v>
      </c>
      <c r="I162" s="4">
        <v>6</v>
      </c>
    </row>
    <row r="163">
      <c r="A163" s="0" t="inlineStr">
        <is>
          <t xml:space="preserve">act_s_apac_out_jun26</t>
        </is>
      </c>
      <c r="B163" s="0" t="inlineStr">
        <is>
          <t xml:space="preserve">s_apac_out</t>
        </is>
      </c>
      <c r="C163" s="0" t="inlineStr">
        <is>
          <t xml:space="preserve">jun26</t>
        </is>
      </c>
      <c r="D163" s="4">
        <v>659</v>
      </c>
      <c r="E163" s="4">
        <v>1543</v>
      </c>
      <c r="F163" s="4">
        <v>67</v>
      </c>
      <c r="G163" s="4">
        <v>13</v>
      </c>
      <c r="H163" s="4">
        <v>12</v>
      </c>
      <c r="I163" s="4">
        <v>7</v>
      </c>
    </row>
    <row r="164">
      <c r="A164" s="0" t="inlineStr">
        <is>
          <t xml:space="preserve">act_s_apac_out_jul26</t>
        </is>
      </c>
      <c r="B164" s="0" t="inlineStr">
        <is>
          <t xml:space="preserve">s_apac_out</t>
        </is>
      </c>
      <c r="C164" s="0" t="inlineStr">
        <is>
          <t xml:space="preserve">jul26</t>
        </is>
      </c>
      <c r="D164" s="4">
        <v>589</v>
      </c>
      <c r="E164" s="4">
        <v>1853</v>
      </c>
      <c r="F164" s="4">
        <v>62</v>
      </c>
      <c r="G164" s="4">
        <v>9</v>
      </c>
      <c r="H164" s="4">
        <v>9</v>
      </c>
      <c r="I164" s="4">
        <v>5</v>
      </c>
    </row>
    <row r="165">
      <c r="A165" s="0" t="inlineStr">
        <is>
          <t xml:space="preserve">act_s_apac_out_aug26</t>
        </is>
      </c>
      <c r="B165" s="0" t="inlineStr">
        <is>
          <t xml:space="preserve">s_apac_out</t>
        </is>
      </c>
      <c r="C165" s="0" t="inlineStr">
        <is>
          <t xml:space="preserve">aug26</t>
        </is>
      </c>
      <c r="D165" s="4">
        <v>589</v>
      </c>
      <c r="E165" s="4">
        <v>1158</v>
      </c>
      <c r="F165" s="4">
        <v>55</v>
      </c>
      <c r="G165" s="4">
        <v>7</v>
      </c>
      <c r="H165" s="4">
        <v>6</v>
      </c>
      <c r="I165" s="4">
        <v>5</v>
      </c>
    </row>
    <row r="166">
      <c r="A166" s="0" t="inlineStr">
        <is>
          <t xml:space="preserve">act_s_apac_out_sep26</t>
        </is>
      </c>
      <c r="B166" s="0" t="inlineStr">
        <is>
          <t xml:space="preserve">s_apac_out</t>
        </is>
      </c>
      <c r="C166" s="0" t="inlineStr">
        <is>
          <t xml:space="preserve">sep26</t>
        </is>
      </c>
      <c r="D166" s="4">
        <v>621</v>
      </c>
      <c r="E166" s="4">
        <v>1206</v>
      </c>
      <c r="F166" s="4">
        <v>49</v>
      </c>
      <c r="G166" s="4">
        <v>11</v>
      </c>
      <c r="H166" s="4">
        <v>11</v>
      </c>
      <c r="I166" s="4">
        <v>8</v>
      </c>
    </row>
    <row r="167">
      <c r="A167" s="0" t="inlineStr">
        <is>
          <t xml:space="preserve">act_s_apac_out_oct26</t>
        </is>
      </c>
      <c r="B167" s="0" t="inlineStr">
        <is>
          <t xml:space="preserve">s_apac_out</t>
        </is>
      </c>
      <c r="C167" s="0" t="inlineStr">
        <is>
          <t xml:space="preserve">oct26</t>
        </is>
      </c>
      <c r="D167" s="4">
        <v>651</v>
      </c>
      <c r="E167" s="4">
        <v>1085</v>
      </c>
      <c r="F167" s="4">
        <v>65</v>
      </c>
      <c r="G167" s="4">
        <v>12</v>
      </c>
      <c r="H167" s="4">
        <v>10</v>
      </c>
      <c r="I167" s="4">
        <v>7</v>
      </c>
    </row>
    <row r="168">
      <c r="A168" s="0" t="inlineStr">
        <is>
          <t xml:space="preserve">act_s_apac_out_nov26</t>
        </is>
      </c>
      <c r="B168" s="0" t="inlineStr">
        <is>
          <t xml:space="preserve">s_apac_out</t>
        </is>
      </c>
      <c r="C168" s="0" t="inlineStr">
        <is>
          <t xml:space="preserve">nov26</t>
        </is>
      </c>
      <c r="D168" s="4">
        <v>548</v>
      </c>
      <c r="E168" s="4">
        <v>1586</v>
      </c>
      <c r="F168" s="4">
        <v>57</v>
      </c>
      <c r="G168" s="4">
        <v>12</v>
      </c>
      <c r="H168" s="4">
        <v>10</v>
      </c>
      <c r="I168" s="4">
        <v>8</v>
      </c>
    </row>
    <row r="169">
      <c r="A169" s="0" t="inlineStr">
        <is>
          <t xml:space="preserve">act_s_apac_out_dec26</t>
        </is>
      </c>
      <c r="B169" s="0" t="inlineStr">
        <is>
          <t xml:space="preserve">s_apac_out</t>
        </is>
      </c>
      <c r="C169" s="0" t="inlineStr">
        <is>
          <t xml:space="preserve">dec26</t>
        </is>
      </c>
      <c r="D169" s="4">
        <v>593</v>
      </c>
      <c r="E169" s="4">
        <v>1332</v>
      </c>
      <c r="F169" s="4">
        <v>50</v>
      </c>
      <c r="G169" s="4">
        <v>8</v>
      </c>
      <c r="H169" s="4">
        <v>6</v>
      </c>
      <c r="I169" s="4">
        <v>1</v>
      </c>
    </row>
  </sheetData>
</worksheet>
</file>

<file path=xl/worksheets/sheet3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</cols>
  <sheetData>
    <row r="1">
      <c r="A1" s="1" t="inlineStr">
        <is>
          <t xml:space="preserve">ID</t>
        </is>
      </c>
      <c r="B1" s="1" t="inlineStr">
        <is>
          <t xml:space="preserve">period</t>
        </is>
      </c>
      <c r="C1" s="1" t="inlineStr">
        <is>
          <t xml:space="preserve">account</t>
        </is>
      </c>
      <c r="D1" s="1" t="inlineStr">
        <is>
          <t xml:space="preserve">arr_lost</t>
        </is>
      </c>
      <c r="E1" s="1" t="inlineStr">
        <is>
          <t xml:space="preserve">reason</t>
        </is>
      </c>
    </row>
    <row r="2">
      <c r="A2" s="0" t="inlineStr">
        <is>
          <t xml:space="preserve">ch_apr25_1</t>
        </is>
      </c>
      <c r="B2" s="0" t="inlineStr">
        <is>
          <t xml:space="preserve">apr25</t>
        </is>
      </c>
      <c r="C2" s="0" t="inlineStr">
        <is>
          <t xml:space="preserve">a1114</t>
        </is>
      </c>
      <c r="D2" s="4">
        <v>41900</v>
      </c>
      <c r="E2" s="0" t="inlineStr">
        <is>
          <t xml:space="preserve">Lost champion</t>
        </is>
      </c>
    </row>
    <row r="3">
      <c r="A3" s="0" t="inlineStr">
        <is>
          <t xml:space="preserve">ch_apr25_2</t>
        </is>
      </c>
      <c r="B3" s="0" t="inlineStr">
        <is>
          <t xml:space="preserve">apr25</t>
        </is>
      </c>
      <c r="C3" s="0" t="inlineStr">
        <is>
          <t xml:space="preserve">a1150</t>
        </is>
      </c>
      <c r="D3" s="4">
        <v>29100</v>
      </c>
      <c r="E3" s="0" t="inlineStr">
        <is>
          <t xml:space="preserve">Lost champion</t>
        </is>
      </c>
    </row>
    <row r="4">
      <c r="A4" s="0" t="inlineStr">
        <is>
          <t xml:space="preserve">ch_apr25_3</t>
        </is>
      </c>
      <c r="B4" s="0" t="inlineStr">
        <is>
          <t xml:space="preserve">apr25</t>
        </is>
      </c>
      <c r="C4" s="0" t="inlineStr">
        <is>
          <t xml:space="preserve">a0691</t>
        </is>
      </c>
      <c r="D4" s="4">
        <v>124700</v>
      </c>
      <c r="E4" s="0" t="inlineStr">
        <is>
          <t xml:space="preserve">Acquired</t>
        </is>
      </c>
    </row>
    <row r="5">
      <c r="A5" s="0" t="inlineStr">
        <is>
          <t xml:space="preserve">ch_apr25_4</t>
        </is>
      </c>
      <c r="B5" s="0" t="inlineStr">
        <is>
          <t xml:space="preserve">apr25</t>
        </is>
      </c>
      <c r="C5" s="0" t="inlineStr">
        <is>
          <t xml:space="preserve">a1160</t>
        </is>
      </c>
      <c r="D5" s="4">
        <v>275900</v>
      </c>
      <c r="E5" s="0" t="inlineStr">
        <is>
          <t xml:space="preserve">Budget cut</t>
        </is>
      </c>
    </row>
    <row r="6">
      <c r="A6" s="0" t="inlineStr">
        <is>
          <t xml:space="preserve">ch_apr25_5</t>
        </is>
      </c>
      <c r="B6" s="0" t="inlineStr">
        <is>
          <t xml:space="preserve">apr25</t>
        </is>
      </c>
      <c r="C6" s="0" t="inlineStr">
        <is>
          <t xml:space="preserve">a0776</t>
        </is>
      </c>
      <c r="D6" s="4">
        <v>23600</v>
      </c>
      <c r="E6" s="0" t="inlineStr">
        <is>
          <t xml:space="preserve">Consolidated vendors</t>
        </is>
      </c>
    </row>
    <row r="7">
      <c r="A7" s="0" t="inlineStr">
        <is>
          <t xml:space="preserve">ch_apr25_6</t>
        </is>
      </c>
      <c r="B7" s="0" t="inlineStr">
        <is>
          <t xml:space="preserve">apr25</t>
        </is>
      </c>
      <c r="C7" s="0" t="inlineStr">
        <is>
          <t xml:space="preserve">a0248</t>
        </is>
      </c>
      <c r="D7" s="4">
        <v>136900</v>
      </c>
      <c r="E7" s="0" t="inlineStr">
        <is>
          <t xml:space="preserve">Low adoption</t>
        </is>
      </c>
    </row>
    <row r="8">
      <c r="A8" s="0" t="inlineStr">
        <is>
          <t xml:space="preserve">ch_apr25_7</t>
        </is>
      </c>
      <c r="B8" s="0" t="inlineStr">
        <is>
          <t xml:space="preserve">apr25</t>
        </is>
      </c>
      <c r="C8" s="0" t="inlineStr">
        <is>
          <t xml:space="preserve">a0901</t>
        </is>
      </c>
      <c r="D8" s="4">
        <v>14200</v>
      </c>
      <c r="E8" s="0" t="inlineStr">
        <is>
          <t xml:space="preserve">Lost champion</t>
        </is>
      </c>
    </row>
    <row r="9">
      <c r="A9" s="0" t="inlineStr">
        <is>
          <t xml:space="preserve">ch_apr25_8</t>
        </is>
      </c>
      <c r="B9" s="0" t="inlineStr">
        <is>
          <t xml:space="preserve">apr25</t>
        </is>
      </c>
      <c r="C9" s="0" t="inlineStr">
        <is>
          <t xml:space="preserve">a0757</t>
        </is>
      </c>
      <c r="D9" s="4">
        <v>88200</v>
      </c>
      <c r="E9" s="0" t="inlineStr">
        <is>
          <t xml:space="preserve">Consolidated vendors</t>
        </is>
      </c>
    </row>
    <row r="10">
      <c r="A10" s="0" t="inlineStr">
        <is>
          <t xml:space="preserve">ch_apr25_9</t>
        </is>
      </c>
      <c r="B10" s="0" t="inlineStr">
        <is>
          <t xml:space="preserve">apr25</t>
        </is>
      </c>
      <c r="C10" s="0" t="inlineStr">
        <is>
          <t xml:space="preserve">a0632</t>
        </is>
      </c>
      <c r="D10" s="4">
        <v>93200</v>
      </c>
      <c r="E10" s="0" t="inlineStr">
        <is>
          <t xml:space="preserve">Moved to competitor</t>
        </is>
      </c>
    </row>
    <row r="11">
      <c r="A11" s="0" t="inlineStr">
        <is>
          <t xml:space="preserve">ch_apr25_10</t>
        </is>
      </c>
      <c r="B11" s="0" t="inlineStr">
        <is>
          <t xml:space="preserve">apr25</t>
        </is>
      </c>
      <c r="C11" s="0" t="inlineStr">
        <is>
          <t xml:space="preserve">a0653</t>
        </is>
      </c>
      <c r="D11" s="4">
        <v>35100</v>
      </c>
      <c r="E11" s="0" t="inlineStr">
        <is>
          <t xml:space="preserve">Lost champion</t>
        </is>
      </c>
    </row>
    <row r="12">
      <c r="A12" s="0" t="inlineStr">
        <is>
          <t xml:space="preserve">ch_may25_1</t>
        </is>
      </c>
      <c r="B12" s="0" t="inlineStr">
        <is>
          <t xml:space="preserve">may25</t>
        </is>
      </c>
      <c r="C12" s="0" t="inlineStr">
        <is>
          <t xml:space="preserve">a1290</t>
        </is>
      </c>
      <c r="D12" s="4">
        <v>51300</v>
      </c>
      <c r="E12" s="0" t="inlineStr">
        <is>
          <t xml:space="preserve">Low adoption</t>
        </is>
      </c>
    </row>
    <row r="13">
      <c r="A13" s="0" t="inlineStr">
        <is>
          <t xml:space="preserve">ch_may25_2</t>
        </is>
      </c>
      <c r="B13" s="0" t="inlineStr">
        <is>
          <t xml:space="preserve">may25</t>
        </is>
      </c>
      <c r="C13" s="0" t="inlineStr">
        <is>
          <t xml:space="preserve">a0676</t>
        </is>
      </c>
      <c r="D13" s="4">
        <v>71600</v>
      </c>
      <c r="E13" s="0" t="inlineStr">
        <is>
          <t xml:space="preserve">Acquired</t>
        </is>
      </c>
    </row>
    <row r="14">
      <c r="A14" s="0" t="inlineStr">
        <is>
          <t xml:space="preserve">ch_jun25_1</t>
        </is>
      </c>
      <c r="B14" s="0" t="inlineStr">
        <is>
          <t xml:space="preserve">jun25</t>
        </is>
      </c>
      <c r="C14" s="0" t="inlineStr">
        <is>
          <t xml:space="preserve">a1217</t>
        </is>
      </c>
      <c r="D14" s="4">
        <v>52500</v>
      </c>
      <c r="E14" s="0" t="inlineStr">
        <is>
          <t xml:space="preserve">Budget cut</t>
        </is>
      </c>
    </row>
    <row r="15">
      <c r="A15" s="0" t="inlineStr">
        <is>
          <t xml:space="preserve">ch_jun25_2</t>
        </is>
      </c>
      <c r="B15" s="0" t="inlineStr">
        <is>
          <t xml:space="preserve">jun25</t>
        </is>
      </c>
      <c r="C15" s="0" t="inlineStr">
        <is>
          <t xml:space="preserve">a1214</t>
        </is>
      </c>
      <c r="D15" s="4">
        <v>109600</v>
      </c>
      <c r="E15" s="0" t="inlineStr">
        <is>
          <t xml:space="preserve">Budget cut</t>
        </is>
      </c>
    </row>
    <row r="16">
      <c r="A16" s="0" t="inlineStr">
        <is>
          <t xml:space="preserve">ch_jun25_3</t>
        </is>
      </c>
      <c r="B16" s="0" t="inlineStr">
        <is>
          <t xml:space="preserve">jun25</t>
        </is>
      </c>
      <c r="C16" s="0" t="inlineStr">
        <is>
          <t xml:space="preserve">a1278</t>
        </is>
      </c>
      <c r="D16" s="4">
        <v>98200</v>
      </c>
      <c r="E16" s="0" t="inlineStr">
        <is>
          <t xml:space="preserve">Lost champion</t>
        </is>
      </c>
    </row>
    <row r="17">
      <c r="A17" s="0" t="inlineStr">
        <is>
          <t xml:space="preserve">ch_jul25_1</t>
        </is>
      </c>
      <c r="B17" s="0" t="inlineStr">
        <is>
          <t xml:space="preserve">jul25</t>
        </is>
      </c>
      <c r="C17" s="0" t="inlineStr">
        <is>
          <t xml:space="preserve">a0229</t>
        </is>
      </c>
      <c r="D17" s="4">
        <v>113200</v>
      </c>
      <c r="E17" s="0" t="inlineStr">
        <is>
          <t xml:space="preserve">Low adoption</t>
        </is>
      </c>
    </row>
    <row r="18">
      <c r="A18" s="0" t="inlineStr">
        <is>
          <t xml:space="preserve">ch_jul25_2</t>
        </is>
      </c>
      <c r="B18" s="0" t="inlineStr">
        <is>
          <t xml:space="preserve">jul25</t>
        </is>
      </c>
      <c r="C18" s="0" t="inlineStr">
        <is>
          <t xml:space="preserve">a0460</t>
        </is>
      </c>
      <c r="D18" s="4">
        <v>24800</v>
      </c>
      <c r="E18" s="0" t="inlineStr">
        <is>
          <t xml:space="preserve">Budget cut</t>
        </is>
      </c>
    </row>
    <row r="19">
      <c r="A19" s="0" t="inlineStr">
        <is>
          <t xml:space="preserve">ch_jul25_3</t>
        </is>
      </c>
      <c r="B19" s="0" t="inlineStr">
        <is>
          <t xml:space="preserve">jul25</t>
        </is>
      </c>
      <c r="C19" s="0" t="inlineStr">
        <is>
          <t xml:space="preserve">a0549</t>
        </is>
      </c>
      <c r="D19" s="4">
        <v>8700</v>
      </c>
      <c r="E19" s="0" t="inlineStr">
        <is>
          <t xml:space="preserve">Consolidated vendors</t>
        </is>
      </c>
    </row>
    <row r="20">
      <c r="A20" s="0" t="inlineStr">
        <is>
          <t xml:space="preserve">ch_jul25_4</t>
        </is>
      </c>
      <c r="B20" s="0" t="inlineStr">
        <is>
          <t xml:space="preserve">jul25</t>
        </is>
      </c>
      <c r="C20" s="0" t="inlineStr">
        <is>
          <t xml:space="preserve">a0244</t>
        </is>
      </c>
      <c r="D20" s="4">
        <v>13700</v>
      </c>
      <c r="E20" s="0" t="inlineStr">
        <is>
          <t xml:space="preserve">Budget cut</t>
        </is>
      </c>
    </row>
    <row r="21">
      <c r="A21" s="0" t="inlineStr">
        <is>
          <t xml:space="preserve">ch_jul25_5</t>
        </is>
      </c>
      <c r="B21" s="0" t="inlineStr">
        <is>
          <t xml:space="preserve">jul25</t>
        </is>
      </c>
      <c r="C21" s="0" t="inlineStr">
        <is>
          <t xml:space="preserve">a0976</t>
        </is>
      </c>
      <c r="D21" s="4">
        <v>10400</v>
      </c>
      <c r="E21" s="0" t="inlineStr">
        <is>
          <t xml:space="preserve">Consolidated vendors</t>
        </is>
      </c>
    </row>
    <row r="22">
      <c r="A22" s="0" t="inlineStr">
        <is>
          <t xml:space="preserve">ch_jul25_6</t>
        </is>
      </c>
      <c r="B22" s="0" t="inlineStr">
        <is>
          <t xml:space="preserve">jul25</t>
        </is>
      </c>
      <c r="C22" s="0" t="inlineStr">
        <is>
          <t xml:space="preserve">a1080</t>
        </is>
      </c>
      <c r="D22" s="4">
        <v>8100</v>
      </c>
      <c r="E22" s="0" t="inlineStr">
        <is>
          <t xml:space="preserve">Lost champion</t>
        </is>
      </c>
    </row>
    <row r="23">
      <c r="A23" s="0" t="inlineStr">
        <is>
          <t xml:space="preserve">ch_aug25_1</t>
        </is>
      </c>
      <c r="B23" s="0" t="inlineStr">
        <is>
          <t xml:space="preserve">aug25</t>
        </is>
      </c>
      <c r="C23" s="0" t="inlineStr">
        <is>
          <t xml:space="preserve">a0157</t>
        </is>
      </c>
      <c r="D23" s="4">
        <v>27500</v>
      </c>
      <c r="E23" s="0" t="inlineStr">
        <is>
          <t xml:space="preserve">Acquired</t>
        </is>
      </c>
    </row>
    <row r="24">
      <c r="A24" s="0" t="inlineStr">
        <is>
          <t xml:space="preserve">ch_sep25_1</t>
        </is>
      </c>
      <c r="B24" s="0" t="inlineStr">
        <is>
          <t xml:space="preserve">sep25</t>
        </is>
      </c>
      <c r="C24" s="0" t="inlineStr">
        <is>
          <t xml:space="preserve">a0779</t>
        </is>
      </c>
      <c r="D24" s="4">
        <v>34900</v>
      </c>
      <c r="E24" s="0" t="inlineStr">
        <is>
          <t xml:space="preserve">Budget cut</t>
        </is>
      </c>
    </row>
    <row r="25">
      <c r="A25" s="0" t="inlineStr">
        <is>
          <t xml:space="preserve">ch_sep25_2</t>
        </is>
      </c>
      <c r="B25" s="0" t="inlineStr">
        <is>
          <t xml:space="preserve">sep25</t>
        </is>
      </c>
      <c r="C25" s="0" t="inlineStr">
        <is>
          <t xml:space="preserve">a0136</t>
        </is>
      </c>
      <c r="D25" s="4">
        <v>146900</v>
      </c>
      <c r="E25" s="0" t="inlineStr">
        <is>
          <t xml:space="preserve">Moved to competitor</t>
        </is>
      </c>
    </row>
    <row r="26">
      <c r="A26" s="0" t="inlineStr">
        <is>
          <t xml:space="preserve">ch_sep25_3</t>
        </is>
      </c>
      <c r="B26" s="0" t="inlineStr">
        <is>
          <t xml:space="preserve">sep25</t>
        </is>
      </c>
      <c r="C26" s="0" t="inlineStr">
        <is>
          <t xml:space="preserve">a1490</t>
        </is>
      </c>
      <c r="D26" s="4">
        <v>53400</v>
      </c>
      <c r="E26" s="0" t="inlineStr">
        <is>
          <t xml:space="preserve">Lost champion</t>
        </is>
      </c>
    </row>
    <row r="27">
      <c r="A27" s="0" t="inlineStr">
        <is>
          <t xml:space="preserve">ch_sep25_4</t>
        </is>
      </c>
      <c r="B27" s="0" t="inlineStr">
        <is>
          <t xml:space="preserve">sep25</t>
        </is>
      </c>
      <c r="C27" s="0" t="inlineStr">
        <is>
          <t xml:space="preserve">a1370</t>
        </is>
      </c>
      <c r="D27" s="4">
        <v>319500</v>
      </c>
      <c r="E27" s="0" t="inlineStr">
        <is>
          <t xml:space="preserve">Low adoption</t>
        </is>
      </c>
    </row>
    <row r="28">
      <c r="A28" s="0" t="inlineStr">
        <is>
          <t xml:space="preserve">ch_sep25_5</t>
        </is>
      </c>
      <c r="B28" s="0" t="inlineStr">
        <is>
          <t xml:space="preserve">sep25</t>
        </is>
      </c>
      <c r="C28" s="0" t="inlineStr">
        <is>
          <t xml:space="preserve">a0343</t>
        </is>
      </c>
      <c r="D28" s="4">
        <v>16300</v>
      </c>
      <c r="E28" s="0" t="inlineStr">
        <is>
          <t xml:space="preserve">Low adoption</t>
        </is>
      </c>
    </row>
    <row r="29">
      <c r="A29" s="0" t="inlineStr">
        <is>
          <t xml:space="preserve">ch_sep25_6</t>
        </is>
      </c>
      <c r="B29" s="0" t="inlineStr">
        <is>
          <t xml:space="preserve">sep25</t>
        </is>
      </c>
      <c r="C29" s="0" t="inlineStr">
        <is>
          <t xml:space="preserve">a0392</t>
        </is>
      </c>
      <c r="D29" s="4">
        <v>173000</v>
      </c>
      <c r="E29" s="0" t="inlineStr">
        <is>
          <t xml:space="preserve">Moved to competitor</t>
        </is>
      </c>
    </row>
    <row r="30">
      <c r="A30" s="0" t="inlineStr">
        <is>
          <t xml:space="preserve">ch_sep25_7</t>
        </is>
      </c>
      <c r="B30" s="0" t="inlineStr">
        <is>
          <t xml:space="preserve">sep25</t>
        </is>
      </c>
      <c r="C30" s="0" t="inlineStr">
        <is>
          <t xml:space="preserve">a0201</t>
        </is>
      </c>
      <c r="D30" s="4">
        <v>23500</v>
      </c>
      <c r="E30" s="0" t="inlineStr">
        <is>
          <t xml:space="preserve">Budget cut</t>
        </is>
      </c>
    </row>
    <row r="31">
      <c r="A31" s="0" t="inlineStr">
        <is>
          <t xml:space="preserve">ch_sep25_8</t>
        </is>
      </c>
      <c r="B31" s="0" t="inlineStr">
        <is>
          <t xml:space="preserve">sep25</t>
        </is>
      </c>
      <c r="C31" s="0" t="inlineStr">
        <is>
          <t xml:space="preserve">a0864</t>
        </is>
      </c>
      <c r="D31" s="4">
        <v>29100</v>
      </c>
      <c r="E31" s="0" t="inlineStr">
        <is>
          <t xml:space="preserve">Consolidated vendors</t>
        </is>
      </c>
    </row>
    <row r="32">
      <c r="A32" s="0" t="inlineStr">
        <is>
          <t xml:space="preserve">ch_oct25_1</t>
        </is>
      </c>
      <c r="B32" s="0" t="inlineStr">
        <is>
          <t xml:space="preserve">oct25</t>
        </is>
      </c>
      <c r="C32" s="0" t="inlineStr">
        <is>
          <t xml:space="preserve">a0732</t>
        </is>
      </c>
      <c r="D32" s="4">
        <v>6300</v>
      </c>
      <c r="E32" s="0" t="inlineStr">
        <is>
          <t xml:space="preserve">Consolidated vendors</t>
        </is>
      </c>
    </row>
    <row r="33">
      <c r="A33" s="0" t="inlineStr">
        <is>
          <t xml:space="preserve">ch_oct25_2</t>
        </is>
      </c>
      <c r="B33" s="0" t="inlineStr">
        <is>
          <t xml:space="preserve">oct25</t>
        </is>
      </c>
      <c r="C33" s="0" t="inlineStr">
        <is>
          <t xml:space="preserve">a1422</t>
        </is>
      </c>
      <c r="D33" s="4">
        <v>88700</v>
      </c>
      <c r="E33" s="0" t="inlineStr">
        <is>
          <t xml:space="preserve">Low adoption</t>
        </is>
      </c>
    </row>
    <row r="34">
      <c r="A34" s="0" t="inlineStr">
        <is>
          <t xml:space="preserve">ch_oct25_3</t>
        </is>
      </c>
      <c r="B34" s="0" t="inlineStr">
        <is>
          <t xml:space="preserve">oct25</t>
        </is>
      </c>
      <c r="C34" s="0" t="inlineStr">
        <is>
          <t xml:space="preserve">a0321</t>
        </is>
      </c>
      <c r="D34" s="4">
        <v>48300</v>
      </c>
      <c r="E34" s="0" t="inlineStr">
        <is>
          <t xml:space="preserve">Low adoption</t>
        </is>
      </c>
    </row>
    <row r="35">
      <c r="A35" s="0" t="inlineStr">
        <is>
          <t xml:space="preserve">ch_oct25_4</t>
        </is>
      </c>
      <c r="B35" s="0" t="inlineStr">
        <is>
          <t xml:space="preserve">oct25</t>
        </is>
      </c>
      <c r="C35" s="0" t="inlineStr">
        <is>
          <t xml:space="preserve">a0110</t>
        </is>
      </c>
      <c r="D35" s="4">
        <v>56500</v>
      </c>
      <c r="E35" s="0" t="inlineStr">
        <is>
          <t xml:space="preserve">Low adoption</t>
        </is>
      </c>
    </row>
    <row r="36">
      <c r="A36" s="0" t="inlineStr">
        <is>
          <t xml:space="preserve">ch_oct25_5</t>
        </is>
      </c>
      <c r="B36" s="0" t="inlineStr">
        <is>
          <t xml:space="preserve">oct25</t>
        </is>
      </c>
      <c r="C36" s="0" t="inlineStr">
        <is>
          <t xml:space="preserve">a1058</t>
        </is>
      </c>
      <c r="D36" s="4">
        <v>28200</v>
      </c>
      <c r="E36" s="0" t="inlineStr">
        <is>
          <t xml:space="preserve">Lost champion</t>
        </is>
      </c>
    </row>
    <row r="37">
      <c r="A37" s="0" t="inlineStr">
        <is>
          <t xml:space="preserve">ch_oct25_6</t>
        </is>
      </c>
      <c r="B37" s="0" t="inlineStr">
        <is>
          <t xml:space="preserve">oct25</t>
        </is>
      </c>
      <c r="C37" s="0" t="inlineStr">
        <is>
          <t xml:space="preserve">a0903</t>
        </is>
      </c>
      <c r="D37" s="4">
        <v>19600</v>
      </c>
      <c r="E37" s="0" t="inlineStr">
        <is>
          <t xml:space="preserve">Budget cut</t>
        </is>
      </c>
    </row>
    <row r="38">
      <c r="A38" s="0" t="inlineStr">
        <is>
          <t xml:space="preserve">ch_nov25_1</t>
        </is>
      </c>
      <c r="B38" s="0" t="inlineStr">
        <is>
          <t xml:space="preserve">nov25</t>
        </is>
      </c>
      <c r="C38" s="0" t="inlineStr">
        <is>
          <t xml:space="preserve">a0313</t>
        </is>
      </c>
      <c r="D38" s="4">
        <v>15600</v>
      </c>
      <c r="E38" s="0" t="inlineStr">
        <is>
          <t xml:space="preserve">Lost champion</t>
        </is>
      </c>
    </row>
    <row r="39">
      <c r="A39" s="0" t="inlineStr">
        <is>
          <t xml:space="preserve">ch_nov25_2</t>
        </is>
      </c>
      <c r="B39" s="0" t="inlineStr">
        <is>
          <t xml:space="preserve">nov25</t>
        </is>
      </c>
      <c r="C39" s="0" t="inlineStr">
        <is>
          <t xml:space="preserve">a0915</t>
        </is>
      </c>
      <c r="D39" s="4">
        <v>15600</v>
      </c>
      <c r="E39" s="0" t="inlineStr">
        <is>
          <t xml:space="preserve">Moved to competitor</t>
        </is>
      </c>
    </row>
    <row r="40">
      <c r="A40" s="0" t="inlineStr">
        <is>
          <t xml:space="preserve">ch_dec25_1</t>
        </is>
      </c>
      <c r="B40" s="0" t="inlineStr">
        <is>
          <t xml:space="preserve">dec25</t>
        </is>
      </c>
      <c r="C40" s="0" t="inlineStr">
        <is>
          <t xml:space="preserve">a1263</t>
        </is>
      </c>
      <c r="D40" s="4">
        <v>17000</v>
      </c>
      <c r="E40" s="0" t="inlineStr">
        <is>
          <t xml:space="preserve">Consolidated vendors</t>
        </is>
      </c>
    </row>
    <row r="41">
      <c r="A41" s="0" t="inlineStr">
        <is>
          <t xml:space="preserve">ch_dec25_2</t>
        </is>
      </c>
      <c r="B41" s="0" t="inlineStr">
        <is>
          <t xml:space="preserve">dec25</t>
        </is>
      </c>
      <c r="C41" s="0" t="inlineStr">
        <is>
          <t xml:space="preserve">a0757</t>
        </is>
      </c>
      <c r="D41" s="4">
        <v>31600</v>
      </c>
      <c r="E41" s="0" t="inlineStr">
        <is>
          <t xml:space="preserve">Lost champion</t>
        </is>
      </c>
    </row>
    <row r="42">
      <c r="A42" s="0" t="inlineStr">
        <is>
          <t xml:space="preserve">ch_jan26_1</t>
        </is>
      </c>
      <c r="B42" s="0" t="inlineStr">
        <is>
          <t xml:space="preserve">jan26</t>
        </is>
      </c>
      <c r="C42" s="0" t="inlineStr">
        <is>
          <t xml:space="preserve">a1191</t>
        </is>
      </c>
      <c r="D42" s="4">
        <v>37500</v>
      </c>
      <c r="E42" s="0" t="inlineStr">
        <is>
          <t xml:space="preserve">Consolidated vendors</t>
        </is>
      </c>
    </row>
    <row r="43">
      <c r="A43" s="0" t="inlineStr">
        <is>
          <t xml:space="preserve">ch_jan26_2</t>
        </is>
      </c>
      <c r="B43" s="0" t="inlineStr">
        <is>
          <t xml:space="preserve">jan26</t>
        </is>
      </c>
      <c r="C43" s="0" t="inlineStr">
        <is>
          <t xml:space="preserve">a0702</t>
        </is>
      </c>
      <c r="D43" s="4">
        <v>19500</v>
      </c>
      <c r="E43" s="0" t="inlineStr">
        <is>
          <t xml:space="preserve">Lost champion</t>
        </is>
      </c>
    </row>
    <row r="44">
      <c r="A44" s="0" t="inlineStr">
        <is>
          <t xml:space="preserve">ch_feb26_1</t>
        </is>
      </c>
      <c r="B44" s="0" t="inlineStr">
        <is>
          <t xml:space="preserve">feb26</t>
        </is>
      </c>
      <c r="C44" s="0" t="inlineStr">
        <is>
          <t xml:space="preserve">a0866</t>
        </is>
      </c>
      <c r="D44" s="4">
        <v>44600</v>
      </c>
      <c r="E44" s="0" t="inlineStr">
        <is>
          <t xml:space="preserve">Consolidated vendors</t>
        </is>
      </c>
    </row>
    <row r="45">
      <c r="A45" s="0" t="inlineStr">
        <is>
          <t xml:space="preserve">ch_feb26_2</t>
        </is>
      </c>
      <c r="B45" s="0" t="inlineStr">
        <is>
          <t xml:space="preserve">feb26</t>
        </is>
      </c>
      <c r="C45" s="0" t="inlineStr">
        <is>
          <t xml:space="preserve">a0178</t>
        </is>
      </c>
      <c r="D45" s="4">
        <v>59800</v>
      </c>
      <c r="E45" s="0" t="inlineStr">
        <is>
          <t xml:space="preserve">Lost champion</t>
        </is>
      </c>
    </row>
    <row r="46">
      <c r="A46" s="0" t="inlineStr">
        <is>
          <t xml:space="preserve">ch_feb26_3</t>
        </is>
      </c>
      <c r="B46" s="0" t="inlineStr">
        <is>
          <t xml:space="preserve">feb26</t>
        </is>
      </c>
      <c r="C46" s="0" t="inlineStr">
        <is>
          <t xml:space="preserve">a0074</t>
        </is>
      </c>
      <c r="D46" s="4">
        <v>27200</v>
      </c>
      <c r="E46" s="0" t="inlineStr">
        <is>
          <t xml:space="preserve">Moved to competitor</t>
        </is>
      </c>
    </row>
    <row r="47">
      <c r="A47" s="0" t="inlineStr">
        <is>
          <t xml:space="preserve">ch_feb26_4</t>
        </is>
      </c>
      <c r="B47" s="0" t="inlineStr">
        <is>
          <t xml:space="preserve">feb26</t>
        </is>
      </c>
      <c r="C47" s="0" t="inlineStr">
        <is>
          <t xml:space="preserve">a0113</t>
        </is>
      </c>
      <c r="D47" s="4">
        <v>5800</v>
      </c>
      <c r="E47" s="0" t="inlineStr">
        <is>
          <t xml:space="preserve">Acquired</t>
        </is>
      </c>
    </row>
    <row r="48">
      <c r="A48" s="0" t="inlineStr">
        <is>
          <t xml:space="preserve">ch_feb26_5</t>
        </is>
      </c>
      <c r="B48" s="0" t="inlineStr">
        <is>
          <t xml:space="preserve">feb26</t>
        </is>
      </c>
      <c r="C48" s="0" t="inlineStr">
        <is>
          <t xml:space="preserve">a1173</t>
        </is>
      </c>
      <c r="D48" s="4">
        <v>55800</v>
      </c>
      <c r="E48" s="0" t="inlineStr">
        <is>
          <t xml:space="preserve">Moved to competitor</t>
        </is>
      </c>
    </row>
    <row r="49">
      <c r="A49" s="0" t="inlineStr">
        <is>
          <t xml:space="preserve">ch_mar26_1</t>
        </is>
      </c>
      <c r="B49" s="0" t="inlineStr">
        <is>
          <t xml:space="preserve">mar26</t>
        </is>
      </c>
      <c r="C49" s="0" t="inlineStr">
        <is>
          <t xml:space="preserve">a0090</t>
        </is>
      </c>
      <c r="D49" s="4">
        <v>34600</v>
      </c>
      <c r="E49" s="0" t="inlineStr">
        <is>
          <t xml:space="preserve">Consolidated vendors</t>
        </is>
      </c>
    </row>
    <row r="50">
      <c r="A50" s="0" t="inlineStr">
        <is>
          <t xml:space="preserve">ch_mar26_2</t>
        </is>
      </c>
      <c r="B50" s="0" t="inlineStr">
        <is>
          <t xml:space="preserve">mar26</t>
        </is>
      </c>
      <c r="C50" s="0" t="inlineStr">
        <is>
          <t xml:space="preserve">a0281</t>
        </is>
      </c>
      <c r="D50" s="4">
        <v>50400</v>
      </c>
      <c r="E50" s="0" t="inlineStr">
        <is>
          <t xml:space="preserve">Budget cut</t>
        </is>
      </c>
    </row>
    <row r="51">
      <c r="A51" s="0" t="inlineStr">
        <is>
          <t xml:space="preserve">ch_mar26_3</t>
        </is>
      </c>
      <c r="B51" s="0" t="inlineStr">
        <is>
          <t xml:space="preserve">mar26</t>
        </is>
      </c>
      <c r="C51" s="0" t="inlineStr">
        <is>
          <t xml:space="preserve">a0310</t>
        </is>
      </c>
      <c r="D51" s="4">
        <v>6700</v>
      </c>
      <c r="E51" s="0" t="inlineStr">
        <is>
          <t xml:space="preserve">Budget cut</t>
        </is>
      </c>
    </row>
    <row r="52">
      <c r="A52" s="0" t="inlineStr">
        <is>
          <t xml:space="preserve">ch_mar26_4</t>
        </is>
      </c>
      <c r="B52" s="0" t="inlineStr">
        <is>
          <t xml:space="preserve">mar26</t>
        </is>
      </c>
      <c r="C52" s="0" t="inlineStr">
        <is>
          <t xml:space="preserve">a1168</t>
        </is>
      </c>
      <c r="D52" s="4">
        <v>25400</v>
      </c>
      <c r="E52" s="0" t="inlineStr">
        <is>
          <t xml:space="preserve">Low adoption</t>
        </is>
      </c>
    </row>
    <row r="53">
      <c r="A53" s="0" t="inlineStr">
        <is>
          <t xml:space="preserve">ch_mar26_5</t>
        </is>
      </c>
      <c r="B53" s="0" t="inlineStr">
        <is>
          <t xml:space="preserve">mar26</t>
        </is>
      </c>
      <c r="C53" s="0" t="inlineStr">
        <is>
          <t xml:space="preserve">a0299</t>
        </is>
      </c>
      <c r="D53" s="4">
        <v>59500</v>
      </c>
      <c r="E53" s="0" t="inlineStr">
        <is>
          <t xml:space="preserve">Lost champion</t>
        </is>
      </c>
    </row>
    <row r="54">
      <c r="A54" s="0" t="inlineStr">
        <is>
          <t xml:space="preserve">ch_mar26_6</t>
        </is>
      </c>
      <c r="B54" s="0" t="inlineStr">
        <is>
          <t xml:space="preserve">mar26</t>
        </is>
      </c>
      <c r="C54" s="0" t="inlineStr">
        <is>
          <t xml:space="preserve">a0927</t>
        </is>
      </c>
      <c r="D54" s="4">
        <v>40300</v>
      </c>
      <c r="E54" s="0" t="inlineStr">
        <is>
          <t xml:space="preserve">Lost champion</t>
        </is>
      </c>
    </row>
    <row r="55">
      <c r="A55" s="0" t="inlineStr">
        <is>
          <t xml:space="preserve">ch_mar26_7</t>
        </is>
      </c>
      <c r="B55" s="0" t="inlineStr">
        <is>
          <t xml:space="preserve">mar26</t>
        </is>
      </c>
      <c r="C55" s="0" t="inlineStr">
        <is>
          <t xml:space="preserve">a0846</t>
        </is>
      </c>
      <c r="D55" s="4">
        <v>20700</v>
      </c>
      <c r="E55" s="0" t="inlineStr">
        <is>
          <t xml:space="preserve">Budget cut</t>
        </is>
      </c>
    </row>
    <row r="56">
      <c r="A56" s="0" t="inlineStr">
        <is>
          <t xml:space="preserve">ch_mar26_8</t>
        </is>
      </c>
      <c r="B56" s="0" t="inlineStr">
        <is>
          <t xml:space="preserve">mar26</t>
        </is>
      </c>
      <c r="C56" s="0" t="inlineStr">
        <is>
          <t xml:space="preserve">a0487</t>
        </is>
      </c>
      <c r="D56" s="4">
        <v>111300</v>
      </c>
      <c r="E56" s="0" t="inlineStr">
        <is>
          <t xml:space="preserve">Consolidated vendors</t>
        </is>
      </c>
    </row>
    <row r="57">
      <c r="A57" s="0" t="inlineStr">
        <is>
          <t xml:space="preserve">ch_apr26_1</t>
        </is>
      </c>
      <c r="B57" s="0" t="inlineStr">
        <is>
          <t xml:space="preserve">apr26</t>
        </is>
      </c>
      <c r="C57" s="0" t="inlineStr">
        <is>
          <t xml:space="preserve">a0955</t>
        </is>
      </c>
      <c r="D57" s="4">
        <v>24900</v>
      </c>
      <c r="E57" s="0" t="inlineStr">
        <is>
          <t xml:space="preserve">Lost champion</t>
        </is>
      </c>
    </row>
    <row r="58">
      <c r="A58" s="0" t="inlineStr">
        <is>
          <t xml:space="preserve">ch_apr26_2</t>
        </is>
      </c>
      <c r="B58" s="0" t="inlineStr">
        <is>
          <t xml:space="preserve">apr26</t>
        </is>
      </c>
      <c r="C58" s="0" t="inlineStr">
        <is>
          <t xml:space="preserve">a0969</t>
        </is>
      </c>
      <c r="D58" s="4">
        <v>9900</v>
      </c>
      <c r="E58" s="0" t="inlineStr">
        <is>
          <t xml:space="preserve">Moved to competitor</t>
        </is>
      </c>
    </row>
    <row r="59">
      <c r="A59" s="0" t="inlineStr">
        <is>
          <t xml:space="preserve">ch_apr26_3</t>
        </is>
      </c>
      <c r="B59" s="0" t="inlineStr">
        <is>
          <t xml:space="preserve">apr26</t>
        </is>
      </c>
      <c r="C59" s="0" t="inlineStr">
        <is>
          <t xml:space="preserve">a0856</t>
        </is>
      </c>
      <c r="D59" s="4">
        <v>11100</v>
      </c>
      <c r="E59" s="0" t="inlineStr">
        <is>
          <t xml:space="preserve">Low adoption</t>
        </is>
      </c>
    </row>
    <row r="60">
      <c r="A60" s="0" t="inlineStr">
        <is>
          <t xml:space="preserve">ch_apr26_4</t>
        </is>
      </c>
      <c r="B60" s="0" t="inlineStr">
        <is>
          <t xml:space="preserve">apr26</t>
        </is>
      </c>
      <c r="C60" s="0" t="inlineStr">
        <is>
          <t xml:space="preserve">a0235</t>
        </is>
      </c>
      <c r="D60" s="4">
        <v>133300</v>
      </c>
      <c r="E60" s="0" t="inlineStr">
        <is>
          <t xml:space="preserve">Low adoption</t>
        </is>
      </c>
    </row>
    <row r="61">
      <c r="A61" s="0" t="inlineStr">
        <is>
          <t xml:space="preserve">ch_apr26_5</t>
        </is>
      </c>
      <c r="B61" s="0" t="inlineStr">
        <is>
          <t xml:space="preserve">apr26</t>
        </is>
      </c>
      <c r="C61" s="0" t="inlineStr">
        <is>
          <t xml:space="preserve">a0522</t>
        </is>
      </c>
      <c r="D61" s="4">
        <v>18100</v>
      </c>
      <c r="E61" s="0" t="inlineStr">
        <is>
          <t xml:space="preserve">Lost champion</t>
        </is>
      </c>
    </row>
    <row r="62">
      <c r="A62" s="0" t="inlineStr">
        <is>
          <t xml:space="preserve">ch_apr26_6</t>
        </is>
      </c>
      <c r="B62" s="0" t="inlineStr">
        <is>
          <t xml:space="preserve">apr26</t>
        </is>
      </c>
      <c r="C62" s="0" t="inlineStr">
        <is>
          <t xml:space="preserve">a0997</t>
        </is>
      </c>
      <c r="D62" s="4">
        <v>19700</v>
      </c>
      <c r="E62" s="0" t="inlineStr">
        <is>
          <t xml:space="preserve">Moved to competitor</t>
        </is>
      </c>
    </row>
    <row r="63">
      <c r="A63" s="0" t="inlineStr">
        <is>
          <t xml:space="preserve">ch_may26_1</t>
        </is>
      </c>
      <c r="B63" s="0" t="inlineStr">
        <is>
          <t xml:space="preserve">may26</t>
        </is>
      </c>
      <c r="C63" s="0" t="inlineStr">
        <is>
          <t xml:space="preserve">a1333</t>
        </is>
      </c>
      <c r="D63" s="4">
        <v>154900</v>
      </c>
      <c r="E63" s="0" t="inlineStr">
        <is>
          <t xml:space="preserve">Budget cut</t>
        </is>
      </c>
    </row>
    <row r="64">
      <c r="A64" s="0" t="inlineStr">
        <is>
          <t xml:space="preserve">ch_may26_2</t>
        </is>
      </c>
      <c r="B64" s="0" t="inlineStr">
        <is>
          <t xml:space="preserve">may26</t>
        </is>
      </c>
      <c r="C64" s="0" t="inlineStr">
        <is>
          <t xml:space="preserve">a0583</t>
        </is>
      </c>
      <c r="D64" s="4">
        <v>241700</v>
      </c>
      <c r="E64" s="0" t="inlineStr">
        <is>
          <t xml:space="preserve">Consolidated vendors</t>
        </is>
      </c>
    </row>
    <row r="65">
      <c r="A65" s="0" t="inlineStr">
        <is>
          <t xml:space="preserve">ch_may26_3</t>
        </is>
      </c>
      <c r="B65" s="0" t="inlineStr">
        <is>
          <t xml:space="preserve">may26</t>
        </is>
      </c>
      <c r="C65" s="0" t="inlineStr">
        <is>
          <t xml:space="preserve">a0436</t>
        </is>
      </c>
      <c r="D65" s="4">
        <v>11200</v>
      </c>
      <c r="E65" s="0" t="inlineStr">
        <is>
          <t xml:space="preserve">Budget cut</t>
        </is>
      </c>
    </row>
    <row r="66">
      <c r="A66" s="0" t="inlineStr">
        <is>
          <t xml:space="preserve">ch_may26_4</t>
        </is>
      </c>
      <c r="B66" s="0" t="inlineStr">
        <is>
          <t xml:space="preserve">may26</t>
        </is>
      </c>
      <c r="C66" s="0" t="inlineStr">
        <is>
          <t xml:space="preserve">a0587</t>
        </is>
      </c>
      <c r="D66" s="4">
        <v>115500</v>
      </c>
      <c r="E66" s="0" t="inlineStr">
        <is>
          <t xml:space="preserve">Lost champion</t>
        </is>
      </c>
    </row>
    <row r="67">
      <c r="A67" s="0" t="inlineStr">
        <is>
          <t xml:space="preserve">ch_may26_5</t>
        </is>
      </c>
      <c r="B67" s="0" t="inlineStr">
        <is>
          <t xml:space="preserve">may26</t>
        </is>
      </c>
      <c r="C67" s="0" t="inlineStr">
        <is>
          <t xml:space="preserve">a0504</t>
        </is>
      </c>
      <c r="D67" s="4">
        <v>71500</v>
      </c>
      <c r="E67" s="0" t="inlineStr">
        <is>
          <t xml:space="preserve">Moved to competitor</t>
        </is>
      </c>
    </row>
    <row r="68">
      <c r="A68" s="0" t="inlineStr">
        <is>
          <t xml:space="preserve">ch_may26_6</t>
        </is>
      </c>
      <c r="B68" s="0" t="inlineStr">
        <is>
          <t xml:space="preserve">may26</t>
        </is>
      </c>
      <c r="C68" s="0" t="inlineStr">
        <is>
          <t xml:space="preserve">a1249</t>
        </is>
      </c>
      <c r="D68" s="4">
        <v>15300</v>
      </c>
      <c r="E68" s="0" t="inlineStr">
        <is>
          <t xml:space="preserve">Lost champion</t>
        </is>
      </c>
    </row>
    <row r="69">
      <c r="A69" s="0" t="inlineStr">
        <is>
          <t xml:space="preserve">ch_jun26_1</t>
        </is>
      </c>
      <c r="B69" s="0" t="inlineStr">
        <is>
          <t xml:space="preserve">jun26</t>
        </is>
      </c>
      <c r="C69" s="0" t="inlineStr">
        <is>
          <t xml:space="preserve">a0307</t>
        </is>
      </c>
      <c r="D69" s="4">
        <v>87600</v>
      </c>
      <c r="E69" s="0" t="inlineStr">
        <is>
          <t xml:space="preserve">Consolidated vendors</t>
        </is>
      </c>
    </row>
    <row r="70">
      <c r="A70" s="0" t="inlineStr">
        <is>
          <t xml:space="preserve">ch_jun26_2</t>
        </is>
      </c>
      <c r="B70" s="0" t="inlineStr">
        <is>
          <t xml:space="preserve">jun26</t>
        </is>
      </c>
      <c r="C70" s="0" t="inlineStr">
        <is>
          <t xml:space="preserve">a1013</t>
        </is>
      </c>
      <c r="D70" s="4">
        <v>31700</v>
      </c>
      <c r="E70" s="0" t="inlineStr">
        <is>
          <t xml:space="preserve">Consolidated vendors</t>
        </is>
      </c>
    </row>
    <row r="71">
      <c r="A71" s="0" t="inlineStr">
        <is>
          <t xml:space="preserve">ch_jun26_3</t>
        </is>
      </c>
      <c r="B71" s="0" t="inlineStr">
        <is>
          <t xml:space="preserve">jun26</t>
        </is>
      </c>
      <c r="C71" s="0" t="inlineStr">
        <is>
          <t xml:space="preserve">a0791</t>
        </is>
      </c>
      <c r="D71" s="4">
        <v>16700</v>
      </c>
      <c r="E71" s="0" t="inlineStr">
        <is>
          <t xml:space="preserve">Lost champion</t>
        </is>
      </c>
    </row>
    <row r="72">
      <c r="A72" s="0" t="inlineStr">
        <is>
          <t xml:space="preserve">ch_jun26_4</t>
        </is>
      </c>
      <c r="B72" s="0" t="inlineStr">
        <is>
          <t xml:space="preserve">jun26</t>
        </is>
      </c>
      <c r="C72" s="0" t="inlineStr">
        <is>
          <t xml:space="preserve">a0327</t>
        </is>
      </c>
      <c r="D72" s="4">
        <v>7200</v>
      </c>
      <c r="E72" s="0" t="inlineStr">
        <is>
          <t xml:space="preserve">Acquired</t>
        </is>
      </c>
    </row>
    <row r="73">
      <c r="A73" s="0" t="inlineStr">
        <is>
          <t xml:space="preserve">ch_jul26_1</t>
        </is>
      </c>
      <c r="B73" s="0" t="inlineStr">
        <is>
          <t xml:space="preserve">jul26</t>
        </is>
      </c>
      <c r="C73" s="0" t="inlineStr">
        <is>
          <t xml:space="preserve">a0158</t>
        </is>
      </c>
      <c r="D73" s="4">
        <v>84400</v>
      </c>
      <c r="E73" s="0" t="inlineStr">
        <is>
          <t xml:space="preserve">Acquired</t>
        </is>
      </c>
    </row>
    <row r="74">
      <c r="A74" s="0" t="inlineStr">
        <is>
          <t xml:space="preserve">ch_jul26_2</t>
        </is>
      </c>
      <c r="B74" s="0" t="inlineStr">
        <is>
          <t xml:space="preserve">jul26</t>
        </is>
      </c>
      <c r="C74" s="0" t="inlineStr">
        <is>
          <t xml:space="preserve">a0588</t>
        </is>
      </c>
      <c r="D74" s="4">
        <v>27400</v>
      </c>
      <c r="E74" s="0" t="inlineStr">
        <is>
          <t xml:space="preserve">Acquired</t>
        </is>
      </c>
    </row>
    <row r="75">
      <c r="A75" s="0" t="inlineStr">
        <is>
          <t xml:space="preserve">ch_jul26_3</t>
        </is>
      </c>
      <c r="B75" s="0" t="inlineStr">
        <is>
          <t xml:space="preserve">jul26</t>
        </is>
      </c>
      <c r="C75" s="0" t="inlineStr">
        <is>
          <t xml:space="preserve">a0045</t>
        </is>
      </c>
      <c r="D75" s="4">
        <v>11700</v>
      </c>
      <c r="E75" s="0" t="inlineStr">
        <is>
          <t xml:space="preserve">Acquired</t>
        </is>
      </c>
    </row>
    <row r="76">
      <c r="A76" s="0" t="inlineStr">
        <is>
          <t xml:space="preserve">ch_jul26_4</t>
        </is>
      </c>
      <c r="B76" s="0" t="inlineStr">
        <is>
          <t xml:space="preserve">jul26</t>
        </is>
      </c>
      <c r="C76" s="0" t="inlineStr">
        <is>
          <t xml:space="preserve">a0131</t>
        </is>
      </c>
      <c r="D76" s="4">
        <v>7600</v>
      </c>
      <c r="E76" s="0" t="inlineStr">
        <is>
          <t xml:space="preserve">Budget cut</t>
        </is>
      </c>
    </row>
    <row r="77">
      <c r="A77" s="0" t="inlineStr">
        <is>
          <t xml:space="preserve">ch_jul26_5</t>
        </is>
      </c>
      <c r="B77" s="0" t="inlineStr">
        <is>
          <t xml:space="preserve">jul26</t>
        </is>
      </c>
      <c r="C77" s="0" t="inlineStr">
        <is>
          <t xml:space="preserve">a1145</t>
        </is>
      </c>
      <c r="D77" s="4">
        <v>59000</v>
      </c>
      <c r="E77" s="0" t="inlineStr">
        <is>
          <t xml:space="preserve">Consolidated vendors</t>
        </is>
      </c>
    </row>
    <row r="78">
      <c r="A78" s="0" t="inlineStr">
        <is>
          <t xml:space="preserve">ch_aug26_1</t>
        </is>
      </c>
      <c r="B78" s="0" t="inlineStr">
        <is>
          <t xml:space="preserve">aug26</t>
        </is>
      </c>
      <c r="C78" s="0" t="inlineStr">
        <is>
          <t xml:space="preserve">a0499</t>
        </is>
      </c>
      <c r="D78" s="4">
        <v>23700</v>
      </c>
      <c r="E78" s="0" t="inlineStr">
        <is>
          <t xml:space="preserve">Low adoption</t>
        </is>
      </c>
    </row>
    <row r="79">
      <c r="A79" s="0" t="inlineStr">
        <is>
          <t xml:space="preserve">ch_aug26_2</t>
        </is>
      </c>
      <c r="B79" s="0" t="inlineStr">
        <is>
          <t xml:space="preserve">aug26</t>
        </is>
      </c>
      <c r="C79" s="0" t="inlineStr">
        <is>
          <t xml:space="preserve">a1005</t>
        </is>
      </c>
      <c r="D79" s="4">
        <v>46700</v>
      </c>
      <c r="E79" s="0" t="inlineStr">
        <is>
          <t xml:space="preserve">Lost champion</t>
        </is>
      </c>
    </row>
    <row r="80">
      <c r="A80" s="0" t="inlineStr">
        <is>
          <t xml:space="preserve">ch_aug26_3</t>
        </is>
      </c>
      <c r="B80" s="0" t="inlineStr">
        <is>
          <t xml:space="preserve">aug26</t>
        </is>
      </c>
      <c r="C80" s="0" t="inlineStr">
        <is>
          <t xml:space="preserve">a0726</t>
        </is>
      </c>
      <c r="D80" s="4">
        <v>9600</v>
      </c>
      <c r="E80" s="0" t="inlineStr">
        <is>
          <t xml:space="preserve">Lost champion</t>
        </is>
      </c>
    </row>
    <row r="81">
      <c r="A81" s="0" t="inlineStr">
        <is>
          <t xml:space="preserve">ch_aug26_4</t>
        </is>
      </c>
      <c r="B81" s="0" t="inlineStr">
        <is>
          <t xml:space="preserve">aug26</t>
        </is>
      </c>
      <c r="C81" s="0" t="inlineStr">
        <is>
          <t xml:space="preserve">a1042</t>
        </is>
      </c>
      <c r="D81" s="4">
        <v>31100</v>
      </c>
      <c r="E81" s="0" t="inlineStr">
        <is>
          <t xml:space="preserve">Budget cut</t>
        </is>
      </c>
    </row>
    <row r="82">
      <c r="A82" s="0" t="inlineStr">
        <is>
          <t xml:space="preserve">ch_aug26_5</t>
        </is>
      </c>
      <c r="B82" s="0" t="inlineStr">
        <is>
          <t xml:space="preserve">aug26</t>
        </is>
      </c>
      <c r="C82" s="0" t="inlineStr">
        <is>
          <t xml:space="preserve">a1479</t>
        </is>
      </c>
      <c r="D82" s="4">
        <v>57100</v>
      </c>
      <c r="E82" s="0" t="inlineStr">
        <is>
          <t xml:space="preserve">Lost champion</t>
        </is>
      </c>
    </row>
    <row r="83">
      <c r="A83" s="0" t="inlineStr">
        <is>
          <t xml:space="preserve">ch_aug26_6</t>
        </is>
      </c>
      <c r="B83" s="0" t="inlineStr">
        <is>
          <t xml:space="preserve">aug26</t>
        </is>
      </c>
      <c r="C83" s="0" t="inlineStr">
        <is>
          <t xml:space="preserve">a0267</t>
        </is>
      </c>
      <c r="D83" s="4">
        <v>12300</v>
      </c>
      <c r="E83" s="0" t="inlineStr">
        <is>
          <t xml:space="preserve">Budget cut</t>
        </is>
      </c>
    </row>
    <row r="84">
      <c r="A84" s="0" t="inlineStr">
        <is>
          <t xml:space="preserve">ch_aug26_7</t>
        </is>
      </c>
      <c r="B84" s="0" t="inlineStr">
        <is>
          <t xml:space="preserve">aug26</t>
        </is>
      </c>
      <c r="C84" s="0" t="inlineStr">
        <is>
          <t xml:space="preserve">a1456</t>
        </is>
      </c>
      <c r="D84" s="4">
        <v>6300</v>
      </c>
      <c r="E84" s="0" t="inlineStr">
        <is>
          <t xml:space="preserve">Low adoption</t>
        </is>
      </c>
    </row>
  </sheetData>
</worksheet>
</file>

<file path=xl/worksheets/sheet3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starting_arr</t>
        </is>
      </c>
      <c r="B2" s="0" t="inlineStr">
        <is>
          <t xml:space="preserve">ARR at 31 Mar 2025</t>
        </is>
      </c>
      <c r="C2" s="0"/>
    </row>
    <row r="3">
      <c r="A3" s="0" t="inlineStr">
        <is>
          <t xml:space="preserve">new_logo_rate</t>
        </is>
      </c>
      <c r="B3" s="0" t="inlineStr">
        <is>
          <t xml:space="preserve">New-logo kicker (% of new-logo ACV)</t>
        </is>
      </c>
      <c r="C3" s="0" t="inlineStr">
        <is>
          <t xml:space="preserve">percent</t>
        </is>
      </c>
    </row>
    <row r="4">
      <c r="A4" s="0" t="inlineStr">
        <is>
          <t xml:space="preserve">multiyear_rate</t>
        </is>
      </c>
      <c r="B4" s="0" t="inlineStr">
        <is>
          <t xml:space="preserve">Multi-year kicker (% of ACV per extra year)</t>
        </is>
      </c>
      <c r="C4" s="0" t="inlineStr">
        <is>
          <t xml:space="preserve">percent</t>
        </is>
      </c>
    </row>
    <row r="5">
      <c r="A5" s="0" t="inlineStr">
        <is>
          <t xml:space="preserve">spiff_amount</t>
        </is>
      </c>
      <c r="B5" s="0" t="inlineStr">
        <is>
          <t xml:space="preserve">Security add-on SPIFF ($ per deal, Q3 2026)</t>
        </is>
      </c>
      <c r="C5" s="0"/>
    </row>
    <row r="6">
      <c r="A6" s="0" t="inlineStr">
        <is>
          <t xml:space="preserve">cap_multiple</t>
        </is>
      </c>
      <c r="B6" s="0" t="inlineStr">
        <is>
          <t xml:space="preserve">Payout cap (× on-target variable)</t>
        </is>
      </c>
      <c r="C6" s="0"/>
    </row>
    <row r="7">
      <c r="A7" s="0" t="inlineStr">
        <is>
          <t xml:space="preserve">commit_weight</t>
        </is>
      </c>
      <c r="B7" s="0" t="inlineStr">
        <is>
          <t xml:space="preserve">Forecast weight: commit</t>
        </is>
      </c>
      <c r="C7" s="0" t="inlineStr">
        <is>
          <t xml:space="preserve">percent</t>
        </is>
      </c>
    </row>
    <row r="8">
      <c r="A8" s="0" t="inlineStr">
        <is>
          <t xml:space="preserve">best_case_weight</t>
        </is>
      </c>
      <c r="B8" s="0" t="inlineStr">
        <is>
          <t xml:space="preserve">Forecast weight: best case</t>
        </is>
      </c>
      <c r="C8" s="0" t="inlineStr">
        <is>
          <t xml:space="preserve">percent</t>
        </is>
      </c>
    </row>
    <row r="9">
      <c r="A9" s="0" t="inlineStr">
        <is>
          <t xml:space="preserve">pipeline_weight</t>
        </is>
      </c>
      <c r="B9" s="0" t="inlineStr">
        <is>
          <t xml:space="preserve">Forecast weight: pipeline</t>
        </is>
      </c>
      <c r="C9" s="0" t="inlineStr">
        <is>
          <t xml:space="preserve">percent</t>
        </is>
      </c>
    </row>
  </sheetData>
</worksheet>
</file>

<file path=xl/worksheets/sheet3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from_pct</t>
        </is>
      </c>
      <c r="B2" s="0" t="inlineStr">
        <is>
          <t xml:space="preserve">Attainment from</t>
        </is>
      </c>
      <c r="C2" s="0" t="inlineStr">
        <is>
          <t xml:space="preserve">percent</t>
        </is>
      </c>
    </row>
    <row r="3">
      <c r="A3" s="0" t="inlineStr">
        <is>
          <t xml:space="preserve">to_pct</t>
        </is>
      </c>
      <c r="B3" s="0" t="inlineStr">
        <is>
          <t xml:space="preserve">Attainment to</t>
        </is>
      </c>
      <c r="C3" s="0" t="inlineStr">
        <is>
          <t xml:space="preserve">percent</t>
        </is>
      </c>
    </row>
    <row r="4">
      <c r="A4" s="0" t="inlineStr">
        <is>
          <t xml:space="preserve">multiplier</t>
        </is>
      </c>
      <c r="B4" s="0" t="inlineStr">
        <is>
          <t xml:space="preserve">Rate multiplier (x)</t>
        </is>
      </c>
      <c r="C4" s="0"/>
    </row>
  </sheetData>
</worksheet>
</file>

<file path=xl/worksheets/sheet4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quota</t>
        </is>
      </c>
      <c r="B2" s="0" t="inlineStr">
        <is>
          <t xml:space="preserve">Quarterly quota</t>
        </is>
      </c>
      <c r="C2" s="0"/>
    </row>
  </sheetData>
</worksheet>
</file>

<file path=xl/worksheets/sheet4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spend</t>
        </is>
      </c>
      <c r="B2" s="0" t="inlineStr">
        <is>
          <t xml:space="preserve">Spend</t>
        </is>
      </c>
      <c r="C2" s="0"/>
    </row>
    <row r="3">
      <c r="A3" s="0" t="inlineStr">
        <is>
          <t xml:space="preserve">leads</t>
        </is>
      </c>
      <c r="B3" s="0" t="inlineStr">
        <is>
          <t xml:space="preserve">Leads</t>
        </is>
      </c>
      <c r="C3" s="0"/>
    </row>
    <row r="4">
      <c r="A4" s="0" t="inlineStr">
        <is>
          <t xml:space="preserve">mqls</t>
        </is>
      </c>
      <c r="B4" s="0" t="inlineStr">
        <is>
          <t xml:space="preserve">MQLs</t>
        </is>
      </c>
      <c r="C4" s="0"/>
    </row>
    <row r="5">
      <c r="A5" s="0" t="inlineStr">
        <is>
          <t xml:space="preserve">opps_created</t>
        </is>
      </c>
      <c r="B5" s="0" t="inlineStr">
        <is>
          <t xml:space="preserve">Opportunities created (SQLs)</t>
        </is>
      </c>
      <c r="C5" s="0"/>
    </row>
    <row r="6">
      <c r="A6" s="0" t="inlineStr">
        <is>
          <t xml:space="preserve">pipeline_created</t>
        </is>
      </c>
      <c r="B6" s="0" t="inlineStr">
        <is>
          <t xml:space="preserve">Pipeline created</t>
        </is>
      </c>
      <c r="C6" s="0"/>
    </row>
    <row r="7">
      <c r="A7" s="0" t="inlineStr">
        <is>
          <t xml:space="preserve">deals_won</t>
        </is>
      </c>
      <c r="B7" s="0" t="inlineStr">
        <is>
          <t xml:space="preserve">Deals won</t>
        </is>
      </c>
      <c r="C7" s="0"/>
    </row>
    <row r="8">
      <c r="A8" s="0" t="inlineStr">
        <is>
          <t xml:space="preserve">won_acv</t>
        </is>
      </c>
      <c r="B8" s="0" t="inlineStr">
        <is>
          <t xml:space="preserve">Bookings</t>
        </is>
      </c>
      <c r="C8" s="0"/>
    </row>
    <row r="9">
      <c r="A9" s="0" t="inlineStr">
        <is>
          <t xml:space="preserve">cost_per_lead</t>
        </is>
      </c>
      <c r="B9" s="0" t="inlineStr">
        <is>
          <t xml:space="preserve">Cost per lead</t>
        </is>
      </c>
      <c r="C9" s="0"/>
    </row>
    <row r="10">
      <c r="A10" s="0" t="inlineStr">
        <is>
          <t xml:space="preserve">mql_rate</t>
        </is>
      </c>
      <c r="B10" s="0" t="inlineStr">
        <is>
          <t xml:space="preserve">Lead to MQL</t>
        </is>
      </c>
      <c r="C10" s="0" t="inlineStr">
        <is>
          <t xml:space="preserve">percent</t>
        </is>
      </c>
    </row>
    <row r="11">
      <c r="A11" s="0" t="inlineStr">
        <is>
          <t xml:space="preserve">sql_rate</t>
        </is>
      </c>
      <c r="B11" s="0" t="inlineStr">
        <is>
          <t xml:space="preserve">MQL to SQL</t>
        </is>
      </c>
      <c r="C11" s="0" t="inlineStr">
        <is>
          <t xml:space="preserve">percent</t>
        </is>
      </c>
    </row>
    <row r="12">
      <c r="A12" s="0" t="inlineStr">
        <is>
          <t xml:space="preserve">cost_per_opp</t>
        </is>
      </c>
      <c r="B12" s="0" t="inlineStr">
        <is>
          <t xml:space="preserve">Cost per opportunity</t>
        </is>
      </c>
      <c r="C12" s="0"/>
    </row>
    <row r="13">
      <c r="A13" s="0" t="inlineStr">
        <is>
          <t xml:space="preserve">pipeline_per_dollar</t>
        </is>
      </c>
      <c r="B13" s="0" t="inlineStr">
        <is>
          <t xml:space="preserve">Pipeline per $ of spend</t>
        </is>
      </c>
      <c r="C13" s="0"/>
    </row>
  </sheetData>
</worksheet>
</file>

<file path=xl/worksheets/sheet4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spend</t>
        </is>
      </c>
      <c r="B2" s="0" t="inlineStr">
        <is>
          <t xml:space="preserve">Spend</t>
        </is>
      </c>
      <c r="C2" s="0"/>
    </row>
    <row r="3">
      <c r="A3" s="0" t="inlineStr">
        <is>
          <t xml:space="preserve">leads</t>
        </is>
      </c>
      <c r="B3" s="0" t="inlineStr">
        <is>
          <t xml:space="preserve">Leads</t>
        </is>
      </c>
      <c r="C3" s="0"/>
    </row>
    <row r="4">
      <c r="A4" s="0" t="inlineStr">
        <is>
          <t xml:space="preserve">mqls</t>
        </is>
      </c>
      <c r="B4" s="0" t="inlineStr">
        <is>
          <t xml:space="preserve">MQLs</t>
        </is>
      </c>
      <c r="C4" s="0"/>
    </row>
    <row r="5">
      <c r="A5" s="0" t="inlineStr">
        <is>
          <t xml:space="preserve">opps_created</t>
        </is>
      </c>
      <c r="B5" s="0" t="inlineStr">
        <is>
          <t xml:space="preserve">Opportunities created (SQLs)</t>
        </is>
      </c>
      <c r="C5" s="0"/>
    </row>
    <row r="6">
      <c r="A6" s="0" t="inlineStr">
        <is>
          <t xml:space="preserve">pipeline_created</t>
        </is>
      </c>
      <c r="B6" s="0" t="inlineStr">
        <is>
          <t xml:space="preserve">Pipeline created</t>
        </is>
      </c>
      <c r="C6" s="0"/>
    </row>
    <row r="7">
      <c r="A7" s="0" t="inlineStr">
        <is>
          <t xml:space="preserve">deals_won</t>
        </is>
      </c>
      <c r="B7" s="0" t="inlineStr">
        <is>
          <t xml:space="preserve">Deals won</t>
        </is>
      </c>
      <c r="C7" s="0"/>
    </row>
    <row r="8">
      <c r="A8" s="0" t="inlineStr">
        <is>
          <t xml:space="preserve">won_acv</t>
        </is>
      </c>
      <c r="B8" s="0" t="inlineStr">
        <is>
          <t xml:space="preserve">Bookings</t>
        </is>
      </c>
      <c r="C8" s="0"/>
    </row>
    <row r="9">
      <c r="A9" s="0" t="inlineStr">
        <is>
          <t xml:space="preserve">cost_per_lead</t>
        </is>
      </c>
      <c r="B9" s="0" t="inlineStr">
        <is>
          <t xml:space="preserve">Cost per lead</t>
        </is>
      </c>
      <c r="C9" s="0"/>
    </row>
    <row r="10">
      <c r="A10" s="0" t="inlineStr">
        <is>
          <t xml:space="preserve">mql_rate</t>
        </is>
      </c>
      <c r="B10" s="0" t="inlineStr">
        <is>
          <t xml:space="preserve">Lead to MQL</t>
        </is>
      </c>
      <c r="C10" s="0" t="inlineStr">
        <is>
          <t xml:space="preserve">percent</t>
        </is>
      </c>
    </row>
    <row r="11">
      <c r="A11" s="0" t="inlineStr">
        <is>
          <t xml:space="preserve">sql_rate</t>
        </is>
      </c>
      <c r="B11" s="0" t="inlineStr">
        <is>
          <t xml:space="preserve">MQL to SQL</t>
        </is>
      </c>
      <c r="C11" s="0" t="inlineStr">
        <is>
          <t xml:space="preserve">percent</t>
        </is>
      </c>
    </row>
    <row r="12">
      <c r="A12" s="0" t="inlineStr">
        <is>
          <t xml:space="preserve">win_rate</t>
        </is>
      </c>
      <c r="B12" s="0" t="inlineStr">
        <is>
          <t xml:space="preserve">SQL to won</t>
        </is>
      </c>
      <c r="C12" s="0" t="inlineStr">
        <is>
          <t xml:space="preserve">percent</t>
        </is>
      </c>
    </row>
    <row r="13">
      <c r="A13" s="0" t="inlineStr">
        <is>
          <t xml:space="preserve">cost_per_opp</t>
        </is>
      </c>
      <c r="B13" s="0" t="inlineStr">
        <is>
          <t xml:space="preserve">Cost per opportunity</t>
        </is>
      </c>
      <c r="C13" s="0"/>
    </row>
    <row r="14">
      <c r="A14" s="0" t="inlineStr">
        <is>
          <t xml:space="preserve">pipeline_per_dollar</t>
        </is>
      </c>
      <c r="B14" s="0" t="inlineStr">
        <is>
          <t xml:space="preserve">Pipeline per $ of spend</t>
        </is>
      </c>
      <c r="C14" s="0"/>
    </row>
    <row r="15">
      <c r="A15" s="0" t="inlineStr">
        <is>
          <t xml:space="preserve">cac_ratio</t>
        </is>
      </c>
      <c r="B15" s="0" t="inlineStr">
        <is>
          <t xml:space="preserve">Bookings per $ of spend</t>
        </is>
      </c>
      <c r="C15" s="0"/>
    </row>
  </sheetData>
</worksheet>
</file>

<file path=xl/worksheets/sheet4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calls</t>
        </is>
      </c>
      <c r="B2" s="0" t="inlineStr">
        <is>
          <t xml:space="preserve">Calls</t>
        </is>
      </c>
      <c r="C2" s="0"/>
    </row>
    <row r="3">
      <c r="A3" s="0" t="inlineStr">
        <is>
          <t xml:space="preserve">emails</t>
        </is>
      </c>
      <c r="B3" s="0" t="inlineStr">
        <is>
          <t xml:space="preserve">Emails</t>
        </is>
      </c>
      <c r="C3" s="0"/>
    </row>
    <row r="4">
      <c r="A4" s="0" t="inlineStr">
        <is>
          <t xml:space="preserve">connects</t>
        </is>
      </c>
      <c r="B4" s="0" t="inlineStr">
        <is>
          <t xml:space="preserve">Connects</t>
        </is>
      </c>
      <c r="C4" s="0"/>
    </row>
    <row r="5">
      <c r="A5" s="0" t="inlineStr">
        <is>
          <t xml:space="preserve">meetings_set</t>
        </is>
      </c>
      <c r="B5" s="0" t="inlineStr">
        <is>
          <t xml:space="preserve">Meetings set</t>
        </is>
      </c>
      <c r="C5" s="0"/>
    </row>
    <row r="6">
      <c r="A6" s="0" t="inlineStr">
        <is>
          <t xml:space="preserve">meetings_held</t>
        </is>
      </c>
      <c r="B6" s="0" t="inlineStr">
        <is>
          <t xml:space="preserve">Meetings held</t>
        </is>
      </c>
      <c r="C6" s="0"/>
    </row>
    <row r="7">
      <c r="A7" s="0" t="inlineStr">
        <is>
          <t xml:space="preserve">sqls</t>
        </is>
      </c>
      <c r="B7" s="0" t="inlineStr">
        <is>
          <t xml:space="preserve">SQLs</t>
        </is>
      </c>
      <c r="C7" s="0"/>
    </row>
    <row r="8">
      <c r="A8" s="0" t="inlineStr">
        <is>
          <t xml:space="preserve">sql_quota</t>
        </is>
      </c>
      <c r="B8" s="0" t="inlineStr">
        <is>
          <t xml:space="preserve">SQL quota</t>
        </is>
      </c>
      <c r="C8" s="0"/>
    </row>
    <row r="9">
      <c r="A9" s="0" t="inlineStr">
        <is>
          <t xml:space="preserve">attainment</t>
        </is>
      </c>
      <c r="B9" s="0" t="inlineStr">
        <is>
          <t xml:space="preserve">SQL attainment</t>
        </is>
      </c>
      <c r="C9" s="0" t="inlineStr">
        <is>
          <t xml:space="preserve">percent</t>
        </is>
      </c>
    </row>
    <row r="10">
      <c r="A10" s="0" t="inlineStr">
        <is>
          <t xml:space="preserve">connect_rate</t>
        </is>
      </c>
      <c r="B10" s="0" t="inlineStr">
        <is>
          <t xml:space="preserve">Connect rate</t>
        </is>
      </c>
      <c r="C10" s="0" t="inlineStr">
        <is>
          <t xml:space="preserve">percent</t>
        </is>
      </c>
    </row>
    <row r="11">
      <c r="A11" s="0" t="inlineStr">
        <is>
          <t xml:space="preserve">set_rate</t>
        </is>
      </c>
      <c r="B11" s="0" t="inlineStr">
        <is>
          <t xml:space="preserve">Meetings per connect</t>
        </is>
      </c>
      <c r="C11" s="0" t="inlineStr">
        <is>
          <t xml:space="preserve">percent</t>
        </is>
      </c>
    </row>
    <row r="12">
      <c r="A12" s="0" t="inlineStr">
        <is>
          <t xml:space="preserve">show_rate</t>
        </is>
      </c>
      <c r="B12" s="0" t="inlineStr">
        <is>
          <t xml:space="preserve">Show rate</t>
        </is>
      </c>
      <c r="C12" s="0" t="inlineStr">
        <is>
          <t xml:space="preserve">percent</t>
        </is>
      </c>
    </row>
    <row r="13">
      <c r="A13" s="0" t="inlineStr">
        <is>
          <t xml:space="preserve">opps_sourced</t>
        </is>
      </c>
      <c r="B13" s="0" t="inlineStr">
        <is>
          <t xml:space="preserve">Opportunities sourced</t>
        </is>
      </c>
      <c r="C13" s="0"/>
    </row>
    <row r="14">
      <c r="A14" s="0" t="inlineStr">
        <is>
          <t xml:space="preserve">pipeline_sourced</t>
        </is>
      </c>
      <c r="B14" s="0" t="inlineStr">
        <is>
          <t xml:space="preserve">Pipeline sourced</t>
        </is>
      </c>
      <c r="C14" s="0"/>
    </row>
    <row r="15">
      <c r="A15" s="0" t="inlineStr">
        <is>
          <t xml:space="preserve">won_sourced</t>
        </is>
      </c>
      <c r="B15" s="0" t="inlineStr">
        <is>
          <t xml:space="preserve">Sourced bookings (closed this month)</t>
        </is>
      </c>
      <c r="C15" s="0"/>
    </row>
    <row r="16">
      <c r="A16" s="0" t="inlineStr">
        <is>
          <t xml:space="preserve">pipeline_per_sql</t>
        </is>
      </c>
      <c r="B16" s="0" t="inlineStr">
        <is>
          <t xml:space="preserve">Pipeline per SQL</t>
        </is>
      </c>
      <c r="C16" s="0"/>
    </row>
  </sheetData>
</worksheet>
</file>

<file path=xl/worksheets/sheet4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bookings</t>
        </is>
      </c>
      <c r="B2" s="0" t="inlineStr">
        <is>
          <t xml:space="preserve">Bookings</t>
        </is>
      </c>
      <c r="C2" s="0"/>
    </row>
    <row r="3">
      <c r="A3" s="0" t="inlineStr">
        <is>
          <t xml:space="preserve">deals_won</t>
        </is>
      </c>
      <c r="B3" s="0" t="inlineStr">
        <is>
          <t xml:space="preserve">Deals won</t>
        </is>
      </c>
      <c r="C3" s="0"/>
    </row>
    <row r="4">
      <c r="A4" s="0" t="inlineStr">
        <is>
          <t xml:space="preserve">deals_lost</t>
        </is>
      </c>
      <c r="B4" s="0" t="inlineStr">
        <is>
          <t xml:space="preserve">Deals lost</t>
        </is>
      </c>
      <c r="C4" s="0"/>
    </row>
    <row r="5">
      <c r="A5" s="0" t="inlineStr">
        <is>
          <t xml:space="preserve">new_logo_bookings</t>
        </is>
      </c>
      <c r="B5" s="0" t="inlineStr">
        <is>
          <t xml:space="preserve">New-logo bookings</t>
        </is>
      </c>
      <c r="C5" s="0"/>
    </row>
    <row r="6">
      <c r="A6" s="0" t="inlineStr">
        <is>
          <t xml:space="preserve">expansion_bookings</t>
        </is>
      </c>
      <c r="B6" s="0" t="inlineStr">
        <is>
          <t xml:space="preserve">Expansion bookings</t>
        </is>
      </c>
      <c r="C6" s="0"/>
    </row>
    <row r="7">
      <c r="A7" s="0" t="inlineStr">
        <is>
          <t xml:space="preserve">opps_created</t>
        </is>
      </c>
      <c r="B7" s="0" t="inlineStr">
        <is>
          <t xml:space="preserve">Opportunities created</t>
        </is>
      </c>
      <c r="C7" s="0"/>
    </row>
    <row r="8">
      <c r="A8" s="0" t="inlineStr">
        <is>
          <t xml:space="preserve">pipeline_created</t>
        </is>
      </c>
      <c r="B8" s="0" t="inlineStr">
        <is>
          <t xml:space="preserve">Pipeline created</t>
        </is>
      </c>
      <c r="C8" s="0"/>
    </row>
    <row r="9">
      <c r="A9" s="0" t="inlineStr">
        <is>
          <t xml:space="preserve">open_pipeline</t>
        </is>
      </c>
      <c r="B9" s="0" t="inlineStr">
        <is>
          <t xml:space="preserve">Open pipeline closing this month</t>
        </is>
      </c>
      <c r="C9" s="0"/>
    </row>
    <row r="10">
      <c r="A10" s="0" t="inlineStr">
        <is>
          <t xml:space="preserve">commit</t>
        </is>
      </c>
      <c r="B10" s="0" t="inlineStr">
        <is>
          <t xml:space="preserve">Commit (negotiation)</t>
        </is>
      </c>
      <c r="C10" s="0"/>
    </row>
    <row r="11">
      <c r="A11" s="0" t="inlineStr">
        <is>
          <t xml:space="preserve">best_case</t>
        </is>
      </c>
      <c r="B11" s="0" t="inlineStr">
        <is>
          <t xml:space="preserve">Best case (proposal)</t>
        </is>
      </c>
      <c r="C11" s="0"/>
    </row>
    <row r="12">
      <c r="A12" s="0" t="inlineStr">
        <is>
          <t xml:space="preserve">weighted_pipeline</t>
        </is>
      </c>
      <c r="B12" s="0" t="inlineStr">
        <is>
          <t xml:space="preserve">Weighted pipeline</t>
        </is>
      </c>
      <c r="C12" s="0"/>
    </row>
    <row r="13">
      <c r="A13" s="0" t="inlineStr">
        <is>
          <t xml:space="preserve">forecast</t>
        </is>
      </c>
      <c r="B13" s="0" t="inlineStr">
        <is>
          <t xml:space="preserve">Forecast</t>
        </is>
      </c>
      <c r="C13" s="0"/>
    </row>
  </sheetData>
</worksheet>
</file>

<file path=xl/worksheets/sheet4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quota</t>
        </is>
      </c>
      <c r="B2" s="0" t="inlineStr">
        <is>
          <t xml:space="preserve">Quota</t>
        </is>
      </c>
      <c r="C2" s="0"/>
    </row>
    <row r="3">
      <c r="A3" s="0" t="inlineStr">
        <is>
          <t xml:space="preserve">bookings</t>
        </is>
      </c>
      <c r="B3" s="0" t="inlineStr">
        <is>
          <t xml:space="preserve">Bookings</t>
        </is>
      </c>
      <c r="C3" s="0"/>
    </row>
    <row r="4">
      <c r="A4" s="0" t="inlineStr">
        <is>
          <t xml:space="preserve">attainment</t>
        </is>
      </c>
      <c r="B4" s="0" t="inlineStr">
        <is>
          <t xml:space="preserve">Attainment</t>
        </is>
      </c>
      <c r="C4" s="0" t="inlineStr">
        <is>
          <t xml:space="preserve">percent</t>
        </is>
      </c>
    </row>
    <row r="5">
      <c r="A5" s="0" t="inlineStr">
        <is>
          <t xml:space="preserve">gap</t>
        </is>
      </c>
      <c r="B5" s="0" t="inlineStr">
        <is>
          <t xml:space="preserve">Gap to quota</t>
        </is>
      </c>
      <c r="C5" s="0"/>
    </row>
    <row r="6">
      <c r="A6" s="0" t="inlineStr">
        <is>
          <t xml:space="preserve">deals_won</t>
        </is>
      </c>
      <c r="B6" s="0" t="inlineStr">
        <is>
          <t xml:space="preserve">Deals won</t>
        </is>
      </c>
      <c r="C6" s="0"/>
    </row>
    <row r="7">
      <c r="A7" s="0" t="inlineStr">
        <is>
          <t xml:space="preserve">deals_lost</t>
        </is>
      </c>
      <c r="B7" s="0" t="inlineStr">
        <is>
          <t xml:space="preserve">Deals lost</t>
        </is>
      </c>
      <c r="C7" s="0"/>
    </row>
    <row r="8">
      <c r="A8" s="0" t="inlineStr">
        <is>
          <t xml:space="preserve">win_rate</t>
        </is>
      </c>
      <c r="B8" s="0" t="inlineStr">
        <is>
          <t xml:space="preserve">Win rate</t>
        </is>
      </c>
      <c r="C8" s="0" t="inlineStr">
        <is>
          <t xml:space="preserve">percent</t>
        </is>
      </c>
    </row>
    <row r="9">
      <c r="A9" s="0" t="inlineStr">
        <is>
          <t xml:space="preserve">avg_deal</t>
        </is>
      </c>
      <c r="B9" s="0" t="inlineStr">
        <is>
          <t xml:space="preserve">Average deal</t>
        </is>
      </c>
      <c r="C9" s="0"/>
    </row>
    <row r="10">
      <c r="A10" s="0" t="inlineStr">
        <is>
          <t xml:space="preserve">new_logos</t>
        </is>
      </c>
      <c r="B10" s="0" t="inlineStr">
        <is>
          <t xml:space="preserve">New logos</t>
        </is>
      </c>
      <c r="C10" s="0"/>
    </row>
    <row r="11">
      <c r="A11" s="0" t="inlineStr">
        <is>
          <t xml:space="preserve">new_logo_bookings</t>
        </is>
      </c>
      <c r="B11" s="0" t="inlineStr">
        <is>
          <t xml:space="preserve">New-logo bookings</t>
        </is>
      </c>
      <c r="C11" s="0"/>
    </row>
    <row r="12">
      <c r="A12" s="0" t="inlineStr">
        <is>
          <t xml:space="preserve">opps_created</t>
        </is>
      </c>
      <c r="B12" s="0" t="inlineStr">
        <is>
          <t xml:space="preserve">Opportunities created</t>
        </is>
      </c>
      <c r="C12" s="0"/>
    </row>
    <row r="13">
      <c r="A13" s="0" t="inlineStr">
        <is>
          <t xml:space="preserve">pipeline_created</t>
        </is>
      </c>
      <c r="B13" s="0" t="inlineStr">
        <is>
          <t xml:space="preserve">Pipeline created</t>
        </is>
      </c>
      <c r="C13" s="0"/>
    </row>
    <row r="14">
      <c r="A14" s="0" t="inlineStr">
        <is>
          <t xml:space="preserve">open_pipeline</t>
        </is>
      </c>
      <c r="B14" s="0" t="inlineStr">
        <is>
          <t xml:space="preserve">Open pipeline</t>
        </is>
      </c>
      <c r="C14" s="0"/>
    </row>
    <row r="15">
      <c r="A15" s="0" t="inlineStr">
        <is>
          <t xml:space="preserve">commit</t>
        </is>
      </c>
      <c r="B15" s="0" t="inlineStr">
        <is>
          <t xml:space="preserve">Commit</t>
        </is>
      </c>
      <c r="C15" s="0"/>
    </row>
    <row r="16">
      <c r="A16" s="0" t="inlineStr">
        <is>
          <t xml:space="preserve">best_case</t>
        </is>
      </c>
      <c r="B16" s="0" t="inlineStr">
        <is>
          <t xml:space="preserve">Best case</t>
        </is>
      </c>
      <c r="C16" s="0"/>
    </row>
    <row r="17">
      <c r="A17" s="0" t="inlineStr">
        <is>
          <t xml:space="preserve">coverage</t>
        </is>
      </c>
      <c r="B17" s="0" t="inlineStr">
        <is>
          <t xml:space="preserve">Coverage of gap (x)</t>
        </is>
      </c>
      <c r="C17" s="0"/>
    </row>
    <row r="18">
      <c r="A18" s="0" t="inlineStr">
        <is>
          <t xml:space="preserve">forecast</t>
        </is>
      </c>
      <c r="B18" s="0" t="inlineStr">
        <is>
          <t xml:space="preserve">Forecast</t>
        </is>
      </c>
      <c r="C18" s="0"/>
    </row>
    <row r="19">
      <c r="A19" s="0" t="inlineStr">
        <is>
          <t xml:space="preserve">forecast_attainment</t>
        </is>
      </c>
      <c r="B19" s="0" t="inlineStr">
        <is>
          <t xml:space="preserve">Forecast attainment</t>
        </is>
      </c>
      <c r="C19" s="0" t="inlineStr">
        <is>
          <t xml:space="preserve">percent</t>
        </is>
      </c>
    </row>
    <row r="20">
      <c r="A20" s="0" t="inlineStr">
        <is>
          <t xml:space="preserve">ytd_bookings</t>
        </is>
      </c>
      <c r="B20" s="0" t="inlineStr">
        <is>
          <t xml:space="preserve">YTD bookings</t>
        </is>
      </c>
      <c r="C20" s="0"/>
    </row>
    <row r="21">
      <c r="A21" s="0" t="inlineStr">
        <is>
          <t xml:space="preserve">ytd_quota</t>
        </is>
      </c>
      <c r="B21" s="0" t="inlineStr">
        <is>
          <t xml:space="preserve">YTD quota</t>
        </is>
      </c>
      <c r="C21" s="0"/>
    </row>
    <row r="22">
      <c r="A22" s="0" t="inlineStr">
        <is>
          <t xml:space="preserve">ytd_attainment</t>
        </is>
      </c>
      <c r="B22" s="0" t="inlineStr">
        <is>
          <t xml:space="preserve">YTD attainment</t>
        </is>
      </c>
      <c r="C22" s="0" t="inlineStr">
        <is>
          <t xml:space="preserve">percent</t>
        </is>
      </c>
    </row>
  </sheetData>
</worksheet>
</file>

<file path=xl/worksheets/sheet4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attainment</t>
        </is>
      </c>
      <c r="B2" s="0" t="inlineStr">
        <is>
          <t xml:space="preserve">Attainment</t>
        </is>
      </c>
      <c r="C2" s="0" t="inlineStr">
        <is>
          <t xml:space="preserve">percent</t>
        </is>
      </c>
    </row>
    <row r="3">
      <c r="A3" s="0" t="inlineStr">
        <is>
          <t xml:space="preserve">in_tranche</t>
        </is>
      </c>
      <c r="B3" s="0" t="inlineStr">
        <is>
          <t xml:space="preserve">Attainment in tranche</t>
        </is>
      </c>
      <c r="C3" s="0" t="inlineStr">
        <is>
          <t xml:space="preserve">percent</t>
        </is>
      </c>
    </row>
    <row r="4">
      <c r="A4" s="0" t="inlineStr">
        <is>
          <t xml:space="preserve">rate</t>
        </is>
      </c>
      <c r="B4" s="0" t="inlineStr">
        <is>
          <t xml:space="preserve">Effective rate</t>
        </is>
      </c>
      <c r="C4" s="0" t="inlineStr">
        <is>
          <t xml:space="preserve">percent</t>
        </is>
      </c>
    </row>
    <row r="5">
      <c r="A5" s="0" t="inlineStr">
        <is>
          <t xml:space="preserve">commission</t>
        </is>
      </c>
      <c r="B5" s="0" t="inlineStr">
        <is>
          <t xml:space="preserve">Commission</t>
        </is>
      </c>
      <c r="C5" s="0"/>
    </row>
  </sheetData>
</worksheet>
</file>

<file path=xl/worksheets/sheet4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quota</t>
        </is>
      </c>
      <c r="B2" s="0" t="inlineStr">
        <is>
          <t xml:space="preserve">Quota</t>
        </is>
      </c>
      <c r="C2" s="0"/>
    </row>
    <row r="3">
      <c r="A3" s="0" t="inlineStr">
        <is>
          <t xml:space="preserve">bookings</t>
        </is>
      </c>
      <c r="B3" s="0" t="inlineStr">
        <is>
          <t xml:space="preserve">Bookings</t>
        </is>
      </c>
      <c r="C3" s="0"/>
    </row>
    <row r="4">
      <c r="A4" s="0" t="inlineStr">
        <is>
          <t xml:space="preserve">attainment</t>
        </is>
      </c>
      <c r="B4" s="0" t="inlineStr">
        <is>
          <t xml:space="preserve">Attainment</t>
        </is>
      </c>
      <c r="C4" s="0" t="inlineStr">
        <is>
          <t xml:space="preserve">percent</t>
        </is>
      </c>
    </row>
    <row r="5">
      <c r="A5" s="0" t="inlineStr">
        <is>
          <t xml:space="preserve">base_commission</t>
        </is>
      </c>
      <c r="B5" s="0" t="inlineStr">
        <is>
          <t xml:space="preserve">Commission (tranches)</t>
        </is>
      </c>
      <c r="C5" s="0"/>
    </row>
    <row r="6">
      <c r="A6" s="0" t="inlineStr">
        <is>
          <t xml:space="preserve">new_logo_kicker</t>
        </is>
      </c>
      <c r="B6" s="0" t="inlineStr">
        <is>
          <t xml:space="preserve">New-logo kicker</t>
        </is>
      </c>
      <c r="C6" s="0"/>
    </row>
    <row r="7">
      <c r="A7" s="0" t="inlineStr">
        <is>
          <t xml:space="preserve">multiyear_acv</t>
        </is>
      </c>
      <c r="B7" s="0" t="inlineStr">
        <is>
          <t xml:space="preserve">Extra contracted years × ACV</t>
        </is>
      </c>
      <c r="C7" s="0"/>
    </row>
    <row r="8">
      <c r="A8" s="0" t="inlineStr">
        <is>
          <t xml:space="preserve">multiyear_kicker</t>
        </is>
      </c>
      <c r="B8" s="0" t="inlineStr">
        <is>
          <t xml:space="preserve">Multi-year kicker</t>
        </is>
      </c>
      <c r="C8" s="0"/>
    </row>
    <row r="9">
      <c r="A9" s="0" t="inlineStr">
        <is>
          <t xml:space="preserve">spiff_deals</t>
        </is>
      </c>
      <c r="B9" s="0" t="inlineStr">
        <is>
          <t xml:space="preserve">Security add-on deals (SPIFF)</t>
        </is>
      </c>
      <c r="C9" s="0"/>
    </row>
    <row r="10">
      <c r="A10" s="0" t="inlineStr">
        <is>
          <t xml:space="preserve">spiff</t>
        </is>
      </c>
      <c r="B10" s="0" t="inlineStr">
        <is>
          <t xml:space="preserve">SPIFF</t>
        </is>
      </c>
      <c r="C10" s="0"/>
    </row>
    <row r="11">
      <c r="A11" s="0" t="inlineStr">
        <is>
          <t xml:space="preserve">uncapped_variable</t>
        </is>
      </c>
      <c r="B11" s="0" t="inlineStr">
        <is>
          <t xml:space="preserve">Variable pay before cap</t>
        </is>
      </c>
      <c r="C11" s="0"/>
    </row>
    <row r="12">
      <c r="A12" s="0" t="inlineStr">
        <is>
          <t xml:space="preserve">target_variable</t>
        </is>
      </c>
      <c r="B12" s="0" t="inlineStr">
        <is>
          <t xml:space="preserve">On-target variable (quarter)</t>
        </is>
      </c>
      <c r="C12" s="0"/>
    </row>
    <row r="13">
      <c r="A13" s="0" t="inlineStr">
        <is>
          <t xml:space="preserve">total_variable</t>
        </is>
      </c>
      <c r="B13" s="0" t="inlineStr">
        <is>
          <t xml:space="preserve">Total variable pay (capped)</t>
        </is>
      </c>
      <c r="C13" s="0"/>
    </row>
    <row r="14">
      <c r="A14" s="0" t="inlineStr">
        <is>
          <t xml:space="preserve">vs_target</t>
        </is>
      </c>
      <c r="B14" s="0" t="inlineStr">
        <is>
          <t xml:space="preserve">Variable vs target</t>
        </is>
      </c>
      <c r="C14" s="0" t="inlineStr">
        <is>
          <t xml:space="preserve">percent</t>
        </is>
      </c>
    </row>
    <row r="15">
      <c r="A15" s="0" t="inlineStr">
        <is>
          <t xml:space="preserve">effective_rate</t>
        </is>
      </c>
      <c r="B15" s="0" t="inlineStr">
        <is>
          <t xml:space="preserve">Pay as % of bookings</t>
        </is>
      </c>
      <c r="C15" s="0" t="inlineStr">
        <is>
          <t xml:space="preserve">percent</t>
        </is>
      </c>
    </row>
    <row r="16">
      <c r="A16" s="0" t="inlineStr">
        <is>
          <t xml:space="preserve">ytd_variable</t>
        </is>
      </c>
      <c r="B16" s="0" t="inlineStr">
        <is>
          <t xml:space="preserve">YTD variable pay</t>
        </is>
      </c>
      <c r="C16" s="0"/>
    </row>
    <row r="17">
      <c r="A17" s="0" t="inlineStr">
        <is>
          <t xml:space="preserve">ytd_attainment</t>
        </is>
      </c>
      <c r="B17" s="0" t="inlineStr">
        <is>
          <t xml:space="preserve">YTD attainment</t>
        </is>
      </c>
      <c r="C17" s="0" t="inlineStr">
        <is>
          <t xml:space="preserve">percent</t>
        </is>
      </c>
    </row>
    <row r="18">
      <c r="A18" s="0" t="inlineStr">
        <is>
          <t xml:space="preserve">club</t>
        </is>
      </c>
      <c r="B18" s="0" t="inlineStr">
        <is>
          <t xml:space="preserve">President's Club track (1 = yes)</t>
        </is>
      </c>
      <c r="C18" s="0"/>
    </row>
  </sheetData>
</worksheet>
</file>

<file path=xl/worksheets/sheet4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rep_count</t>
        </is>
      </c>
      <c r="B2" s="0" t="inlineStr">
        <is>
          <t xml:space="preserve">Reps</t>
        </is>
      </c>
      <c r="C2" s="0"/>
    </row>
    <row r="3">
      <c r="A3" s="0" t="inlineStr">
        <is>
          <t xml:space="preserve">quota</t>
        </is>
      </c>
      <c r="B3" s="0" t="inlineStr">
        <is>
          <t xml:space="preserve">Quota</t>
        </is>
      </c>
      <c r="C3" s="0"/>
    </row>
    <row r="4">
      <c r="A4" s="0" t="inlineStr">
        <is>
          <t xml:space="preserve">bookings</t>
        </is>
      </c>
      <c r="B4" s="0" t="inlineStr">
        <is>
          <t xml:space="preserve">Bookings</t>
        </is>
      </c>
      <c r="C4" s="0"/>
    </row>
    <row r="5">
      <c r="A5" s="0" t="inlineStr">
        <is>
          <t xml:space="preserve">attainment</t>
        </is>
      </c>
      <c r="B5" s="0" t="inlineStr">
        <is>
          <t xml:space="preserve">Attainment</t>
        </is>
      </c>
      <c r="C5" s="0" t="inlineStr">
        <is>
          <t xml:space="preserve">percent</t>
        </is>
      </c>
    </row>
    <row r="6">
      <c r="A6" s="0" t="inlineStr">
        <is>
          <t xml:space="preserve">bookings_per_rep</t>
        </is>
      </c>
      <c r="B6" s="0" t="inlineStr">
        <is>
          <t xml:space="preserve">Bookings per rep</t>
        </is>
      </c>
      <c r="C6" s="0"/>
    </row>
    <row r="7">
      <c r="A7" s="0" t="inlineStr">
        <is>
          <t xml:space="preserve">deals_won</t>
        </is>
      </c>
      <c r="B7" s="0" t="inlineStr">
        <is>
          <t xml:space="preserve">Deals won</t>
        </is>
      </c>
      <c r="C7" s="0"/>
    </row>
    <row r="8">
      <c r="A8" s="0" t="inlineStr">
        <is>
          <t xml:space="preserve">deals_lost</t>
        </is>
      </c>
      <c r="B8" s="0" t="inlineStr">
        <is>
          <t xml:space="preserve">Deals lost</t>
        </is>
      </c>
      <c r="C8" s="0"/>
    </row>
    <row r="9">
      <c r="A9" s="0" t="inlineStr">
        <is>
          <t xml:space="preserve">win_rate</t>
        </is>
      </c>
      <c r="B9" s="0" t="inlineStr">
        <is>
          <t xml:space="preserve">Win rate</t>
        </is>
      </c>
      <c r="C9" s="0" t="inlineStr">
        <is>
          <t xml:space="preserve">percent</t>
        </is>
      </c>
    </row>
    <row r="10">
      <c r="A10" s="0" t="inlineStr">
        <is>
          <t xml:space="preserve">avg_deal</t>
        </is>
      </c>
      <c r="B10" s="0" t="inlineStr">
        <is>
          <t xml:space="preserve">Average deal</t>
        </is>
      </c>
      <c r="C10" s="0"/>
    </row>
    <row r="11">
      <c r="A11" s="0" t="inlineStr">
        <is>
          <t xml:space="preserve">new_logo_bookings</t>
        </is>
      </c>
      <c r="B11" s="0" t="inlineStr">
        <is>
          <t xml:space="preserve">New-logo bookings</t>
        </is>
      </c>
      <c r="C11" s="0"/>
    </row>
    <row r="12">
      <c r="A12" s="0" t="inlineStr">
        <is>
          <t xml:space="preserve">pipeline_created</t>
        </is>
      </c>
      <c r="B12" s="0" t="inlineStr">
        <is>
          <t xml:space="preserve">Pipeline created</t>
        </is>
      </c>
      <c r="C12" s="0"/>
    </row>
    <row r="13">
      <c r="A13" s="0" t="inlineStr">
        <is>
          <t xml:space="preserve">open_pipeline</t>
        </is>
      </c>
      <c r="B13" s="0" t="inlineStr">
        <is>
          <t xml:space="preserve">Open pipeline</t>
        </is>
      </c>
      <c r="C13" s="0"/>
    </row>
    <row r="14">
      <c r="A14" s="0" t="inlineStr">
        <is>
          <t xml:space="preserve">commit</t>
        </is>
      </c>
      <c r="B14" s="0" t="inlineStr">
        <is>
          <t xml:space="preserve">Commit</t>
        </is>
      </c>
      <c r="C14" s="0"/>
    </row>
    <row r="15">
      <c r="A15" s="0" t="inlineStr">
        <is>
          <t xml:space="preserve">best_case</t>
        </is>
      </c>
      <c r="B15" s="0" t="inlineStr">
        <is>
          <t xml:space="preserve">Best case</t>
        </is>
      </c>
      <c r="C15" s="0"/>
    </row>
    <row r="16">
      <c r="A16" s="0" t="inlineStr">
        <is>
          <t xml:space="preserve">coverage</t>
        </is>
      </c>
      <c r="B16" s="0" t="inlineStr">
        <is>
          <t xml:space="preserve">Coverage of gap (x)</t>
        </is>
      </c>
      <c r="C16" s="0"/>
    </row>
    <row r="17">
      <c r="A17" s="0" t="inlineStr">
        <is>
          <t xml:space="preserve">forecast</t>
        </is>
      </c>
      <c r="B17" s="0" t="inlineStr">
        <is>
          <t xml:space="preserve">Forecast</t>
        </is>
      </c>
      <c r="C17" s="0"/>
    </row>
    <row r="18">
      <c r="A18" s="0" t="inlineStr">
        <is>
          <t xml:space="preserve">forecast_attainment</t>
        </is>
      </c>
      <c r="B18" s="0" t="inlineStr">
        <is>
          <t xml:space="preserve">Forecast attainment</t>
        </is>
      </c>
      <c r="C18" s="0" t="inlineStr">
        <is>
          <t xml:space="preserve">percent</t>
        </is>
      </c>
    </row>
    <row r="19">
      <c r="A19" s="0" t="inlineStr">
        <is>
          <t xml:space="preserve">variable_pay</t>
        </is>
      </c>
      <c r="B19" s="0" t="inlineStr">
        <is>
          <t xml:space="preserve">Variable pay</t>
        </is>
      </c>
      <c r="C19" s="0"/>
    </row>
    <row r="20">
      <c r="A20" s="0" t="inlineStr">
        <is>
          <t xml:space="preserve">pay_rate</t>
        </is>
      </c>
      <c r="B20" s="0" t="inlineStr">
        <is>
          <t xml:space="preserve">Variable pay as % of bookings</t>
        </is>
      </c>
      <c r="C20" s="0" t="inlineStr">
        <is>
          <t xml:space="preserve">percent</t>
        </is>
      </c>
    </row>
  </sheetData>
</worksheet>
</file>

<file path=xl/worksheets/sheet4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quota</t>
        </is>
      </c>
      <c r="B2" s="0" t="inlineStr">
        <is>
          <t xml:space="preserve">Quota</t>
        </is>
      </c>
      <c r="C2" s="0"/>
    </row>
    <row r="3">
      <c r="A3" s="0" t="inlineStr">
        <is>
          <t xml:space="preserve">bookings</t>
        </is>
      </c>
      <c r="B3" s="0" t="inlineStr">
        <is>
          <t xml:space="preserve">Bookings</t>
        </is>
      </c>
      <c r="C3" s="0"/>
    </row>
    <row r="4">
      <c r="A4" s="0" t="inlineStr">
        <is>
          <t xml:space="preserve">attainment</t>
        </is>
      </c>
      <c r="B4" s="0" t="inlineStr">
        <is>
          <t xml:space="preserve">Attainment</t>
        </is>
      </c>
      <c r="C4" s="0" t="inlineStr">
        <is>
          <t xml:space="preserve">percent</t>
        </is>
      </c>
    </row>
    <row r="5">
      <c r="A5" s="0" t="inlineStr">
        <is>
          <t xml:space="preserve">forecast</t>
        </is>
      </c>
      <c r="B5" s="0" t="inlineStr">
        <is>
          <t xml:space="preserve">Forecast</t>
        </is>
      </c>
      <c r="C5" s="0"/>
    </row>
    <row r="6">
      <c r="A6" s="0" t="inlineStr">
        <is>
          <t xml:space="preserve">forecast_attainment</t>
        </is>
      </c>
      <c r="B6" s="0" t="inlineStr">
        <is>
          <t xml:space="preserve">Forecast attainment</t>
        </is>
      </c>
      <c r="C6" s="0" t="inlineStr">
        <is>
          <t xml:space="preserve">percent</t>
        </is>
      </c>
    </row>
    <row r="7">
      <c r="A7" s="0" t="inlineStr">
        <is>
          <t xml:space="preserve">open_pipeline</t>
        </is>
      </c>
      <c r="B7" s="0" t="inlineStr">
        <is>
          <t xml:space="preserve">Open pipeline</t>
        </is>
      </c>
      <c r="C7" s="0"/>
    </row>
    <row r="8">
      <c r="A8" s="0" t="inlineStr">
        <is>
          <t xml:space="preserve">coverage</t>
        </is>
      </c>
      <c r="B8" s="0" t="inlineStr">
        <is>
          <t xml:space="preserve">Coverage of gap (x)</t>
        </is>
      </c>
      <c r="C8" s="0"/>
    </row>
    <row r="9">
      <c r="A9" s="0" t="inlineStr">
        <is>
          <t xml:space="preserve">deals_won</t>
        </is>
      </c>
      <c r="B9" s="0" t="inlineStr">
        <is>
          <t xml:space="preserve">Deals won</t>
        </is>
      </c>
      <c r="C9" s="0"/>
    </row>
    <row r="10">
      <c r="A10" s="0" t="inlineStr">
        <is>
          <t xml:space="preserve">deals_lost</t>
        </is>
      </c>
      <c r="B10" s="0" t="inlineStr">
        <is>
          <t xml:space="preserve">Deals lost</t>
        </is>
      </c>
      <c r="C10" s="0"/>
    </row>
    <row r="11">
      <c r="A11" s="0" t="inlineStr">
        <is>
          <t xml:space="preserve">win_rate</t>
        </is>
      </c>
      <c r="B11" s="0" t="inlineStr">
        <is>
          <t xml:space="preserve">Win rate</t>
        </is>
      </c>
      <c r="C11" s="0" t="inlineStr">
        <is>
          <t xml:space="preserve">percent</t>
        </is>
      </c>
    </row>
    <row r="12">
      <c r="A12" s="0" t="inlineStr">
        <is>
          <t xml:space="preserve">new_logo_bookings</t>
        </is>
      </c>
      <c r="B12" s="0" t="inlineStr">
        <is>
          <t xml:space="preserve">New-logo bookings</t>
        </is>
      </c>
      <c r="C12" s="0"/>
    </row>
    <row r="13">
      <c r="A13" s="0" t="inlineStr">
        <is>
          <t xml:space="preserve">variable_pay</t>
        </is>
      </c>
      <c r="B13" s="0" t="inlineStr">
        <is>
          <t xml:space="preserve">Variable pay</t>
        </is>
      </c>
      <c r="C13" s="0"/>
    </row>
  </sheetData>
</worksheet>
</file>

<file path=xl/worksheets/sheet5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quota</t>
        </is>
      </c>
      <c r="B2" s="0" t="inlineStr">
        <is>
          <t xml:space="preserve">Quota</t>
        </is>
      </c>
      <c r="C2" s="0"/>
    </row>
    <row r="3">
      <c r="A3" s="0" t="inlineStr">
        <is>
          <t xml:space="preserve">bookings</t>
        </is>
      </c>
      <c r="B3" s="0" t="inlineStr">
        <is>
          <t xml:space="preserve">Bookings</t>
        </is>
      </c>
      <c r="C3" s="0"/>
    </row>
    <row r="4">
      <c r="A4" s="0" t="inlineStr">
        <is>
          <t xml:space="preserve">attainment</t>
        </is>
      </c>
      <c r="B4" s="0" t="inlineStr">
        <is>
          <t xml:space="preserve">Attainment</t>
        </is>
      </c>
      <c r="C4" s="0" t="inlineStr">
        <is>
          <t xml:space="preserve">percent</t>
        </is>
      </c>
    </row>
    <row r="5">
      <c r="A5" s="0" t="inlineStr">
        <is>
          <t xml:space="preserve">forecast</t>
        </is>
      </c>
      <c r="B5" s="0" t="inlineStr">
        <is>
          <t xml:space="preserve">Forecast</t>
        </is>
      </c>
      <c r="C5" s="0"/>
    </row>
    <row r="6">
      <c r="A6" s="0" t="inlineStr">
        <is>
          <t xml:space="preserve">forecast_attainment</t>
        </is>
      </c>
      <c r="B6" s="0" t="inlineStr">
        <is>
          <t xml:space="preserve">Forecast attainment</t>
        </is>
      </c>
      <c r="C6" s="0" t="inlineStr">
        <is>
          <t xml:space="preserve">percent</t>
        </is>
      </c>
    </row>
    <row r="7">
      <c r="A7" s="0" t="inlineStr">
        <is>
          <t xml:space="preserve">open_pipeline</t>
        </is>
      </c>
      <c r="B7" s="0" t="inlineStr">
        <is>
          <t xml:space="preserve">Open pipeline</t>
        </is>
      </c>
      <c r="C7" s="0"/>
    </row>
    <row r="8">
      <c r="A8" s="0" t="inlineStr">
        <is>
          <t xml:space="preserve">coverage</t>
        </is>
      </c>
      <c r="B8" s="0" t="inlineStr">
        <is>
          <t xml:space="preserve">Coverage of gap (x)</t>
        </is>
      </c>
      <c r="C8" s="0"/>
    </row>
    <row r="9">
      <c r="A9" s="0" t="inlineStr">
        <is>
          <t xml:space="preserve">deals_won</t>
        </is>
      </c>
      <c r="B9" s="0" t="inlineStr">
        <is>
          <t xml:space="preserve">Deals won</t>
        </is>
      </c>
      <c r="C9" s="0"/>
    </row>
    <row r="10">
      <c r="A10" s="0" t="inlineStr">
        <is>
          <t xml:space="preserve">deals_lost</t>
        </is>
      </c>
      <c r="B10" s="0" t="inlineStr">
        <is>
          <t xml:space="preserve">Deals lost</t>
        </is>
      </c>
      <c r="C10" s="0"/>
    </row>
    <row r="11">
      <c r="A11" s="0" t="inlineStr">
        <is>
          <t xml:space="preserve">win_rate</t>
        </is>
      </c>
      <c r="B11" s="0" t="inlineStr">
        <is>
          <t xml:space="preserve">Win rate</t>
        </is>
      </c>
      <c r="C11" s="0" t="inlineStr">
        <is>
          <t xml:space="preserve">percent</t>
        </is>
      </c>
    </row>
    <row r="12">
      <c r="A12" s="0" t="inlineStr">
        <is>
          <t xml:space="preserve">avg_deal</t>
        </is>
      </c>
      <c r="B12" s="0" t="inlineStr">
        <is>
          <t xml:space="preserve">Average deal</t>
        </is>
      </c>
      <c r="C12" s="0"/>
    </row>
    <row r="13">
      <c r="A13" s="0" t="inlineStr">
        <is>
          <t xml:space="preserve">new_logo_bookings</t>
        </is>
      </c>
      <c r="B13" s="0" t="inlineStr">
        <is>
          <t xml:space="preserve">New-logo bookings</t>
        </is>
      </c>
      <c r="C13" s="0"/>
    </row>
    <row r="14">
      <c r="A14" s="0" t="inlineStr">
        <is>
          <t xml:space="preserve">avg_cycle_days</t>
        </is>
      </c>
      <c r="B14" s="0" t="inlineStr">
        <is>
          <t xml:space="preserve">Average sales cycle (days, won)</t>
        </is>
      </c>
      <c r="C14" s="0"/>
    </row>
  </sheetData>
</worksheet>
</file>

<file path=xl/worksheets/sheet5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quota</t>
        </is>
      </c>
      <c r="B2" s="0" t="inlineStr">
        <is>
          <t xml:space="preserve">Quota</t>
        </is>
      </c>
      <c r="C2" s="0"/>
    </row>
    <row r="3">
      <c r="A3" s="0" t="inlineStr">
        <is>
          <t xml:space="preserve">bookings</t>
        </is>
      </c>
      <c r="B3" s="0" t="inlineStr">
        <is>
          <t xml:space="preserve">Bookings</t>
        </is>
      </c>
      <c r="C3" s="0"/>
    </row>
    <row r="4">
      <c r="A4" s="0" t="inlineStr">
        <is>
          <t xml:space="preserve">attainment</t>
        </is>
      </c>
      <c r="B4" s="0" t="inlineStr">
        <is>
          <t xml:space="preserve">Attainment</t>
        </is>
      </c>
      <c r="C4" s="0" t="inlineStr">
        <is>
          <t xml:space="preserve">percent</t>
        </is>
      </c>
    </row>
    <row r="5">
      <c r="A5" s="0" t="inlineStr">
        <is>
          <t xml:space="preserve">forecast</t>
        </is>
      </c>
      <c r="B5" s="0" t="inlineStr">
        <is>
          <t xml:space="preserve">Forecast (booked + weighted pipeline)</t>
        </is>
      </c>
      <c r="C5" s="0"/>
    </row>
    <row r="6">
      <c r="A6" s="0" t="inlineStr">
        <is>
          <t xml:space="preserve">forecast_attainment</t>
        </is>
      </c>
      <c r="B6" s="0" t="inlineStr">
        <is>
          <t xml:space="preserve">Forecast attainment</t>
        </is>
      </c>
      <c r="C6" s="0" t="inlineStr">
        <is>
          <t xml:space="preserve">percent</t>
        </is>
      </c>
    </row>
    <row r="7">
      <c r="A7" s="0" t="inlineStr">
        <is>
          <t xml:space="preserve">gap</t>
        </is>
      </c>
      <c r="B7" s="0" t="inlineStr">
        <is>
          <t xml:space="preserve">Gap to quota</t>
        </is>
      </c>
      <c r="C7" s="0"/>
    </row>
    <row r="8">
      <c r="A8" s="0" t="inlineStr">
        <is>
          <t xml:space="preserve">open_pipeline</t>
        </is>
      </c>
      <c r="B8" s="0" t="inlineStr">
        <is>
          <t xml:space="preserve">Open pipeline</t>
        </is>
      </c>
      <c r="C8" s="0"/>
    </row>
    <row r="9">
      <c r="A9" s="0" t="inlineStr">
        <is>
          <t xml:space="preserve">commit</t>
        </is>
      </c>
      <c r="B9" s="0" t="inlineStr">
        <is>
          <t xml:space="preserve">Commit</t>
        </is>
      </c>
      <c r="C9" s="0"/>
    </row>
    <row r="10">
      <c r="A10" s="0" t="inlineStr">
        <is>
          <t xml:space="preserve">best_case</t>
        </is>
      </c>
      <c r="B10" s="0" t="inlineStr">
        <is>
          <t xml:space="preserve">Best case</t>
        </is>
      </c>
      <c r="C10" s="0"/>
    </row>
    <row r="11">
      <c r="A11" s="0" t="inlineStr">
        <is>
          <t xml:space="preserve">coverage</t>
        </is>
      </c>
      <c r="B11" s="0" t="inlineStr">
        <is>
          <t xml:space="preserve">Coverage of gap (x)</t>
        </is>
      </c>
      <c r="C11" s="0"/>
    </row>
    <row r="12">
      <c r="A12" s="0" t="inlineStr">
        <is>
          <t xml:space="preserve">pipeline_created</t>
        </is>
      </c>
      <c r="B12" s="0" t="inlineStr">
        <is>
          <t xml:space="preserve">Pipeline created</t>
        </is>
      </c>
      <c r="C12" s="0"/>
    </row>
    <row r="13">
      <c r="A13" s="0" t="inlineStr">
        <is>
          <t xml:space="preserve">deals_won</t>
        </is>
      </c>
      <c r="B13" s="0" t="inlineStr">
        <is>
          <t xml:space="preserve">Deals won</t>
        </is>
      </c>
      <c r="C13" s="0"/>
    </row>
    <row r="14">
      <c r="A14" s="0" t="inlineStr">
        <is>
          <t xml:space="preserve">deals_lost</t>
        </is>
      </c>
      <c r="B14" s="0" t="inlineStr">
        <is>
          <t xml:space="preserve">Deals lost</t>
        </is>
      </c>
      <c r="C14" s="0"/>
    </row>
    <row r="15">
      <c r="A15" s="0" t="inlineStr">
        <is>
          <t xml:space="preserve">win_rate</t>
        </is>
      </c>
      <c r="B15" s="0" t="inlineStr">
        <is>
          <t xml:space="preserve">Win rate</t>
        </is>
      </c>
      <c r="C15" s="0" t="inlineStr">
        <is>
          <t xml:space="preserve">percent</t>
        </is>
      </c>
    </row>
    <row r="16">
      <c r="A16" s="0" t="inlineStr">
        <is>
          <t xml:space="preserve">avg_deal</t>
        </is>
      </c>
      <c r="B16" s="0" t="inlineStr">
        <is>
          <t xml:space="preserve">Average deal</t>
        </is>
      </c>
      <c r="C16" s="0"/>
    </row>
    <row r="17">
      <c r="A17" s="0" t="inlineStr">
        <is>
          <t xml:space="preserve">avg_cycle_days</t>
        </is>
      </c>
      <c r="B17" s="0" t="inlineStr">
        <is>
          <t xml:space="preserve">Average sales cycle (days)</t>
        </is>
      </c>
      <c r="C17" s="0"/>
    </row>
    <row r="18">
      <c r="A18" s="0" t="inlineStr">
        <is>
          <t xml:space="preserve">new_logo_bookings</t>
        </is>
      </c>
      <c r="B18" s="0" t="inlineStr">
        <is>
          <t xml:space="preserve">New-logo bookings</t>
        </is>
      </c>
      <c r="C18" s="0"/>
    </row>
    <row r="19">
      <c r="A19" s="0" t="inlineStr">
        <is>
          <t xml:space="preserve">new_logo_share</t>
        </is>
      </c>
      <c r="B19" s="0" t="inlineStr">
        <is>
          <t xml:space="preserve">New-logo share of bookings</t>
        </is>
      </c>
      <c r="C19" s="0" t="inlineStr">
        <is>
          <t xml:space="preserve">percent</t>
        </is>
      </c>
    </row>
    <row r="20">
      <c r="A20" s="0" t="inlineStr">
        <is>
          <t xml:space="preserve">expansion_bookings</t>
        </is>
      </c>
      <c r="B20" s="0" t="inlineStr">
        <is>
          <t xml:space="preserve">Expansion bookings</t>
        </is>
      </c>
      <c r="C20" s="0"/>
    </row>
    <row r="21">
      <c r="A21" s="0" t="inlineStr">
        <is>
          <t xml:space="preserve">variable_pay</t>
        </is>
      </c>
      <c r="B21" s="0" t="inlineStr">
        <is>
          <t xml:space="preserve">Sales variable pay</t>
        </is>
      </c>
      <c r="C21" s="0"/>
    </row>
    <row r="22">
      <c r="A22" s="0" t="inlineStr">
        <is>
          <t xml:space="preserve">pay_rate</t>
        </is>
      </c>
      <c r="B22" s="0" t="inlineStr">
        <is>
          <t xml:space="preserve">Variable pay as % of bookings</t>
        </is>
      </c>
      <c r="C22" s="0" t="inlineStr">
        <is>
          <t xml:space="preserve">percent</t>
        </is>
      </c>
    </row>
    <row r="23">
      <c r="A23" s="0" t="inlineStr">
        <is>
          <t xml:space="preserve">marketing_spend</t>
        </is>
      </c>
      <c r="B23" s="0" t="inlineStr">
        <is>
          <t xml:space="preserve">Marketing spend</t>
        </is>
      </c>
      <c r="C23" s="0"/>
    </row>
    <row r="24">
      <c r="A24" s="0" t="inlineStr">
        <is>
          <t xml:space="preserve">marketing_ratio</t>
        </is>
      </c>
      <c r="B24" s="0" t="inlineStr">
        <is>
          <t xml:space="preserve">Marketing spend as % of bookings</t>
        </is>
      </c>
      <c r="C24" s="0" t="inlineStr">
        <is>
          <t xml:space="preserve">percent</t>
        </is>
      </c>
    </row>
    <row r="25">
      <c r="A25" s="0" t="inlineStr">
        <is>
          <t xml:space="preserve">leads</t>
        </is>
      </c>
      <c r="B25" s="0" t="inlineStr">
        <is>
          <t xml:space="preserve">Leads</t>
        </is>
      </c>
      <c r="C25" s="0"/>
    </row>
    <row r="26">
      <c r="A26" s="0" t="inlineStr">
        <is>
          <t xml:space="preserve">mqls</t>
        </is>
      </c>
      <c r="B26" s="0" t="inlineStr">
        <is>
          <t xml:space="preserve">MQLs</t>
        </is>
      </c>
      <c r="C26" s="0"/>
    </row>
    <row r="27">
      <c r="A27" s="0" t="inlineStr">
        <is>
          <t xml:space="preserve">opps_created</t>
        </is>
      </c>
      <c r="B27" s="0" t="inlineStr">
        <is>
          <t xml:space="preserve">Opportunities created</t>
        </is>
      </c>
      <c r="C27" s="0"/>
    </row>
  </sheetData>
</worksheet>
</file>

<file path=xl/worksheets/sheet5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bookings</t>
        </is>
      </c>
      <c r="B2" s="0" t="inlineStr">
        <is>
          <t xml:space="preserve">Bookings</t>
        </is>
      </c>
      <c r="C2" s="0"/>
    </row>
    <row r="3">
      <c r="A3" s="0" t="inlineStr">
        <is>
          <t xml:space="preserve">quota</t>
        </is>
      </c>
      <c r="B3" s="0" t="inlineStr">
        <is>
          <t xml:space="preserve">Quota (quarter ÷ 3)</t>
        </is>
      </c>
      <c r="C3" s="0"/>
    </row>
    <row r="4">
      <c r="A4" s="0" t="inlineStr">
        <is>
          <t xml:space="preserve">attainment</t>
        </is>
      </c>
      <c r="B4" s="0" t="inlineStr">
        <is>
          <t xml:space="preserve">Attainment</t>
        </is>
      </c>
      <c r="C4" s="0" t="inlineStr">
        <is>
          <t xml:space="preserve">percent</t>
        </is>
      </c>
    </row>
    <row r="5">
      <c r="A5" s="0" t="inlineStr">
        <is>
          <t xml:space="preserve">new_logo_bookings</t>
        </is>
      </c>
      <c r="B5" s="0" t="inlineStr">
        <is>
          <t xml:space="preserve">New-logo bookings</t>
        </is>
      </c>
      <c r="C5" s="0"/>
    </row>
    <row r="6">
      <c r="A6" s="0" t="inlineStr">
        <is>
          <t xml:space="preserve">expansion_bookings</t>
        </is>
      </c>
      <c r="B6" s="0" t="inlineStr">
        <is>
          <t xml:space="preserve">Expansion bookings</t>
        </is>
      </c>
      <c r="C6" s="0"/>
    </row>
    <row r="7">
      <c r="A7" s="0" t="inlineStr">
        <is>
          <t xml:space="preserve">open_pipeline</t>
        </is>
      </c>
      <c r="B7" s="0" t="inlineStr">
        <is>
          <t xml:space="preserve">Open pipeline closing this month</t>
        </is>
      </c>
      <c r="C7" s="0"/>
    </row>
    <row r="8">
      <c r="A8" s="0" t="inlineStr">
        <is>
          <t xml:space="preserve">forecast</t>
        </is>
      </c>
      <c r="B8" s="0" t="inlineStr">
        <is>
          <t xml:space="preserve">Forecast</t>
        </is>
      </c>
      <c r="C8" s="0"/>
    </row>
    <row r="9">
      <c r="A9" s="0" t="inlineStr">
        <is>
          <t xml:space="preserve">pipeline_created</t>
        </is>
      </c>
      <c r="B9" s="0" t="inlineStr">
        <is>
          <t xml:space="preserve">Pipeline created</t>
        </is>
      </c>
      <c r="C9" s="0"/>
    </row>
    <row r="10">
      <c r="A10" s="0" t="inlineStr">
        <is>
          <t xml:space="preserve">opps_created</t>
        </is>
      </c>
      <c r="B10" s="0" t="inlineStr">
        <is>
          <t xml:space="preserve">Opportunities created</t>
        </is>
      </c>
      <c r="C10" s="0"/>
    </row>
    <row r="11">
      <c r="A11" s="0" t="inlineStr">
        <is>
          <t xml:space="preserve">deals_won</t>
        </is>
      </c>
      <c r="B11" s="0" t="inlineStr">
        <is>
          <t xml:space="preserve">Deals won</t>
        </is>
      </c>
      <c r="C11" s="0"/>
    </row>
    <row r="12">
      <c r="A12" s="0" t="inlineStr">
        <is>
          <t xml:space="preserve">beginning_arr</t>
        </is>
      </c>
      <c r="B12" s="0" t="inlineStr">
        <is>
          <t xml:space="preserve">Beginning ARR</t>
        </is>
      </c>
      <c r="C12" s="0"/>
    </row>
    <row r="13">
      <c r="A13" s="0" t="inlineStr">
        <is>
          <t xml:space="preserve">new_arr</t>
        </is>
      </c>
      <c r="B13" s="0" t="inlineStr">
        <is>
          <t xml:space="preserve">New-logo ARR</t>
        </is>
      </c>
      <c r="C13" s="0"/>
    </row>
    <row r="14">
      <c r="A14" s="0" t="inlineStr">
        <is>
          <t xml:space="preserve">expansion_arr</t>
        </is>
      </c>
      <c r="B14" s="0" t="inlineStr">
        <is>
          <t xml:space="preserve">Expansion ARR</t>
        </is>
      </c>
      <c r="C14" s="0"/>
    </row>
    <row r="15">
      <c r="A15" s="0" t="inlineStr">
        <is>
          <t xml:space="preserve">churned_arr</t>
        </is>
      </c>
      <c r="B15" s="0" t="inlineStr">
        <is>
          <t xml:space="preserve">Churned ARR</t>
        </is>
      </c>
      <c r="C15" s="0"/>
    </row>
    <row r="16">
      <c r="A16" s="0" t="inlineStr">
        <is>
          <t xml:space="preserve">ending_arr</t>
        </is>
      </c>
      <c r="B16" s="0" t="inlineStr">
        <is>
          <t xml:space="preserve">Ending ARR</t>
        </is>
      </c>
      <c r="C16" s="0"/>
    </row>
    <row r="17">
      <c r="A17" s="0" t="inlineStr">
        <is>
          <t xml:space="preserve">net_new_arr</t>
        </is>
      </c>
      <c r="B17" s="0" t="inlineStr">
        <is>
          <t xml:space="preserve">Net new ARR</t>
        </is>
      </c>
      <c r="C17" s="0"/>
    </row>
    <row r="18">
      <c r="A18" s="0" t="inlineStr">
        <is>
          <t xml:space="preserve">arr_growth</t>
        </is>
      </c>
      <c r="B18" s="0" t="inlineStr">
        <is>
          <t xml:space="preserve">ARR growth (month)</t>
        </is>
      </c>
      <c r="C18" s="0" t="inlineStr">
        <is>
          <t xml:space="preserve">percent</t>
        </is>
      </c>
    </row>
    <row r="19">
      <c r="A19" s="0" t="inlineStr">
        <is>
          <t xml:space="preserve">churn_rate</t>
        </is>
      </c>
      <c r="B19" s="0" t="inlineStr">
        <is>
          <t xml:space="preserve">Monthly gross churn</t>
        </is>
      </c>
      <c r="C19" s="0" t="inlineStr">
        <is>
          <t xml:space="preserve">percent</t>
        </is>
      </c>
    </row>
  </sheetData>
</worksheet>
</file>

<file path=xl/worksheets/sheet5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opps</t>
        </is>
      </c>
      <c r="B2" s="0" t="inlineStr">
        <is>
          <t xml:space="preserve">weighted_acv</t>
        </is>
      </c>
      <c r="C2" s="0"/>
      <c r="D2" s="20" t="inlineStr">
        <is>
          <t xml:space="preserve">acv * stage.probability</t>
        </is>
      </c>
      <c r="E2" s="0" t="inlineStr">
        <is>
          <t xml:space="preserve">ok</t>
        </is>
      </c>
    </row>
    <row r="3">
      <c r="A3" s="0" t="inlineStr">
        <is>
          <t xml:space="preserve">opps</t>
        </is>
      </c>
      <c r="B3" s="0" t="inlineStr">
        <is>
          <t xml:space="preserve">tcv</t>
        </is>
      </c>
      <c r="C3" s="0"/>
      <c r="D3" s="20" t="inlineStr">
        <is>
          <t xml:space="preserve">acv * term_years</t>
        </is>
      </c>
      <c r="E3" s="0" t="inlineStr">
        <is>
          <t xml:space="preserve">ok</t>
        </is>
      </c>
    </row>
    <row r="4">
      <c r="A4" s="0" t="inlineStr">
        <is>
          <t xml:space="preserve">opps</t>
        </is>
      </c>
      <c r="B4" s="0" t="inlineStr">
        <is>
          <t xml:space="preserve">extra_year_acv</t>
        </is>
      </c>
      <c r="C4" s="0"/>
      <c r="D4" s="20" t="inlineStr">
        <is>
          <t xml:space="preserve">acv * (term_years - 1)</t>
        </is>
      </c>
      <c r="E4" s="0" t="inlineStr">
        <is>
          <t xml:space="preserve">ok</t>
        </is>
      </c>
    </row>
    <row r="5">
      <c r="A5" s="0" t="inlineStr">
        <is>
          <t xml:space="preserve">opps</t>
        </is>
      </c>
      <c r="B5" s="0" t="inlineStr">
        <is>
          <t xml:space="preserve">region</t>
        </is>
      </c>
      <c r="C5" s="0"/>
      <c r="D5" s="20" t="inlineStr">
        <is>
          <t xml:space="preserve">rep.region</t>
        </is>
      </c>
      <c r="E5" s="0" t="inlineStr">
        <is>
          <t xml:space="preserve">ok</t>
        </is>
      </c>
    </row>
    <row r="6">
      <c r="A6" s="0" t="inlineStr">
        <is>
          <t xml:space="preserve">opps</t>
        </is>
      </c>
      <c r="B6" s="0" t="inlineStr">
        <is>
          <t xml:space="preserve">segment</t>
        </is>
      </c>
      <c r="C6" s="0"/>
      <c r="D6" s="20" t="inlineStr">
        <is>
          <t xml:space="preserve">rep.segment</t>
        </is>
      </c>
      <c r="E6" s="0" t="inlineStr">
        <is>
          <t xml:space="preserve">ok</t>
        </is>
      </c>
    </row>
    <row r="7">
      <c r="A7" s="0" t="inlineStr">
        <is>
          <t xml:space="preserve">opps</t>
        </is>
      </c>
      <c r="B7" s="0" t="inlineStr">
        <is>
          <t xml:space="preserve">close_quarter</t>
        </is>
      </c>
      <c r="C7" s="0"/>
      <c r="D7" s="20" t="inlineStr">
        <is>
          <t xml:space="preserve">SUBSTITUTE(LOWER(close_period.quarter), " ", "_")</t>
        </is>
      </c>
      <c r="E7" s="0" t="inlineStr">
        <is>
          <t xml:space="preserve">ok</t>
        </is>
      </c>
    </row>
    <row r="8">
      <c r="A8" s="0" t="inlineStr">
        <is>
          <t xml:space="preserve">funnel</t>
        </is>
      </c>
      <c r="B8" s="0" t="inlineStr">
        <is>
          <t xml:space="preserve">value</t>
        </is>
      </c>
      <c r="C8" s="0" t="inlineStr">
        <is>
          <t xml:space="preserve">line = spend</t>
        </is>
      </c>
      <c r="D8" s="20" t="inlineStr">
        <is>
          <t xml:space="preserve">SUM(marketing.spend)</t>
        </is>
      </c>
      <c r="E8" s="0" t="inlineStr">
        <is>
          <t xml:space="preserve">ok</t>
        </is>
      </c>
    </row>
    <row r="9">
      <c r="A9" s="0" t="inlineStr">
        <is>
          <t xml:space="preserve">funnel</t>
        </is>
      </c>
      <c r="B9" s="0" t="inlineStr">
        <is>
          <t xml:space="preserve">value</t>
        </is>
      </c>
      <c r="C9" s="0" t="inlineStr">
        <is>
          <t xml:space="preserve">line = leads</t>
        </is>
      </c>
      <c r="D9" s="20" t="inlineStr">
        <is>
          <t xml:space="preserve">SUM(marketing.leads)</t>
        </is>
      </c>
      <c r="E9" s="0" t="inlineStr">
        <is>
          <t xml:space="preserve">ok</t>
        </is>
      </c>
    </row>
    <row r="10">
      <c r="A10" s="0" t="inlineStr">
        <is>
          <t xml:space="preserve">funnel</t>
        </is>
      </c>
      <c r="B10" s="0" t="inlineStr">
        <is>
          <t xml:space="preserve">value</t>
        </is>
      </c>
      <c r="C10" s="0" t="inlineStr">
        <is>
          <t xml:space="preserve">line = mqls</t>
        </is>
      </c>
      <c r="D10" s="20" t="inlineStr">
        <is>
          <t xml:space="preserve">SUM(marketing.mqls)</t>
        </is>
      </c>
      <c r="E10" s="0" t="inlineStr">
        <is>
          <t xml:space="preserve">ok</t>
        </is>
      </c>
    </row>
    <row r="11">
      <c r="A11" s="0" t="inlineStr">
        <is>
          <t xml:space="preserve">funnel</t>
        </is>
      </c>
      <c r="B11" s="0" t="inlineStr">
        <is>
          <t xml:space="preserve">value</t>
        </is>
      </c>
      <c r="C11" s="0" t="inlineStr">
        <is>
          <t xml:space="preserve">line = opps_created</t>
        </is>
      </c>
      <c r="D11" s="20" t="inlineStr">
        <is>
          <t xml:space="preserve">COUNT(opps.acv[channel=@channel, region=@region, created_period=@period])</t>
        </is>
      </c>
      <c r="E11" s="0" t="inlineStr">
        <is>
          <t xml:space="preserve">ok</t>
        </is>
      </c>
    </row>
    <row r="12">
      <c r="A12" s="0" t="inlineStr">
        <is>
          <t xml:space="preserve">funnel</t>
        </is>
      </c>
      <c r="B12" s="0" t="inlineStr">
        <is>
          <t xml:space="preserve">value</t>
        </is>
      </c>
      <c r="C12" s="0" t="inlineStr">
        <is>
          <t xml:space="preserve">line = pipeline_created</t>
        </is>
      </c>
      <c r="D12" s="20" t="inlineStr">
        <is>
          <t xml:space="preserve">SUM(opps.acv[channel=@channel, region=@region, created_period=@period])</t>
        </is>
      </c>
      <c r="E12" s="0" t="inlineStr">
        <is>
          <t xml:space="preserve">ok</t>
        </is>
      </c>
    </row>
    <row r="13">
      <c r="A13" s="0" t="inlineStr">
        <is>
          <t xml:space="preserve">funnel</t>
        </is>
      </c>
      <c r="B13" s="0" t="inlineStr">
        <is>
          <t xml:space="preserve">value</t>
        </is>
      </c>
      <c r="C13" s="0" t="inlineStr">
        <is>
          <t xml:space="preserve">line = deals_won</t>
        </is>
      </c>
      <c r="D13" s="20" t="inlineStr">
        <is>
          <t xml:space="preserve">COUNT(opps.acv[channel=@channel, region=@region, close_period=@period, won=1])</t>
        </is>
      </c>
      <c r="E13" s="0" t="inlineStr">
        <is>
          <t xml:space="preserve">ok</t>
        </is>
      </c>
    </row>
    <row r="14">
      <c r="A14" s="0" t="inlineStr">
        <is>
          <t xml:space="preserve">funnel</t>
        </is>
      </c>
      <c r="B14" s="0" t="inlineStr">
        <is>
          <t xml:space="preserve">value</t>
        </is>
      </c>
      <c r="C14" s="0" t="inlineStr">
        <is>
          <t xml:space="preserve">line = won_acv</t>
        </is>
      </c>
      <c r="D14" s="20" t="inlineStr">
        <is>
          <t xml:space="preserve">SUM(opps.acv[channel=@channel, region=@region, close_period=@period, won=1])</t>
        </is>
      </c>
      <c r="E14" s="0" t="inlineStr">
        <is>
          <t xml:space="preserve">ok</t>
        </is>
      </c>
    </row>
    <row r="15">
      <c r="A15" s="0" t="inlineStr">
        <is>
          <t xml:space="preserve">funnel</t>
        </is>
      </c>
      <c r="B15" s="0" t="inlineStr">
        <is>
          <t xml:space="preserve">value</t>
        </is>
      </c>
      <c r="C15" s="0" t="inlineStr">
        <is>
          <t xml:space="preserve">line = cost_per_lead</t>
        </is>
      </c>
      <c r="D15" s="20" t="inlineStr">
        <is>
          <t xml:space="preserve">IF(leads &gt; 0, spend / leads, BLANK)</t>
        </is>
      </c>
      <c r="E15" s="0" t="inlineStr">
        <is>
          <t xml:space="preserve">ok</t>
        </is>
      </c>
    </row>
    <row r="16">
      <c r="A16" s="0" t="inlineStr">
        <is>
          <t xml:space="preserve">funnel</t>
        </is>
      </c>
      <c r="B16" s="0" t="inlineStr">
        <is>
          <t xml:space="preserve">value</t>
        </is>
      </c>
      <c r="C16" s="0" t="inlineStr">
        <is>
          <t xml:space="preserve">line = mql_rate</t>
        </is>
      </c>
      <c r="D16" s="20" t="inlineStr">
        <is>
          <t xml:space="preserve">IF(leads &gt; 0, mqls / leads, BLANK)</t>
        </is>
      </c>
      <c r="E16" s="0" t="inlineStr">
        <is>
          <t xml:space="preserve">ok</t>
        </is>
      </c>
    </row>
    <row r="17">
      <c r="A17" s="0" t="inlineStr">
        <is>
          <t xml:space="preserve">funnel</t>
        </is>
      </c>
      <c r="B17" s="0" t="inlineStr">
        <is>
          <t xml:space="preserve">value</t>
        </is>
      </c>
      <c r="C17" s="0" t="inlineStr">
        <is>
          <t xml:space="preserve">line = sql_rate</t>
        </is>
      </c>
      <c r="D17" s="20" t="inlineStr">
        <is>
          <t xml:space="preserve">IF(mqls &gt; 0, opps_created / mqls, BLANK)</t>
        </is>
      </c>
      <c r="E17" s="0" t="inlineStr">
        <is>
          <t xml:space="preserve">ok</t>
        </is>
      </c>
    </row>
    <row r="18">
      <c r="A18" s="0" t="inlineStr">
        <is>
          <t xml:space="preserve">funnel</t>
        </is>
      </c>
      <c r="B18" s="0" t="inlineStr">
        <is>
          <t xml:space="preserve">value</t>
        </is>
      </c>
      <c r="C18" s="0" t="inlineStr">
        <is>
          <t xml:space="preserve">line = cost_per_opp</t>
        </is>
      </c>
      <c r="D18" s="20" t="inlineStr">
        <is>
          <t xml:space="preserve">IF(opps_created &gt; 0, spend / opps_created, BLANK)</t>
        </is>
      </c>
      <c r="E18" s="0" t="inlineStr">
        <is>
          <t xml:space="preserve">ok</t>
        </is>
      </c>
    </row>
    <row r="19">
      <c r="A19" s="0" t="inlineStr">
        <is>
          <t xml:space="preserve">funnel</t>
        </is>
      </c>
      <c r="B19" s="0" t="inlineStr">
        <is>
          <t xml:space="preserve">value</t>
        </is>
      </c>
      <c r="C19" s="0" t="inlineStr">
        <is>
          <t xml:space="preserve">line = pipeline_per_dollar</t>
        </is>
      </c>
      <c r="D19" s="20" t="inlineStr">
        <is>
          <t xml:space="preserve">IF(spend &gt; 0, pipeline_created / spend, BLANK)</t>
        </is>
      </c>
      <c r="E19" s="0" t="inlineStr">
        <is>
          <t xml:space="preserve">ok</t>
        </is>
      </c>
    </row>
    <row r="20">
      <c r="A20" s="0" t="inlineStr">
        <is>
          <t xml:space="preserve">channel_summary</t>
        </is>
      </c>
      <c r="B20" s="0" t="inlineStr">
        <is>
          <t xml:space="preserve">value</t>
        </is>
      </c>
      <c r="C20" s="0" t="inlineStr">
        <is>
          <t xml:space="preserve">line = spend</t>
        </is>
      </c>
      <c r="D20" s="20" t="inlineStr">
        <is>
          <t xml:space="preserve">SUM(funnel.spend)</t>
        </is>
      </c>
      <c r="E20" s="0" t="inlineStr">
        <is>
          <t xml:space="preserve">ok</t>
        </is>
      </c>
    </row>
    <row r="21">
      <c r="A21" s="0" t="inlineStr">
        <is>
          <t xml:space="preserve">channel_summary</t>
        </is>
      </c>
      <c r="B21" s="0" t="inlineStr">
        <is>
          <t xml:space="preserve">value</t>
        </is>
      </c>
      <c r="C21" s="0" t="inlineStr">
        <is>
          <t xml:space="preserve">line = leads</t>
        </is>
      </c>
      <c r="D21" s="20" t="inlineStr">
        <is>
          <t xml:space="preserve">SUM(funnel.leads)</t>
        </is>
      </c>
      <c r="E21" s="0" t="inlineStr">
        <is>
          <t xml:space="preserve">ok</t>
        </is>
      </c>
    </row>
    <row r="22">
      <c r="A22" s="0" t="inlineStr">
        <is>
          <t xml:space="preserve">channel_summary</t>
        </is>
      </c>
      <c r="B22" s="0" t="inlineStr">
        <is>
          <t xml:space="preserve">value</t>
        </is>
      </c>
      <c r="C22" s="0" t="inlineStr">
        <is>
          <t xml:space="preserve">line = mqls</t>
        </is>
      </c>
      <c r="D22" s="20" t="inlineStr">
        <is>
          <t xml:space="preserve">SUM(funnel.mqls)</t>
        </is>
      </c>
      <c r="E22" s="0" t="inlineStr">
        <is>
          <t xml:space="preserve">ok</t>
        </is>
      </c>
    </row>
    <row r="23">
      <c r="A23" s="0" t="inlineStr">
        <is>
          <t xml:space="preserve">channel_summary</t>
        </is>
      </c>
      <c r="B23" s="0" t="inlineStr">
        <is>
          <t xml:space="preserve">value</t>
        </is>
      </c>
      <c r="C23" s="0" t="inlineStr">
        <is>
          <t xml:space="preserve">line = opps_created</t>
        </is>
      </c>
      <c r="D23" s="20" t="inlineStr">
        <is>
          <t xml:space="preserve">SUM(funnel.opps_created)</t>
        </is>
      </c>
      <c r="E23" s="0" t="inlineStr">
        <is>
          <t xml:space="preserve">ok</t>
        </is>
      </c>
    </row>
    <row r="24">
      <c r="A24" s="0" t="inlineStr">
        <is>
          <t xml:space="preserve">channel_summary</t>
        </is>
      </c>
      <c r="B24" s="0" t="inlineStr">
        <is>
          <t xml:space="preserve">value</t>
        </is>
      </c>
      <c r="C24" s="0" t="inlineStr">
        <is>
          <t xml:space="preserve">line = pipeline_created</t>
        </is>
      </c>
      <c r="D24" s="20" t="inlineStr">
        <is>
          <t xml:space="preserve">SUM(funnel.pipeline_created)</t>
        </is>
      </c>
      <c r="E24" s="0" t="inlineStr">
        <is>
          <t xml:space="preserve">ok</t>
        </is>
      </c>
    </row>
    <row r="25">
      <c r="A25" s="0" t="inlineStr">
        <is>
          <t xml:space="preserve">channel_summary</t>
        </is>
      </c>
      <c r="B25" s="0" t="inlineStr">
        <is>
          <t xml:space="preserve">value</t>
        </is>
      </c>
      <c r="C25" s="0" t="inlineStr">
        <is>
          <t xml:space="preserve">line = deals_won</t>
        </is>
      </c>
      <c r="D25" s="20" t="inlineStr">
        <is>
          <t xml:space="preserve">SUM(funnel.deals_won)</t>
        </is>
      </c>
      <c r="E25" s="0" t="inlineStr">
        <is>
          <t xml:space="preserve">ok</t>
        </is>
      </c>
    </row>
    <row r="26">
      <c r="A26" s="0" t="inlineStr">
        <is>
          <t xml:space="preserve">channel_summary</t>
        </is>
      </c>
      <c r="B26" s="0" t="inlineStr">
        <is>
          <t xml:space="preserve">value</t>
        </is>
      </c>
      <c r="C26" s="0" t="inlineStr">
        <is>
          <t xml:space="preserve">line = won_acv</t>
        </is>
      </c>
      <c r="D26" s="20" t="inlineStr">
        <is>
          <t xml:space="preserve">SUM(funnel.won_acv)</t>
        </is>
      </c>
      <c r="E26" s="0" t="inlineStr">
        <is>
          <t xml:space="preserve">ok</t>
        </is>
      </c>
    </row>
    <row r="27">
      <c r="A27" s="0" t="inlineStr">
        <is>
          <t xml:space="preserve">channel_summary</t>
        </is>
      </c>
      <c r="B27" s="0" t="inlineStr">
        <is>
          <t xml:space="preserve">value</t>
        </is>
      </c>
      <c r="C27" s="0" t="inlineStr">
        <is>
          <t xml:space="preserve">line = cost_per_lead</t>
        </is>
      </c>
      <c r="D27" s="20" t="inlineStr">
        <is>
          <t xml:space="preserve">IF(leads &gt; 0, spend / leads, BLANK)</t>
        </is>
      </c>
      <c r="E27" s="0" t="inlineStr">
        <is>
          <t xml:space="preserve">ok</t>
        </is>
      </c>
    </row>
    <row r="28">
      <c r="A28" s="0" t="inlineStr">
        <is>
          <t xml:space="preserve">channel_summary</t>
        </is>
      </c>
      <c r="B28" s="0" t="inlineStr">
        <is>
          <t xml:space="preserve">value</t>
        </is>
      </c>
      <c r="C28" s="0" t="inlineStr">
        <is>
          <t xml:space="preserve">line = mql_rate</t>
        </is>
      </c>
      <c r="D28" s="20" t="inlineStr">
        <is>
          <t xml:space="preserve">IF(leads &gt; 0, mqls / leads, BLANK)</t>
        </is>
      </c>
      <c r="E28" s="0" t="inlineStr">
        <is>
          <t xml:space="preserve">ok</t>
        </is>
      </c>
    </row>
    <row r="29">
      <c r="A29" s="0" t="inlineStr">
        <is>
          <t xml:space="preserve">channel_summary</t>
        </is>
      </c>
      <c r="B29" s="0" t="inlineStr">
        <is>
          <t xml:space="preserve">value</t>
        </is>
      </c>
      <c r="C29" s="0" t="inlineStr">
        <is>
          <t xml:space="preserve">line = sql_rate</t>
        </is>
      </c>
      <c r="D29" s="20" t="inlineStr">
        <is>
          <t xml:space="preserve">IF(mqls &gt; 0, opps_created / mqls, BLANK)</t>
        </is>
      </c>
      <c r="E29" s="0" t="inlineStr">
        <is>
          <t xml:space="preserve">ok</t>
        </is>
      </c>
    </row>
    <row r="30">
      <c r="A30" s="0" t="inlineStr">
        <is>
          <t xml:space="preserve">channel_summary</t>
        </is>
      </c>
      <c r="B30" s="0" t="inlineStr">
        <is>
          <t xml:space="preserve">value</t>
        </is>
      </c>
      <c r="C30" s="0" t="inlineStr">
        <is>
          <t xml:space="preserve">line = win_rate</t>
        </is>
      </c>
      <c r="D30" s="20" t="inlineStr">
        <is>
          <t xml:space="preserve">IF(opps_created &gt; 0, deals_won / opps_created, BLANK)</t>
        </is>
      </c>
      <c r="E30" s="0" t="inlineStr">
        <is>
          <t xml:space="preserve">ok</t>
        </is>
      </c>
    </row>
    <row r="31">
      <c r="A31" s="0" t="inlineStr">
        <is>
          <t xml:space="preserve">channel_summary</t>
        </is>
      </c>
      <c r="B31" s="0" t="inlineStr">
        <is>
          <t xml:space="preserve">value</t>
        </is>
      </c>
      <c r="C31" s="0" t="inlineStr">
        <is>
          <t xml:space="preserve">line = cost_per_opp</t>
        </is>
      </c>
      <c r="D31" s="20" t="inlineStr">
        <is>
          <t xml:space="preserve">IF(opps_created &gt; 0, spend / opps_created, BLANK)</t>
        </is>
      </c>
      <c r="E31" s="0" t="inlineStr">
        <is>
          <t xml:space="preserve">ok</t>
        </is>
      </c>
    </row>
    <row r="32">
      <c r="A32" s="0" t="inlineStr">
        <is>
          <t xml:space="preserve">channel_summary</t>
        </is>
      </c>
      <c r="B32" s="0" t="inlineStr">
        <is>
          <t xml:space="preserve">value</t>
        </is>
      </c>
      <c r="C32" s="0" t="inlineStr">
        <is>
          <t xml:space="preserve">line = pipeline_per_dollar</t>
        </is>
      </c>
      <c r="D32" s="20" t="inlineStr">
        <is>
          <t xml:space="preserve">IF(spend &gt; 0, pipeline_created / spend, BLANK)</t>
        </is>
      </c>
      <c r="E32" s="0" t="inlineStr">
        <is>
          <t xml:space="preserve">ok</t>
        </is>
      </c>
    </row>
    <row r="33">
      <c r="A33" s="0" t="inlineStr">
        <is>
          <t xml:space="preserve">channel_summary</t>
        </is>
      </c>
      <c r="B33" s="0" t="inlineStr">
        <is>
          <t xml:space="preserve">value</t>
        </is>
      </c>
      <c r="C33" s="0" t="inlineStr">
        <is>
          <t xml:space="preserve">line = cac_ratio</t>
        </is>
      </c>
      <c r="D33" s="20" t="inlineStr">
        <is>
          <t xml:space="preserve">IF(spend &gt; 0, won_acv / spend, BLANK)</t>
        </is>
      </c>
      <c r="E33" s="0" t="inlineStr">
        <is>
          <t xml:space="preserve">ok</t>
        </is>
      </c>
    </row>
    <row r="34">
      <c r="A34" s="0" t="inlineStr">
        <is>
          <t xml:space="preserve">sdr_scorecard</t>
        </is>
      </c>
      <c r="B34" s="0" t="inlineStr">
        <is>
          <t xml:space="preserve">value</t>
        </is>
      </c>
      <c r="C34" s="0" t="inlineStr">
        <is>
          <t xml:space="preserve">line = calls</t>
        </is>
      </c>
      <c r="D34" s="20" t="inlineStr">
        <is>
          <t xml:space="preserve">SUM(sdr_activity.calls)</t>
        </is>
      </c>
      <c r="E34" s="0" t="inlineStr">
        <is>
          <t xml:space="preserve">ok</t>
        </is>
      </c>
    </row>
    <row r="35">
      <c r="A35" s="0" t="inlineStr">
        <is>
          <t xml:space="preserve">sdr_scorecard</t>
        </is>
      </c>
      <c r="B35" s="0" t="inlineStr">
        <is>
          <t xml:space="preserve">value</t>
        </is>
      </c>
      <c r="C35" s="0" t="inlineStr">
        <is>
          <t xml:space="preserve">line = emails</t>
        </is>
      </c>
      <c r="D35" s="20" t="inlineStr">
        <is>
          <t xml:space="preserve">SUM(sdr_activity.emails)</t>
        </is>
      </c>
      <c r="E35" s="0" t="inlineStr">
        <is>
          <t xml:space="preserve">ok</t>
        </is>
      </c>
    </row>
    <row r="36">
      <c r="A36" s="0" t="inlineStr">
        <is>
          <t xml:space="preserve">sdr_scorecard</t>
        </is>
      </c>
      <c r="B36" s="0" t="inlineStr">
        <is>
          <t xml:space="preserve">value</t>
        </is>
      </c>
      <c r="C36" s="0" t="inlineStr">
        <is>
          <t xml:space="preserve">line = connects</t>
        </is>
      </c>
      <c r="D36" s="20" t="inlineStr">
        <is>
          <t xml:space="preserve">SUM(sdr_activity.connects)</t>
        </is>
      </c>
      <c r="E36" s="0" t="inlineStr">
        <is>
          <t xml:space="preserve">ok</t>
        </is>
      </c>
    </row>
    <row r="37">
      <c r="A37" s="0" t="inlineStr">
        <is>
          <t xml:space="preserve">sdr_scorecard</t>
        </is>
      </c>
      <c r="B37" s="0" t="inlineStr">
        <is>
          <t xml:space="preserve">value</t>
        </is>
      </c>
      <c r="C37" s="0" t="inlineStr">
        <is>
          <t xml:space="preserve">line = meetings_set</t>
        </is>
      </c>
      <c r="D37" s="20" t="inlineStr">
        <is>
          <t xml:space="preserve">SUM(sdr_activity.meetings_set)</t>
        </is>
      </c>
      <c r="E37" s="0" t="inlineStr">
        <is>
          <t xml:space="preserve">ok</t>
        </is>
      </c>
    </row>
    <row r="38">
      <c r="A38" s="0" t="inlineStr">
        <is>
          <t xml:space="preserve">sdr_scorecard</t>
        </is>
      </c>
      <c r="B38" s="0" t="inlineStr">
        <is>
          <t xml:space="preserve">value</t>
        </is>
      </c>
      <c r="C38" s="0" t="inlineStr">
        <is>
          <t xml:space="preserve">line = meetings_held</t>
        </is>
      </c>
      <c r="D38" s="20" t="inlineStr">
        <is>
          <t xml:space="preserve">SUM(sdr_activity.meetings_held)</t>
        </is>
      </c>
      <c r="E38" s="0" t="inlineStr">
        <is>
          <t xml:space="preserve">ok</t>
        </is>
      </c>
    </row>
    <row r="39">
      <c r="A39" s="0" t="inlineStr">
        <is>
          <t xml:space="preserve">sdr_scorecard</t>
        </is>
      </c>
      <c r="B39" s="0" t="inlineStr">
        <is>
          <t xml:space="preserve">value</t>
        </is>
      </c>
      <c r="C39" s="0" t="inlineStr">
        <is>
          <t xml:space="preserve">line = sqls</t>
        </is>
      </c>
      <c r="D39" s="20" t="inlineStr">
        <is>
          <t xml:space="preserve">SUM(sdr_activity.sqls)</t>
        </is>
      </c>
      <c r="E39" s="0" t="inlineStr">
        <is>
          <t xml:space="preserve">ok</t>
        </is>
      </c>
    </row>
    <row r="40">
      <c r="A40" s="0" t="inlineStr">
        <is>
          <t xml:space="preserve">sdr_scorecard</t>
        </is>
      </c>
      <c r="B40" s="0" t="inlineStr">
        <is>
          <t xml:space="preserve">value</t>
        </is>
      </c>
      <c r="C40" s="0" t="inlineStr">
        <is>
          <t xml:space="preserve">line = sql_quota</t>
        </is>
      </c>
      <c r="D40" s="20" t="inlineStr">
        <is>
          <t xml:space="preserve">sdr.sql_quota</t>
        </is>
      </c>
      <c r="E40" s="0" t="inlineStr">
        <is>
          <t xml:space="preserve">ok</t>
        </is>
      </c>
    </row>
    <row r="41">
      <c r="A41" s="0" t="inlineStr">
        <is>
          <t xml:space="preserve">sdr_scorecard</t>
        </is>
      </c>
      <c r="B41" s="0" t="inlineStr">
        <is>
          <t xml:space="preserve">value</t>
        </is>
      </c>
      <c r="C41" s="0" t="inlineStr">
        <is>
          <t xml:space="preserve">line = attainment</t>
        </is>
      </c>
      <c r="D41" s="20" t="inlineStr">
        <is>
          <t xml:space="preserve">IFERROR(sqls / sql_quota, 0)</t>
        </is>
      </c>
      <c r="E41" s="0" t="inlineStr">
        <is>
          <t xml:space="preserve">ok</t>
        </is>
      </c>
    </row>
    <row r="42">
      <c r="A42" s="0" t="inlineStr">
        <is>
          <t xml:space="preserve">sdr_scorecard</t>
        </is>
      </c>
      <c r="B42" s="0" t="inlineStr">
        <is>
          <t xml:space="preserve">value</t>
        </is>
      </c>
      <c r="C42" s="0" t="inlineStr">
        <is>
          <t xml:space="preserve">line = connect_rate</t>
        </is>
      </c>
      <c r="D42" s="20" t="inlineStr">
        <is>
          <t xml:space="preserve">IFERROR(connects / calls, 0)</t>
        </is>
      </c>
      <c r="E42" s="0" t="inlineStr">
        <is>
          <t xml:space="preserve">ok</t>
        </is>
      </c>
    </row>
    <row r="43">
      <c r="A43" s="0" t="inlineStr">
        <is>
          <t xml:space="preserve">sdr_scorecard</t>
        </is>
      </c>
      <c r="B43" s="0" t="inlineStr">
        <is>
          <t xml:space="preserve">value</t>
        </is>
      </c>
      <c r="C43" s="0" t="inlineStr">
        <is>
          <t xml:space="preserve">line = set_rate</t>
        </is>
      </c>
      <c r="D43" s="20" t="inlineStr">
        <is>
          <t xml:space="preserve">IFERROR(meetings_set / connects, 0)</t>
        </is>
      </c>
      <c r="E43" s="0" t="inlineStr">
        <is>
          <t xml:space="preserve">ok</t>
        </is>
      </c>
    </row>
    <row r="44">
      <c r="A44" s="0" t="inlineStr">
        <is>
          <t xml:space="preserve">sdr_scorecard</t>
        </is>
      </c>
      <c r="B44" s="0" t="inlineStr">
        <is>
          <t xml:space="preserve">value</t>
        </is>
      </c>
      <c r="C44" s="0" t="inlineStr">
        <is>
          <t xml:space="preserve">line = show_rate</t>
        </is>
      </c>
      <c r="D44" s="20" t="inlineStr">
        <is>
          <t xml:space="preserve">IFERROR(meetings_held / meetings_set, 0)</t>
        </is>
      </c>
      <c r="E44" s="0" t="inlineStr">
        <is>
          <t xml:space="preserve">ok</t>
        </is>
      </c>
    </row>
    <row r="45">
      <c r="A45" s="0" t="inlineStr">
        <is>
          <t xml:space="preserve">sdr_scorecard</t>
        </is>
      </c>
      <c r="B45" s="0" t="inlineStr">
        <is>
          <t xml:space="preserve">value</t>
        </is>
      </c>
      <c r="C45" s="0" t="inlineStr">
        <is>
          <t xml:space="preserve">line = opps_sourced</t>
        </is>
      </c>
      <c r="D45" s="20" t="inlineStr">
        <is>
          <t xml:space="preserve">COUNT(opps.acv[sdr=@sdr, created_period=@period])</t>
        </is>
      </c>
      <c r="E45" s="0" t="inlineStr">
        <is>
          <t xml:space="preserve">ok</t>
        </is>
      </c>
    </row>
    <row r="46">
      <c r="A46" s="0" t="inlineStr">
        <is>
          <t xml:space="preserve">sdr_scorecard</t>
        </is>
      </c>
      <c r="B46" s="0" t="inlineStr">
        <is>
          <t xml:space="preserve">value</t>
        </is>
      </c>
      <c r="C46" s="0" t="inlineStr">
        <is>
          <t xml:space="preserve">line = pipeline_sourced</t>
        </is>
      </c>
      <c r="D46" s="20" t="inlineStr">
        <is>
          <t xml:space="preserve">SUM(opps.acv[sdr=@sdr, created_period=@period])</t>
        </is>
      </c>
      <c r="E46" s="0" t="inlineStr">
        <is>
          <t xml:space="preserve">ok</t>
        </is>
      </c>
    </row>
    <row r="47">
      <c r="A47" s="0" t="inlineStr">
        <is>
          <t xml:space="preserve">sdr_scorecard</t>
        </is>
      </c>
      <c r="B47" s="0" t="inlineStr">
        <is>
          <t xml:space="preserve">value</t>
        </is>
      </c>
      <c r="C47" s="0" t="inlineStr">
        <is>
          <t xml:space="preserve">line = won_sourced</t>
        </is>
      </c>
      <c r="D47" s="20" t="inlineStr">
        <is>
          <t xml:space="preserve">SUM(opps.acv[sdr=@sdr, close_period=@period, won=1])</t>
        </is>
      </c>
      <c r="E47" s="0" t="inlineStr">
        <is>
          <t xml:space="preserve">ok</t>
        </is>
      </c>
    </row>
    <row r="48">
      <c r="A48" s="0" t="inlineStr">
        <is>
          <t xml:space="preserve">sdr_scorecard</t>
        </is>
      </c>
      <c r="B48" s="0" t="inlineStr">
        <is>
          <t xml:space="preserve">value</t>
        </is>
      </c>
      <c r="C48" s="0" t="inlineStr">
        <is>
          <t xml:space="preserve">line = pipeline_per_sql</t>
        </is>
      </c>
      <c r="D48" s="20" t="inlineStr">
        <is>
          <t xml:space="preserve">IFERROR(pipeline_sourced / sqls, 0)</t>
        </is>
      </c>
      <c r="E48" s="0" t="inlineStr">
        <is>
          <t xml:space="preserve">ok</t>
        </is>
      </c>
    </row>
    <row r="49">
      <c r="A49" s="0" t="inlineStr">
        <is>
          <t xml:space="preserve">rep_monthly</t>
        </is>
      </c>
      <c r="B49" s="0" t="inlineStr">
        <is>
          <t xml:space="preserve">value</t>
        </is>
      </c>
      <c r="C49" s="0" t="inlineStr">
        <is>
          <t xml:space="preserve">line = bookings</t>
        </is>
      </c>
      <c r="D49" s="20" t="inlineStr">
        <is>
          <t xml:space="preserve">SUM(opps.acv[rep=@rep, close_period=@period, won=1])</t>
        </is>
      </c>
      <c r="E49" s="0" t="inlineStr">
        <is>
          <t xml:space="preserve">ok</t>
        </is>
      </c>
    </row>
    <row r="50">
      <c r="A50" s="0" t="inlineStr">
        <is>
          <t xml:space="preserve">rep_monthly</t>
        </is>
      </c>
      <c r="B50" s="0" t="inlineStr">
        <is>
          <t xml:space="preserve">value</t>
        </is>
      </c>
      <c r="C50" s="0" t="inlineStr">
        <is>
          <t xml:space="preserve">line = deals_won</t>
        </is>
      </c>
      <c r="D50" s="20" t="inlineStr">
        <is>
          <t xml:space="preserve">COUNT(opps.acv[rep=@rep, close_period=@period, won=1])</t>
        </is>
      </c>
      <c r="E50" s="0" t="inlineStr">
        <is>
          <t xml:space="preserve">ok</t>
        </is>
      </c>
    </row>
    <row r="51">
      <c r="A51" s="0" t="inlineStr">
        <is>
          <t xml:space="preserve">rep_monthly</t>
        </is>
      </c>
      <c r="B51" s="0" t="inlineStr">
        <is>
          <t xml:space="preserve">value</t>
        </is>
      </c>
      <c r="C51" s="0" t="inlineStr">
        <is>
          <t xml:space="preserve">line = deals_lost</t>
        </is>
      </c>
      <c r="D51" s="20" t="inlineStr">
        <is>
          <t xml:space="preserve">COUNT(opps.acv[rep=@rep, close_period=@period, lost=1])</t>
        </is>
      </c>
      <c r="E51" s="0" t="inlineStr">
        <is>
          <t xml:space="preserve">ok</t>
        </is>
      </c>
    </row>
    <row r="52">
      <c r="A52" s="0" t="inlineStr">
        <is>
          <t xml:space="preserve">rep_monthly</t>
        </is>
      </c>
      <c r="B52" s="0" t="inlineStr">
        <is>
          <t xml:space="preserve">value</t>
        </is>
      </c>
      <c r="C52" s="0" t="inlineStr">
        <is>
          <t xml:space="preserve">line = new_logo_bookings</t>
        </is>
      </c>
      <c r="D52" s="20" t="inlineStr">
        <is>
          <t xml:space="preserve">SUM(opps.acv[rep=@rep, close_period=@period, won=1, new_logo=1])</t>
        </is>
      </c>
      <c r="E52" s="0" t="inlineStr">
        <is>
          <t xml:space="preserve">ok</t>
        </is>
      </c>
    </row>
    <row r="53">
      <c r="A53" s="0" t="inlineStr">
        <is>
          <t xml:space="preserve">rep_monthly</t>
        </is>
      </c>
      <c r="B53" s="0" t="inlineStr">
        <is>
          <t xml:space="preserve">value</t>
        </is>
      </c>
      <c r="C53" s="0" t="inlineStr">
        <is>
          <t xml:space="preserve">line = expansion_bookings</t>
        </is>
      </c>
      <c r="D53" s="20" t="inlineStr">
        <is>
          <t xml:space="preserve">bookings - new_logo_bookings</t>
        </is>
      </c>
      <c r="E53" s="0" t="inlineStr">
        <is>
          <t xml:space="preserve">ok</t>
        </is>
      </c>
    </row>
    <row r="54">
      <c r="A54" s="0" t="inlineStr">
        <is>
          <t xml:space="preserve">rep_monthly</t>
        </is>
      </c>
      <c r="B54" s="0" t="inlineStr">
        <is>
          <t xml:space="preserve">value</t>
        </is>
      </c>
      <c r="C54" s="0" t="inlineStr">
        <is>
          <t xml:space="preserve">line = opps_created</t>
        </is>
      </c>
      <c r="D54" s="20" t="inlineStr">
        <is>
          <t xml:space="preserve">COUNT(opps.acv[rep=@rep, created_period=@period])</t>
        </is>
      </c>
      <c r="E54" s="0" t="inlineStr">
        <is>
          <t xml:space="preserve">ok</t>
        </is>
      </c>
    </row>
    <row r="55">
      <c r="A55" s="0" t="inlineStr">
        <is>
          <t xml:space="preserve">rep_monthly</t>
        </is>
      </c>
      <c r="B55" s="0" t="inlineStr">
        <is>
          <t xml:space="preserve">value</t>
        </is>
      </c>
      <c r="C55" s="0" t="inlineStr">
        <is>
          <t xml:space="preserve">line = pipeline_created</t>
        </is>
      </c>
      <c r="D55" s="20" t="inlineStr">
        <is>
          <t xml:space="preserve">SUM(opps.acv[rep=@rep, created_period=@period])</t>
        </is>
      </c>
      <c r="E55" s="0" t="inlineStr">
        <is>
          <t xml:space="preserve">ok</t>
        </is>
      </c>
    </row>
    <row r="56">
      <c r="A56" s="0" t="inlineStr">
        <is>
          <t xml:space="preserve">rep_monthly</t>
        </is>
      </c>
      <c r="B56" s="0" t="inlineStr">
        <is>
          <t xml:space="preserve">value</t>
        </is>
      </c>
      <c r="C56" s="0" t="inlineStr">
        <is>
          <t xml:space="preserve">line = open_pipeline</t>
        </is>
      </c>
      <c r="D56" s="20" t="inlineStr">
        <is>
          <t xml:space="preserve">SUM(opps.acv[rep=@rep, close_period=@period, open=1])</t>
        </is>
      </c>
      <c r="E56" s="0" t="inlineStr">
        <is>
          <t xml:space="preserve">ok</t>
        </is>
      </c>
    </row>
    <row r="57">
      <c r="A57" s="0" t="inlineStr">
        <is>
          <t xml:space="preserve">rep_monthly</t>
        </is>
      </c>
      <c r="B57" s="0" t="inlineStr">
        <is>
          <t xml:space="preserve">value</t>
        </is>
      </c>
      <c r="C57" s="0" t="inlineStr">
        <is>
          <t xml:space="preserve">line = commit</t>
        </is>
      </c>
      <c r="D57" s="20" t="inlineStr">
        <is>
          <t xml:space="preserve">SUM(opps.acv[rep=@rep, close_period=@period, open=1, stage=negotiation])</t>
        </is>
      </c>
      <c r="E57" s="0" t="inlineStr">
        <is>
          <t xml:space="preserve">ok</t>
        </is>
      </c>
    </row>
    <row r="58">
      <c r="A58" s="0" t="inlineStr">
        <is>
          <t xml:space="preserve">rep_monthly</t>
        </is>
      </c>
      <c r="B58" s="0" t="inlineStr">
        <is>
          <t xml:space="preserve">value</t>
        </is>
      </c>
      <c r="C58" s="0" t="inlineStr">
        <is>
          <t xml:space="preserve">line = best_case</t>
        </is>
      </c>
      <c r="D58" s="20" t="inlineStr">
        <is>
          <t xml:space="preserve">SUM(opps.acv[rep=@rep, close_period=@period, open=1, stage=proposal])</t>
        </is>
      </c>
      <c r="E58" s="0" t="inlineStr">
        <is>
          <t xml:space="preserve">ok</t>
        </is>
      </c>
    </row>
    <row r="59">
      <c r="A59" s="0" t="inlineStr">
        <is>
          <t xml:space="preserve">rep_monthly</t>
        </is>
      </c>
      <c r="B59" s="0" t="inlineStr">
        <is>
          <t xml:space="preserve">value</t>
        </is>
      </c>
      <c r="C59" s="0" t="inlineStr">
        <is>
          <t xml:space="preserve">line = weighted_pipeline</t>
        </is>
      </c>
      <c r="D59" s="20" t="inlineStr">
        <is>
          <t xml:space="preserve">SUM(opps.weighted_acv[rep=@rep, close_period=@period, open=1])</t>
        </is>
      </c>
      <c r="E59" s="0" t="inlineStr">
        <is>
          <t xml:space="preserve">ok</t>
        </is>
      </c>
    </row>
    <row r="60">
      <c r="A60" s="0" t="inlineStr">
        <is>
          <t xml:space="preserve">rep_monthly</t>
        </is>
      </c>
      <c r="B60" s="0" t="inlineStr">
        <is>
          <t xml:space="preserve">value</t>
        </is>
      </c>
      <c r="C60" s="0" t="inlineStr">
        <is>
          <t xml:space="preserve">line = forecast</t>
        </is>
      </c>
      <c r="D60" s="20" t="inlineStr">
        <is>
          <t xml:space="preserve">bookings + plan.commit_weight * commit + plan.best_case_weight * best_case + plan.pipeline_weight * (open_pipeline - commit - best_case)</t>
        </is>
      </c>
      <c r="E60" s="0" t="inlineStr">
        <is>
          <t xml:space="preserve">ok</t>
        </is>
      </c>
    </row>
    <row r="61">
      <c r="A61" s="0" t="inlineStr">
        <is>
          <t xml:space="preserve">rep_quarterly</t>
        </is>
      </c>
      <c r="B61" s="0" t="inlineStr">
        <is>
          <t xml:space="preserve">value</t>
        </is>
      </c>
      <c r="C61" s="0" t="inlineStr">
        <is>
          <t xml:space="preserve">line = quota</t>
        </is>
      </c>
      <c r="D61" s="20" t="inlineStr">
        <is>
          <t xml:space="preserve">quota_plan.quota</t>
        </is>
      </c>
      <c r="E61" s="0" t="inlineStr">
        <is>
          <t xml:space="preserve">ok</t>
        </is>
      </c>
    </row>
    <row r="62">
      <c r="A62" s="0" t="inlineStr">
        <is>
          <t xml:space="preserve">rep_quarterly</t>
        </is>
      </c>
      <c r="B62" s="0" t="inlineStr">
        <is>
          <t xml:space="preserve">value</t>
        </is>
      </c>
      <c r="C62" s="0" t="inlineStr">
        <is>
          <t xml:space="preserve">line = bookings</t>
        </is>
      </c>
      <c r="D62" s="20" t="inlineStr">
        <is>
          <t xml:space="preserve">SUM(rep_monthly.bookings[period.quarter=@quarter.label])</t>
        </is>
      </c>
      <c r="E62" s="0" t="inlineStr">
        <is>
          <t xml:space="preserve">ok</t>
        </is>
      </c>
    </row>
    <row r="63">
      <c r="A63" s="0" t="inlineStr">
        <is>
          <t xml:space="preserve">rep_quarterly</t>
        </is>
      </c>
      <c r="B63" s="0" t="inlineStr">
        <is>
          <t xml:space="preserve">value</t>
        </is>
      </c>
      <c r="C63" s="0" t="inlineStr">
        <is>
          <t xml:space="preserve">line = attainment</t>
        </is>
      </c>
      <c r="D63" s="20" t="inlineStr">
        <is>
          <t xml:space="preserve">IF(quarter.is_future = 1, BLANK, IFERROR(bookings / quota, 0))</t>
        </is>
      </c>
      <c r="E63" s="0" t="inlineStr">
        <is>
          <t xml:space="preserve">ok</t>
        </is>
      </c>
    </row>
    <row r="64">
      <c r="A64" s="0" t="inlineStr">
        <is>
          <t xml:space="preserve">rep_quarterly</t>
        </is>
      </c>
      <c r="B64" s="0" t="inlineStr">
        <is>
          <t xml:space="preserve">value</t>
        </is>
      </c>
      <c r="C64" s="0" t="inlineStr">
        <is>
          <t xml:space="preserve">line = gap</t>
        </is>
      </c>
      <c r="D64" s="20" t="inlineStr">
        <is>
          <t xml:space="preserve">quota - bookings</t>
        </is>
      </c>
      <c r="E64" s="0" t="inlineStr">
        <is>
          <t xml:space="preserve">ok</t>
        </is>
      </c>
    </row>
    <row r="65">
      <c r="A65" s="0" t="inlineStr">
        <is>
          <t xml:space="preserve">rep_quarterly</t>
        </is>
      </c>
      <c r="B65" s="0" t="inlineStr">
        <is>
          <t xml:space="preserve">value</t>
        </is>
      </c>
      <c r="C65" s="0" t="inlineStr">
        <is>
          <t xml:space="preserve">line = deals_won</t>
        </is>
      </c>
      <c r="D65" s="20" t="inlineStr">
        <is>
          <t xml:space="preserve">SUM(rep_monthly.deals_won[period.quarter=@quarter.label])</t>
        </is>
      </c>
      <c r="E65" s="0" t="inlineStr">
        <is>
          <t xml:space="preserve">ok</t>
        </is>
      </c>
    </row>
    <row r="66">
      <c r="A66" s="0" t="inlineStr">
        <is>
          <t xml:space="preserve">rep_quarterly</t>
        </is>
      </c>
      <c r="B66" s="0" t="inlineStr">
        <is>
          <t xml:space="preserve">value</t>
        </is>
      </c>
      <c r="C66" s="0" t="inlineStr">
        <is>
          <t xml:space="preserve">line = deals_lost</t>
        </is>
      </c>
      <c r="D66" s="20" t="inlineStr">
        <is>
          <t xml:space="preserve">SUM(rep_monthly.deals_lost[period.quarter=@quarter.label])</t>
        </is>
      </c>
      <c r="E66" s="0" t="inlineStr">
        <is>
          <t xml:space="preserve">ok</t>
        </is>
      </c>
    </row>
    <row r="67">
      <c r="A67" s="0" t="inlineStr">
        <is>
          <t xml:space="preserve">rep_quarterly</t>
        </is>
      </c>
      <c r="B67" s="0" t="inlineStr">
        <is>
          <t xml:space="preserve">value</t>
        </is>
      </c>
      <c r="C67" s="0" t="inlineStr">
        <is>
          <t xml:space="preserve">line = win_rate</t>
        </is>
      </c>
      <c r="D67" s="20" t="inlineStr">
        <is>
          <t xml:space="preserve">IF(quarter.is_future = 1, BLANK, IFERROR(deals_won / (deals_won + deals_lost), 0))</t>
        </is>
      </c>
      <c r="E67" s="0" t="inlineStr">
        <is>
          <t xml:space="preserve">ok</t>
        </is>
      </c>
    </row>
    <row r="68">
      <c r="A68" s="0" t="inlineStr">
        <is>
          <t xml:space="preserve">rep_quarterly</t>
        </is>
      </c>
      <c r="B68" s="0" t="inlineStr">
        <is>
          <t xml:space="preserve">value</t>
        </is>
      </c>
      <c r="C68" s="0" t="inlineStr">
        <is>
          <t xml:space="preserve">line = avg_deal</t>
        </is>
      </c>
      <c r="D68" s="20" t="inlineStr">
        <is>
          <t xml:space="preserve">IF(quarter.is_future = 1, BLANK, IFERROR(bookings / deals_won, 0))</t>
        </is>
      </c>
      <c r="E68" s="0" t="inlineStr">
        <is>
          <t xml:space="preserve">ok</t>
        </is>
      </c>
    </row>
    <row r="69">
      <c r="A69" s="0" t="inlineStr">
        <is>
          <t xml:space="preserve">rep_quarterly</t>
        </is>
      </c>
      <c r="B69" s="0" t="inlineStr">
        <is>
          <t xml:space="preserve">value</t>
        </is>
      </c>
      <c r="C69" s="0" t="inlineStr">
        <is>
          <t xml:space="preserve">line = new_logos</t>
        </is>
      </c>
      <c r="D69" s="20" t="inlineStr">
        <is>
          <t xml:space="preserve">COUNT(opps.acv[rep=@rep, won=1, new_logo=1, close_quarter=@quarter])</t>
        </is>
      </c>
      <c r="E69" s="0" t="inlineStr">
        <is>
          <t xml:space="preserve">ok</t>
        </is>
      </c>
    </row>
    <row r="70">
      <c r="A70" s="0" t="inlineStr">
        <is>
          <t xml:space="preserve">rep_quarterly</t>
        </is>
      </c>
      <c r="B70" s="0" t="inlineStr">
        <is>
          <t xml:space="preserve">value</t>
        </is>
      </c>
      <c r="C70" s="0" t="inlineStr">
        <is>
          <t xml:space="preserve">line = new_logo_bookings</t>
        </is>
      </c>
      <c r="D70" s="20" t="inlineStr">
        <is>
          <t xml:space="preserve">SUM(rep_monthly.new_logo_bookings[period.quarter=@quarter.label])</t>
        </is>
      </c>
      <c r="E70" s="0" t="inlineStr">
        <is>
          <t xml:space="preserve">ok</t>
        </is>
      </c>
    </row>
    <row r="71">
      <c r="A71" s="0" t="inlineStr">
        <is>
          <t xml:space="preserve">rep_quarterly</t>
        </is>
      </c>
      <c r="B71" s="0" t="inlineStr">
        <is>
          <t xml:space="preserve">value</t>
        </is>
      </c>
      <c r="C71" s="0" t="inlineStr">
        <is>
          <t xml:space="preserve">line = opps_created</t>
        </is>
      </c>
      <c r="D71" s="20" t="inlineStr">
        <is>
          <t xml:space="preserve">SUM(rep_monthly.opps_created[period.quarter=@quarter.label])</t>
        </is>
      </c>
      <c r="E71" s="0" t="inlineStr">
        <is>
          <t xml:space="preserve">ok</t>
        </is>
      </c>
    </row>
    <row r="72">
      <c r="A72" s="0" t="inlineStr">
        <is>
          <t xml:space="preserve">rep_quarterly</t>
        </is>
      </c>
      <c r="B72" s="0" t="inlineStr">
        <is>
          <t xml:space="preserve">value</t>
        </is>
      </c>
      <c r="C72" s="0" t="inlineStr">
        <is>
          <t xml:space="preserve">line = pipeline_created</t>
        </is>
      </c>
      <c r="D72" s="20" t="inlineStr">
        <is>
          <t xml:space="preserve">SUM(rep_monthly.pipeline_created[period.quarter=@quarter.label])</t>
        </is>
      </c>
      <c r="E72" s="0" t="inlineStr">
        <is>
          <t xml:space="preserve">ok</t>
        </is>
      </c>
    </row>
    <row r="73">
      <c r="A73" s="0" t="inlineStr">
        <is>
          <t xml:space="preserve">rep_quarterly</t>
        </is>
      </c>
      <c r="B73" s="0" t="inlineStr">
        <is>
          <t xml:space="preserve">value</t>
        </is>
      </c>
      <c r="C73" s="0" t="inlineStr">
        <is>
          <t xml:space="preserve">line = open_pipeline</t>
        </is>
      </c>
      <c r="D73" s="20" t="inlineStr">
        <is>
          <t xml:space="preserve">SUM(rep_monthly.open_pipeline[period.quarter=@quarter.label])</t>
        </is>
      </c>
      <c r="E73" s="0" t="inlineStr">
        <is>
          <t xml:space="preserve">ok</t>
        </is>
      </c>
    </row>
    <row r="74">
      <c r="A74" s="0" t="inlineStr">
        <is>
          <t xml:space="preserve">rep_quarterly</t>
        </is>
      </c>
      <c r="B74" s="0" t="inlineStr">
        <is>
          <t xml:space="preserve">value</t>
        </is>
      </c>
      <c r="C74" s="0" t="inlineStr">
        <is>
          <t xml:space="preserve">line = commit</t>
        </is>
      </c>
      <c r="D74" s="20" t="inlineStr">
        <is>
          <t xml:space="preserve">SUM(rep_monthly.commit[period.quarter=@quarter.label])</t>
        </is>
      </c>
      <c r="E74" s="0" t="inlineStr">
        <is>
          <t xml:space="preserve">ok</t>
        </is>
      </c>
    </row>
    <row r="75">
      <c r="A75" s="0" t="inlineStr">
        <is>
          <t xml:space="preserve">rep_quarterly</t>
        </is>
      </c>
      <c r="B75" s="0" t="inlineStr">
        <is>
          <t xml:space="preserve">value</t>
        </is>
      </c>
      <c r="C75" s="0" t="inlineStr">
        <is>
          <t xml:space="preserve">line = best_case</t>
        </is>
      </c>
      <c r="D75" s="20" t="inlineStr">
        <is>
          <t xml:space="preserve">SUM(rep_monthly.best_case[period.quarter=@quarter.label])</t>
        </is>
      </c>
      <c r="E75" s="0" t="inlineStr">
        <is>
          <t xml:space="preserve">ok</t>
        </is>
      </c>
    </row>
    <row r="76">
      <c r="A76" s="0" t="inlineStr">
        <is>
          <t xml:space="preserve">rep_quarterly</t>
        </is>
      </c>
      <c r="B76" s="0" t="inlineStr">
        <is>
          <t xml:space="preserve">value</t>
        </is>
      </c>
      <c r="C76" s="0" t="inlineStr">
        <is>
          <t xml:space="preserve">line = coverage</t>
        </is>
      </c>
      <c r="D76" s="20" t="inlineStr">
        <is>
          <t xml:space="preserve">IF(gap &gt; 0 and open_pipeline &gt; 0, open_pipeline / gap, BLANK)</t>
        </is>
      </c>
      <c r="E76" s="0" t="inlineStr">
        <is>
          <t xml:space="preserve">ok</t>
        </is>
      </c>
    </row>
    <row r="77">
      <c r="A77" s="0" t="inlineStr">
        <is>
          <t xml:space="preserve">rep_quarterly</t>
        </is>
      </c>
      <c r="B77" s="0" t="inlineStr">
        <is>
          <t xml:space="preserve">value</t>
        </is>
      </c>
      <c r="C77" s="0" t="inlineStr">
        <is>
          <t xml:space="preserve">line = forecast</t>
        </is>
      </c>
      <c r="D77" s="20" t="inlineStr">
        <is>
          <t xml:space="preserve">SUM(rep_monthly.forecast[period.quarter=@quarter.label])</t>
        </is>
      </c>
      <c r="E77" s="0" t="inlineStr">
        <is>
          <t xml:space="preserve">ok</t>
        </is>
      </c>
    </row>
    <row r="78">
      <c r="A78" s="0" t="inlineStr">
        <is>
          <t xml:space="preserve">rep_quarterly</t>
        </is>
      </c>
      <c r="B78" s="0" t="inlineStr">
        <is>
          <t xml:space="preserve">value</t>
        </is>
      </c>
      <c r="C78" s="0" t="inlineStr">
        <is>
          <t xml:space="preserve">line = forecast_attainment</t>
        </is>
      </c>
      <c r="D78" s="20" t="inlineStr">
        <is>
          <t xml:space="preserve">IFERROR(forecast / quota, 0)</t>
        </is>
      </c>
      <c r="E78" s="0" t="inlineStr">
        <is>
          <t xml:space="preserve">ok</t>
        </is>
      </c>
    </row>
    <row r="79">
      <c r="A79" s="0" t="inlineStr">
        <is>
          <t xml:space="preserve">rep_quarterly</t>
        </is>
      </c>
      <c r="B79" s="0" t="inlineStr">
        <is>
          <t xml:space="preserve">value</t>
        </is>
      </c>
      <c r="C79" s="0" t="inlineStr">
        <is>
          <t xml:space="preserve">line = ytd_bookings</t>
        </is>
      </c>
      <c r="D79" s="20" t="inlineStr">
        <is>
          <t xml:space="preserve">IF(quarter.year = 2026, SUM(bookings[quarter=q1_2026..this]), bookings)</t>
        </is>
      </c>
      <c r="E79" s="0" t="inlineStr">
        <is>
          <t xml:space="preserve">ok</t>
        </is>
      </c>
    </row>
    <row r="80">
      <c r="A80" s="0" t="inlineStr">
        <is>
          <t xml:space="preserve">rep_quarterly</t>
        </is>
      </c>
      <c r="B80" s="0" t="inlineStr">
        <is>
          <t xml:space="preserve">value</t>
        </is>
      </c>
      <c r="C80" s="0" t="inlineStr">
        <is>
          <t xml:space="preserve">line = ytd_quota</t>
        </is>
      </c>
      <c r="D80" s="20" t="inlineStr">
        <is>
          <t xml:space="preserve">IF(quarter.year = 2026, SUM(quota[quarter=q1_2026..this]), quota)</t>
        </is>
      </c>
      <c r="E80" s="0" t="inlineStr">
        <is>
          <t xml:space="preserve">ok</t>
        </is>
      </c>
    </row>
    <row r="81">
      <c r="A81" s="0" t="inlineStr">
        <is>
          <t xml:space="preserve">rep_quarterly</t>
        </is>
      </c>
      <c r="B81" s="0" t="inlineStr">
        <is>
          <t xml:space="preserve">value</t>
        </is>
      </c>
      <c r="C81" s="0" t="inlineStr">
        <is>
          <t xml:space="preserve">line = ytd_attainment</t>
        </is>
      </c>
      <c r="D81" s="20" t="inlineStr">
        <is>
          <t xml:space="preserve">IFERROR(ytd_bookings / ytd_quota, 0)</t>
        </is>
      </c>
      <c r="E81" s="0" t="inlineStr">
        <is>
          <t xml:space="preserve">ok</t>
        </is>
      </c>
    </row>
    <row r="82">
      <c r="A82" s="0" t="inlineStr">
        <is>
          <t xml:space="preserve">commissions</t>
        </is>
      </c>
      <c r="B82" s="0" t="inlineStr">
        <is>
          <t xml:space="preserve">value</t>
        </is>
      </c>
      <c r="C82" s="0" t="inlineStr">
        <is>
          <t xml:space="preserve">line = attainment</t>
        </is>
      </c>
      <c r="D82" s="20" t="inlineStr">
        <is>
          <t xml:space="preserve">rep_quarterly.attainment</t>
        </is>
      </c>
      <c r="E82" s="0" t="inlineStr">
        <is>
          <t xml:space="preserve">ok</t>
        </is>
      </c>
    </row>
    <row r="83">
      <c r="A83" s="0" t="inlineStr">
        <is>
          <t xml:space="preserve">commissions</t>
        </is>
      </c>
      <c r="B83" s="0" t="inlineStr">
        <is>
          <t xml:space="preserve">value</t>
        </is>
      </c>
      <c r="C83" s="0" t="inlineStr">
        <is>
          <t xml:space="preserve">line = in_tranche</t>
        </is>
      </c>
      <c r="D83" s="20" t="inlineStr">
        <is>
          <t xml:space="preserve">IF(attainment &lt;= comp_plan.from_pct, 0, IF(attainment &gt;= comp_plan.to_pct, comp_plan.to_pct - comp_plan.from_pct, attainment - comp_plan.from_pct))</t>
        </is>
      </c>
      <c r="E83" s="0" t="inlineStr">
        <is>
          <t xml:space="preserve">ok</t>
        </is>
      </c>
    </row>
    <row r="84">
      <c r="A84" s="0" t="inlineStr">
        <is>
          <t xml:space="preserve">commissions</t>
        </is>
      </c>
      <c r="B84" s="0" t="inlineStr">
        <is>
          <t xml:space="preserve">value</t>
        </is>
      </c>
      <c r="C84" s="0" t="inlineStr">
        <is>
          <t xml:space="preserve">line = rate</t>
        </is>
      </c>
      <c r="D84" s="20" t="inlineStr">
        <is>
          <t xml:space="preserve">rep.base_rate * comp_plan.multiplier</t>
        </is>
      </c>
      <c r="E84" s="0" t="inlineStr">
        <is>
          <t xml:space="preserve">ok</t>
        </is>
      </c>
    </row>
    <row r="85">
      <c r="A85" s="0" t="inlineStr">
        <is>
          <t xml:space="preserve">commissions</t>
        </is>
      </c>
      <c r="B85" s="0" t="inlineStr">
        <is>
          <t xml:space="preserve">value</t>
        </is>
      </c>
      <c r="C85" s="0" t="inlineStr">
        <is>
          <t xml:space="preserve">line = commission</t>
        </is>
      </c>
      <c r="D85" s="20" t="inlineStr">
        <is>
          <t xml:space="preserve">in_tranche * rep_quarterly.quota * rate</t>
        </is>
      </c>
      <c r="E85" s="0" t="inlineStr">
        <is>
          <t xml:space="preserve">ok</t>
        </is>
      </c>
    </row>
    <row r="86">
      <c r="A86" s="0" t="inlineStr">
        <is>
          <t xml:space="preserve">commissions</t>
        </is>
      </c>
      <c r="B86" s="0" t="inlineStr">
        <is>
          <t xml:space="preserve">value</t>
        </is>
      </c>
      <c r="C86" s="0" t="inlineStr">
        <is>
          <t xml:space="preserve">line = in_tranche, tranche = total</t>
        </is>
      </c>
      <c r="D86" s="20" t="inlineStr">
        <is>
          <t xml:space="preserve">SUM(in_tranche[tranche != total])</t>
        </is>
      </c>
      <c r="E86" s="0" t="inlineStr">
        <is>
          <t xml:space="preserve">ok</t>
        </is>
      </c>
    </row>
    <row r="87">
      <c r="A87" s="0" t="inlineStr">
        <is>
          <t xml:space="preserve">commissions</t>
        </is>
      </c>
      <c r="B87" s="0" t="inlineStr">
        <is>
          <t xml:space="preserve">value</t>
        </is>
      </c>
      <c r="C87" s="0" t="inlineStr">
        <is>
          <t xml:space="preserve">line = rate, tranche = total</t>
        </is>
      </c>
      <c r="D87" s="20" t="inlineStr">
        <is>
          <t xml:space="preserve">BLANK</t>
        </is>
      </c>
      <c r="E87" s="0" t="inlineStr">
        <is>
          <t xml:space="preserve">ok</t>
        </is>
      </c>
    </row>
    <row r="88">
      <c r="A88" s="0" t="inlineStr">
        <is>
          <t xml:space="preserve">commissions</t>
        </is>
      </c>
      <c r="B88" s="0" t="inlineStr">
        <is>
          <t xml:space="preserve">value</t>
        </is>
      </c>
      <c r="C88" s="0" t="inlineStr">
        <is>
          <t xml:space="preserve">line = commission, tranche = total</t>
        </is>
      </c>
      <c r="D88" s="20" t="inlineStr">
        <is>
          <t xml:space="preserve">SUM(commission[tranche != total])</t>
        </is>
      </c>
      <c r="E88" s="0" t="inlineStr">
        <is>
          <t xml:space="preserve">ok</t>
        </is>
      </c>
    </row>
    <row r="89">
      <c r="A89" s="0" t="inlineStr">
        <is>
          <t xml:space="preserve">payout</t>
        </is>
      </c>
      <c r="B89" s="0" t="inlineStr">
        <is>
          <t xml:space="preserve">value</t>
        </is>
      </c>
      <c r="C89" s="0" t="inlineStr">
        <is>
          <t xml:space="preserve">line = quota</t>
        </is>
      </c>
      <c r="D89" s="20" t="inlineStr">
        <is>
          <t xml:space="preserve">rep_quarterly.quota</t>
        </is>
      </c>
      <c r="E89" s="0" t="inlineStr">
        <is>
          <t xml:space="preserve">ok</t>
        </is>
      </c>
    </row>
    <row r="90">
      <c r="A90" s="0" t="inlineStr">
        <is>
          <t xml:space="preserve">payout</t>
        </is>
      </c>
      <c r="B90" s="0" t="inlineStr">
        <is>
          <t xml:space="preserve">value</t>
        </is>
      </c>
      <c r="C90" s="0" t="inlineStr">
        <is>
          <t xml:space="preserve">line = bookings</t>
        </is>
      </c>
      <c r="D90" s="20" t="inlineStr">
        <is>
          <t xml:space="preserve">rep_quarterly.bookings</t>
        </is>
      </c>
      <c r="E90" s="0" t="inlineStr">
        <is>
          <t xml:space="preserve">ok</t>
        </is>
      </c>
    </row>
    <row r="91">
      <c r="A91" s="0" t="inlineStr">
        <is>
          <t xml:space="preserve">payout</t>
        </is>
      </c>
      <c r="B91" s="0" t="inlineStr">
        <is>
          <t xml:space="preserve">value</t>
        </is>
      </c>
      <c r="C91" s="0" t="inlineStr">
        <is>
          <t xml:space="preserve">line = attainment</t>
        </is>
      </c>
      <c r="D91" s="20" t="inlineStr">
        <is>
          <t xml:space="preserve">rep_quarterly.attainment</t>
        </is>
      </c>
      <c r="E91" s="0" t="inlineStr">
        <is>
          <t xml:space="preserve">ok</t>
        </is>
      </c>
    </row>
    <row r="92">
      <c r="A92" s="0" t="inlineStr">
        <is>
          <t xml:space="preserve">payout</t>
        </is>
      </c>
      <c r="B92" s="0" t="inlineStr">
        <is>
          <t xml:space="preserve">value</t>
        </is>
      </c>
      <c r="C92" s="0" t="inlineStr">
        <is>
          <t xml:space="preserve">line = base_commission</t>
        </is>
      </c>
      <c r="D92" s="20" t="inlineStr">
        <is>
          <t xml:space="preserve">commissions.commission[tranche=total]</t>
        </is>
      </c>
      <c r="E92" s="0" t="inlineStr">
        <is>
          <t xml:space="preserve">ok</t>
        </is>
      </c>
    </row>
    <row r="93">
      <c r="A93" s="0" t="inlineStr">
        <is>
          <t xml:space="preserve">payout</t>
        </is>
      </c>
      <c r="B93" s="0" t="inlineStr">
        <is>
          <t xml:space="preserve">value</t>
        </is>
      </c>
      <c r="C93" s="0" t="inlineStr">
        <is>
          <t xml:space="preserve">line = new_logo_kicker</t>
        </is>
      </c>
      <c r="D93" s="20" t="inlineStr">
        <is>
          <t xml:space="preserve">rep_quarterly.new_logo_bookings * plan.new_logo_rate</t>
        </is>
      </c>
      <c r="E93" s="0" t="inlineStr">
        <is>
          <t xml:space="preserve">ok</t>
        </is>
      </c>
    </row>
    <row r="94">
      <c r="A94" s="0" t="inlineStr">
        <is>
          <t xml:space="preserve">payout</t>
        </is>
      </c>
      <c r="B94" s="0" t="inlineStr">
        <is>
          <t xml:space="preserve">value</t>
        </is>
      </c>
      <c r="C94" s="0" t="inlineStr">
        <is>
          <t xml:space="preserve">line = multiyear_acv</t>
        </is>
      </c>
      <c r="D94" s="20" t="inlineStr">
        <is>
          <t xml:space="preserve">SUM(opps.extra_year_acv[rep=@rep, won=1, close_quarter=@quarter])</t>
        </is>
      </c>
      <c r="E94" s="0" t="inlineStr">
        <is>
          <t xml:space="preserve">ok</t>
        </is>
      </c>
    </row>
    <row r="95">
      <c r="A95" s="0" t="inlineStr">
        <is>
          <t xml:space="preserve">payout</t>
        </is>
      </c>
      <c r="B95" s="0" t="inlineStr">
        <is>
          <t xml:space="preserve">value</t>
        </is>
      </c>
      <c r="C95" s="0" t="inlineStr">
        <is>
          <t xml:space="preserve">line = multiyear_kicker</t>
        </is>
      </c>
      <c r="D95" s="20" t="inlineStr">
        <is>
          <t xml:space="preserve">multiyear_acv * plan.multiyear_rate</t>
        </is>
      </c>
      <c r="E95" s="0" t="inlineStr">
        <is>
          <t xml:space="preserve">ok</t>
        </is>
      </c>
    </row>
    <row r="96">
      <c r="A96" s="0" t="inlineStr">
        <is>
          <t xml:space="preserve">payout</t>
        </is>
      </c>
      <c r="B96" s="0" t="inlineStr">
        <is>
          <t xml:space="preserve">value</t>
        </is>
      </c>
      <c r="C96" s="0" t="inlineStr">
        <is>
          <t xml:space="preserve">line = spiff_deals</t>
        </is>
      </c>
      <c r="D96" s="20" t="inlineStr">
        <is>
          <t xml:space="preserve">COUNT(opps.acv[rep=@rep, won=1, security_addon=1, close_quarter=@quarter]) * quarter.spiff_active</t>
        </is>
      </c>
      <c r="E96" s="0" t="inlineStr">
        <is>
          <t xml:space="preserve">ok</t>
        </is>
      </c>
    </row>
    <row r="97">
      <c r="A97" s="0" t="inlineStr">
        <is>
          <t xml:space="preserve">payout</t>
        </is>
      </c>
      <c r="B97" s="0" t="inlineStr">
        <is>
          <t xml:space="preserve">value</t>
        </is>
      </c>
      <c r="C97" s="0" t="inlineStr">
        <is>
          <t xml:space="preserve">line = spiff</t>
        </is>
      </c>
      <c r="D97" s="20" t="inlineStr">
        <is>
          <t xml:space="preserve">spiff_deals * plan.spiff_amount</t>
        </is>
      </c>
      <c r="E97" s="0" t="inlineStr">
        <is>
          <t xml:space="preserve">ok</t>
        </is>
      </c>
    </row>
    <row r="98">
      <c r="A98" s="0" t="inlineStr">
        <is>
          <t xml:space="preserve">payout</t>
        </is>
      </c>
      <c r="B98" s="0" t="inlineStr">
        <is>
          <t xml:space="preserve">value</t>
        </is>
      </c>
      <c r="C98" s="0" t="inlineStr">
        <is>
          <t xml:space="preserve">line = uncapped_variable</t>
        </is>
      </c>
      <c r="D98" s="20" t="inlineStr">
        <is>
          <t xml:space="preserve">base_commission + new_logo_kicker + multiyear_kicker + spiff</t>
        </is>
      </c>
      <c r="E98" s="0" t="inlineStr">
        <is>
          <t xml:space="preserve">ok</t>
        </is>
      </c>
    </row>
    <row r="99">
      <c r="A99" s="0" t="inlineStr">
        <is>
          <t xml:space="preserve">payout</t>
        </is>
      </c>
      <c r="B99" s="0" t="inlineStr">
        <is>
          <t xml:space="preserve">value</t>
        </is>
      </c>
      <c r="C99" s="0" t="inlineStr">
        <is>
          <t xml:space="preserve">line = target_variable</t>
        </is>
      </c>
      <c r="D99" s="20" t="inlineStr">
        <is>
          <t xml:space="preserve">rep.variable / 4</t>
        </is>
      </c>
      <c r="E99" s="0" t="inlineStr">
        <is>
          <t xml:space="preserve">ok</t>
        </is>
      </c>
    </row>
    <row r="100">
      <c r="A100" s="0" t="inlineStr">
        <is>
          <t xml:space="preserve">payout</t>
        </is>
      </c>
      <c r="B100" s="0" t="inlineStr">
        <is>
          <t xml:space="preserve">value</t>
        </is>
      </c>
      <c r="C100" s="0" t="inlineStr">
        <is>
          <t xml:space="preserve">line = total_variable</t>
        </is>
      </c>
      <c r="D100" s="20" t="inlineStr">
        <is>
          <t xml:space="preserve">IF(uncapped_variable &gt; plan.cap_multiple * target_variable, plan.cap_multiple * target_variable, uncapped_variable)</t>
        </is>
      </c>
      <c r="E100" s="0" t="inlineStr">
        <is>
          <t xml:space="preserve">ok</t>
        </is>
      </c>
    </row>
    <row r="101">
      <c r="A101" s="0" t="inlineStr">
        <is>
          <t xml:space="preserve">payout</t>
        </is>
      </c>
      <c r="B101" s="0" t="inlineStr">
        <is>
          <t xml:space="preserve">value</t>
        </is>
      </c>
      <c r="C101" s="0" t="inlineStr">
        <is>
          <t xml:space="preserve">line = vs_target</t>
        </is>
      </c>
      <c r="D101" s="20" t="inlineStr">
        <is>
          <t xml:space="preserve">IFERROR(total_variable / target_variable, 0)</t>
        </is>
      </c>
      <c r="E101" s="0" t="inlineStr">
        <is>
          <t xml:space="preserve">ok</t>
        </is>
      </c>
    </row>
    <row r="102">
      <c r="A102" s="0" t="inlineStr">
        <is>
          <t xml:space="preserve">payout</t>
        </is>
      </c>
      <c r="B102" s="0" t="inlineStr">
        <is>
          <t xml:space="preserve">value</t>
        </is>
      </c>
      <c r="C102" s="0" t="inlineStr">
        <is>
          <t xml:space="preserve">line = effective_rate</t>
        </is>
      </c>
      <c r="D102" s="20" t="inlineStr">
        <is>
          <t xml:space="preserve">IFERROR(total_variable / bookings, 0)</t>
        </is>
      </c>
      <c r="E102" s="0" t="inlineStr">
        <is>
          <t xml:space="preserve">ok</t>
        </is>
      </c>
    </row>
    <row r="103">
      <c r="A103" s="0" t="inlineStr">
        <is>
          <t xml:space="preserve">payout</t>
        </is>
      </c>
      <c r="B103" s="0" t="inlineStr">
        <is>
          <t xml:space="preserve">value</t>
        </is>
      </c>
      <c r="C103" s="0" t="inlineStr">
        <is>
          <t xml:space="preserve">line = ytd_variable</t>
        </is>
      </c>
      <c r="D103" s="20" t="inlineStr">
        <is>
          <t xml:space="preserve">IF(quarter.year = 2026, SUM(total_variable[quarter=q1_2026..this]), total_variable)</t>
        </is>
      </c>
      <c r="E103" s="0" t="inlineStr">
        <is>
          <t xml:space="preserve">ok</t>
        </is>
      </c>
    </row>
    <row r="104">
      <c r="A104" s="0" t="inlineStr">
        <is>
          <t xml:space="preserve">payout</t>
        </is>
      </c>
      <c r="B104" s="0" t="inlineStr">
        <is>
          <t xml:space="preserve">value</t>
        </is>
      </c>
      <c r="C104" s="0" t="inlineStr">
        <is>
          <t xml:space="preserve">line = ytd_attainment</t>
        </is>
      </c>
      <c r="D104" s="20" t="inlineStr">
        <is>
          <t xml:space="preserve">rep_quarterly.ytd_attainment</t>
        </is>
      </c>
      <c r="E104" s="0" t="inlineStr">
        <is>
          <t xml:space="preserve">ok</t>
        </is>
      </c>
    </row>
    <row r="105">
      <c r="A105" s="0" t="inlineStr">
        <is>
          <t xml:space="preserve">payout</t>
        </is>
      </c>
      <c r="B105" s="0" t="inlineStr">
        <is>
          <t xml:space="preserve">value</t>
        </is>
      </c>
      <c r="C105" s="0" t="inlineStr">
        <is>
          <t xml:space="preserve">line = club</t>
        </is>
      </c>
      <c r="D105" s="20" t="inlineStr">
        <is>
          <t xml:space="preserve">IF(ytd_attainment &gt;= 1, 1, 0)</t>
        </is>
      </c>
      <c r="E105" s="0" t="inlineStr">
        <is>
          <t xml:space="preserve">ok</t>
        </is>
      </c>
    </row>
    <row r="106">
      <c r="A106" s="0" t="inlineStr">
        <is>
          <t xml:space="preserve">team</t>
        </is>
      </c>
      <c r="B106" s="0" t="inlineStr">
        <is>
          <t xml:space="preserve">value</t>
        </is>
      </c>
      <c r="C106" s="0" t="inlineStr">
        <is>
          <t xml:space="preserve">line = rep_count</t>
        </is>
      </c>
      <c r="D106" s="20" t="inlineStr">
        <is>
          <t xml:space="preserve">COUNT(reps.annual_quota)</t>
        </is>
      </c>
      <c r="E106" s="0" t="inlineStr">
        <is>
          <t xml:space="preserve">ok</t>
        </is>
      </c>
    </row>
    <row r="107">
      <c r="A107" s="0" t="inlineStr">
        <is>
          <t xml:space="preserve">team</t>
        </is>
      </c>
      <c r="B107" s="0" t="inlineStr">
        <is>
          <t xml:space="preserve">value</t>
        </is>
      </c>
      <c r="C107" s="0" t="inlineStr">
        <is>
          <t xml:space="preserve">line = quota</t>
        </is>
      </c>
      <c r="D107" s="20" t="inlineStr">
        <is>
          <t xml:space="preserve">SUM(rep_quarterly.quota[rep.region=@region, rep.segment=@segment])</t>
        </is>
      </c>
      <c r="E107" s="0" t="inlineStr">
        <is>
          <t xml:space="preserve">ok</t>
        </is>
      </c>
    </row>
    <row r="108">
      <c r="A108" s="0" t="inlineStr">
        <is>
          <t xml:space="preserve">team</t>
        </is>
      </c>
      <c r="B108" s="0" t="inlineStr">
        <is>
          <t xml:space="preserve">value</t>
        </is>
      </c>
      <c r="C108" s="0" t="inlineStr">
        <is>
          <t xml:space="preserve">line = bookings</t>
        </is>
      </c>
      <c r="D108" s="20" t="inlineStr">
        <is>
          <t xml:space="preserve">SUM(rep_quarterly.bookings[rep.region=@region, rep.segment=@segment])</t>
        </is>
      </c>
      <c r="E108" s="0" t="inlineStr">
        <is>
          <t xml:space="preserve">ok</t>
        </is>
      </c>
    </row>
    <row r="109">
      <c r="A109" s="0" t="inlineStr">
        <is>
          <t xml:space="preserve">team</t>
        </is>
      </c>
      <c r="B109" s="0" t="inlineStr">
        <is>
          <t xml:space="preserve">value</t>
        </is>
      </c>
      <c r="C109" s="0" t="inlineStr">
        <is>
          <t xml:space="preserve">line = deals_won</t>
        </is>
      </c>
      <c r="D109" s="20" t="inlineStr">
        <is>
          <t xml:space="preserve">SUM(rep_quarterly.deals_won[rep.region=@region, rep.segment=@segment])</t>
        </is>
      </c>
      <c r="E109" s="0" t="inlineStr">
        <is>
          <t xml:space="preserve">ok</t>
        </is>
      </c>
    </row>
    <row r="110">
      <c r="A110" s="0" t="inlineStr">
        <is>
          <t xml:space="preserve">team</t>
        </is>
      </c>
      <c r="B110" s="0" t="inlineStr">
        <is>
          <t xml:space="preserve">value</t>
        </is>
      </c>
      <c r="C110" s="0" t="inlineStr">
        <is>
          <t xml:space="preserve">line = deals_lost</t>
        </is>
      </c>
      <c r="D110" s="20" t="inlineStr">
        <is>
          <t xml:space="preserve">SUM(rep_quarterly.deals_lost[rep.region=@region, rep.segment=@segment])</t>
        </is>
      </c>
      <c r="E110" s="0" t="inlineStr">
        <is>
          <t xml:space="preserve">ok</t>
        </is>
      </c>
    </row>
    <row r="111">
      <c r="A111" s="0" t="inlineStr">
        <is>
          <t xml:space="preserve">team</t>
        </is>
      </c>
      <c r="B111" s="0" t="inlineStr">
        <is>
          <t xml:space="preserve">value</t>
        </is>
      </c>
      <c r="C111" s="0" t="inlineStr">
        <is>
          <t xml:space="preserve">line = new_logo_bookings</t>
        </is>
      </c>
      <c r="D111" s="20" t="inlineStr">
        <is>
          <t xml:space="preserve">SUM(rep_quarterly.new_logo_bookings[rep.region=@region, rep.segment=@segment])</t>
        </is>
      </c>
      <c r="E111" s="0" t="inlineStr">
        <is>
          <t xml:space="preserve">ok</t>
        </is>
      </c>
    </row>
    <row r="112">
      <c r="A112" s="0" t="inlineStr">
        <is>
          <t xml:space="preserve">team</t>
        </is>
      </c>
      <c r="B112" s="0" t="inlineStr">
        <is>
          <t xml:space="preserve">value</t>
        </is>
      </c>
      <c r="C112" s="0" t="inlineStr">
        <is>
          <t xml:space="preserve">line = pipeline_created</t>
        </is>
      </c>
      <c r="D112" s="20" t="inlineStr">
        <is>
          <t xml:space="preserve">SUM(rep_quarterly.pipeline_created[rep.region=@region, rep.segment=@segment])</t>
        </is>
      </c>
      <c r="E112" s="0" t="inlineStr">
        <is>
          <t xml:space="preserve">ok</t>
        </is>
      </c>
    </row>
    <row r="113">
      <c r="A113" s="0" t="inlineStr">
        <is>
          <t xml:space="preserve">team</t>
        </is>
      </c>
      <c r="B113" s="0" t="inlineStr">
        <is>
          <t xml:space="preserve">value</t>
        </is>
      </c>
      <c r="C113" s="0" t="inlineStr">
        <is>
          <t xml:space="preserve">line = open_pipeline</t>
        </is>
      </c>
      <c r="D113" s="20" t="inlineStr">
        <is>
          <t xml:space="preserve">SUM(rep_quarterly.open_pipeline[rep.region=@region, rep.segment=@segment])</t>
        </is>
      </c>
      <c r="E113" s="0" t="inlineStr">
        <is>
          <t xml:space="preserve">ok</t>
        </is>
      </c>
    </row>
    <row r="114">
      <c r="A114" s="0" t="inlineStr">
        <is>
          <t xml:space="preserve">team</t>
        </is>
      </c>
      <c r="B114" s="0" t="inlineStr">
        <is>
          <t xml:space="preserve">value</t>
        </is>
      </c>
      <c r="C114" s="0" t="inlineStr">
        <is>
          <t xml:space="preserve">line = commit</t>
        </is>
      </c>
      <c r="D114" s="20" t="inlineStr">
        <is>
          <t xml:space="preserve">SUM(rep_quarterly.commit[rep.region=@region, rep.segment=@segment])</t>
        </is>
      </c>
      <c r="E114" s="0" t="inlineStr">
        <is>
          <t xml:space="preserve">ok</t>
        </is>
      </c>
    </row>
    <row r="115">
      <c r="A115" s="0" t="inlineStr">
        <is>
          <t xml:space="preserve">team</t>
        </is>
      </c>
      <c r="B115" s="0" t="inlineStr">
        <is>
          <t xml:space="preserve">value</t>
        </is>
      </c>
      <c r="C115" s="0" t="inlineStr">
        <is>
          <t xml:space="preserve">line = best_case</t>
        </is>
      </c>
      <c r="D115" s="20" t="inlineStr">
        <is>
          <t xml:space="preserve">SUM(rep_quarterly.best_case[rep.region=@region, rep.segment=@segment])</t>
        </is>
      </c>
      <c r="E115" s="0" t="inlineStr">
        <is>
          <t xml:space="preserve">ok</t>
        </is>
      </c>
    </row>
    <row r="116">
      <c r="A116" s="0" t="inlineStr">
        <is>
          <t xml:space="preserve">team</t>
        </is>
      </c>
      <c r="B116" s="0" t="inlineStr">
        <is>
          <t xml:space="preserve">value</t>
        </is>
      </c>
      <c r="C116" s="0" t="inlineStr">
        <is>
          <t xml:space="preserve">line = forecast</t>
        </is>
      </c>
      <c r="D116" s="20" t="inlineStr">
        <is>
          <t xml:space="preserve">SUM(rep_quarterly.forecast[rep.region=@region, rep.segment=@segment])</t>
        </is>
      </c>
      <c r="E116" s="0" t="inlineStr">
        <is>
          <t xml:space="preserve">ok</t>
        </is>
      </c>
    </row>
    <row r="117">
      <c r="A117" s="0" t="inlineStr">
        <is>
          <t xml:space="preserve">team</t>
        </is>
      </c>
      <c r="B117" s="0" t="inlineStr">
        <is>
          <t xml:space="preserve">value</t>
        </is>
      </c>
      <c r="C117" s="0" t="inlineStr">
        <is>
          <t xml:space="preserve">line = attainment</t>
        </is>
      </c>
      <c r="D117" s="20" t="inlineStr">
        <is>
          <t xml:space="preserve">IF(quarter.is_future = 1, BLANK, IFERROR(bookings / quota, 0))</t>
        </is>
      </c>
      <c r="E117" s="0" t="inlineStr">
        <is>
          <t xml:space="preserve">ok</t>
        </is>
      </c>
    </row>
    <row r="118">
      <c r="A118" s="0" t="inlineStr">
        <is>
          <t xml:space="preserve">team</t>
        </is>
      </c>
      <c r="B118" s="0" t="inlineStr">
        <is>
          <t xml:space="preserve">value</t>
        </is>
      </c>
      <c r="C118" s="0" t="inlineStr">
        <is>
          <t xml:space="preserve">line = bookings_per_rep</t>
        </is>
      </c>
      <c r="D118" s="20" t="inlineStr">
        <is>
          <t xml:space="preserve">IFERROR(bookings / rep_count, 0)</t>
        </is>
      </c>
      <c r="E118" s="0" t="inlineStr">
        <is>
          <t xml:space="preserve">ok</t>
        </is>
      </c>
    </row>
    <row r="119">
      <c r="A119" s="0" t="inlineStr">
        <is>
          <t xml:space="preserve">team</t>
        </is>
      </c>
      <c r="B119" s="0" t="inlineStr">
        <is>
          <t xml:space="preserve">value</t>
        </is>
      </c>
      <c r="C119" s="0" t="inlineStr">
        <is>
          <t xml:space="preserve">line = win_rate</t>
        </is>
      </c>
      <c r="D119" s="20" t="inlineStr">
        <is>
          <t xml:space="preserve">IF(quarter.is_future = 1, BLANK, IFERROR(deals_won / (deals_won + deals_lost), 0))</t>
        </is>
      </c>
      <c r="E119" s="0" t="inlineStr">
        <is>
          <t xml:space="preserve">ok</t>
        </is>
      </c>
    </row>
    <row r="120">
      <c r="A120" s="0" t="inlineStr">
        <is>
          <t xml:space="preserve">team</t>
        </is>
      </c>
      <c r="B120" s="0" t="inlineStr">
        <is>
          <t xml:space="preserve">value</t>
        </is>
      </c>
      <c r="C120" s="0" t="inlineStr">
        <is>
          <t xml:space="preserve">line = avg_deal</t>
        </is>
      </c>
      <c r="D120" s="20" t="inlineStr">
        <is>
          <t xml:space="preserve">IF(quarter.is_future = 1, BLANK, IFERROR(bookings / deals_won, 0))</t>
        </is>
      </c>
      <c r="E120" s="0" t="inlineStr">
        <is>
          <t xml:space="preserve">ok</t>
        </is>
      </c>
    </row>
    <row r="121">
      <c r="A121" s="0" t="inlineStr">
        <is>
          <t xml:space="preserve">team</t>
        </is>
      </c>
      <c r="B121" s="0" t="inlineStr">
        <is>
          <t xml:space="preserve">value</t>
        </is>
      </c>
      <c r="C121" s="0" t="inlineStr">
        <is>
          <t xml:space="preserve">line = coverage</t>
        </is>
      </c>
      <c r="D121" s="20" t="inlineStr">
        <is>
          <t xml:space="preserve">IF(quota - bookings &gt; 0 and open_pipeline &gt; 0, open_pipeline / (quota - bookings), BLANK)</t>
        </is>
      </c>
      <c r="E121" s="0" t="inlineStr">
        <is>
          <t xml:space="preserve">ok</t>
        </is>
      </c>
    </row>
    <row r="122">
      <c r="A122" s="0" t="inlineStr">
        <is>
          <t xml:space="preserve">team</t>
        </is>
      </c>
      <c r="B122" s="0" t="inlineStr">
        <is>
          <t xml:space="preserve">value</t>
        </is>
      </c>
      <c r="C122" s="0" t="inlineStr">
        <is>
          <t xml:space="preserve">line = forecast_attainment</t>
        </is>
      </c>
      <c r="D122" s="20" t="inlineStr">
        <is>
          <t xml:space="preserve">IFERROR(forecast / quota, 0)</t>
        </is>
      </c>
      <c r="E122" s="0" t="inlineStr">
        <is>
          <t xml:space="preserve">ok</t>
        </is>
      </c>
    </row>
    <row r="123">
      <c r="A123" s="0" t="inlineStr">
        <is>
          <t xml:space="preserve">team</t>
        </is>
      </c>
      <c r="B123" s="0" t="inlineStr">
        <is>
          <t xml:space="preserve">value</t>
        </is>
      </c>
      <c r="C123" s="0" t="inlineStr">
        <is>
          <t xml:space="preserve">line = variable_pay</t>
        </is>
      </c>
      <c r="D123" s="20" t="inlineStr">
        <is>
          <t xml:space="preserve">SUM(payout.total_variable[rep.region=@region, rep.segment=@segment])</t>
        </is>
      </c>
      <c r="E123" s="0" t="inlineStr">
        <is>
          <t xml:space="preserve">ok</t>
        </is>
      </c>
    </row>
    <row r="124">
      <c r="A124" s="0" t="inlineStr">
        <is>
          <t xml:space="preserve">team</t>
        </is>
      </c>
      <c r="B124" s="0" t="inlineStr">
        <is>
          <t xml:space="preserve">value</t>
        </is>
      </c>
      <c r="C124" s="0" t="inlineStr">
        <is>
          <t xml:space="preserve">line = pay_rate</t>
        </is>
      </c>
      <c r="D124" s="20" t="inlineStr">
        <is>
          <t xml:space="preserve">IFERROR(variable_pay / bookings, 0)</t>
        </is>
      </c>
      <c r="E124" s="0" t="inlineStr">
        <is>
          <t xml:space="preserve">ok</t>
        </is>
      </c>
    </row>
    <row r="125">
      <c r="A125" s="0" t="inlineStr">
        <is>
          <t xml:space="preserve">region_quarterly</t>
        </is>
      </c>
      <c r="B125" s="0" t="inlineStr">
        <is>
          <t xml:space="preserve">value</t>
        </is>
      </c>
      <c r="C125" s="0" t="inlineStr">
        <is>
          <t xml:space="preserve">line = quota</t>
        </is>
      </c>
      <c r="D125" s="20" t="inlineStr">
        <is>
          <t xml:space="preserve">SUM(team.quota[region=@region])</t>
        </is>
      </c>
      <c r="E125" s="0" t="inlineStr">
        <is>
          <t xml:space="preserve">ok</t>
        </is>
      </c>
    </row>
    <row r="126">
      <c r="A126" s="0" t="inlineStr">
        <is>
          <t xml:space="preserve">region_quarterly</t>
        </is>
      </c>
      <c r="B126" s="0" t="inlineStr">
        <is>
          <t xml:space="preserve">value</t>
        </is>
      </c>
      <c r="C126" s="0" t="inlineStr">
        <is>
          <t xml:space="preserve">line = bookings</t>
        </is>
      </c>
      <c r="D126" s="20" t="inlineStr">
        <is>
          <t xml:space="preserve">SUM(team.bookings[region=@region])</t>
        </is>
      </c>
      <c r="E126" s="0" t="inlineStr">
        <is>
          <t xml:space="preserve">ok</t>
        </is>
      </c>
    </row>
    <row r="127">
      <c r="A127" s="0" t="inlineStr">
        <is>
          <t xml:space="preserve">region_quarterly</t>
        </is>
      </c>
      <c r="B127" s="0" t="inlineStr">
        <is>
          <t xml:space="preserve">value</t>
        </is>
      </c>
      <c r="C127" s="0" t="inlineStr">
        <is>
          <t xml:space="preserve">line = forecast</t>
        </is>
      </c>
      <c r="D127" s="20" t="inlineStr">
        <is>
          <t xml:space="preserve">SUM(team.forecast[region=@region])</t>
        </is>
      </c>
      <c r="E127" s="0" t="inlineStr">
        <is>
          <t xml:space="preserve">ok</t>
        </is>
      </c>
    </row>
    <row r="128">
      <c r="A128" s="0" t="inlineStr">
        <is>
          <t xml:space="preserve">region_quarterly</t>
        </is>
      </c>
      <c r="B128" s="0" t="inlineStr">
        <is>
          <t xml:space="preserve">value</t>
        </is>
      </c>
      <c r="C128" s="0" t="inlineStr">
        <is>
          <t xml:space="preserve">line = open_pipeline</t>
        </is>
      </c>
      <c r="D128" s="20" t="inlineStr">
        <is>
          <t xml:space="preserve">SUM(team.open_pipeline[region=@region])</t>
        </is>
      </c>
      <c r="E128" s="0" t="inlineStr">
        <is>
          <t xml:space="preserve">ok</t>
        </is>
      </c>
    </row>
    <row r="129">
      <c r="A129" s="0" t="inlineStr">
        <is>
          <t xml:space="preserve">region_quarterly</t>
        </is>
      </c>
      <c r="B129" s="0" t="inlineStr">
        <is>
          <t xml:space="preserve">value</t>
        </is>
      </c>
      <c r="C129" s="0" t="inlineStr">
        <is>
          <t xml:space="preserve">line = deals_won</t>
        </is>
      </c>
      <c r="D129" s="20" t="inlineStr">
        <is>
          <t xml:space="preserve">SUM(team.deals_won[region=@region])</t>
        </is>
      </c>
      <c r="E129" s="0" t="inlineStr">
        <is>
          <t xml:space="preserve">ok</t>
        </is>
      </c>
    </row>
    <row r="130">
      <c r="A130" s="0" t="inlineStr">
        <is>
          <t xml:space="preserve">region_quarterly</t>
        </is>
      </c>
      <c r="B130" s="0" t="inlineStr">
        <is>
          <t xml:space="preserve">value</t>
        </is>
      </c>
      <c r="C130" s="0" t="inlineStr">
        <is>
          <t xml:space="preserve">line = deals_lost</t>
        </is>
      </c>
      <c r="D130" s="20" t="inlineStr">
        <is>
          <t xml:space="preserve">SUM(team.deals_lost[region=@region])</t>
        </is>
      </c>
      <c r="E130" s="0" t="inlineStr">
        <is>
          <t xml:space="preserve">ok</t>
        </is>
      </c>
    </row>
    <row r="131">
      <c r="A131" s="0" t="inlineStr">
        <is>
          <t xml:space="preserve">region_quarterly</t>
        </is>
      </c>
      <c r="B131" s="0" t="inlineStr">
        <is>
          <t xml:space="preserve">value</t>
        </is>
      </c>
      <c r="C131" s="0" t="inlineStr">
        <is>
          <t xml:space="preserve">line = new_logo_bookings</t>
        </is>
      </c>
      <c r="D131" s="20" t="inlineStr">
        <is>
          <t xml:space="preserve">SUM(team.new_logo_bookings[region=@region])</t>
        </is>
      </c>
      <c r="E131" s="0" t="inlineStr">
        <is>
          <t xml:space="preserve">ok</t>
        </is>
      </c>
    </row>
    <row r="132">
      <c r="A132" s="0" t="inlineStr">
        <is>
          <t xml:space="preserve">region_quarterly</t>
        </is>
      </c>
      <c r="B132" s="0" t="inlineStr">
        <is>
          <t xml:space="preserve">value</t>
        </is>
      </c>
      <c r="C132" s="0" t="inlineStr">
        <is>
          <t xml:space="preserve">line = variable_pay</t>
        </is>
      </c>
      <c r="D132" s="20" t="inlineStr">
        <is>
          <t xml:space="preserve">SUM(team.variable_pay[region=@region])</t>
        </is>
      </c>
      <c r="E132" s="0" t="inlineStr">
        <is>
          <t xml:space="preserve">ok</t>
        </is>
      </c>
    </row>
    <row r="133">
      <c r="A133" s="0" t="inlineStr">
        <is>
          <t xml:space="preserve">region_quarterly</t>
        </is>
      </c>
      <c r="B133" s="0" t="inlineStr">
        <is>
          <t xml:space="preserve">value</t>
        </is>
      </c>
      <c r="C133" s="0" t="inlineStr">
        <is>
          <t xml:space="preserve">line = attainment</t>
        </is>
      </c>
      <c r="D133" s="20" t="inlineStr">
        <is>
          <t xml:space="preserve">IF(quarter.is_future = 1, BLANK, IFERROR(bookings / quota, 0))</t>
        </is>
      </c>
      <c r="E133" s="0" t="inlineStr">
        <is>
          <t xml:space="preserve">ok</t>
        </is>
      </c>
    </row>
    <row r="134">
      <c r="A134" s="0" t="inlineStr">
        <is>
          <t xml:space="preserve">region_quarterly</t>
        </is>
      </c>
      <c r="B134" s="0" t="inlineStr">
        <is>
          <t xml:space="preserve">value</t>
        </is>
      </c>
      <c r="C134" s="0" t="inlineStr">
        <is>
          <t xml:space="preserve">line = forecast_attainment</t>
        </is>
      </c>
      <c r="D134" s="20" t="inlineStr">
        <is>
          <t xml:space="preserve">IFERROR(forecast / quota, 0)</t>
        </is>
      </c>
      <c r="E134" s="0" t="inlineStr">
        <is>
          <t xml:space="preserve">ok</t>
        </is>
      </c>
    </row>
    <row r="135">
      <c r="A135" s="0" t="inlineStr">
        <is>
          <t xml:space="preserve">region_quarterly</t>
        </is>
      </c>
      <c r="B135" s="0" t="inlineStr">
        <is>
          <t xml:space="preserve">value</t>
        </is>
      </c>
      <c r="C135" s="0" t="inlineStr">
        <is>
          <t xml:space="preserve">line = coverage</t>
        </is>
      </c>
      <c r="D135" s="20" t="inlineStr">
        <is>
          <t xml:space="preserve">IF(quota - bookings &gt; 0 and open_pipeline &gt; 0, open_pipeline / (quota - bookings), BLANK)</t>
        </is>
      </c>
      <c r="E135" s="0" t="inlineStr">
        <is>
          <t xml:space="preserve">ok</t>
        </is>
      </c>
    </row>
    <row r="136">
      <c r="A136" s="0" t="inlineStr">
        <is>
          <t xml:space="preserve">region_quarterly</t>
        </is>
      </c>
      <c r="B136" s="0" t="inlineStr">
        <is>
          <t xml:space="preserve">value</t>
        </is>
      </c>
      <c r="C136" s="0" t="inlineStr">
        <is>
          <t xml:space="preserve">line = win_rate</t>
        </is>
      </c>
      <c r="D136" s="20" t="inlineStr">
        <is>
          <t xml:space="preserve">IF(quarter.is_future = 1, BLANK, IFERROR(deals_won / (deals_won + deals_lost), 0))</t>
        </is>
      </c>
      <c r="E136" s="0" t="inlineStr">
        <is>
          <t xml:space="preserve">ok</t>
        </is>
      </c>
    </row>
    <row r="137">
      <c r="A137" s="0" t="inlineStr">
        <is>
          <t xml:space="preserve">segment_quarterly</t>
        </is>
      </c>
      <c r="B137" s="0" t="inlineStr">
        <is>
          <t xml:space="preserve">value</t>
        </is>
      </c>
      <c r="C137" s="0" t="inlineStr">
        <is>
          <t xml:space="preserve">line = quota</t>
        </is>
      </c>
      <c r="D137" s="20" t="inlineStr">
        <is>
          <t xml:space="preserve">SUM(team.quota[segment=@segment])</t>
        </is>
      </c>
      <c r="E137" s="0" t="inlineStr">
        <is>
          <t xml:space="preserve">ok</t>
        </is>
      </c>
    </row>
    <row r="138">
      <c r="A138" s="0" t="inlineStr">
        <is>
          <t xml:space="preserve">segment_quarterly</t>
        </is>
      </c>
      <c r="B138" s="0" t="inlineStr">
        <is>
          <t xml:space="preserve">value</t>
        </is>
      </c>
      <c r="C138" s="0" t="inlineStr">
        <is>
          <t xml:space="preserve">line = bookings</t>
        </is>
      </c>
      <c r="D138" s="20" t="inlineStr">
        <is>
          <t xml:space="preserve">SUM(team.bookings[segment=@segment])</t>
        </is>
      </c>
      <c r="E138" s="0" t="inlineStr">
        <is>
          <t xml:space="preserve">ok</t>
        </is>
      </c>
    </row>
    <row r="139">
      <c r="A139" s="0" t="inlineStr">
        <is>
          <t xml:space="preserve">segment_quarterly</t>
        </is>
      </c>
      <c r="B139" s="0" t="inlineStr">
        <is>
          <t xml:space="preserve">value</t>
        </is>
      </c>
      <c r="C139" s="0" t="inlineStr">
        <is>
          <t xml:space="preserve">line = forecast</t>
        </is>
      </c>
      <c r="D139" s="20" t="inlineStr">
        <is>
          <t xml:space="preserve">SUM(team.forecast[segment=@segment])</t>
        </is>
      </c>
      <c r="E139" s="0" t="inlineStr">
        <is>
          <t xml:space="preserve">ok</t>
        </is>
      </c>
    </row>
    <row r="140">
      <c r="A140" s="0" t="inlineStr">
        <is>
          <t xml:space="preserve">segment_quarterly</t>
        </is>
      </c>
      <c r="B140" s="0" t="inlineStr">
        <is>
          <t xml:space="preserve">value</t>
        </is>
      </c>
      <c r="C140" s="0" t="inlineStr">
        <is>
          <t xml:space="preserve">line = open_pipeline</t>
        </is>
      </c>
      <c r="D140" s="20" t="inlineStr">
        <is>
          <t xml:space="preserve">SUM(team.open_pipeline[segment=@segment])</t>
        </is>
      </c>
      <c r="E140" s="0" t="inlineStr">
        <is>
          <t xml:space="preserve">ok</t>
        </is>
      </c>
    </row>
    <row r="141">
      <c r="A141" s="0" t="inlineStr">
        <is>
          <t xml:space="preserve">segment_quarterly</t>
        </is>
      </c>
      <c r="B141" s="0" t="inlineStr">
        <is>
          <t xml:space="preserve">value</t>
        </is>
      </c>
      <c r="C141" s="0" t="inlineStr">
        <is>
          <t xml:space="preserve">line = deals_won</t>
        </is>
      </c>
      <c r="D141" s="20" t="inlineStr">
        <is>
          <t xml:space="preserve">SUM(team.deals_won[segment=@segment])</t>
        </is>
      </c>
      <c r="E141" s="0" t="inlineStr">
        <is>
          <t xml:space="preserve">ok</t>
        </is>
      </c>
    </row>
    <row r="142">
      <c r="A142" s="0" t="inlineStr">
        <is>
          <t xml:space="preserve">segment_quarterly</t>
        </is>
      </c>
      <c r="B142" s="0" t="inlineStr">
        <is>
          <t xml:space="preserve">value</t>
        </is>
      </c>
      <c r="C142" s="0" t="inlineStr">
        <is>
          <t xml:space="preserve">line = deals_lost</t>
        </is>
      </c>
      <c r="D142" s="20" t="inlineStr">
        <is>
          <t xml:space="preserve">SUM(team.deals_lost[segment=@segment])</t>
        </is>
      </c>
      <c r="E142" s="0" t="inlineStr">
        <is>
          <t xml:space="preserve">ok</t>
        </is>
      </c>
    </row>
    <row r="143">
      <c r="A143" s="0" t="inlineStr">
        <is>
          <t xml:space="preserve">segment_quarterly</t>
        </is>
      </c>
      <c r="B143" s="0" t="inlineStr">
        <is>
          <t xml:space="preserve">value</t>
        </is>
      </c>
      <c r="C143" s="0" t="inlineStr">
        <is>
          <t xml:space="preserve">line = new_logo_bookings</t>
        </is>
      </c>
      <c r="D143" s="20" t="inlineStr">
        <is>
          <t xml:space="preserve">SUM(team.new_logo_bookings[segment=@segment])</t>
        </is>
      </c>
      <c r="E143" s="0" t="inlineStr">
        <is>
          <t xml:space="preserve">ok</t>
        </is>
      </c>
    </row>
    <row r="144">
      <c r="A144" s="0" t="inlineStr">
        <is>
          <t xml:space="preserve">segment_quarterly</t>
        </is>
      </c>
      <c r="B144" s="0" t="inlineStr">
        <is>
          <t xml:space="preserve">value</t>
        </is>
      </c>
      <c r="C144" s="0" t="inlineStr">
        <is>
          <t xml:space="preserve">line = attainment</t>
        </is>
      </c>
      <c r="D144" s="20" t="inlineStr">
        <is>
          <t xml:space="preserve">IF(quarter.is_future = 1, BLANK, IFERROR(bookings / quota, 0))</t>
        </is>
      </c>
      <c r="E144" s="0" t="inlineStr">
        <is>
          <t xml:space="preserve">ok</t>
        </is>
      </c>
    </row>
    <row r="145">
      <c r="A145" s="0" t="inlineStr">
        <is>
          <t xml:space="preserve">segment_quarterly</t>
        </is>
      </c>
      <c r="B145" s="0" t="inlineStr">
        <is>
          <t xml:space="preserve">value</t>
        </is>
      </c>
      <c r="C145" s="0" t="inlineStr">
        <is>
          <t xml:space="preserve">line = forecast_attainment</t>
        </is>
      </c>
      <c r="D145" s="20" t="inlineStr">
        <is>
          <t xml:space="preserve">IFERROR(forecast / quota, 0)</t>
        </is>
      </c>
      <c r="E145" s="0" t="inlineStr">
        <is>
          <t xml:space="preserve">ok</t>
        </is>
      </c>
    </row>
    <row r="146">
      <c r="A146" s="0" t="inlineStr">
        <is>
          <t xml:space="preserve">segment_quarterly</t>
        </is>
      </c>
      <c r="B146" s="0" t="inlineStr">
        <is>
          <t xml:space="preserve">value</t>
        </is>
      </c>
      <c r="C146" s="0" t="inlineStr">
        <is>
          <t xml:space="preserve">line = coverage</t>
        </is>
      </c>
      <c r="D146" s="20" t="inlineStr">
        <is>
          <t xml:space="preserve">IF(quota - bookings &gt; 0 and open_pipeline &gt; 0, open_pipeline / (quota - bookings), BLANK)</t>
        </is>
      </c>
      <c r="E146" s="0" t="inlineStr">
        <is>
          <t xml:space="preserve">ok</t>
        </is>
      </c>
    </row>
    <row r="147">
      <c r="A147" s="0" t="inlineStr">
        <is>
          <t xml:space="preserve">segment_quarterly</t>
        </is>
      </c>
      <c r="B147" s="0" t="inlineStr">
        <is>
          <t xml:space="preserve">value</t>
        </is>
      </c>
      <c r="C147" s="0" t="inlineStr">
        <is>
          <t xml:space="preserve">line = win_rate</t>
        </is>
      </c>
      <c r="D147" s="20" t="inlineStr">
        <is>
          <t xml:space="preserve">IF(quarter.is_future = 1, BLANK, IFERROR(deals_won / (deals_won + deals_lost), 0))</t>
        </is>
      </c>
      <c r="E147" s="0" t="inlineStr">
        <is>
          <t xml:space="preserve">ok</t>
        </is>
      </c>
    </row>
    <row r="148">
      <c r="A148" s="0" t="inlineStr">
        <is>
          <t xml:space="preserve">segment_quarterly</t>
        </is>
      </c>
      <c r="B148" s="0" t="inlineStr">
        <is>
          <t xml:space="preserve">value</t>
        </is>
      </c>
      <c r="C148" s="0" t="inlineStr">
        <is>
          <t xml:space="preserve">line = avg_deal</t>
        </is>
      </c>
      <c r="D148" s="20" t="inlineStr">
        <is>
          <t xml:space="preserve">IF(quarter.is_future = 1, BLANK, IFERROR(bookings / deals_won, 0))</t>
        </is>
      </c>
      <c r="E148" s="0" t="inlineStr">
        <is>
          <t xml:space="preserve">ok</t>
        </is>
      </c>
    </row>
    <row r="149">
      <c r="A149" s="0" t="inlineStr">
        <is>
          <t xml:space="preserve">segment_quarterly</t>
        </is>
      </c>
      <c r="B149" s="0" t="inlineStr">
        <is>
          <t xml:space="preserve">value</t>
        </is>
      </c>
      <c r="C149" s="0" t="inlineStr">
        <is>
          <t xml:space="preserve">line = avg_cycle_days</t>
        </is>
      </c>
      <c r="D149" s="20" t="inlineStr">
        <is>
          <t xml:space="preserve">IFERROR(SUM(opps.cycle_days[segment=@segment, won=1, close_quarter=@quarter]) / COUNT(opps.cycle_days[segment=@segment, won=1, close_quarter=@quarter]), BLANK)</t>
        </is>
      </c>
      <c r="E149" s="0" t="inlineStr">
        <is>
          <t xml:space="preserve">ok</t>
        </is>
      </c>
    </row>
    <row r="150">
      <c r="A150" s="0" t="inlineStr">
        <is>
          <t xml:space="preserve">company_quarterly</t>
        </is>
      </c>
      <c r="B150" s="0" t="inlineStr">
        <is>
          <t xml:space="preserve">value</t>
        </is>
      </c>
      <c r="C150" s="0" t="inlineStr">
        <is>
          <t xml:space="preserve">line = quota</t>
        </is>
      </c>
      <c r="D150" s="20" t="inlineStr">
        <is>
          <t xml:space="preserve">SUM(team.quota)</t>
        </is>
      </c>
      <c r="E150" s="0" t="inlineStr">
        <is>
          <t xml:space="preserve">ok</t>
        </is>
      </c>
    </row>
    <row r="151">
      <c r="A151" s="0" t="inlineStr">
        <is>
          <t xml:space="preserve">company_quarterly</t>
        </is>
      </c>
      <c r="B151" s="0" t="inlineStr">
        <is>
          <t xml:space="preserve">value</t>
        </is>
      </c>
      <c r="C151" s="0" t="inlineStr">
        <is>
          <t xml:space="preserve">line = bookings</t>
        </is>
      </c>
      <c r="D151" s="20" t="inlineStr">
        <is>
          <t xml:space="preserve">SUM(team.bookings)</t>
        </is>
      </c>
      <c r="E151" s="0" t="inlineStr">
        <is>
          <t xml:space="preserve">ok</t>
        </is>
      </c>
    </row>
    <row r="152">
      <c r="A152" s="0" t="inlineStr">
        <is>
          <t xml:space="preserve">company_quarterly</t>
        </is>
      </c>
      <c r="B152" s="0" t="inlineStr">
        <is>
          <t xml:space="preserve">value</t>
        </is>
      </c>
      <c r="C152" s="0" t="inlineStr">
        <is>
          <t xml:space="preserve">line = forecast</t>
        </is>
      </c>
      <c r="D152" s="20" t="inlineStr">
        <is>
          <t xml:space="preserve">SUM(team.forecast)</t>
        </is>
      </c>
      <c r="E152" s="0" t="inlineStr">
        <is>
          <t xml:space="preserve">ok</t>
        </is>
      </c>
    </row>
    <row r="153">
      <c r="A153" s="0" t="inlineStr">
        <is>
          <t xml:space="preserve">company_quarterly</t>
        </is>
      </c>
      <c r="B153" s="0" t="inlineStr">
        <is>
          <t xml:space="preserve">value</t>
        </is>
      </c>
      <c r="C153" s="0" t="inlineStr">
        <is>
          <t xml:space="preserve">line = open_pipeline</t>
        </is>
      </c>
      <c r="D153" s="20" t="inlineStr">
        <is>
          <t xml:space="preserve">SUM(team.open_pipeline)</t>
        </is>
      </c>
      <c r="E153" s="0" t="inlineStr">
        <is>
          <t xml:space="preserve">ok</t>
        </is>
      </c>
    </row>
    <row r="154">
      <c r="A154" s="0" t="inlineStr">
        <is>
          <t xml:space="preserve">company_quarterly</t>
        </is>
      </c>
      <c r="B154" s="0" t="inlineStr">
        <is>
          <t xml:space="preserve">value</t>
        </is>
      </c>
      <c r="C154" s="0" t="inlineStr">
        <is>
          <t xml:space="preserve">line = commit</t>
        </is>
      </c>
      <c r="D154" s="20" t="inlineStr">
        <is>
          <t xml:space="preserve">SUM(team.commit)</t>
        </is>
      </c>
      <c r="E154" s="0" t="inlineStr">
        <is>
          <t xml:space="preserve">ok</t>
        </is>
      </c>
    </row>
    <row r="155">
      <c r="A155" s="0" t="inlineStr">
        <is>
          <t xml:space="preserve">company_quarterly</t>
        </is>
      </c>
      <c r="B155" s="0" t="inlineStr">
        <is>
          <t xml:space="preserve">value</t>
        </is>
      </c>
      <c r="C155" s="0" t="inlineStr">
        <is>
          <t xml:space="preserve">line = best_case</t>
        </is>
      </c>
      <c r="D155" s="20" t="inlineStr">
        <is>
          <t xml:space="preserve">SUM(team.best_case)</t>
        </is>
      </c>
      <c r="E155" s="0" t="inlineStr">
        <is>
          <t xml:space="preserve">ok</t>
        </is>
      </c>
    </row>
    <row r="156">
      <c r="A156" s="0" t="inlineStr">
        <is>
          <t xml:space="preserve">company_quarterly</t>
        </is>
      </c>
      <c r="B156" s="0" t="inlineStr">
        <is>
          <t xml:space="preserve">value</t>
        </is>
      </c>
      <c r="C156" s="0" t="inlineStr">
        <is>
          <t xml:space="preserve">line = pipeline_created</t>
        </is>
      </c>
      <c r="D156" s="20" t="inlineStr">
        <is>
          <t xml:space="preserve">SUM(team.pipeline_created)</t>
        </is>
      </c>
      <c r="E156" s="0" t="inlineStr">
        <is>
          <t xml:space="preserve">ok</t>
        </is>
      </c>
    </row>
    <row r="157">
      <c r="A157" s="0" t="inlineStr">
        <is>
          <t xml:space="preserve">company_quarterly</t>
        </is>
      </c>
      <c r="B157" s="0" t="inlineStr">
        <is>
          <t xml:space="preserve">value</t>
        </is>
      </c>
      <c r="C157" s="0" t="inlineStr">
        <is>
          <t xml:space="preserve">line = deals_won</t>
        </is>
      </c>
      <c r="D157" s="20" t="inlineStr">
        <is>
          <t xml:space="preserve">SUM(team.deals_won)</t>
        </is>
      </c>
      <c r="E157" s="0" t="inlineStr">
        <is>
          <t xml:space="preserve">ok</t>
        </is>
      </c>
    </row>
    <row r="158">
      <c r="A158" s="0" t="inlineStr">
        <is>
          <t xml:space="preserve">company_quarterly</t>
        </is>
      </c>
      <c r="B158" s="0" t="inlineStr">
        <is>
          <t xml:space="preserve">value</t>
        </is>
      </c>
      <c r="C158" s="0" t="inlineStr">
        <is>
          <t xml:space="preserve">line = deals_lost</t>
        </is>
      </c>
      <c r="D158" s="20" t="inlineStr">
        <is>
          <t xml:space="preserve">SUM(team.deals_lost)</t>
        </is>
      </c>
      <c r="E158" s="0" t="inlineStr">
        <is>
          <t xml:space="preserve">ok</t>
        </is>
      </c>
    </row>
    <row r="159">
      <c r="A159" s="0" t="inlineStr">
        <is>
          <t xml:space="preserve">company_quarterly</t>
        </is>
      </c>
      <c r="B159" s="0" t="inlineStr">
        <is>
          <t xml:space="preserve">value</t>
        </is>
      </c>
      <c r="C159" s="0" t="inlineStr">
        <is>
          <t xml:space="preserve">line = new_logo_bookings</t>
        </is>
      </c>
      <c r="D159" s="20" t="inlineStr">
        <is>
          <t xml:space="preserve">SUM(team.new_logo_bookings)</t>
        </is>
      </c>
      <c r="E159" s="0" t="inlineStr">
        <is>
          <t xml:space="preserve">ok</t>
        </is>
      </c>
    </row>
    <row r="160">
      <c r="A160" s="0" t="inlineStr">
        <is>
          <t xml:space="preserve">company_quarterly</t>
        </is>
      </c>
      <c r="B160" s="0" t="inlineStr">
        <is>
          <t xml:space="preserve">value</t>
        </is>
      </c>
      <c r="C160" s="0" t="inlineStr">
        <is>
          <t xml:space="preserve">line = variable_pay</t>
        </is>
      </c>
      <c r="D160" s="20" t="inlineStr">
        <is>
          <t xml:space="preserve">SUM(team.variable_pay)</t>
        </is>
      </c>
      <c r="E160" s="0" t="inlineStr">
        <is>
          <t xml:space="preserve">ok</t>
        </is>
      </c>
    </row>
    <row r="161">
      <c r="A161" s="0" t="inlineStr">
        <is>
          <t xml:space="preserve">company_quarterly</t>
        </is>
      </c>
      <c r="B161" s="0" t="inlineStr">
        <is>
          <t xml:space="preserve">value</t>
        </is>
      </c>
      <c r="C161" s="0" t="inlineStr">
        <is>
          <t xml:space="preserve">line = attainment</t>
        </is>
      </c>
      <c r="D161" s="20" t="inlineStr">
        <is>
          <t xml:space="preserve">IF(quarter.is_future = 1, BLANK, IFERROR(bookings / quota, 0))</t>
        </is>
      </c>
      <c r="E161" s="0" t="inlineStr">
        <is>
          <t xml:space="preserve">ok</t>
        </is>
      </c>
    </row>
    <row r="162">
      <c r="A162" s="0" t="inlineStr">
        <is>
          <t xml:space="preserve">company_quarterly</t>
        </is>
      </c>
      <c r="B162" s="0" t="inlineStr">
        <is>
          <t xml:space="preserve">value</t>
        </is>
      </c>
      <c r="C162" s="0" t="inlineStr">
        <is>
          <t xml:space="preserve">line = forecast_attainment</t>
        </is>
      </c>
      <c r="D162" s="20" t="inlineStr">
        <is>
          <t xml:space="preserve">IFERROR(forecast / quota, 0)</t>
        </is>
      </c>
      <c r="E162" s="0" t="inlineStr">
        <is>
          <t xml:space="preserve">ok</t>
        </is>
      </c>
    </row>
    <row r="163">
      <c r="A163" s="0" t="inlineStr">
        <is>
          <t xml:space="preserve">company_quarterly</t>
        </is>
      </c>
      <c r="B163" s="0" t="inlineStr">
        <is>
          <t xml:space="preserve">value</t>
        </is>
      </c>
      <c r="C163" s="0" t="inlineStr">
        <is>
          <t xml:space="preserve">line = gap</t>
        </is>
      </c>
      <c r="D163" s="20" t="inlineStr">
        <is>
          <t xml:space="preserve">quota - bookings</t>
        </is>
      </c>
      <c r="E163" s="0" t="inlineStr">
        <is>
          <t xml:space="preserve">ok</t>
        </is>
      </c>
    </row>
    <row r="164">
      <c r="A164" s="0" t="inlineStr">
        <is>
          <t xml:space="preserve">company_quarterly</t>
        </is>
      </c>
      <c r="B164" s="0" t="inlineStr">
        <is>
          <t xml:space="preserve">value</t>
        </is>
      </c>
      <c r="C164" s="0" t="inlineStr">
        <is>
          <t xml:space="preserve">line = coverage</t>
        </is>
      </c>
      <c r="D164" s="20" t="inlineStr">
        <is>
          <t xml:space="preserve">IF(gap &gt; 0 and open_pipeline &gt; 0, open_pipeline / gap, BLANK)</t>
        </is>
      </c>
      <c r="E164" s="0" t="inlineStr">
        <is>
          <t xml:space="preserve">ok</t>
        </is>
      </c>
    </row>
    <row r="165">
      <c r="A165" s="0" t="inlineStr">
        <is>
          <t xml:space="preserve">company_quarterly</t>
        </is>
      </c>
      <c r="B165" s="0" t="inlineStr">
        <is>
          <t xml:space="preserve">value</t>
        </is>
      </c>
      <c r="C165" s="0" t="inlineStr">
        <is>
          <t xml:space="preserve">line = win_rate</t>
        </is>
      </c>
      <c r="D165" s="20" t="inlineStr">
        <is>
          <t xml:space="preserve">IF(quarter.is_future = 1, BLANK, IFERROR(deals_won / (deals_won + deals_lost), 0))</t>
        </is>
      </c>
      <c r="E165" s="0" t="inlineStr">
        <is>
          <t xml:space="preserve">ok</t>
        </is>
      </c>
    </row>
    <row r="166">
      <c r="A166" s="0" t="inlineStr">
        <is>
          <t xml:space="preserve">company_quarterly</t>
        </is>
      </c>
      <c r="B166" s="0" t="inlineStr">
        <is>
          <t xml:space="preserve">value</t>
        </is>
      </c>
      <c r="C166" s="0" t="inlineStr">
        <is>
          <t xml:space="preserve">line = avg_deal</t>
        </is>
      </c>
      <c r="D166" s="20" t="inlineStr">
        <is>
          <t xml:space="preserve">IF(quarter.is_future = 1, BLANK, IFERROR(bookings / deals_won, 0))</t>
        </is>
      </c>
      <c r="E166" s="0" t="inlineStr">
        <is>
          <t xml:space="preserve">ok</t>
        </is>
      </c>
    </row>
    <row r="167">
      <c r="A167" s="0" t="inlineStr">
        <is>
          <t xml:space="preserve">company_quarterly</t>
        </is>
      </c>
      <c r="B167" s="0" t="inlineStr">
        <is>
          <t xml:space="preserve">value</t>
        </is>
      </c>
      <c r="C167" s="0" t="inlineStr">
        <is>
          <t xml:space="preserve">line = avg_cycle_days</t>
        </is>
      </c>
      <c r="D167" s="20" t="inlineStr">
        <is>
          <t xml:space="preserve">IFERROR(SUM(opps.cycle_days[won=1, close_quarter=@quarter]) / COUNT(opps.cycle_days[won=1, close_quarter=@quarter]), BLANK)</t>
        </is>
      </c>
      <c r="E167" s="0" t="inlineStr">
        <is>
          <t xml:space="preserve">ok</t>
        </is>
      </c>
    </row>
    <row r="168">
      <c r="A168" s="0" t="inlineStr">
        <is>
          <t xml:space="preserve">company_quarterly</t>
        </is>
      </c>
      <c r="B168" s="0" t="inlineStr">
        <is>
          <t xml:space="preserve">value</t>
        </is>
      </c>
      <c r="C168" s="0" t="inlineStr">
        <is>
          <t xml:space="preserve">line = new_logo_share</t>
        </is>
      </c>
      <c r="D168" s="20" t="inlineStr">
        <is>
          <t xml:space="preserve">IFERROR(new_logo_bookings / bookings, 0)</t>
        </is>
      </c>
      <c r="E168" s="0" t="inlineStr">
        <is>
          <t xml:space="preserve">ok</t>
        </is>
      </c>
    </row>
    <row r="169">
      <c r="A169" s="0" t="inlineStr">
        <is>
          <t xml:space="preserve">company_quarterly</t>
        </is>
      </c>
      <c r="B169" s="0" t="inlineStr">
        <is>
          <t xml:space="preserve">value</t>
        </is>
      </c>
      <c r="C169" s="0" t="inlineStr">
        <is>
          <t xml:space="preserve">line = expansion_bookings</t>
        </is>
      </c>
      <c r="D169" s="20" t="inlineStr">
        <is>
          <t xml:space="preserve">bookings - new_logo_bookings</t>
        </is>
      </c>
      <c r="E169" s="0" t="inlineStr">
        <is>
          <t xml:space="preserve">ok</t>
        </is>
      </c>
    </row>
    <row r="170">
      <c r="A170" s="0" t="inlineStr">
        <is>
          <t xml:space="preserve">company_quarterly</t>
        </is>
      </c>
      <c r="B170" s="0" t="inlineStr">
        <is>
          <t xml:space="preserve">value</t>
        </is>
      </c>
      <c r="C170" s="0" t="inlineStr">
        <is>
          <t xml:space="preserve">line = pay_rate</t>
        </is>
      </c>
      <c r="D170" s="20" t="inlineStr">
        <is>
          <t xml:space="preserve">IFERROR(variable_pay / bookings, 0)</t>
        </is>
      </c>
      <c r="E170" s="0" t="inlineStr">
        <is>
          <t xml:space="preserve">ok</t>
        </is>
      </c>
    </row>
    <row r="171">
      <c r="A171" s="0" t="inlineStr">
        <is>
          <t xml:space="preserve">company_quarterly</t>
        </is>
      </c>
      <c r="B171" s="0" t="inlineStr">
        <is>
          <t xml:space="preserve">value</t>
        </is>
      </c>
      <c r="C171" s="0" t="inlineStr">
        <is>
          <t xml:space="preserve">line = marketing_spend</t>
        </is>
      </c>
      <c r="D171" s="20" t="inlineStr">
        <is>
          <t xml:space="preserve">SUM(funnel.spend[period.quarter=@quarter.label])</t>
        </is>
      </c>
      <c r="E171" s="0" t="inlineStr">
        <is>
          <t xml:space="preserve">ok</t>
        </is>
      </c>
    </row>
    <row r="172">
      <c r="A172" s="0" t="inlineStr">
        <is>
          <t xml:space="preserve">company_quarterly</t>
        </is>
      </c>
      <c r="B172" s="0" t="inlineStr">
        <is>
          <t xml:space="preserve">value</t>
        </is>
      </c>
      <c r="C172" s="0" t="inlineStr">
        <is>
          <t xml:space="preserve">line = marketing_ratio</t>
        </is>
      </c>
      <c r="D172" s="20" t="inlineStr">
        <is>
          <t xml:space="preserve">IFERROR(marketing_spend / bookings, 0)</t>
        </is>
      </c>
      <c r="E172" s="0" t="inlineStr">
        <is>
          <t xml:space="preserve">ok</t>
        </is>
      </c>
    </row>
    <row r="173">
      <c r="A173" s="0" t="inlineStr">
        <is>
          <t xml:space="preserve">company_quarterly</t>
        </is>
      </c>
      <c r="B173" s="0" t="inlineStr">
        <is>
          <t xml:space="preserve">value</t>
        </is>
      </c>
      <c r="C173" s="0" t="inlineStr">
        <is>
          <t xml:space="preserve">line = leads</t>
        </is>
      </c>
      <c r="D173" s="20" t="inlineStr">
        <is>
          <t xml:space="preserve">SUM(funnel.leads[period.quarter=@quarter.label])</t>
        </is>
      </c>
      <c r="E173" s="0" t="inlineStr">
        <is>
          <t xml:space="preserve">ok</t>
        </is>
      </c>
    </row>
    <row r="174">
      <c r="A174" s="0" t="inlineStr">
        <is>
          <t xml:space="preserve">company_quarterly</t>
        </is>
      </c>
      <c r="B174" s="0" t="inlineStr">
        <is>
          <t xml:space="preserve">value</t>
        </is>
      </c>
      <c r="C174" s="0" t="inlineStr">
        <is>
          <t xml:space="preserve">line = mqls</t>
        </is>
      </c>
      <c r="D174" s="20" t="inlineStr">
        <is>
          <t xml:space="preserve">SUM(funnel.mqls[period.quarter=@quarter.label])</t>
        </is>
      </c>
      <c r="E174" s="0" t="inlineStr">
        <is>
          <t xml:space="preserve">ok</t>
        </is>
      </c>
    </row>
    <row r="175">
      <c r="A175" s="0" t="inlineStr">
        <is>
          <t xml:space="preserve">company_quarterly</t>
        </is>
      </c>
      <c r="B175" s="0" t="inlineStr">
        <is>
          <t xml:space="preserve">value</t>
        </is>
      </c>
      <c r="C175" s="0" t="inlineStr">
        <is>
          <t xml:space="preserve">line = opps_created</t>
        </is>
      </c>
      <c r="D175" s="20" t="inlineStr">
        <is>
          <t xml:space="preserve">SUM(funnel.opps_created[period.quarter=@quarter.label])</t>
        </is>
      </c>
      <c r="E175" s="0" t="inlineStr">
        <is>
          <t xml:space="preserve">ok</t>
        </is>
      </c>
    </row>
    <row r="176">
      <c r="A176" s="0" t="inlineStr">
        <is>
          <t xml:space="preserve">company_monthly</t>
        </is>
      </c>
      <c r="B176" s="0" t="inlineStr">
        <is>
          <t xml:space="preserve">value</t>
        </is>
      </c>
      <c r="C176" s="0" t="inlineStr">
        <is>
          <t xml:space="preserve">line = bookings</t>
        </is>
      </c>
      <c r="D176" s="20" t="inlineStr">
        <is>
          <t xml:space="preserve">SUM(rep_monthly.bookings)</t>
        </is>
      </c>
      <c r="E176" s="0" t="inlineStr">
        <is>
          <t xml:space="preserve">ok</t>
        </is>
      </c>
    </row>
    <row r="177">
      <c r="A177" s="0" t="inlineStr">
        <is>
          <t xml:space="preserve">company_monthly</t>
        </is>
      </c>
      <c r="B177" s="0" t="inlineStr">
        <is>
          <t xml:space="preserve">value</t>
        </is>
      </c>
      <c r="C177" s="0" t="inlineStr">
        <is>
          <t xml:space="preserve">line = quota</t>
        </is>
      </c>
      <c r="D177" s="20" t="inlineStr">
        <is>
          <t xml:space="preserve">SUM(company_quarterly.quota[quarter.label=@period.quarter]) / 3</t>
        </is>
      </c>
      <c r="E177" s="0" t="inlineStr">
        <is>
          <t xml:space="preserve">ok</t>
        </is>
      </c>
    </row>
    <row r="178">
      <c r="A178" s="0" t="inlineStr">
        <is>
          <t xml:space="preserve">company_monthly</t>
        </is>
      </c>
      <c r="B178" s="0" t="inlineStr">
        <is>
          <t xml:space="preserve">value</t>
        </is>
      </c>
      <c r="C178" s="0" t="inlineStr">
        <is>
          <t xml:space="preserve">line = attainment</t>
        </is>
      </c>
      <c r="D178" s="20" t="inlineStr">
        <is>
          <t xml:space="preserve">IF(period.frame = "fcst", BLANK, IFERROR(bookings / quota, 0))</t>
        </is>
      </c>
      <c r="E178" s="0" t="inlineStr">
        <is>
          <t xml:space="preserve">ok</t>
        </is>
      </c>
    </row>
    <row r="179">
      <c r="A179" s="0" t="inlineStr">
        <is>
          <t xml:space="preserve">company_monthly</t>
        </is>
      </c>
      <c r="B179" s="0" t="inlineStr">
        <is>
          <t xml:space="preserve">value</t>
        </is>
      </c>
      <c r="C179" s="0" t="inlineStr">
        <is>
          <t xml:space="preserve">line = new_logo_bookings</t>
        </is>
      </c>
      <c r="D179" s="20" t="inlineStr">
        <is>
          <t xml:space="preserve">SUM(rep_monthly.new_logo_bookings)</t>
        </is>
      </c>
      <c r="E179" s="0" t="inlineStr">
        <is>
          <t xml:space="preserve">ok</t>
        </is>
      </c>
    </row>
    <row r="180">
      <c r="A180" s="0" t="inlineStr">
        <is>
          <t xml:space="preserve">company_monthly</t>
        </is>
      </c>
      <c r="B180" s="0" t="inlineStr">
        <is>
          <t xml:space="preserve">value</t>
        </is>
      </c>
      <c r="C180" s="0" t="inlineStr">
        <is>
          <t xml:space="preserve">line = expansion_bookings</t>
        </is>
      </c>
      <c r="D180" s="20" t="inlineStr">
        <is>
          <t xml:space="preserve">SUM(rep_monthly.expansion_bookings)</t>
        </is>
      </c>
      <c r="E180" s="0" t="inlineStr">
        <is>
          <t xml:space="preserve">ok</t>
        </is>
      </c>
    </row>
    <row r="181">
      <c r="A181" s="0" t="inlineStr">
        <is>
          <t xml:space="preserve">company_monthly</t>
        </is>
      </c>
      <c r="B181" s="0" t="inlineStr">
        <is>
          <t xml:space="preserve">value</t>
        </is>
      </c>
      <c r="C181" s="0" t="inlineStr">
        <is>
          <t xml:space="preserve">line = open_pipeline</t>
        </is>
      </c>
      <c r="D181" s="20" t="inlineStr">
        <is>
          <t xml:space="preserve">SUM(rep_monthly.open_pipeline)</t>
        </is>
      </c>
      <c r="E181" s="0" t="inlineStr">
        <is>
          <t xml:space="preserve">ok</t>
        </is>
      </c>
    </row>
    <row r="182">
      <c r="A182" s="0" t="inlineStr">
        <is>
          <t xml:space="preserve">company_monthly</t>
        </is>
      </c>
      <c r="B182" s="0" t="inlineStr">
        <is>
          <t xml:space="preserve">value</t>
        </is>
      </c>
      <c r="C182" s="0" t="inlineStr">
        <is>
          <t xml:space="preserve">line = forecast</t>
        </is>
      </c>
      <c r="D182" s="20" t="inlineStr">
        <is>
          <t xml:space="preserve">SUM(rep_monthly.forecast)</t>
        </is>
      </c>
      <c r="E182" s="0" t="inlineStr">
        <is>
          <t xml:space="preserve">ok</t>
        </is>
      </c>
    </row>
    <row r="183">
      <c r="A183" s="0" t="inlineStr">
        <is>
          <t xml:space="preserve">company_monthly</t>
        </is>
      </c>
      <c r="B183" s="0" t="inlineStr">
        <is>
          <t xml:space="preserve">value</t>
        </is>
      </c>
      <c r="C183" s="0" t="inlineStr">
        <is>
          <t xml:space="preserve">line = pipeline_created</t>
        </is>
      </c>
      <c r="D183" s="20" t="inlineStr">
        <is>
          <t xml:space="preserve">SUM(rep_monthly.pipeline_created)</t>
        </is>
      </c>
      <c r="E183" s="0" t="inlineStr">
        <is>
          <t xml:space="preserve">ok</t>
        </is>
      </c>
    </row>
    <row r="184">
      <c r="A184" s="0" t="inlineStr">
        <is>
          <t xml:space="preserve">company_monthly</t>
        </is>
      </c>
      <c r="B184" s="0" t="inlineStr">
        <is>
          <t xml:space="preserve">value</t>
        </is>
      </c>
      <c r="C184" s="0" t="inlineStr">
        <is>
          <t xml:space="preserve">line = opps_created</t>
        </is>
      </c>
      <c r="D184" s="20" t="inlineStr">
        <is>
          <t xml:space="preserve">SUM(rep_monthly.opps_created)</t>
        </is>
      </c>
      <c r="E184" s="0" t="inlineStr">
        <is>
          <t xml:space="preserve">ok</t>
        </is>
      </c>
    </row>
    <row r="185">
      <c r="A185" s="0" t="inlineStr">
        <is>
          <t xml:space="preserve">company_monthly</t>
        </is>
      </c>
      <c r="B185" s="0" t="inlineStr">
        <is>
          <t xml:space="preserve">value</t>
        </is>
      </c>
      <c r="C185" s="0" t="inlineStr">
        <is>
          <t xml:space="preserve">line = deals_won</t>
        </is>
      </c>
      <c r="D185" s="20" t="inlineStr">
        <is>
          <t xml:space="preserve">SUM(rep_monthly.deals_won)</t>
        </is>
      </c>
      <c r="E185" s="0" t="inlineStr">
        <is>
          <t xml:space="preserve">ok</t>
        </is>
      </c>
    </row>
    <row r="186">
      <c r="A186" s="0" t="inlineStr">
        <is>
          <t xml:space="preserve">company_monthly</t>
        </is>
      </c>
      <c r="B186" s="0" t="inlineStr">
        <is>
          <t xml:space="preserve">value</t>
        </is>
      </c>
      <c r="C186" s="0" t="inlineStr">
        <is>
          <t xml:space="preserve">line = beginning_arr</t>
        </is>
      </c>
      <c r="D186" s="20" t="inlineStr">
        <is>
          <t xml:space="preserve">IF(period.idx = 0, plan.starting_arr, PREV(ending_arr))</t>
        </is>
      </c>
      <c r="E186" s="0" t="inlineStr">
        <is>
          <t xml:space="preserve">ok</t>
        </is>
      </c>
    </row>
    <row r="187">
      <c r="A187" s="0" t="inlineStr">
        <is>
          <t xml:space="preserve">company_monthly</t>
        </is>
      </c>
      <c r="B187" s="0" t="inlineStr">
        <is>
          <t xml:space="preserve">value</t>
        </is>
      </c>
      <c r="C187" s="0" t="inlineStr">
        <is>
          <t xml:space="preserve">line = new_arr</t>
        </is>
      </c>
      <c r="D187" s="20" t="inlineStr">
        <is>
          <t xml:space="preserve">new_logo_bookings</t>
        </is>
      </c>
      <c r="E187" s="0" t="inlineStr">
        <is>
          <t xml:space="preserve">ok</t>
        </is>
      </c>
    </row>
    <row r="188">
      <c r="A188" s="0" t="inlineStr">
        <is>
          <t xml:space="preserve">company_monthly</t>
        </is>
      </c>
      <c r="B188" s="0" t="inlineStr">
        <is>
          <t xml:space="preserve">value</t>
        </is>
      </c>
      <c r="C188" s="0" t="inlineStr">
        <is>
          <t xml:space="preserve">line = expansion_arr</t>
        </is>
      </c>
      <c r="D188" s="20" t="inlineStr">
        <is>
          <t xml:space="preserve">expansion_bookings</t>
        </is>
      </c>
      <c r="E188" s="0" t="inlineStr">
        <is>
          <t xml:space="preserve">ok</t>
        </is>
      </c>
    </row>
    <row r="189">
      <c r="A189" s="0" t="inlineStr">
        <is>
          <t xml:space="preserve">company_monthly</t>
        </is>
      </c>
      <c r="B189" s="0" t="inlineStr">
        <is>
          <t xml:space="preserve">value</t>
        </is>
      </c>
      <c r="C189" s="0" t="inlineStr">
        <is>
          <t xml:space="preserve">line = churned_arr</t>
        </is>
      </c>
      <c r="D189" s="20" t="inlineStr">
        <is>
          <t xml:space="preserve">-SUM(churn.arr_lost)</t>
        </is>
      </c>
      <c r="E189" s="0" t="inlineStr">
        <is>
          <t xml:space="preserve">ok</t>
        </is>
      </c>
    </row>
    <row r="190">
      <c r="A190" s="0" t="inlineStr">
        <is>
          <t xml:space="preserve">company_monthly</t>
        </is>
      </c>
      <c r="B190" s="0" t="inlineStr">
        <is>
          <t xml:space="preserve">value</t>
        </is>
      </c>
      <c r="C190" s="0" t="inlineStr">
        <is>
          <t xml:space="preserve">line = ending_arr</t>
        </is>
      </c>
      <c r="D190" s="20" t="inlineStr">
        <is>
          <t xml:space="preserve">beginning_arr + new_arr + expansion_arr + churned_arr</t>
        </is>
      </c>
      <c r="E190" s="0" t="inlineStr">
        <is>
          <t xml:space="preserve">ok</t>
        </is>
      </c>
    </row>
    <row r="191">
      <c r="A191" s="0" t="inlineStr">
        <is>
          <t xml:space="preserve">company_monthly</t>
        </is>
      </c>
      <c r="B191" s="0" t="inlineStr">
        <is>
          <t xml:space="preserve">value</t>
        </is>
      </c>
      <c r="C191" s="0" t="inlineStr">
        <is>
          <t xml:space="preserve">line = net_new_arr</t>
        </is>
      </c>
      <c r="D191" s="20" t="inlineStr">
        <is>
          <t xml:space="preserve">ending_arr - beginning_arr</t>
        </is>
      </c>
      <c r="E191" s="0" t="inlineStr">
        <is>
          <t xml:space="preserve">ok</t>
        </is>
      </c>
    </row>
    <row r="192">
      <c r="A192" s="0" t="inlineStr">
        <is>
          <t xml:space="preserve">company_monthly</t>
        </is>
      </c>
      <c r="B192" s="0" t="inlineStr">
        <is>
          <t xml:space="preserve">value</t>
        </is>
      </c>
      <c r="C192" s="0" t="inlineStr">
        <is>
          <t xml:space="preserve">line = arr_growth</t>
        </is>
      </c>
      <c r="D192" s="20" t="inlineStr">
        <is>
          <t xml:space="preserve">IFERROR(net_new_arr / beginning_arr, 0)</t>
        </is>
      </c>
      <c r="E192" s="0" t="inlineStr">
        <is>
          <t xml:space="preserve">ok</t>
        </is>
      </c>
    </row>
    <row r="193">
      <c r="A193" s="0" t="inlineStr">
        <is>
          <t xml:space="preserve">company_monthly</t>
        </is>
      </c>
      <c r="B193" s="0" t="inlineStr">
        <is>
          <t xml:space="preserve">value</t>
        </is>
      </c>
      <c r="C193" s="0" t="inlineStr">
        <is>
          <t xml:space="preserve">line = churn_rate</t>
        </is>
      </c>
      <c r="D193" s="20" t="inlineStr">
        <is>
          <t xml:space="preserve">IFERROR(-churned_arr / beginning_arr, 0)</t>
        </is>
      </c>
      <c r="E193" s="0" t="inlineStr">
        <is>
          <t xml:space="preserve">ok</t>
        </is>
      </c>
    </row>
    <row r="195">
      <c r="A195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